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990" tabRatio="600" firstSheet="0" activeTab="0" autoFilterDateGrouping="1"/>
  </bookViews>
  <sheets>
    <sheet name="Sheet" sheetId="1" state="visible" r:id="rId1"/>
  </sheets>
  <definedNames>
    <definedName name="_xlnm._FilterDatabase" localSheetId="0" hidden="1">'Sheet'!$A$1:$X$4589</definedName>
  </definedNames>
  <calcPr calcId="191029" fullCalcOnLoad="1"/>
</workbook>
</file>

<file path=xl/styles.xml><?xml version="1.0" encoding="utf-8"?>
<styleSheet xmlns="http://schemas.openxmlformats.org/spreadsheetml/2006/main">
  <numFmts count="0"/>
  <fonts count="3">
    <font>
      <name val="Calibri"/>
      <family val="2"/>
      <color theme="1"/>
      <sz val="11"/>
      <scheme val="minor"/>
    </font>
    <font>
      <name val="Calibri"/>
      <b val="1"/>
      <sz val="11"/>
    </font>
    <font>
      <name val="Calibri"/>
      <family val="2"/>
      <color theme="10"/>
      <sz val="12"/>
      <scheme val="minor"/>
    </font>
  </fonts>
  <fills count="7">
    <fill>
      <patternFill/>
    </fill>
    <fill>
      <patternFill patternType="gray125"/>
    </fill>
    <fill>
      <patternFill patternType="solid">
        <fgColor rgb="FF91BF4D"/>
        <bgColor rgb="FF91BF4D"/>
      </patternFill>
    </fill>
    <fill>
      <patternFill patternType="solid">
        <fgColor theme="6" tint="0.5999938962981048"/>
        <bgColor rgb="FF91BF4D"/>
      </patternFill>
    </fill>
    <fill>
      <patternFill patternType="solid">
        <fgColor theme="6" tint="0.5999938962981048"/>
        <bgColor indexed="64"/>
      </patternFill>
    </fill>
    <fill>
      <patternFill patternType="solid">
        <fgColor rgb="FFFFC000"/>
        <bgColor indexed="64"/>
      </patternFill>
    </fill>
    <fill>
      <patternFill patternType="solid">
        <fgColor rgb="FFFFC000"/>
        <bgColor rgb="FF91BF4D"/>
      </patternFill>
    </fill>
  </fills>
  <borders count="1">
    <border>
      <left/>
      <right/>
      <top/>
      <bottom/>
      <diagonal/>
    </border>
  </borders>
  <cellStyleXfs count="2">
    <xf numFmtId="0" fontId="0" fillId="0" borderId="0"/>
    <xf numFmtId="0" fontId="2" fillId="0" borderId="0"/>
  </cellStyleXfs>
  <cellXfs count="9">
    <xf numFmtId="0" fontId="0" fillId="0" borderId="0" pivotButton="0" quotePrefix="0" xfId="0"/>
    <xf numFmtId="0" fontId="1" fillId="2" borderId="0" pivotButton="0" quotePrefix="0" xfId="0"/>
    <xf numFmtId="0" fontId="2" fillId="0" borderId="0" pivotButton="0" quotePrefix="0" xfId="1"/>
    <xf numFmtId="0" fontId="1" fillId="3" borderId="0" pivotButton="0" quotePrefix="0" xfId="0"/>
    <xf numFmtId="0" fontId="0" fillId="4" borderId="0" pivotButton="0" quotePrefix="0" xfId="0"/>
    <xf numFmtId="4" fontId="1" fillId="3" borderId="0" pivotButton="0" quotePrefix="0" xfId="0"/>
    <xf numFmtId="0" fontId="1" fillId="5" borderId="0" pivotButton="0" quotePrefix="0" xfId="0"/>
    <xf numFmtId="0" fontId="1" fillId="6" borderId="0" pivotButton="0" quotePrefix="0" xfId="0"/>
    <xf numFmtId="0" fontId="0" fillId="5" borderId="0" pivotButton="0" quotePrefix="0" xfId="0"/>
  </cellXfs>
  <cellStyles count="2">
    <cellStyle name="Normal" xfId="0" builtinId="0"/>
    <cellStyle name="Hyperlink" xfId="1" builtinId="8"/>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1">
    <outlinePr summaryBelow="1" summaryRight="1"/>
    <pageSetUpPr/>
  </sheetPr>
  <dimension ref="A1:X4589"/>
  <sheetViews>
    <sheetView tabSelected="1" workbookViewId="0">
      <pane ySplit="1" topLeftCell="A3932" activePane="bottomLeft" state="frozen"/>
      <selection pane="bottomLeft" activeCell="D3925" sqref="D3925"/>
    </sheetView>
  </sheetViews>
  <sheetFormatPr baseColWidth="8" defaultRowHeight="75" customHeight="1"/>
  <cols>
    <col width="18.140625" customWidth="1" min="1" max="1"/>
    <col width="10.140625" customWidth="1" min="2" max="2"/>
    <col width="40.140625" customWidth="1" min="3" max="3"/>
    <col width="38.85546875" customWidth="1" min="4" max="4"/>
    <col width="30.7109375" customWidth="1" min="7" max="8"/>
    <col width="9.140625" customWidth="1" style="4" min="14" max="14"/>
  </cols>
  <sheetData>
    <row r="1" ht="29.25" customFormat="1" customHeight="1" s="8">
      <c r="A1" s="6" t="inlineStr">
        <is>
          <t>url</t>
        </is>
      </c>
      <c r="B1" s="6" t="inlineStr">
        <is>
          <t>canonicalUrl</t>
        </is>
      </c>
      <c r="C1" s="6" t="inlineStr">
        <is>
          <t>name</t>
        </is>
      </c>
      <c r="D1" s="6" t="inlineStr">
        <is>
          <t>Amazon Product Title</t>
        </is>
      </c>
      <c r="E1" s="6" t="inlineStr">
        <is>
          <t>Amazon Product URL</t>
        </is>
      </c>
      <c r="F1" s="6" t="inlineStr">
        <is>
          <t>ASIN</t>
        </is>
      </c>
      <c r="G1" s="6" t="inlineStr">
        <is>
          <t>Source Image</t>
        </is>
      </c>
      <c r="H1" s="6" t="inlineStr">
        <is>
          <t>Amazon Image</t>
        </is>
      </c>
      <c r="I1" s="6" t="inlineStr">
        <is>
          <t>Qualified?</t>
        </is>
      </c>
      <c r="J1" s="6" t="inlineStr">
        <is>
          <t>Notes</t>
        </is>
      </c>
      <c r="K1" s="6" t="inlineStr">
        <is>
          <t>offers/0/price</t>
        </is>
      </c>
      <c r="L1" s="6" t="inlineStr">
        <is>
          <t>Amazon Price</t>
        </is>
      </c>
      <c r="M1" s="7" t="inlineStr">
        <is>
          <t>ROI</t>
        </is>
      </c>
      <c r="N1" s="7" t="inlineStr">
        <is>
          <t>ROI</t>
        </is>
      </c>
      <c r="O1" s="6" t="inlineStr">
        <is>
          <t>Rating</t>
        </is>
      </c>
      <c r="P1" s="6" t="inlineStr">
        <is>
          <t>ReviewCount</t>
        </is>
      </c>
      <c r="Q1" s="6" t="inlineStr">
        <is>
          <t>offerCount</t>
        </is>
      </c>
      <c r="R1" s="6" t="inlineStr">
        <is>
          <t>offers/0/availability</t>
        </is>
      </c>
      <c r="S1" s="6" t="inlineStr">
        <is>
          <t>offers/0/regularPrice</t>
        </is>
      </c>
      <c r="T1" s="6" t="inlineStr">
        <is>
          <t>sku</t>
        </is>
      </c>
      <c r="U1" s="6" t="inlineStr">
        <is>
          <t>Match?</t>
        </is>
      </c>
      <c r="V1" s="6" t="inlineStr">
        <is>
          <t>Qualified?</t>
        </is>
      </c>
      <c r="W1" s="6" t="inlineStr">
        <is>
          <t>Approved</t>
        </is>
      </c>
      <c r="X1" s="6" t="inlineStr">
        <is>
          <t>Notes</t>
        </is>
      </c>
    </row>
    <row r="2" ht="75" customHeight="1">
      <c r="A2" s="2">
        <f>HYPERLINK("https://www.shelhealth.com/products/kirkland-signature-adults-mature-multi-vitamins-400-count-tablets", "https://www.shelhealth.com/products/kirkland-signature-adults-mature-multi-vitamins-400-count-tablets")</f>
        <v/>
      </c>
      <c r="B2" s="2">
        <f>HYPERLINK("https://www.shelhealth.com/products/kirkland-signature-adults-mature-multi-vitamins-400-count-tablets", "https://www.shelhealth.com/products/kirkland-signature-adults-mature-multi-vitamins-400-count-tablets")</f>
        <v/>
      </c>
      <c r="C2" t="inlineStr">
        <is>
          <t>Kirkland Signature Adults Multi Vitamins , 400-Count Tablets</t>
        </is>
      </c>
      <c r="D2" t="inlineStr">
        <is>
          <t>Kirkland Signature Mature Adult Multi Vitamin Tablets, 4 Package (400 Count)</t>
        </is>
      </c>
      <c r="E2" s="2">
        <f>HYPERLINK("https://www.amazon.com/Kirkland-Signature-Vitamin-Tablets-Package/dp/B07CM1L6BX/ref=sr_1_2?keywords=Kirkland+Signature+Adults+Multi+Vitamins+%2C+400-Count+Tablets&amp;qid=1695169716&amp;sr=8-2", "https://www.amazon.com/Kirkland-Signature-Vitamin-Tablets-Package/dp/B07CM1L6BX/ref=sr_1_2?keywords=Kirkland+Signature+Adults+Multi+Vitamins+%2C+400-Count+Tablets&amp;qid=1695169716&amp;sr=8-2")</f>
        <v/>
      </c>
      <c r="F2" t="inlineStr">
        <is>
          <t>B07CM1L6BX</t>
        </is>
      </c>
      <c r="G2">
        <f>_xlfn.IMAGE("https://www.shelhealth.com/cdn/shop/products/kirkland-signature-adults-multi-vitamins-400-count-tablets-shelhealth-790.jpg?v=1663337481&amp;width=1946")</f>
        <v/>
      </c>
      <c r="H2">
        <f>_xlfn.IMAGE("https://m.media-amazon.com/images/I/91N+VYPudOL._AC_UL320_.jpg")</f>
        <v/>
      </c>
      <c r="K2" t="inlineStr">
        <is>
          <t>16.99</t>
        </is>
      </c>
      <c r="L2" t="n">
        <v>66.79000000000001</v>
      </c>
      <c r="M2" s="1" t="inlineStr">
        <is>
          <t>293.11%</t>
        </is>
      </c>
      <c r="N2" s="3" t="n">
        <v>293.11</v>
      </c>
      <c r="O2" t="n">
        <v>4</v>
      </c>
      <c r="P2" t="n">
        <v>1</v>
      </c>
      <c r="R2" t="inlineStr">
        <is>
          <t>InStock</t>
        </is>
      </c>
      <c r="S2" t="inlineStr">
        <is>
          <t>16.99</t>
        </is>
      </c>
      <c r="T2" t="inlineStr">
        <is>
          <t>3773444096052</t>
        </is>
      </c>
    </row>
    <row r="3" ht="75" customHeight="1">
      <c r="A3" s="2">
        <f>HYPERLINK("https://www.shelhealth.com/products/kirkland-signature-organic-multivitamin-80-coated-tablets", "https://www.shelhealth.com/products/kirkland-signature-organic-multivitamin-80-coated-tablets")</f>
        <v/>
      </c>
      <c r="B3" s="2">
        <f>HYPERLINK("https://www.shelhealth.com/products/kirkland-signature-organic-multivitamin-80-coated-tablets", "https://www.shelhealth.com/products/kirkland-signature-organic-multivitamin-80-coated-tablets")</f>
        <v/>
      </c>
      <c r="C3" t="inlineStr">
        <is>
          <t>Kirkland Signature Organic Multivitamin - 80 Coated Tablets</t>
        </is>
      </c>
      <c r="D3" t="inlineStr">
        <is>
          <t>Kirkland Signature USDA Organic Multivitamin, 80 Coated Tablets (Pack of 4)</t>
        </is>
      </c>
      <c r="E3" s="2">
        <f>HYPERLINK("https://www.amazon.com/Kirkland-Signature-Organic-Multivitamin-Tablets/dp/B07V5MPKKL/ref=sr_1_2?keywords=Kirkland+Signature+Organic+Multivitamin+-+80+Coated+Tablets&amp;qid=1695169716&amp;sr=8-2", "https://www.amazon.com/Kirkland-Signature-Organic-Multivitamin-Tablets/dp/B07V5MPKKL/ref=sr_1_2?keywords=Kirkland+Signature+Organic+Multivitamin+-+80+Coated+Tablets&amp;qid=1695169716&amp;sr=8-2")</f>
        <v/>
      </c>
      <c r="F3" t="inlineStr">
        <is>
          <t>B07V5MPKKL</t>
        </is>
      </c>
      <c r="G3">
        <f>_xlfn.IMAGE("https://www.shelhealth.com/cdn/shop/products/kirkland-signature-organic-multivitamin-80-coated-tablets-shelhealth-411.jpg?v=1663336592&amp;width=1946")</f>
        <v/>
      </c>
      <c r="H3">
        <f>_xlfn.IMAGE("https://m.media-amazon.com/images/I/61HSqy+PSnL._AC_UL320_.jpg")</f>
        <v/>
      </c>
      <c r="K3" t="inlineStr">
        <is>
          <t>31.99</t>
        </is>
      </c>
      <c r="L3" t="n">
        <v>94.98999999999999</v>
      </c>
      <c r="M3" s="1" t="inlineStr">
        <is>
          <t>196.94%</t>
        </is>
      </c>
      <c r="N3" s="3" t="n">
        <v>196.94</v>
      </c>
      <c r="O3" t="n">
        <v>5</v>
      </c>
      <c r="P3" t="n">
        <v>7</v>
      </c>
      <c r="R3" t="inlineStr">
        <is>
          <t>InStock</t>
        </is>
      </c>
      <c r="S3" t="inlineStr">
        <is>
          <t>31.99</t>
        </is>
      </c>
      <c r="T3" t="inlineStr">
        <is>
          <t>3699355385908</t>
        </is>
      </c>
    </row>
    <row r="4" hidden="1" ht="15.75" customHeight="1">
      <c r="A4" s="2">
        <f>HYPERLINK("https://www.shelhealth.com/products/kirkland-signature-daily-multi-vitamins-minerals-500-tablets", "https://www.shelhealth.com/products/kirkland-signature-daily-multi-vitamins-minerals-500-tablets")</f>
        <v/>
      </c>
      <c r="B4" s="2">
        <f>HYPERLINK("https://www.shelhealth.com/products/kirkland-signature-daily-multi-vitamins-minerals-500-tablets", "https://www.shelhealth.com/products/kirkland-signature-daily-multi-vitamins-minerals-500-tablets")</f>
        <v/>
      </c>
      <c r="C4" t="inlineStr">
        <is>
          <t>Kirkland Signature Daily Multivitamins &amp; Minerals 500 Tablets</t>
        </is>
      </c>
      <c r="D4" t="inlineStr">
        <is>
          <t>Kirkland Signature Daily Multi Vitamins &amp; Minerals Tablets, 500-Count Bottle (3 Pack)</t>
        </is>
      </c>
      <c r="E4" s="2">
        <f>HYPERLINK("https://www.amazon.com/Kirkland-Signature-Vitamins-Minerals-500-Count/dp/B07F1ZLQMF/ref=sr_1_3?keywords=Kirkland+Signature+Daily+Multivitamins+%26+Minerals+500+Tablets&amp;qid=1695169728&amp;sr=8-3", "https://www.amazon.com/Kirkland-Signature-Vitamins-Minerals-500-Count/dp/B07F1ZLQMF/ref=sr_1_3?keywords=Kirkland+Signature+Daily+Multivitamins+%26+Minerals+500+Tablets&amp;qid=1695169728&amp;sr=8-3")</f>
        <v/>
      </c>
      <c r="F4" t="inlineStr">
        <is>
          <t>B07F1ZLQMF</t>
        </is>
      </c>
      <c r="G4">
        <f>_xludf.IMAGE("https://www.shelhealth.com/cdn/shop/products/kirkland-signature-daily-multivitamins-minerals-500-tablets-shelhealth-226.jpg?v=1663337474&amp;width=1946")</f>
        <v/>
      </c>
      <c r="H4">
        <f>_xludf.IMAGE("https://m.media-amazon.com/images/I/51+IoMepISL._AC_UL320_.jpg")</f>
        <v/>
      </c>
      <c r="K4" t="inlineStr">
        <is>
          <t>21.99</t>
        </is>
      </c>
      <c r="L4" t="n">
        <v>58.4</v>
      </c>
      <c r="M4" s="1" t="inlineStr">
        <is>
          <t>165.58%</t>
        </is>
      </c>
      <c r="N4" s="3" t="n">
        <v>165.58</v>
      </c>
      <c r="O4" t="n">
        <v>3.6</v>
      </c>
      <c r="P4" t="n">
        <v>3</v>
      </c>
      <c r="R4" t="inlineStr">
        <is>
          <t>InStock</t>
        </is>
      </c>
      <c r="S4" t="inlineStr">
        <is>
          <t>21.99</t>
        </is>
      </c>
      <c r="T4" t="inlineStr">
        <is>
          <t>3773437804596</t>
        </is>
      </c>
    </row>
    <row r="5" ht="75" customHeight="1">
      <c r="A5" s="2">
        <f>HYPERLINK("https://www.shelhealth.com/products/olly-womens-multivitamin-gummies-berry-200-ct", "https://www.shelhealth.com/products/olly-womens-multivitamin-gummies-berry-200-ct")</f>
        <v/>
      </c>
      <c r="B5" s="2">
        <f>HYPERLINK("https://www.shelhealth.com/products/olly-womens-multivitamin-gummies-berry-200-ct", "https://www.shelhealth.com/products/olly-womens-multivitamin-gummies-berry-200-ct")</f>
        <v/>
      </c>
      <c r="C5" t="inlineStr">
        <is>
          <t>Olly Women's Multivitamin Gummies - Berry, 200 ct.</t>
        </is>
      </c>
      <c r="D5" t="inlineStr">
        <is>
          <t>Olly Perfect Women's Multivitamin Gummy Supplement, with Biotin &amp; Folic Acid, Blissful Berry, 90 count (45 Day Supply), 3 Pack</t>
        </is>
      </c>
      <c r="E5" s="2">
        <f>HYPERLINK("https://www.amazon.com/Perfect-Womens-Multivitamin-Supplement-Blissful/dp/B07DHBDXD8/ref=sr_1_3?keywords=Olly+Women%27s+Multivitamin+Gummies+-+Berry%2C+200+ct.&amp;qid=1695169720&amp;sr=8-3", "https://www.amazon.com/Perfect-Womens-Multivitamin-Supplement-Blissful/dp/B07DHBDXD8/ref=sr_1_3?keywords=Olly+Women%27s+Multivitamin+Gummies+-+Berry%2C+200+ct.&amp;qid=1695169720&amp;sr=8-3")</f>
        <v/>
      </c>
      <c r="F5" t="inlineStr">
        <is>
          <t>B07DHBDXD8</t>
        </is>
      </c>
      <c r="G5">
        <f>_xlfn.IMAGE("https://www.shelhealth.com/cdn/shop/files/olly-womens-multivitamin-gummies-berry-200-ct-health-beautyvitamins-supplements-shelhealth-802.jpg?v=1686284248&amp;width=1946")</f>
        <v/>
      </c>
      <c r="H5">
        <f>_xlfn.IMAGE("https://m.media-amazon.com/images/I/71VUcJwhLhL._AC_UL320_.jpg")</f>
        <v/>
      </c>
      <c r="K5" t="inlineStr">
        <is>
          <t>32.99</t>
        </is>
      </c>
      <c r="L5" t="n">
        <v>67.98999999999999</v>
      </c>
      <c r="M5" s="1" t="inlineStr">
        <is>
          <t>106.09%</t>
        </is>
      </c>
      <c r="N5" s="3" t="n">
        <v>106.09</v>
      </c>
      <c r="O5" t="n">
        <v>5</v>
      </c>
      <c r="P5" t="n">
        <v>1</v>
      </c>
      <c r="R5" t="inlineStr">
        <is>
          <t>InStock</t>
        </is>
      </c>
      <c r="S5" t="inlineStr">
        <is>
          <t>32.99</t>
        </is>
      </c>
      <c r="T5" t="inlineStr">
        <is>
          <t>7196257714364</t>
        </is>
      </c>
    </row>
    <row r="6" ht="75" customHeight="1">
      <c r="A6" s="2">
        <f>HYPERLINK("https://www.shelhealth.com/products/kirkland-signature-daily-multi-vitamins-minerals-500-tablets", "https://www.shelhealth.com/products/kirkland-signature-daily-multi-vitamins-minerals-500-tablets")</f>
        <v/>
      </c>
      <c r="B6" s="2">
        <f>HYPERLINK("https://www.shelhealth.com/products/kirkland-signature-daily-multi-vitamins-minerals-500-tablets", "https://www.shelhealth.com/products/kirkland-signature-daily-multi-vitamins-minerals-500-tablets")</f>
        <v/>
      </c>
      <c r="C6" t="inlineStr">
        <is>
          <t>Kirkland Signature Daily Multivitamins &amp; Minerals 500 Tablets</t>
        </is>
      </c>
      <c r="D6" t="inlineStr">
        <is>
          <t>Kirkland Signature Daily Multi Vitamins &amp; Minerals Tablets, 500-Count Bottle (2 Pack)</t>
        </is>
      </c>
      <c r="E6" s="2">
        <f>HYPERLINK("https://www.amazon.com/Kirkland-Signature-Vitamins-Minerals-500-Count/dp/B07F1VFQNJ/ref=sr_1_1?keywords=Kirkland+Signature+Daily+Multivitamins+%26+Minerals+500+Tablets&amp;qid=1695169728&amp;sr=8-1", "https://www.amazon.com/Kirkland-Signature-Vitamins-Minerals-500-Count/dp/B07F1VFQNJ/ref=sr_1_1?keywords=Kirkland+Signature+Daily+Multivitamins+%26+Minerals+500+Tablets&amp;qid=1695169728&amp;sr=8-1")</f>
        <v/>
      </c>
      <c r="F6" t="inlineStr">
        <is>
          <t>B07F1VFQNJ</t>
        </is>
      </c>
      <c r="G6">
        <f>_xlfn.IMAGE("https://www.shelhealth.com/cdn/shop/products/kirkland-signature-daily-multivitamins-minerals-500-tablets-shelhealth-226.jpg?v=1663337474&amp;width=1946")</f>
        <v/>
      </c>
      <c r="H6">
        <f>_xlfn.IMAGE("https://m.media-amazon.com/images/I/61xxI+xvKvL._AC_UL320_.jpg")</f>
        <v/>
      </c>
      <c r="K6" t="inlineStr">
        <is>
          <t>21.99</t>
        </is>
      </c>
      <c r="L6" t="n">
        <v>43.44</v>
      </c>
      <c r="M6" s="1" t="inlineStr">
        <is>
          <t>97.54%</t>
        </is>
      </c>
      <c r="N6" s="3" t="n">
        <v>97.54000000000001</v>
      </c>
      <c r="O6" t="n">
        <v>4.7</v>
      </c>
      <c r="P6" t="n">
        <v>50</v>
      </c>
      <c r="R6" t="inlineStr">
        <is>
          <t>InStock</t>
        </is>
      </c>
      <c r="S6" t="inlineStr">
        <is>
          <t>21.99</t>
        </is>
      </c>
      <c r="T6" t="inlineStr">
        <is>
          <t>3773437804596</t>
        </is>
      </c>
    </row>
    <row r="7" ht="75" customHeight="1">
      <c r="A7" s="2">
        <f>HYPERLINK("https://www.shelhealth.com/products/estroven-maximum-strength-one-per-day-60-caplets", "https://www.shelhealth.com/products/estroven-maximum-strength-one-per-day-60-caplets")</f>
        <v/>
      </c>
      <c r="B7" s="2">
        <f>HYPERLINK("https://www.shelhealth.com/products/estroven-maximum-strength-one-per-day-60-caplets", "https://www.shelhealth.com/products/estroven-maximum-strength-one-per-day-60-caplets")</f>
        <v/>
      </c>
      <c r="C7" t="inlineStr">
        <is>
          <t>Estroven Maximum Strength One Per Day, 60 Caplets</t>
        </is>
      </c>
      <c r="D7" t="inlineStr">
        <is>
          <t>Estroven Maximum Strength + Energy - One Per Day Formula - 2 Boxes, 60 Caplets Each</t>
        </is>
      </c>
      <c r="E7" s="2">
        <f>HYPERLINK("https://www.amazon.com/Estroven-Maximum-Strength-Energy-Formula/dp/B00I3QN596/ref=sr_1_2?keywords=Estroven+Maximum+Strength+One+Per+Day%2C+60+Caplets&amp;qid=1695169719&amp;sr=8-2", "https://www.amazon.com/Estroven-Maximum-Strength-Energy-Formula/dp/B00I3QN596/ref=sr_1_2?keywords=Estroven+Maximum+Strength+One+Per+Day%2C+60+Caplets&amp;qid=1695169719&amp;sr=8-2")</f>
        <v/>
      </c>
      <c r="F7" t="inlineStr">
        <is>
          <t>B00I3QN596</t>
        </is>
      </c>
      <c r="G7">
        <f>_xlfn.IMAGE("https://www.shelhealth.com/cdn/shop/products/estroven-maximum-strength-one-per-day-60-caplets-shelhealth-372.jpg?v=1663338368&amp;width=1946")</f>
        <v/>
      </c>
      <c r="H7">
        <f>_xlfn.IMAGE("https://m.media-amazon.com/images/I/51UMb+ivvkL._AC_UL320_.jpg")</f>
        <v/>
      </c>
      <c r="K7" t="inlineStr">
        <is>
          <t>29.99</t>
        </is>
      </c>
      <c r="L7" t="n">
        <v>58.99</v>
      </c>
      <c r="M7" s="1" t="inlineStr">
        <is>
          <t>96.70%</t>
        </is>
      </c>
      <c r="N7" s="3" t="n">
        <v>96.7</v>
      </c>
      <c r="O7" t="n">
        <v>4.5</v>
      </c>
      <c r="P7" t="n">
        <v>426</v>
      </c>
      <c r="R7" t="inlineStr">
        <is>
          <t>OutOfStock</t>
        </is>
      </c>
      <c r="S7" t="inlineStr">
        <is>
          <t>29.99</t>
        </is>
      </c>
      <c r="T7" t="inlineStr">
        <is>
          <t>3784592883764</t>
        </is>
      </c>
    </row>
    <row r="8" ht="75" customHeight="1">
      <c r="A8" s="2">
        <f>HYPERLINK("https://www.shelhealth.com/products/kirkland-signature-adults-mature-multi-vitamins-400-count-tablets", "https://www.shelhealth.com/products/kirkland-signature-adults-mature-multi-vitamins-400-count-tablets")</f>
        <v/>
      </c>
      <c r="B8" s="2">
        <f>HYPERLINK("https://www.shelhealth.com/products/kirkland-signature-adults-mature-multi-vitamins-400-count-tablets", "https://www.shelhealth.com/products/kirkland-signature-adults-mature-multi-vitamins-400-count-tablets")</f>
        <v/>
      </c>
      <c r="C8" t="inlineStr">
        <is>
          <t>Kirkland Signature Adults Multi Vitamins , 400-Count Tablets</t>
        </is>
      </c>
      <c r="D8" t="inlineStr">
        <is>
          <t>Kirkland Signature Mature Adult Multi Vitamin Tablets, 2 Package (400 Count)</t>
        </is>
      </c>
      <c r="E8" s="2">
        <f>HYPERLINK("https://www.amazon.com/Kirkland-Signature-Vitamin-Tablets-Package/dp/B07CGQBNKR/ref=sr_1_3?keywords=Kirkland+Signature+Adults+Multi+Vitamins+%2C+400-Count+Tablets&amp;qid=1695169716&amp;sr=8-3", "https://www.amazon.com/Kirkland-Signature-Vitamin-Tablets-Package/dp/B07CGQBNKR/ref=sr_1_3?keywords=Kirkland+Signature+Adults+Multi+Vitamins+%2C+400-Count+Tablets&amp;qid=1695169716&amp;sr=8-3")</f>
        <v/>
      </c>
      <c r="F8" t="inlineStr">
        <is>
          <t>B07CGQBNKR</t>
        </is>
      </c>
      <c r="G8">
        <f>_xlfn.IMAGE("https://www.shelhealth.com/cdn/shop/products/kirkland-signature-adults-multi-vitamins-400-count-tablets-shelhealth-790.jpg?v=1663337481&amp;width=1946")</f>
        <v/>
      </c>
      <c r="H8">
        <f>_xlfn.IMAGE("https://m.media-amazon.com/images/I/81Tiw7FewNL._AC_UL320_.jpg")</f>
        <v/>
      </c>
      <c r="K8" t="inlineStr">
        <is>
          <t>16.99</t>
        </is>
      </c>
      <c r="L8" t="n">
        <v>31.98</v>
      </c>
      <c r="M8" s="1" t="inlineStr">
        <is>
          <t>88.23%</t>
        </is>
      </c>
      <c r="N8" s="3" t="n">
        <v>88.23</v>
      </c>
      <c r="O8" t="n">
        <v>4.7</v>
      </c>
      <c r="P8" t="n">
        <v>252</v>
      </c>
      <c r="R8" t="inlineStr">
        <is>
          <t>InStock</t>
        </is>
      </c>
      <c r="S8" t="inlineStr">
        <is>
          <t>16.99</t>
        </is>
      </c>
      <c r="T8" t="inlineStr">
        <is>
          <t>3773444096052</t>
        </is>
      </c>
    </row>
    <row r="9" ht="75" customHeight="1">
      <c r="A9" s="2">
        <f>HYPERLINK("https://www.shelhealth.com/products/kirkland-signature-daily-multi-vitamins-minerals-500-tablets", "https://www.shelhealth.com/products/kirkland-signature-daily-multi-vitamins-minerals-500-tablets")</f>
        <v/>
      </c>
      <c r="B9" s="2">
        <f>HYPERLINK("https://www.shelhealth.com/products/kirkland-signature-daily-multi-vitamins-minerals-500-tablets", "https://www.shelhealth.com/products/kirkland-signature-daily-multi-vitamins-minerals-500-tablets")</f>
        <v/>
      </c>
      <c r="C9" t="inlineStr">
        <is>
          <t>Kirkland Signature Daily Multivitamins &amp; Minerals 500 Tablets</t>
        </is>
      </c>
      <c r="D9" t="inlineStr">
        <is>
          <t>Kirkland Signature Daily Multi Vitamins &amp; Minerals Tablets EIzDnG, 500 Count Bottle (2 Pack)</t>
        </is>
      </c>
      <c r="E9" s="2">
        <f>HYPERLINK("https://www.amazon.com/Kirkland-Signature-Vitamins-Minerals-Tablets/dp/B076V51TF1/ref=sr_1_5?keywords=Kirkland+Signature+Daily+Multivitamins+%26+Minerals+500+Tablets&amp;qid=1695169728&amp;sr=8-5", "https://www.amazon.com/Kirkland-Signature-Vitamins-Minerals-Tablets/dp/B076V51TF1/ref=sr_1_5?keywords=Kirkland+Signature+Daily+Multivitamins+%26+Minerals+500+Tablets&amp;qid=1695169728&amp;sr=8-5")</f>
        <v/>
      </c>
      <c r="F9" t="inlineStr">
        <is>
          <t>B076V51TF1</t>
        </is>
      </c>
      <c r="G9">
        <f>_xlfn.IMAGE("https://www.shelhealth.com/cdn/shop/products/kirkland-signature-daily-multivitamins-minerals-500-tablets-shelhealth-226.jpg?v=1663337474&amp;width=1946")</f>
        <v/>
      </c>
      <c r="H9">
        <f>_xlfn.IMAGE("https://m.media-amazon.com/images/I/61xxI+xvKvL._AC_UL320_.jpg")</f>
        <v/>
      </c>
      <c r="K9" t="inlineStr">
        <is>
          <t>21.99</t>
        </is>
      </c>
      <c r="L9" t="n">
        <v>39.98</v>
      </c>
      <c r="M9" s="1" t="inlineStr">
        <is>
          <t>81.81%</t>
        </is>
      </c>
      <c r="N9" s="3" t="n">
        <v>81.81</v>
      </c>
      <c r="O9" t="n">
        <v>4.6</v>
      </c>
      <c r="P9" t="n">
        <v>1955</v>
      </c>
      <c r="R9" t="inlineStr">
        <is>
          <t>InStock</t>
        </is>
      </c>
      <c r="S9" t="inlineStr">
        <is>
          <t>21.99</t>
        </is>
      </c>
      <c r="T9" t="inlineStr">
        <is>
          <t>3773437804596</t>
        </is>
      </c>
    </row>
    <row r="10" hidden="1" ht="15.75" customHeight="1">
      <c r="A10" s="2">
        <f>HYPERLINK("https://www.shelhealth.com/products/one-a-day-multi-gummies-women-230-count", "https://www.shelhealth.com/products/one-a-day-multi-gummies-women-230-count")</f>
        <v/>
      </c>
      <c r="B10" s="2">
        <f>HYPERLINK("https://www.shelhealth.com/products/one-a-day-multi-gummies-women-230-count", "https://www.shelhealth.com/products/one-a-day-multi-gummies-women-230-count")</f>
        <v/>
      </c>
      <c r="C10" t="inlineStr">
        <is>
          <t>One A Day Multi Gummies, Women, 230 Count</t>
        </is>
      </c>
      <c r="D10" t="inlineStr">
        <is>
          <t>One A Day Women’s Multivitamin Gummies, Supplement with Vitamin A, Vitamin C, Vitamin D, Vitamin E and Zinc for Immune Health Support, Calcium &amp; more, Orange, 230 count, Fruity</t>
        </is>
      </c>
      <c r="E10" s="2">
        <f>HYPERLINK("https://www.amazon.com/VitaCraves-Multivitamin-Gummies-Supplement-Vitamins/dp/B0756XWYYV/ref=sr_1_2?keywords=One+A+Day+Multi+Gummies%2C+Women%2C+230+Count&amp;qid=1695169716&amp;sr=8-2", "https://www.amazon.com/VitaCraves-Multivitamin-Gummies-Supplement-Vitamins/dp/B0756XWYYV/ref=sr_1_2?keywords=One+A+Day+Multi+Gummies%2C+Women%2C+230+Count&amp;qid=1695169716&amp;sr=8-2")</f>
        <v/>
      </c>
      <c r="F10" t="inlineStr">
        <is>
          <t>B0756XWYYV</t>
        </is>
      </c>
      <c r="G10">
        <f>_xludf.IMAGE("https://www.shelhealth.com/cdn/shop/products/one-a-day-multi-gummies-women-230-count-shelhealth-125.jpg?v=1663351547&amp;width=1946")</f>
        <v/>
      </c>
      <c r="H10">
        <f>_xludf.IMAGE("https://m.media-amazon.com/images/I/81+qcK+Za-L._AC_UL320_.jpg")</f>
        <v/>
      </c>
      <c r="K10" t="inlineStr">
        <is>
          <t>23.99</t>
        </is>
      </c>
      <c r="L10" t="n">
        <v>38</v>
      </c>
      <c r="M10" s="1" t="inlineStr">
        <is>
          <t>58.40%</t>
        </is>
      </c>
      <c r="N10" s="3" t="n">
        <v>58.4</v>
      </c>
      <c r="O10" t="n">
        <v>4.7</v>
      </c>
      <c r="P10" t="n">
        <v>9905</v>
      </c>
      <c r="R10" t="inlineStr">
        <is>
          <t>InStock</t>
        </is>
      </c>
      <c r="S10" t="inlineStr">
        <is>
          <t>23.99</t>
        </is>
      </c>
      <c r="T10" t="inlineStr">
        <is>
          <t>4111459385396</t>
        </is>
      </c>
    </row>
    <row r="11" hidden="1" ht="15.75" customHeight="1">
      <c r="A11" s="2">
        <f>HYPERLINK("https://www.shelhealth.com/products/estroven-maximum-strength-one-per-day-60-caplets", "https://www.shelhealth.com/products/estroven-maximum-strength-one-per-day-60-caplets")</f>
        <v/>
      </c>
      <c r="B11" s="2">
        <f>HYPERLINK("https://www.shelhealth.com/products/estroven-maximum-strength-one-per-day-60-caplets", "https://www.shelhealth.com/products/estroven-maximum-strength-one-per-day-60-caplets")</f>
        <v/>
      </c>
      <c r="C11" t="inlineStr">
        <is>
          <t>Estroven Maximum Strength One Per Day, 60 Caplets</t>
        </is>
      </c>
      <c r="D11" t="inlineStr">
        <is>
          <t>Estroven Maximum Strength + Energy - One Per Day Formula - 60 Caplets</t>
        </is>
      </c>
      <c r="E11" s="2">
        <f>HYPERLINK("https://www.amazon.com/Estroven-Maximum-Strength-Energy-Formula/dp/B00DNGVDXG/ref=sr_1_1?keywords=Estroven+Maximum+Strength+One+Per+Day%2C+60+Caplets&amp;qid=1695169719&amp;sr=8-1", "https://www.amazon.com/Estroven-Maximum-Strength-Energy-Formula/dp/B00DNGVDXG/ref=sr_1_1?keywords=Estroven+Maximum+Strength+One+Per+Day%2C+60+Caplets&amp;qid=1695169719&amp;sr=8-1")</f>
        <v/>
      </c>
      <c r="F11" t="inlineStr">
        <is>
          <t>B00DNGVDXG</t>
        </is>
      </c>
      <c r="G11">
        <f>_xludf.IMAGE("https://www.shelhealth.com/cdn/shop/products/estroven-maximum-strength-one-per-day-60-caplets-shelhealth-372.jpg?v=1663338368&amp;width=1946")</f>
        <v/>
      </c>
      <c r="H11">
        <f>_xludf.IMAGE("https://m.media-amazon.com/images/I/91O0xmDPW6L._AC_UL320_.jpg")</f>
        <v/>
      </c>
      <c r="K11" t="inlineStr">
        <is>
          <t>29.99</t>
        </is>
      </c>
      <c r="L11" t="n">
        <v>44.86</v>
      </c>
      <c r="M11" s="1" t="inlineStr">
        <is>
          <t>49.58%</t>
        </is>
      </c>
      <c r="N11" s="3" t="n">
        <v>49.58</v>
      </c>
      <c r="O11" t="n">
        <v>4.5</v>
      </c>
      <c r="P11" t="n">
        <v>698</v>
      </c>
      <c r="R11" t="inlineStr">
        <is>
          <t>OutOfStock</t>
        </is>
      </c>
      <c r="S11" t="inlineStr">
        <is>
          <t>29.99</t>
        </is>
      </c>
      <c r="T11" t="inlineStr">
        <is>
          <t>3784592883764</t>
        </is>
      </c>
    </row>
    <row r="12" hidden="1" ht="15.75" customHeight="1">
      <c r="A12" s="2">
        <f>HYPERLINK("https://www.shelhealth.com/products/centrum-silver-women-multivitamin-275-tablet", "https://www.shelhealth.com/products/centrum-silver-women-multivitamin-275-tablet")</f>
        <v/>
      </c>
      <c r="B12" s="2">
        <f>HYPERLINK("https://www.shelhealth.com/products/centrum-silver-women-multivitamin-275-tablet", "https://www.shelhealth.com/products/centrum-silver-women-multivitamin-275-tablet")</f>
        <v/>
      </c>
      <c r="C12" t="inlineStr">
        <is>
          <t>Centrum Silver Women Multivitamin - 275 Tablet</t>
        </is>
      </c>
      <c r="D12" t="inlineStr">
        <is>
          <t>Centrum Silver Women 50+ Multivitamin, 8 Months Supply, 275 Tablets + Exclusive Vitamin Guide (2 Items)</t>
        </is>
      </c>
      <c r="E12" s="2">
        <f>HYPERLINK("https://www.amazon.com/Centrum-Multivitamin-Tablets-Exclusive-Vitamin/dp/B0C726XBFN/ref=sr_1_4?keywords=Centrum+Silver+Women+Multivitamin+-+275+Tablet&amp;qid=1695169718&amp;sr=8-4", "https://www.amazon.com/Centrum-Multivitamin-Tablets-Exclusive-Vitamin/dp/B0C726XBFN/ref=sr_1_4?keywords=Centrum+Silver+Women+Multivitamin+-+275+Tablet&amp;qid=1695169718&amp;sr=8-4")</f>
        <v/>
      </c>
      <c r="F12" t="inlineStr">
        <is>
          <t>B0C726XBFN</t>
        </is>
      </c>
      <c r="G12">
        <f>_xludf.IMAGE("https://www.shelhealth.com/cdn/shop/products/centrum-silver-women-multivitamin-275-tablet-shelhealth-162.jpg?v=1663338009&amp;width=1946")</f>
        <v/>
      </c>
      <c r="H12">
        <f>_xludf.IMAGE("https://m.media-amazon.com/images/I/51UnN5cC7uL._AC_UL320_.jpg")</f>
        <v/>
      </c>
      <c r="K12" t="inlineStr">
        <is>
          <t>29.99</t>
        </is>
      </c>
      <c r="L12" t="n">
        <v>41.99</v>
      </c>
      <c r="M12" s="1" t="inlineStr">
        <is>
          <t>40.01%</t>
        </is>
      </c>
      <c r="N12" s="3" t="n">
        <v>40.01</v>
      </c>
      <c r="O12" t="n">
        <v>4.6</v>
      </c>
      <c r="P12" t="n">
        <v>24</v>
      </c>
      <c r="R12" t="inlineStr">
        <is>
          <t>InStock</t>
        </is>
      </c>
      <c r="S12" t="inlineStr">
        <is>
          <t>29.99</t>
        </is>
      </c>
      <c r="T12" t="inlineStr">
        <is>
          <t>3783142211636</t>
        </is>
      </c>
    </row>
    <row r="13" hidden="1" ht="15.75" customHeight="1">
      <c r="A13" s="2">
        <f>HYPERLINK("https://www.shelhealth.com/products/kirkland-signature-adult-multivitamin-gummies-320-count", "https://www.shelhealth.com/products/kirkland-signature-adult-multivitamin-gummies-320-count")</f>
        <v/>
      </c>
      <c r="B13" s="2">
        <f>HYPERLINK("https://www.shelhealth.com/products/kirkland-signature-adult-multivitamin-gummies-320-count", "https://www.shelhealth.com/products/kirkland-signature-adult-multivitamin-gummies-320-count")</f>
        <v/>
      </c>
      <c r="C13" t="inlineStr">
        <is>
          <t>Kirkland Signature Adult Multivitamin Gummies - 320 Count</t>
        </is>
      </c>
      <c r="D13" t="inlineStr">
        <is>
          <t>EMS Kirkland Signature Children's Complete Multivitamin Gummies 320 Count</t>
        </is>
      </c>
      <c r="E13" s="2">
        <f>HYPERLINK("https://www.amazon.com/Kirkland-Signature-Childrens-Complete-Multivitamin/dp/B0943F6MR2/ref=sr_1_2?keywords=Kirkland+Signature+Adult+Multivitamin+Gummies+-+320+Count&amp;qid=1695169725&amp;sr=8-2", "https://www.amazon.com/Kirkland-Signature-Childrens-Complete-Multivitamin/dp/B0943F6MR2/ref=sr_1_2?keywords=Kirkland+Signature+Adult+Multivitamin+Gummies+-+320+Count&amp;qid=1695169725&amp;sr=8-2")</f>
        <v/>
      </c>
      <c r="F13" t="inlineStr">
        <is>
          <t>B0943F6MR2</t>
        </is>
      </c>
      <c r="G13">
        <f>_xludf.IMAGE("https://www.shelhealth.com/cdn/shop/products/kirkland-signature-adult-multivitamin-gummies-320-count-shelhealth-590.jpg?v=1663337444&amp;width=1946")</f>
        <v/>
      </c>
      <c r="H13">
        <f>_xludf.IMAGE("https://m.media-amazon.com/images/I/81XuWlCVb4L._AC_UL320_.jpg")</f>
        <v/>
      </c>
      <c r="K13" t="inlineStr">
        <is>
          <t>18.99</t>
        </is>
      </c>
      <c r="L13" t="n">
        <v>22.68</v>
      </c>
      <c r="M13" s="1" t="inlineStr">
        <is>
          <t>19.43%</t>
        </is>
      </c>
      <c r="N13" s="3" t="n">
        <v>19.43</v>
      </c>
      <c r="O13" t="n">
        <v>4.3</v>
      </c>
      <c r="P13" t="n">
        <v>102</v>
      </c>
      <c r="R13" t="inlineStr">
        <is>
          <t>InStock</t>
        </is>
      </c>
      <c r="S13" t="inlineStr">
        <is>
          <t>18.99</t>
        </is>
      </c>
      <c r="T13" t="inlineStr">
        <is>
          <t>3773408149556</t>
        </is>
      </c>
    </row>
    <row r="14" hidden="1" ht="15.75" customHeight="1">
      <c r="A14" s="2">
        <f>HYPERLINK("https://www.shelhealth.com/products/vitafusion-womens-multivite-gummy-220-count", "https://www.shelhealth.com/products/vitafusion-womens-multivite-gummy-220-count")</f>
        <v/>
      </c>
      <c r="B14" s="2">
        <f>HYPERLINK("https://www.shelhealth.com/products/vitafusion-womens-multivite-gummy-220-count", "https://www.shelhealth.com/products/vitafusion-womens-multivite-gummy-220-count")</f>
        <v/>
      </c>
      <c r="C14" t="inlineStr">
        <is>
          <t>Vitafusion Women's Multivitamin Gummy 220 Count</t>
        </is>
      </c>
      <c r="D14" t="inlineStr">
        <is>
          <t>Vitafusion Women's Daily Multivitamin Gummy 220 ct (single unit)</t>
        </is>
      </c>
      <c r="E14" s="2">
        <f>HYPERLINK("https://www.amazon.com/Vitafusion-Womens-Daily-150ct-Multi/dp/B01IAIH358/ref=sr_1_1?keywords=Vitafusion+Womens+Multivitamin+Gummy+220+Count&amp;qid=1695169716&amp;sr=8-1", "https://www.amazon.com/Vitafusion-Womens-Daily-150ct-Multi/dp/B01IAIH358/ref=sr_1_1?keywords=Vitafusion+Womens+Multivitamin+Gummy+220+Count&amp;qid=1695169716&amp;sr=8-1")</f>
        <v/>
      </c>
      <c r="F14" t="inlineStr">
        <is>
          <t>B01IAIH358</t>
        </is>
      </c>
      <c r="G14">
        <f>_xludf.IMAGE("https://www.shelhealth.com/cdn/shop/products/vitafusion-womens-multivitamin-gummy-220-count-shelhealth-608.jpg?v=1663337701&amp;width=1946")</f>
        <v/>
      </c>
      <c r="H14">
        <f>_xludf.IMAGE("https://m.media-amazon.com/images/I/61kQcNPkrqL._AC_UL320_.jpg")</f>
        <v/>
      </c>
      <c r="K14" t="inlineStr">
        <is>
          <t>18.99</t>
        </is>
      </c>
      <c r="L14" t="n">
        <v>22.2</v>
      </c>
      <c r="M14" s="1" t="inlineStr">
        <is>
          <t>16.90%</t>
        </is>
      </c>
      <c r="N14" s="3" t="n">
        <v>16.9</v>
      </c>
      <c r="O14" t="n">
        <v>4.7</v>
      </c>
      <c r="P14" t="n">
        <v>1930</v>
      </c>
      <c r="R14" t="inlineStr">
        <is>
          <t>InStock</t>
        </is>
      </c>
      <c r="S14" t="inlineStr">
        <is>
          <t>18.99</t>
        </is>
      </c>
      <c r="T14" t="inlineStr">
        <is>
          <t>3778262040628</t>
        </is>
      </c>
    </row>
    <row r="15" hidden="1" ht="15.75" customHeight="1">
      <c r="A15" s="2">
        <f>HYPERLINK("https://www.shelhealth.com/products/nature-made-multi-for-her-tablets-300-ct-1", "https://www.shelhealth.com/products/nature-made-multi-for-her-tablets-300-ct-1")</f>
        <v/>
      </c>
      <c r="B15" s="2">
        <f>HYPERLINK("https://www.shelhealth.com/products/nature-made-multi-for-her-tablets-300-ct-1", "https://www.shelhealth.com/products/nature-made-multi-for-her-tablets-300-ct-1")</f>
        <v/>
      </c>
      <c r="C15" t="inlineStr">
        <is>
          <t>Nature Made Multi For Her Tablets, 300 ct.</t>
        </is>
      </c>
      <c r="D15" t="inlineStr">
        <is>
          <t>Nature Made, Multi Vitamins for Her with Iron and Calcium and 23 Key Nutrients to Support Women's Health (300 Tablets)</t>
        </is>
      </c>
      <c r="E15" s="2">
        <f>HYPERLINK("https://www.amazon.com/Nature-Made-Vitamins-Calcium-Nutrients/dp/B06ZZCCPHY/ref=sr_1_1?keywords=Nature+Made+Multi+For+Her+Tablets%2C+300+ct.&amp;qid=1695169724&amp;sr=8-1", "https://www.amazon.com/Nature-Made-Vitamins-Calcium-Nutrients/dp/B06ZZCCPHY/ref=sr_1_1?keywords=Nature+Made+Multi+For+Her+Tablets%2C+300+ct.&amp;qid=1695169724&amp;sr=8-1")</f>
        <v/>
      </c>
      <c r="F15" t="inlineStr">
        <is>
          <t>B06ZZCCPHY</t>
        </is>
      </c>
      <c r="G15">
        <f>_xludf.IMAGE("https://www.shelhealth.com/cdn/shop/products/nature-made-multi-for-her-tablets-300-ct-shelhealth-599.jpg?v=1663353486&amp;width=1946")</f>
        <v/>
      </c>
      <c r="H15">
        <f>_xludf.IMAGE("https://m.media-amazon.com/images/I/71ddvLKFxQL._AC_UL320_.jpg")</f>
        <v/>
      </c>
      <c r="K15" t="inlineStr">
        <is>
          <t>26.99</t>
        </is>
      </c>
      <c r="L15" t="n">
        <v>31.1</v>
      </c>
      <c r="M15" s="1" t="inlineStr">
        <is>
          <t>15.23%</t>
        </is>
      </c>
      <c r="N15" s="3" t="n">
        <v>15.23</v>
      </c>
      <c r="O15" t="n">
        <v>4.6</v>
      </c>
      <c r="P15" t="n">
        <v>313</v>
      </c>
      <c r="R15" t="inlineStr">
        <is>
          <t>InStock</t>
        </is>
      </c>
      <c r="S15" t="inlineStr">
        <is>
          <t>26.99</t>
        </is>
      </c>
      <c r="T15" t="inlineStr">
        <is>
          <t>4162245132340</t>
        </is>
      </c>
    </row>
    <row r="16" hidden="1" ht="15.75" customHeight="1">
      <c r="A16" s="2">
        <f>HYPERLINK("https://www.shelhealth.com/products/356163300953-emerita-pro-gest-natural-balancing-cream-2-oz", "https://www.shelhealth.com/products/356163300953-emerita-pro-gest-natural-balancing-cream-2-oz")</f>
        <v/>
      </c>
      <c r="B16" s="2">
        <f>HYPERLINK("https://www.shelhealth.com/products/356163300953-emerita-pro-gest-natural-balancing-cream-2-oz", "https://www.shelhealth.com/products/356163300953-emerita-pro-gest-natural-balancing-cream-2-oz")</f>
        <v/>
      </c>
      <c r="C16" t="inlineStr">
        <is>
          <t>Emerita Pro-Gest Natural Balancing Cream, 2 Oz</t>
        </is>
      </c>
      <c r="D16" t="inlineStr">
        <is>
          <t>Pro-Gest, Balancing Cream, Fragrance-Free, 4 oz (112 g), Emerita</t>
        </is>
      </c>
      <c r="E16" s="2">
        <f>HYPERLINK("https://www.amazon.com/Emerita-Progest-Paraben-Free-Value/dp/B0058ABZXI/ref=sr_1_2?keywords=Emerita+Pro-Gest+Natural+Balancing+Cream%2C+2+Oz&amp;qid=1695169721&amp;sr=8-2", "https://www.amazon.com/Emerita-Progest-Paraben-Free-Value/dp/B0058ABZXI/ref=sr_1_2?keywords=Emerita+Pro-Gest+Natural+Balancing+Cream%2C+2+Oz&amp;qid=1695169721&amp;sr=8-2")</f>
        <v/>
      </c>
      <c r="F16" t="inlineStr">
        <is>
          <t>B0058ABZXI</t>
        </is>
      </c>
      <c r="G16">
        <f>_xludf.IMAGE("https://www.shelhealth.com/cdn/shop/files/emerita-pro-gest-natural-balancing-cream-2-oz-dhea-pregnenolone-hormones-shelhealth-672.jpg?v=1693353872&amp;width=1946")</f>
        <v/>
      </c>
      <c r="H16">
        <f>_xludf.IMAGE("https://m.media-amazon.com/images/I/51wvFQHt1xL._AC_UL320_.jpg")</f>
        <v/>
      </c>
      <c r="K16" t="inlineStr">
        <is>
          <t>40.99</t>
        </is>
      </c>
      <c r="L16" t="n">
        <v>45.99</v>
      </c>
      <c r="M16" s="1" t="inlineStr">
        <is>
          <t>12.20%</t>
        </is>
      </c>
      <c r="N16" s="3" t="n">
        <v>12.2</v>
      </c>
      <c r="O16" t="n">
        <v>4.7</v>
      </c>
      <c r="P16" t="n">
        <v>578</v>
      </c>
      <c r="R16" t="inlineStr">
        <is>
          <t>OutOfStock</t>
        </is>
      </c>
      <c r="S16" t="inlineStr">
        <is>
          <t>40.99</t>
        </is>
      </c>
      <c r="T16" t="inlineStr">
        <is>
          <t>7241614295228</t>
        </is>
      </c>
    </row>
    <row r="17" hidden="1" ht="15.75" customHeight="1">
      <c r="A17" s="2">
        <f>HYPERLINK("https://www.shelhealth.com/products/one-a-day-multi-gummies-women-230-count", "https://www.shelhealth.com/products/one-a-day-multi-gummies-women-230-count")</f>
        <v/>
      </c>
      <c r="B17" s="2">
        <f>HYPERLINK("https://www.shelhealth.com/products/one-a-day-multi-gummies-women-230-count", "https://www.shelhealth.com/products/one-a-day-multi-gummies-women-230-count")</f>
        <v/>
      </c>
      <c r="C17" t="inlineStr">
        <is>
          <t>One A Day Multi Gummies, Women, 230 Count</t>
        </is>
      </c>
      <c r="D17" t="inlineStr">
        <is>
          <t>ONE A DAY Multi Gummies, Women, 230 Count</t>
        </is>
      </c>
      <c r="E17" s="2">
        <f>HYPERLINK("https://www.amazon.com/One-Multi-Gummies-Women-Count/dp/B00K52MC0Y/ref=sr_1_1?keywords=One+A+Day+Multi+Gummies%2C+Women%2C+230+Count&amp;qid=1695169716&amp;sr=8-1", "https://www.amazon.com/One-Multi-Gummies-Women-Count/dp/B00K52MC0Y/ref=sr_1_1?keywords=One+A+Day+Multi+Gummies%2C+Women%2C+230+Count&amp;qid=1695169716&amp;sr=8-1")</f>
        <v/>
      </c>
      <c r="F17" t="inlineStr">
        <is>
          <t>B00K52MC0Y</t>
        </is>
      </c>
      <c r="G17">
        <f>_xludf.IMAGE("https://www.shelhealth.com/cdn/shop/products/one-a-day-multi-gummies-women-230-count-shelhealth-125.jpg?v=1663351547&amp;width=1946")</f>
        <v/>
      </c>
      <c r="H17">
        <f>_xludf.IMAGE("https://m.media-amazon.com/images/I/81EOc-1fSJL._AC_UL320_.jpg")</f>
        <v/>
      </c>
      <c r="K17" t="inlineStr">
        <is>
          <t>23.99</t>
        </is>
      </c>
      <c r="L17" t="n">
        <v>25.99</v>
      </c>
      <c r="M17" s="1" t="inlineStr">
        <is>
          <t>8.34%</t>
        </is>
      </c>
      <c r="N17" s="3" t="n">
        <v>8.34</v>
      </c>
      <c r="O17" t="n">
        <v>4.6</v>
      </c>
      <c r="P17" t="n">
        <v>1437</v>
      </c>
      <c r="R17" t="inlineStr">
        <is>
          <t>InStock</t>
        </is>
      </c>
      <c r="S17" t="inlineStr">
        <is>
          <t>23.99</t>
        </is>
      </c>
      <c r="T17" t="inlineStr">
        <is>
          <t>4111459385396</t>
        </is>
      </c>
    </row>
    <row r="18" hidden="1" ht="15.75" customHeight="1">
      <c r="A18" s="2">
        <f>HYPERLINK("https://www.shelhealth.com/products/centrum-silver-women-multivitamin-275-tablet", "https://www.shelhealth.com/products/centrum-silver-women-multivitamin-275-tablet")</f>
        <v/>
      </c>
      <c r="B18" s="2">
        <f>HYPERLINK("https://www.shelhealth.com/products/centrum-silver-women-multivitamin-275-tablet", "https://www.shelhealth.com/products/centrum-silver-women-multivitamin-275-tablet")</f>
        <v/>
      </c>
      <c r="C18" t="inlineStr">
        <is>
          <t>Centrum Silver Women Multivitamin - 275 Tablet</t>
        </is>
      </c>
      <c r="D18" t="inlineStr">
        <is>
          <t>Kilti Centrum Silver Women 50+, Gluten Free, Non-GMO Ingredients - Multivitamin/Multimineral Supplement with Vitamin D3, B Vitamins, Calcium and Antioxidants, 275 Tablets</t>
        </is>
      </c>
      <c r="E18" s="2">
        <f>HYPERLINK("https://www.amazon.com/Kilti-Centrum-Silver-Non-GMO-Ingredients/dp/B0C9F5X31J/ref=sr_1_5?keywords=Centrum+Silver+Women+Multivitamin+-+275+Tablet&amp;qid=1695169718&amp;sr=8-5", "https://www.amazon.com/Kilti-Centrum-Silver-Non-GMO-Ingredients/dp/B0C9F5X31J/ref=sr_1_5?keywords=Centrum+Silver+Women+Multivitamin+-+275+Tablet&amp;qid=1695169718&amp;sr=8-5")</f>
        <v/>
      </c>
      <c r="F18" t="inlineStr">
        <is>
          <t>B0C9F5X31J</t>
        </is>
      </c>
      <c r="G18">
        <f>_xludf.IMAGE("https://www.shelhealth.com/cdn/shop/products/centrum-silver-women-multivitamin-275-tablet-shelhealth-162.jpg?v=1663338009&amp;width=1946")</f>
        <v/>
      </c>
      <c r="H18">
        <f>_xludf.IMAGE("https://m.media-amazon.com/images/I/51tIg041R+L._AC_UL320_.jpg")</f>
        <v/>
      </c>
      <c r="K18" t="inlineStr">
        <is>
          <t>29.99</t>
        </is>
      </c>
      <c r="L18" t="n">
        <v>31.95</v>
      </c>
      <c r="M18" s="1" t="inlineStr">
        <is>
          <t>6.54%</t>
        </is>
      </c>
      <c r="N18" s="3" t="n">
        <v>6.54</v>
      </c>
      <c r="O18" t="n">
        <v>5</v>
      </c>
      <c r="P18" t="n">
        <v>1</v>
      </c>
      <c r="R18" t="inlineStr">
        <is>
          <t>InStock</t>
        </is>
      </c>
      <c r="S18" t="inlineStr">
        <is>
          <t>29.99</t>
        </is>
      </c>
      <c r="T18" t="inlineStr">
        <is>
          <t>3783142211636</t>
        </is>
      </c>
    </row>
    <row r="19" hidden="1" ht="15.75" customHeight="1">
      <c r="A19" s="2">
        <f>HYPERLINK("https://www.shelhealth.com/products/vitafusion-womens-multivite-gummy-220-count", "https://www.shelhealth.com/products/vitafusion-womens-multivite-gummy-220-count")</f>
        <v/>
      </c>
      <c r="B19" s="2">
        <f>HYPERLINK("https://www.shelhealth.com/products/vitafusion-womens-multivite-gummy-220-count", "https://www.shelhealth.com/products/vitafusion-womens-multivite-gummy-220-count")</f>
        <v/>
      </c>
      <c r="C19" t="inlineStr">
        <is>
          <t>Vitafusion Women's Multivitamin Gummy 220 Count</t>
        </is>
      </c>
      <c r="D19" t="inlineStr">
        <is>
          <t>Vitafusion Women's Multivite Gummy 220 Count</t>
        </is>
      </c>
      <c r="E19" s="2">
        <f>HYPERLINK("https://www.amazon.com/Vitafusion-Womens-Multivite-Gummy-Count/dp/B00Y98QKXA/ref=sr_1_2?keywords=Vitafusion+Womens+Multivitamin+Gummy+220+Count&amp;qid=1695169716&amp;sr=8-2", "https://www.amazon.com/Vitafusion-Womens-Multivite-Gummy-Count/dp/B00Y98QKXA/ref=sr_1_2?keywords=Vitafusion+Womens+Multivitamin+Gummy+220+Count&amp;qid=1695169716&amp;sr=8-2")</f>
        <v/>
      </c>
      <c r="F19" t="inlineStr">
        <is>
          <t>B00Y98QKXA</t>
        </is>
      </c>
      <c r="G19">
        <f>_xludf.IMAGE("https://www.shelhealth.com/cdn/shop/products/vitafusion-womens-multivitamin-gummy-220-count-shelhealth-608.jpg?v=1663337701&amp;width=1946")</f>
        <v/>
      </c>
      <c r="H19">
        <f>_xludf.IMAGE("https://m.media-amazon.com/images/I/71v05bkCtfL._AC_UL320_.jpg")</f>
        <v/>
      </c>
      <c r="K19" t="inlineStr">
        <is>
          <t>18.99</t>
        </is>
      </c>
      <c r="L19" t="n">
        <v>19.95</v>
      </c>
      <c r="M19" s="1" t="inlineStr">
        <is>
          <t>5.06%</t>
        </is>
      </c>
      <c r="N19" s="3" t="n">
        <v>5.06</v>
      </c>
      <c r="O19" t="n">
        <v>4.7</v>
      </c>
      <c r="P19" t="n">
        <v>1114</v>
      </c>
      <c r="R19" t="inlineStr">
        <is>
          <t>InStock</t>
        </is>
      </c>
      <c r="S19" t="inlineStr">
        <is>
          <t>18.99</t>
        </is>
      </c>
      <c r="T19" t="inlineStr">
        <is>
          <t>3778262040628</t>
        </is>
      </c>
    </row>
    <row r="20" hidden="1" ht="15.75" customHeight="1">
      <c r="A20" s="2">
        <f>HYPERLINK("https://www.shelhealth.com/products/centrum-silver-women-multivitamin-275-tablet", "https://www.shelhealth.com/products/centrum-silver-women-multivitamin-275-tablet")</f>
        <v/>
      </c>
      <c r="B20" s="2">
        <f>HYPERLINK("https://www.shelhealth.com/products/centrum-silver-women-multivitamin-275-tablet", "https://www.shelhealth.com/products/centrum-silver-women-multivitamin-275-tablet")</f>
        <v/>
      </c>
      <c r="C20" t="inlineStr">
        <is>
          <t>Centrum Silver Women Multivitamin - 275 Tablet</t>
        </is>
      </c>
      <c r="D20" t="inlineStr">
        <is>
          <t>Centrum Silver Women 50 Plus Multivitamin Multimineral Supplement Non-GMO, 275 Tablets with Higher Vitamin c and zinc.</t>
        </is>
      </c>
      <c r="E20" s="2">
        <f>HYPERLINK("https://www.amazon.com/Centrum-Silver-Multivitamin-Tablets-Vitamin/dp/B010OV26YW/ref=sr_1_2?keywords=Centrum+Silver+Women+Multivitamin+-+275+Tablet&amp;qid=1695169718&amp;sr=8-2", "https://www.amazon.com/Centrum-Silver-Multivitamin-Tablets-Vitamin/dp/B010OV26YW/ref=sr_1_2?keywords=Centrum+Silver+Women+Multivitamin+-+275+Tablet&amp;qid=1695169718&amp;sr=8-2")</f>
        <v/>
      </c>
      <c r="F20" t="inlineStr">
        <is>
          <t>B010OV26YW</t>
        </is>
      </c>
      <c r="G20">
        <f>_xludf.IMAGE("https://www.shelhealth.com/cdn/shop/products/centrum-silver-women-multivitamin-275-tablet-shelhealth-162.jpg?v=1663338009&amp;width=1946")</f>
        <v/>
      </c>
      <c r="H20">
        <f>_xludf.IMAGE("https://m.media-amazon.com/images/I/51XJUUTbJTL._AC_UL320_.jpg")</f>
        <v/>
      </c>
      <c r="K20" t="inlineStr">
        <is>
          <t>29.99</t>
        </is>
      </c>
      <c r="L20" t="n">
        <v>29.95</v>
      </c>
      <c r="M20" s="1" t="inlineStr">
        <is>
          <t>-0.13%</t>
        </is>
      </c>
      <c r="N20" s="3" t="n">
        <v>-0.13</v>
      </c>
      <c r="O20" t="n">
        <v>5</v>
      </c>
      <c r="P20" t="n">
        <v>4</v>
      </c>
      <c r="R20" t="inlineStr">
        <is>
          <t>InStock</t>
        </is>
      </c>
      <c r="S20" t="inlineStr">
        <is>
          <t>29.99</t>
        </is>
      </c>
      <c r="T20" t="inlineStr">
        <is>
          <t>3783142211636</t>
        </is>
      </c>
    </row>
    <row r="21" hidden="1" ht="15.75" customHeight="1">
      <c r="A21" s="2">
        <f>HYPERLINK("https://www.shelhealth.com/products/centrum-adults-multivitamin-multimineral-supplement-425-tablets", "https://www.shelhealth.com/products/centrum-adults-multivitamin-multimineral-supplement-425-tablets")</f>
        <v/>
      </c>
      <c r="B21" s="2">
        <f>HYPERLINK("https://www.shelhealth.com/products/centrum-adults-multivitamin-multimineral-supplement-425-tablets", "https://www.shelhealth.com/products/centrum-adults-multivitamin-multimineral-supplement-425-tablets")</f>
        <v/>
      </c>
      <c r="C21" t="inlineStr">
        <is>
          <t>Centrum Adults Multivitamin Multimineral Supplement: 425 Tablets</t>
        </is>
      </c>
      <c r="D21" t="inlineStr">
        <is>
          <t>Centrum - Multivitamin/Multimineral Supplement for Adults 425 (365+60) Tablets</t>
        </is>
      </c>
      <c r="E21" s="2">
        <f>HYPERLINK("https://www.amazon.com/Centrum-Multivitamin-Multimineral-Supplement-Tablets/dp/B09L6XQS37/ref=sr_1_1?keywords=Centrum+Adults+Multivitamin+Multimineral+Supplement%3A+425+Tablets&amp;qid=1695169716&amp;sr=8-1", "https://www.amazon.com/Centrum-Multivitamin-Multimineral-Supplement-Tablets/dp/B09L6XQS37/ref=sr_1_1?keywords=Centrum+Adults+Multivitamin+Multimineral+Supplement%3A+425+Tablets&amp;qid=1695169716&amp;sr=8-1")</f>
        <v/>
      </c>
      <c r="F21" t="inlineStr">
        <is>
          <t>B09L6XQS37</t>
        </is>
      </c>
      <c r="G21">
        <f>_xludf.IMAGE("https://www.shelhealth.com/cdn/shop/products/centrum-adults-multivitamin-multimineral-supplement-425-tablets-shelhealth-933.jpg?v=1663337983&amp;width=1946")</f>
        <v/>
      </c>
      <c r="H21">
        <f>_xludf.IMAGE("https://m.media-amazon.com/images/I/61ie3NI8OgL._AC_UL320_.jpg")</f>
        <v/>
      </c>
      <c r="K21" t="inlineStr">
        <is>
          <t>28.99</t>
        </is>
      </c>
      <c r="L21" t="n">
        <v>27.99</v>
      </c>
      <c r="M21" s="1" t="inlineStr">
        <is>
          <t>-3.45%</t>
        </is>
      </c>
      <c r="N21" s="3" t="n">
        <v>-3.45</v>
      </c>
      <c r="O21" t="n">
        <v>4.5</v>
      </c>
      <c r="P21" t="n">
        <v>2769</v>
      </c>
      <c r="R21" t="inlineStr">
        <is>
          <t>InStock</t>
        </is>
      </c>
      <c r="S21" t="inlineStr">
        <is>
          <t>28.99</t>
        </is>
      </c>
      <c r="T21" t="inlineStr">
        <is>
          <t>3782023905332</t>
        </is>
      </c>
    </row>
    <row r="22" hidden="1" ht="15.75" customHeight="1">
      <c r="A22" s="2">
        <f>HYPERLINK("https://www.shelhealth.com/products/nature-made-multi-for-her-tablets-300-ct-1", "https://www.shelhealth.com/products/nature-made-multi-for-her-tablets-300-ct-1")</f>
        <v/>
      </c>
      <c r="B22" s="2">
        <f>HYPERLINK("https://www.shelhealth.com/products/nature-made-multi-for-her-tablets-300-ct-1", "https://www.shelhealth.com/products/nature-made-multi-for-her-tablets-300-ct-1")</f>
        <v/>
      </c>
      <c r="C22" t="inlineStr">
        <is>
          <t>Nature Made Multi For Her Tablets, 300 ct.</t>
        </is>
      </c>
      <c r="D22" t="inlineStr">
        <is>
          <t>Nature Made Women's Multivitamin Tablets, 300 Count for Daily Nutritional Support</t>
        </is>
      </c>
      <c r="E22" s="2">
        <f>HYPERLINK("https://www.amazon.com/Nature-Made-Multi-Her-Tablets/dp/B002ZWZJG6/ref=sr_1_2?keywords=Nature+Made+Multi+For+Her+Tablets%2C+300+ct.&amp;qid=1695169724&amp;sr=8-2", "https://www.amazon.com/Nature-Made-Multi-Her-Tablets/dp/B002ZWZJG6/ref=sr_1_2?keywords=Nature+Made+Multi+For+Her+Tablets%2C+300+ct.&amp;qid=1695169724&amp;sr=8-2")</f>
        <v/>
      </c>
      <c r="F22" t="inlineStr">
        <is>
          <t>B002ZWZJG6</t>
        </is>
      </c>
      <c r="G22">
        <f>_xludf.IMAGE("https://www.shelhealth.com/cdn/shop/products/nature-made-multi-for-her-tablets-300-ct-shelhealth-599.jpg?v=1663353486&amp;width=1946")</f>
        <v/>
      </c>
      <c r="H22">
        <f>_xludf.IMAGE("https://m.media-amazon.com/images/I/71PrBn5VQOL._AC_UL320_.jpg")</f>
        <v/>
      </c>
      <c r="K22" t="inlineStr">
        <is>
          <t>26.99</t>
        </is>
      </c>
      <c r="L22" t="n">
        <v>24.97</v>
      </c>
      <c r="M22" s="1" t="inlineStr">
        <is>
          <t>-7.48%</t>
        </is>
      </c>
      <c r="N22" s="3" t="n">
        <v>-7.48</v>
      </c>
      <c r="O22" t="n">
        <v>4.6</v>
      </c>
      <c r="P22" t="n">
        <v>12393</v>
      </c>
      <c r="R22" t="inlineStr">
        <is>
          <t>InStock</t>
        </is>
      </c>
      <c r="S22" t="inlineStr">
        <is>
          <t>26.99</t>
        </is>
      </c>
      <c r="T22" t="inlineStr">
        <is>
          <t>4162245132340</t>
        </is>
      </c>
    </row>
    <row r="23" hidden="1" ht="15.75" customHeight="1">
      <c r="A23" s="2">
        <f>HYPERLINK("https://www.shelhealth.com/products/centrum-silver-women-multivitamin-275-tablet", "https://www.shelhealth.com/products/centrum-silver-women-multivitamin-275-tablet")</f>
        <v/>
      </c>
      <c r="B23" s="2">
        <f>HYPERLINK("https://www.shelhealth.com/products/centrum-silver-women-multivitamin-275-tablet", "https://www.shelhealth.com/products/centrum-silver-women-multivitamin-275-tablet")</f>
        <v/>
      </c>
      <c r="C23" t="inlineStr">
        <is>
          <t>Centrum Silver Women Multivitamin - 275 Tablet</t>
        </is>
      </c>
      <c r="D23" t="inlineStr">
        <is>
          <t>Centrum Silver Women 50+ Multivitamin, 275 Tablets</t>
        </is>
      </c>
      <c r="E23" s="2">
        <f>HYPERLINK("https://www.amazon.com/Centrum-Silver-Women-Multivitamin-Tablets/dp/B0BY58QZR2/ref=sr_1_1?keywords=Centrum+Silver+Women+Multivitamin+-+275+Tablet&amp;qid=1695169718&amp;sr=8-1", "https://www.amazon.com/Centrum-Silver-Women-Multivitamin-Tablets/dp/B0BY58QZR2/ref=sr_1_1?keywords=Centrum+Silver+Women+Multivitamin+-+275+Tablet&amp;qid=1695169718&amp;sr=8-1")</f>
        <v/>
      </c>
      <c r="F23" t="inlineStr">
        <is>
          <t>B0BY58QZR2</t>
        </is>
      </c>
      <c r="G23">
        <f>_xludf.IMAGE("https://www.shelhealth.com/cdn/shop/products/centrum-silver-women-multivitamin-275-tablet-shelhealth-162.jpg?v=1663338009&amp;width=1946")</f>
        <v/>
      </c>
      <c r="H23">
        <f>_xludf.IMAGE("https://m.media-amazon.com/images/I/61YCNerQBrL._AC_UL320_.jpg")</f>
        <v/>
      </c>
      <c r="K23" t="inlineStr">
        <is>
          <t>29.99</t>
        </is>
      </c>
      <c r="L23" t="n">
        <v>27.5</v>
      </c>
      <c r="M23" s="1" t="inlineStr">
        <is>
          <t>-8.30%</t>
        </is>
      </c>
      <c r="N23" s="3" t="n">
        <v>-8.300000000000001</v>
      </c>
      <c r="O23" t="n">
        <v>5</v>
      </c>
      <c r="P23" t="n">
        <v>4</v>
      </c>
      <c r="R23" t="inlineStr">
        <is>
          <t>InStock</t>
        </is>
      </c>
      <c r="S23" t="inlineStr">
        <is>
          <t>29.99</t>
        </is>
      </c>
      <c r="T23" t="inlineStr">
        <is>
          <t>3783142211636</t>
        </is>
      </c>
    </row>
    <row r="24" hidden="1" ht="15.75" customHeight="1">
      <c r="A24" s="2">
        <f>HYPERLINK("https://www.shelhealth.com/products/nature-made-prenatal-dha-200-mg-multivitamin-softgels-150-ct", "https://www.shelhealth.com/products/nature-made-prenatal-dha-200-mg-multivitamin-softgels-150-ct")</f>
        <v/>
      </c>
      <c r="B24" s="2">
        <f>HYPERLINK("https://www.shelhealth.com/products/nature-made-prenatal-dha-200-mg-multivitamin-softgels-150-ct", "https://www.shelhealth.com/products/nature-made-prenatal-dha-200-mg-multivitamin-softgels-150-ct")</f>
        <v/>
      </c>
      <c r="C24" t="inlineStr">
        <is>
          <t>Nature Made Prenatal + DHA 200 mg Multivitamin Softgels, 150 Ct</t>
        </is>
      </c>
      <c r="D24" t="inlineStr">
        <is>
          <t>Nature Made Prenatal + DHA 200 mg Multivitamin Softgels 60 Ct</t>
        </is>
      </c>
      <c r="E24" s="2">
        <f>HYPERLINK("https://www.amazon.com/Nature-Made-Prenatal-Multivitamin-Softgels/dp/B003PGJLSI/ref=sr_1_2?keywords=Nature+Made+Prenatal+DHA+200+mg+Multivitamin+Softgels%2C+150+Ct&amp;qid=1695169716&amp;sr=8-2", "https://www.amazon.com/Nature-Made-Prenatal-Multivitamin-Softgels/dp/B003PGJLSI/ref=sr_1_2?keywords=Nature+Made+Prenatal+DHA+200+mg+Multivitamin+Softgels%2C+150+Ct&amp;qid=1695169716&amp;sr=8-2")</f>
        <v/>
      </c>
      <c r="F24" t="inlineStr">
        <is>
          <t>B003PGJLSI</t>
        </is>
      </c>
      <c r="G24">
        <f>_xludf.IMAGE("https://www.shelhealth.com/cdn/shop/products/nature-made-prenatal-dha-200-mg-multivitamin-softgels-150-ct-shelhealth-805.jpg?v=1663337863&amp;width=1946")</f>
        <v/>
      </c>
      <c r="H24">
        <f>_xludf.IMAGE("https://m.media-amazon.com/images/I/31M5hW0qdeL._AC_UL320_.jpg")</f>
        <v/>
      </c>
      <c r="K24" t="inlineStr">
        <is>
          <t>28.99</t>
        </is>
      </c>
      <c r="L24" t="n">
        <v>26.4</v>
      </c>
      <c r="M24" s="1" t="inlineStr">
        <is>
          <t>-8.93%</t>
        </is>
      </c>
      <c r="N24" s="3" t="n">
        <v>-8.93</v>
      </c>
      <c r="O24" t="n">
        <v>4</v>
      </c>
      <c r="P24" t="n">
        <v>25</v>
      </c>
      <c r="R24" t="inlineStr">
        <is>
          <t>InStock</t>
        </is>
      </c>
      <c r="S24" t="inlineStr">
        <is>
          <t>28.99</t>
        </is>
      </c>
      <c r="T24" t="inlineStr">
        <is>
          <t>3780238704692</t>
        </is>
      </c>
    </row>
    <row r="25" hidden="1" ht="15.75" customHeight="1">
      <c r="A25" s="2">
        <f>HYPERLINK("https://www.shelhealth.com/products/alive-womens-multi-vitamin-200-tablets", "https://www.shelhealth.com/products/alive-womens-multi-vitamin-200-tablets")</f>
        <v/>
      </c>
      <c r="B25" s="2">
        <f>HYPERLINK("https://www.shelhealth.com/products/alive-womens-multi-vitamin-200-tablets", "https://www.shelhealth.com/products/alive-womens-multi-vitamin-200-tablets")</f>
        <v/>
      </c>
      <c r="C25" t="inlineStr">
        <is>
          <t>Alive! Women's Multivitamin 200 Tablets</t>
        </is>
      </c>
      <c r="D25" t="inlineStr">
        <is>
          <t>Nature's Way Alive! Women's Ultra Potency Complete Multivitamin, High Potency B-Vitamins for Women, Energy Metabolism*, 150 Tablets</t>
        </is>
      </c>
      <c r="E25" s="2">
        <f>HYPERLINK("https://www.amazon.com/Natures-Way-Complete-Multivitamin-B-Vitamins/dp/B08NZTF6T8/ref=sr_1_5?keywords=Alive%21+Womens+Multivitamin+200+Tablets&amp;qid=1695169717&amp;rdc=1&amp;sr=8-5", "https://www.amazon.com/Natures-Way-Complete-Multivitamin-B-Vitamins/dp/B08NZTF6T8/ref=sr_1_5?keywords=Alive%21+Womens+Multivitamin+200+Tablets&amp;qid=1695169717&amp;rdc=1&amp;sr=8-5")</f>
        <v/>
      </c>
      <c r="F25" t="inlineStr">
        <is>
          <t>B08NZTF6T8</t>
        </is>
      </c>
      <c r="G25">
        <f>_xludf.IMAGE("https://www.shelhealth.com/cdn/shop/products/alive-womens-multivitamin-200-tablets-shelhealth-834.jpg?v=1663373583&amp;width=1946")</f>
        <v/>
      </c>
      <c r="H25">
        <f>_xludf.IMAGE("https://m.media-amazon.com/images/I/61slGwxRm9L._AC_UL320_.jpg")</f>
        <v/>
      </c>
      <c r="K25" t="inlineStr">
        <is>
          <t>36.99</t>
        </is>
      </c>
      <c r="L25" t="n">
        <v>33.23</v>
      </c>
      <c r="M25" s="1" t="inlineStr">
        <is>
          <t>-10.16%</t>
        </is>
      </c>
      <c r="N25" s="3" t="n">
        <v>-10.16</v>
      </c>
      <c r="O25" t="n">
        <v>4.6</v>
      </c>
      <c r="P25" t="n">
        <v>12672</v>
      </c>
      <c r="R25" t="inlineStr">
        <is>
          <t>OutOfStock</t>
        </is>
      </c>
      <c r="S25" t="inlineStr">
        <is>
          <t>36.99</t>
        </is>
      </c>
      <c r="T25" t="inlineStr">
        <is>
          <t>4707669213273</t>
        </is>
      </c>
    </row>
    <row r="26" hidden="1" ht="15.75" customHeight="1">
      <c r="A26" s="2">
        <f>HYPERLINK("https://www.shelhealth.com/products/centrum-adults-multivitamin-multimineral-supplement-425-tablets", "https://www.shelhealth.com/products/centrum-adults-multivitamin-multimineral-supplement-425-tablets")</f>
        <v/>
      </c>
      <c r="B26" s="2">
        <f>HYPERLINK("https://www.shelhealth.com/products/centrum-adults-multivitamin-multimineral-supplement-425-tablets", "https://www.shelhealth.com/products/centrum-adults-multivitamin-multimineral-supplement-425-tablets")</f>
        <v/>
      </c>
      <c r="C26" t="inlineStr">
        <is>
          <t>Centrum Adults Multivitamin Multimineral Supplement: 425 Tablets</t>
        </is>
      </c>
      <c r="D26" t="inlineStr">
        <is>
          <t>VANBAR Centrum Adults Multivitamin, 425 Tablets</t>
        </is>
      </c>
      <c r="E26" s="2">
        <f>HYPERLINK("https://www.amazon.com/Centrum-Tablets-Vitamin-Complete-Thailand/dp/B0145KR6S4/ref=sr_1_7?keywords=Centrum+Adults+Multivitamin+Multimineral+Supplement%3A+425+Tablets&amp;qid=1695169716&amp;sr=8-7", "https://www.amazon.com/Centrum-Tablets-Vitamin-Complete-Thailand/dp/B0145KR6S4/ref=sr_1_7?keywords=Centrum+Adults+Multivitamin+Multimineral+Supplement%3A+425+Tablets&amp;qid=1695169716&amp;sr=8-7")</f>
        <v/>
      </c>
      <c r="F26" t="inlineStr">
        <is>
          <t>B0145KR6S4</t>
        </is>
      </c>
      <c r="G26">
        <f>_xludf.IMAGE("https://www.shelhealth.com/cdn/shop/products/centrum-adults-multivitamin-multimineral-supplement-425-tablets-shelhealth-933.jpg?v=1663337983&amp;width=1946")</f>
        <v/>
      </c>
      <c r="H26">
        <f>_xludf.IMAGE("https://m.media-amazon.com/images/I/51DPM3aJWWL._AC_UL320_.jpg")</f>
        <v/>
      </c>
      <c r="K26" t="inlineStr">
        <is>
          <t>28.99</t>
        </is>
      </c>
      <c r="L26" t="n">
        <v>24.87</v>
      </c>
      <c r="M26" s="1" t="inlineStr">
        <is>
          <t>-14.21%</t>
        </is>
      </c>
      <c r="N26" s="3" t="n">
        <v>-14.21</v>
      </c>
      <c r="O26" t="n">
        <v>4.7</v>
      </c>
      <c r="P26" t="n">
        <v>1267</v>
      </c>
      <c r="R26" t="inlineStr">
        <is>
          <t>InStock</t>
        </is>
      </c>
      <c r="S26" t="inlineStr">
        <is>
          <t>28.99</t>
        </is>
      </c>
      <c r="T26" t="inlineStr">
        <is>
          <t>3782023905332</t>
        </is>
      </c>
    </row>
    <row r="27" hidden="1" ht="15.75" customHeight="1">
      <c r="A27" s="2">
        <f>HYPERLINK("https://www.shelhealth.com/products/natrol-juicefestiv-fruit-veggie", "https://www.shelhealth.com/products/natrol-juicefestiv-fruit-veggie")</f>
        <v/>
      </c>
      <c r="B27" s="2">
        <f>HYPERLINK("https://www.shelhealth.com/products/natrol-juicefestiv-fruit-veggie", "https://www.shelhealth.com/products/natrol-juicefestiv-fruit-veggie")</f>
        <v/>
      </c>
      <c r="C27" t="inlineStr">
        <is>
          <t>Natrol JuiceFestiv Daily Fruit &amp; Veggie, 240 Capsules</t>
        </is>
      </c>
      <c r="D27" t="inlineStr">
        <is>
          <t>Natrol Juicefestiv Daily Fruits &amp; Veggies Capsules, with SelenoExcell, 46 Fruits, Vegetables, Grains &amp; Greens, 45 Servings, Improves Metabolism, Boosts Energy &amp; Well-Being, 180 ct (Two 90 ct Bottles)</t>
        </is>
      </c>
      <c r="E27" s="2">
        <f>HYPERLINK("https://www.amazon.com/Natrol-Juicefestiv-Veggies-Capsules-SelenoExcell/dp/B09JHYFLL7/ref=sr_1_2?keywords=Natrol+JuiceFestiv+Daily+Fruit&amp;qid=1695169716&amp;sr=8-2", "https://www.amazon.com/Natrol-Juicefestiv-Veggies-Capsules-SelenoExcell/dp/B09JHYFLL7/ref=sr_1_2?keywords=Natrol+JuiceFestiv+Daily+Fruit&amp;qid=1695169716&amp;sr=8-2")</f>
        <v/>
      </c>
      <c r="F27" t="inlineStr">
        <is>
          <t>B09JHYFLL7</t>
        </is>
      </c>
      <c r="G27">
        <f>_xludf.IMAGE("https://www.shelhealth.com/cdn/shop/products/natrol-juicefestiv-daily-fruit-veggie-240-capsules-shelhealth-718.jpg?v=1663372333&amp;width=1946")</f>
        <v/>
      </c>
      <c r="H27">
        <f>_xludf.IMAGE("https://m.media-amazon.com/images/I/71+J6z3YnaL._AC_UL320_.jpg")</f>
        <v/>
      </c>
      <c r="K27" t="inlineStr">
        <is>
          <t>36.99</t>
        </is>
      </c>
      <c r="L27" t="n">
        <v>29.52</v>
      </c>
      <c r="M27" s="1" t="inlineStr">
        <is>
          <t>-20.19%</t>
        </is>
      </c>
      <c r="N27" s="3" t="n">
        <v>-20.19</v>
      </c>
      <c r="O27" t="n">
        <v>4.5</v>
      </c>
      <c r="P27" t="n">
        <v>6054</v>
      </c>
      <c r="R27" t="inlineStr">
        <is>
          <t>InStock</t>
        </is>
      </c>
      <c r="S27" t="inlineStr">
        <is>
          <t>36.99</t>
        </is>
      </c>
      <c r="T27" t="inlineStr">
        <is>
          <t>4690745917529</t>
        </is>
      </c>
    </row>
    <row r="28" hidden="1" ht="15.75" customHeight="1">
      <c r="A28" s="2">
        <f>HYPERLINK("https://www.shelhealth.com/products/smartypants-womens-complete-daily-gummy-vitamins-240-count", "https://www.shelhealth.com/products/smartypants-womens-complete-daily-gummy-vitamins-240-count")</f>
        <v/>
      </c>
      <c r="B28" s="2">
        <f>HYPERLINK("https://www.shelhealth.com/products/smartypants-womens-complete-daily-gummy-vitamins-240-count", "https://www.shelhealth.com/products/smartypants-womens-complete-daily-gummy-vitamins-240-count")</f>
        <v/>
      </c>
      <c r="C28" t="inlineStr">
        <is>
          <t>SmartyPants Women's Complete Daily Gummy Vitamins, 240 Count</t>
        </is>
      </c>
      <c r="D28" t="inlineStr">
        <is>
          <t>SmartyPants Kids Complete Daily Gummy Vitamins, Gluten Free, Multivitamin &amp; Omega 3 Fish OilDHA/EPA Fatty Acids (180 Count)</t>
        </is>
      </c>
      <c r="E28" s="2">
        <f>HYPERLINK("https://www.amazon.com/SmartyPants-Complete-Gummy-Vitamins-Multivitamin/dp/B07H228KM4/ref=sr_1_7?keywords=SmartyPants+Women%27s+Complete+Daily+Gummy+Vitamins%2C+240+Count&amp;qid=1695169719&amp;sr=8-7", "https://www.amazon.com/SmartyPants-Complete-Gummy-Vitamins-Multivitamin/dp/B07H228KM4/ref=sr_1_7?keywords=SmartyPants+Women%27s+Complete+Daily+Gummy+Vitamins%2C+240+Count&amp;qid=1695169719&amp;sr=8-7")</f>
        <v/>
      </c>
      <c r="F28" t="inlineStr">
        <is>
          <t>B07H228KM4</t>
        </is>
      </c>
      <c r="G28">
        <f>_xludf.IMAGE("https://www.shelhealth.com/cdn/shop/products/smartypants-womens-complete-daily-gummy-vitamins-240-count-shelhealth-296.jpg?v=1663337817&amp;width=1946")</f>
        <v/>
      </c>
      <c r="H28">
        <f>_xludf.IMAGE("https://m.media-amazon.com/images/I/71jpOfL135L._AC_UL320_.jpg")</f>
        <v/>
      </c>
      <c r="K28" t="inlineStr">
        <is>
          <t>38.99</t>
        </is>
      </c>
      <c r="L28" t="n">
        <v>30.49</v>
      </c>
      <c r="M28" s="1" t="inlineStr">
        <is>
          <t>-21.80%</t>
        </is>
      </c>
      <c r="N28" s="3" t="n">
        <v>-21.8</v>
      </c>
      <c r="O28" t="n">
        <v>4.6</v>
      </c>
      <c r="P28" t="n">
        <v>46</v>
      </c>
      <c r="R28" t="inlineStr">
        <is>
          <t>InStock</t>
        </is>
      </c>
      <c r="S28" t="inlineStr">
        <is>
          <t>38.99</t>
        </is>
      </c>
      <c r="T28" t="inlineStr">
        <is>
          <t>3778747760692</t>
        </is>
      </c>
    </row>
    <row r="29" hidden="1" ht="15.75" customHeight="1">
      <c r="A29" s="2">
        <f>HYPERLINK("https://www.shelhealth.com/products/356163300908-emerita-pro-gest-cream-4-oz", "https://www.shelhealth.com/products/356163300908-emerita-pro-gest-cream-4-oz")</f>
        <v/>
      </c>
      <c r="B29" s="2">
        <f>HYPERLINK("https://www.shelhealth.com/products/356163300908-emerita-pro-gest-cream-4-oz", "https://www.shelhealth.com/products/356163300908-emerita-pro-gest-cream-4-oz")</f>
        <v/>
      </c>
      <c r="C29" t="inlineStr">
        <is>
          <t>Emerita Pro-Gest Cream, 4 Oz</t>
        </is>
      </c>
      <c r="D29" t="inlineStr">
        <is>
          <t>Pro-Gest, Balancing Cream, Fragrance-Free, 4 oz (112 g), Emerita</t>
        </is>
      </c>
      <c r="E29" s="2">
        <f>HYPERLINK("https://www.amazon.com/Emerita-Progest-Paraben-Free-Value/dp/B0058ABZXI/ref=sr_1_2?keywords=Emerita+Pro-Gest+Cream%2C+4+Oz&amp;qid=1695169723&amp;sr=8-2", "https://www.amazon.com/Emerita-Progest-Paraben-Free-Value/dp/B0058ABZXI/ref=sr_1_2?keywords=Emerita+Pro-Gest+Cream%2C+4+Oz&amp;qid=1695169723&amp;sr=8-2")</f>
        <v/>
      </c>
      <c r="F29" t="inlineStr">
        <is>
          <t>B0058ABZXI</t>
        </is>
      </c>
      <c r="G29">
        <f>_xludf.IMAGE("https://www.shelhealth.com/cdn/shop/files/emerita-pro-gest-cream-4-oz-dhea-pregnenolone-hormones-shelhealth-374.jpg?v=1689654640&amp;width=1946")</f>
        <v/>
      </c>
      <c r="H29">
        <f>_xludf.IMAGE("https://m.media-amazon.com/images/I/51wvFQHt1xL._AC_UL320_.jpg")</f>
        <v/>
      </c>
      <c r="K29" t="inlineStr">
        <is>
          <t>59.99</t>
        </is>
      </c>
      <c r="L29" t="n">
        <v>45.99</v>
      </c>
      <c r="M29" s="1" t="inlineStr">
        <is>
          <t>-23.34%</t>
        </is>
      </c>
      <c r="N29" s="3" t="n">
        <v>-23.34</v>
      </c>
      <c r="O29" t="n">
        <v>4.7</v>
      </c>
      <c r="P29" t="n">
        <v>578</v>
      </c>
      <c r="R29" t="inlineStr">
        <is>
          <t>InStock</t>
        </is>
      </c>
      <c r="S29" t="inlineStr">
        <is>
          <t>59.99</t>
        </is>
      </c>
      <c r="T29" t="inlineStr">
        <is>
          <t>7241614098620</t>
        </is>
      </c>
    </row>
    <row r="30" hidden="1" ht="15.75" customHeight="1">
      <c r="A30" s="2">
        <f>HYPERLINK("https://www.shelhealth.com/products/356163300908-emerita-pro-gest-cream-4-oz", "https://www.shelhealth.com/products/356163300908-emerita-pro-gest-cream-4-oz")</f>
        <v/>
      </c>
      <c r="B30" s="2">
        <f>HYPERLINK("https://www.shelhealth.com/products/356163300908-emerita-pro-gest-cream-4-oz", "https://www.shelhealth.com/products/356163300908-emerita-pro-gest-cream-4-oz")</f>
        <v/>
      </c>
      <c r="C30" t="inlineStr">
        <is>
          <t>Emerita Pro-Gest Cream, 4 Oz</t>
        </is>
      </c>
      <c r="D30" t="inlineStr">
        <is>
          <t>Emerita Pro-Gest Balancing Cream with Vitamin D3 | USP Progesterone Cream from Wild Yam for Optimal Balance at Midlife | 4 oz</t>
        </is>
      </c>
      <c r="E30" s="2">
        <f>HYPERLINK("https://www.amazon.com/Emerita-Pro-Gest-Balancing-Cream-Vitamin/dp/B00V2WT3LM/ref=sr_1_4?keywords=Emerita+Pro-Gest+Cream%2C+4+Oz&amp;qid=1695169723&amp;sr=8-4", "https://www.amazon.com/Emerita-Pro-Gest-Balancing-Cream-Vitamin/dp/B00V2WT3LM/ref=sr_1_4?keywords=Emerita+Pro-Gest+Cream%2C+4+Oz&amp;qid=1695169723&amp;sr=8-4")</f>
        <v/>
      </c>
      <c r="F30" t="inlineStr">
        <is>
          <t>B00V2WT3LM</t>
        </is>
      </c>
      <c r="G30">
        <f>_xludf.IMAGE("https://www.shelhealth.com/cdn/shop/files/emerita-pro-gest-cream-4-oz-dhea-pregnenolone-hormones-shelhealth-374.jpg?v=1689654640&amp;width=1946")</f>
        <v/>
      </c>
      <c r="H30">
        <f>_xludf.IMAGE("https://m.media-amazon.com/images/I/61qjnfMf1aL._AC_UL320_.jpg")</f>
        <v/>
      </c>
      <c r="K30" t="inlineStr">
        <is>
          <t>59.99</t>
        </is>
      </c>
      <c r="L30" t="n">
        <v>43.99</v>
      </c>
      <c r="M30" s="1" t="inlineStr">
        <is>
          <t>-26.67%</t>
        </is>
      </c>
      <c r="N30" s="3" t="n">
        <v>-26.67</v>
      </c>
      <c r="O30" t="n">
        <v>4.6</v>
      </c>
      <c r="P30" t="n">
        <v>972</v>
      </c>
      <c r="R30" t="inlineStr">
        <is>
          <t>InStock</t>
        </is>
      </c>
      <c r="S30" t="inlineStr">
        <is>
          <t>59.99</t>
        </is>
      </c>
      <c r="T30" t="inlineStr">
        <is>
          <t>7241614098620</t>
        </is>
      </c>
    </row>
    <row r="31" hidden="1" ht="15.75" customHeight="1">
      <c r="A31" s="2">
        <f>HYPERLINK("https://www.shelhealth.com/products/centrum-silver-women-multivitamin-275-tablet", "https://www.shelhealth.com/products/centrum-silver-women-multivitamin-275-tablet")</f>
        <v/>
      </c>
      <c r="B31" s="2">
        <f>HYPERLINK("https://www.shelhealth.com/products/centrum-silver-women-multivitamin-275-tablet", "https://www.shelhealth.com/products/centrum-silver-women-multivitamin-275-tablet")</f>
        <v/>
      </c>
      <c r="C31" t="inlineStr">
        <is>
          <t>Centrum Silver Women Multivitamin - 275 Tablet</t>
        </is>
      </c>
      <c r="D31" t="inlineStr">
        <is>
          <t>Centrum Silver Women 50 Plus Daily Multivitamin Multimineral Supplement Specially Formulated for 50+ Gluten Free Smooth Coating Non GMO Support Heart Brain Eye Muscle Health, 275 Count, Pack of 1</t>
        </is>
      </c>
      <c r="E31" s="2">
        <f>HYPERLINK("https://www.amazon.com/Centrum-Multivitamin-Multimineral-Supplement-Formulated/dp/B0BC2RP7YZ/ref=sr_1_10?keywords=Centrum+Silver+Women+Multivitamin+-+275+Tablet&amp;qid=1695169718&amp;sr=8-10", "https://www.amazon.com/Centrum-Multivitamin-Multimineral-Supplement-Formulated/dp/B0BC2RP7YZ/ref=sr_1_10?keywords=Centrum+Silver+Women+Multivitamin+-+275+Tablet&amp;qid=1695169718&amp;sr=8-10")</f>
        <v/>
      </c>
      <c r="F31" t="inlineStr">
        <is>
          <t>B0BC2RP7YZ</t>
        </is>
      </c>
      <c r="G31">
        <f>_xludf.IMAGE("https://www.shelhealth.com/cdn/shop/products/centrum-silver-women-multivitamin-275-tablet-shelhealth-162.jpg?v=1663338009&amp;width=1946")</f>
        <v/>
      </c>
      <c r="H31">
        <f>_xludf.IMAGE("https://m.media-amazon.com/images/I/61iY595OafL._AC_UL320_.jpg")</f>
        <v/>
      </c>
      <c r="K31" t="inlineStr">
        <is>
          <t>29.99</t>
        </is>
      </c>
      <c r="L31" t="n">
        <v>21.9</v>
      </c>
      <c r="M31" s="1" t="inlineStr">
        <is>
          <t>-26.98%</t>
        </is>
      </c>
      <c r="N31" s="3" t="n">
        <v>-26.98</v>
      </c>
      <c r="O31" t="n">
        <v>4.8</v>
      </c>
      <c r="P31" t="n">
        <v>11489</v>
      </c>
      <c r="R31" t="inlineStr">
        <is>
          <t>InStock</t>
        </is>
      </c>
      <c r="S31" t="inlineStr">
        <is>
          <t>29.99</t>
        </is>
      </c>
      <c r="T31" t="inlineStr">
        <is>
          <t>3783142211636</t>
        </is>
      </c>
    </row>
    <row r="32" hidden="1" ht="15.75" customHeight="1">
      <c r="A32" s="2">
        <f>HYPERLINK("https://www.shelhealth.com/products/356163300908-emerita-pro-gest-cream-4-oz", "https://www.shelhealth.com/products/356163300908-emerita-pro-gest-cream-4-oz")</f>
        <v/>
      </c>
      <c r="B32" s="2">
        <f>HYPERLINK("https://www.shelhealth.com/products/356163300908-emerita-pro-gest-cream-4-oz", "https://www.shelhealth.com/products/356163300908-emerita-pro-gest-cream-4-oz")</f>
        <v/>
      </c>
      <c r="C32" t="inlineStr">
        <is>
          <t>Emerita Pro-Gest Cream, 4 Oz</t>
        </is>
      </c>
      <c r="D32" t="inlineStr">
        <is>
          <t>Emerita DHEA Balancing Cream | From the Makers of Pro-Gest | DHEA Support for a Womans Optimal Balance | 4 oz</t>
        </is>
      </c>
      <c r="E32" s="2">
        <f>HYPERLINK("https://www.amazon.com/Emerita-Balancing-Pro-Gest-Support-Optimal/dp/B00TM9CHCY/ref=sr_1_5?keywords=Emerita+Pro-Gest+Cream%2C+4+Oz&amp;qid=1695169723&amp;sr=8-5", "https://www.amazon.com/Emerita-Balancing-Pro-Gest-Support-Optimal/dp/B00TM9CHCY/ref=sr_1_5?keywords=Emerita+Pro-Gest+Cream%2C+4+Oz&amp;qid=1695169723&amp;sr=8-5")</f>
        <v/>
      </c>
      <c r="F32" t="inlineStr">
        <is>
          <t>B00TM9CHCY</t>
        </is>
      </c>
      <c r="G32">
        <f>_xludf.IMAGE("https://www.shelhealth.com/cdn/shop/files/emerita-pro-gest-cream-4-oz-dhea-pregnenolone-hormones-shelhealth-374.jpg?v=1689654640&amp;width=1946")</f>
        <v/>
      </c>
      <c r="H32">
        <f>_xludf.IMAGE("https://m.media-amazon.com/images/I/51ewYvuwMcL._AC_UL320_.jpg")</f>
        <v/>
      </c>
      <c r="K32" t="inlineStr">
        <is>
          <t>59.99</t>
        </is>
      </c>
      <c r="L32" t="n">
        <v>42.99</v>
      </c>
      <c r="M32" s="1" t="inlineStr">
        <is>
          <t>-28.34%</t>
        </is>
      </c>
      <c r="N32" s="3" t="n">
        <v>-28.34</v>
      </c>
      <c r="O32" t="n">
        <v>4.1</v>
      </c>
      <c r="P32" t="n">
        <v>368</v>
      </c>
      <c r="R32" t="inlineStr">
        <is>
          <t>InStock</t>
        </is>
      </c>
      <c r="S32" t="inlineStr">
        <is>
          <t>59.99</t>
        </is>
      </c>
      <c r="T32" t="inlineStr">
        <is>
          <t>7241614098620</t>
        </is>
      </c>
    </row>
    <row r="33" hidden="1" ht="15.75" customHeight="1">
      <c r="A33" s="2">
        <f>HYPERLINK("https://www.shelhealth.com/products/356163300908-emerita-pro-gest-cream-4-oz", "https://www.shelhealth.com/products/356163300908-emerita-pro-gest-cream-4-oz")</f>
        <v/>
      </c>
      <c r="B33" s="2">
        <f>HYPERLINK("https://www.shelhealth.com/products/356163300908-emerita-pro-gest-cream-4-oz", "https://www.shelhealth.com/products/356163300908-emerita-pro-gest-cream-4-oz")</f>
        <v/>
      </c>
      <c r="C33" t="inlineStr">
        <is>
          <t>Emerita Pro-Gest Cream, 4 Oz</t>
        </is>
      </c>
      <c r="D33" t="inlineStr">
        <is>
          <t>Emerita Pro-Gest Cream - Lavender - 4 oz</t>
        </is>
      </c>
      <c r="E33" s="2">
        <f>HYPERLINK("https://www.amazon.com/Emerita-BHBAZUSF0518A3718-Pro-Gest-Cream-Lavender/dp/B00KGKE3W0/ref=sr_1_3?keywords=Emerita+Pro-Gest+Cream%2C+4+Oz&amp;qid=1695169723&amp;sr=8-3", "https://www.amazon.com/Emerita-BHBAZUSF0518A3718-Pro-Gest-Cream-Lavender/dp/B00KGKE3W0/ref=sr_1_3?keywords=Emerita+Pro-Gest+Cream%2C+4+Oz&amp;qid=1695169723&amp;sr=8-3")</f>
        <v/>
      </c>
      <c r="F33" t="inlineStr">
        <is>
          <t>B00KGKE3W0</t>
        </is>
      </c>
      <c r="G33">
        <f>_xludf.IMAGE("https://www.shelhealth.com/cdn/shop/files/emerita-pro-gest-cream-4-oz-dhea-pregnenolone-hormones-shelhealth-374.jpg?v=1689654640&amp;width=1946")</f>
        <v/>
      </c>
      <c r="H33">
        <f>_xludf.IMAGE("https://m.media-amazon.com/images/I/61d6UDyxMZL._AC_UL320_.jpg")</f>
        <v/>
      </c>
      <c r="K33" t="inlineStr">
        <is>
          <t>59.99</t>
        </is>
      </c>
      <c r="L33" t="n">
        <v>39.99</v>
      </c>
      <c r="M33" s="1" t="inlineStr">
        <is>
          <t>-33.34%</t>
        </is>
      </c>
      <c r="N33" s="3" t="n">
        <v>-33.34</v>
      </c>
      <c r="O33" t="n">
        <v>4.8</v>
      </c>
      <c r="P33" t="n">
        <v>129</v>
      </c>
      <c r="R33" t="inlineStr">
        <is>
          <t>InStock</t>
        </is>
      </c>
      <c r="S33" t="inlineStr">
        <is>
          <t>59.99</t>
        </is>
      </c>
      <c r="T33" t="inlineStr">
        <is>
          <t>7241614098620</t>
        </is>
      </c>
    </row>
    <row r="34" hidden="1" ht="15.75" customHeight="1">
      <c r="A34" s="2">
        <f>HYPERLINK("https://www.shelhealth.com/products/356163300908-emerita-pro-gest-cream-4-oz", "https://www.shelhealth.com/products/356163300908-emerita-pro-gest-cream-4-oz")</f>
        <v/>
      </c>
      <c r="B34" s="2">
        <f>HYPERLINK("https://www.shelhealth.com/products/356163300908-emerita-pro-gest-cream-4-oz", "https://www.shelhealth.com/products/356163300908-emerita-pro-gest-cream-4-oz")</f>
        <v/>
      </c>
      <c r="C34" t="inlineStr">
        <is>
          <t>Emerita Pro-Gest Cream, 4 Oz</t>
        </is>
      </c>
      <c r="D34" t="inlineStr">
        <is>
          <t>Emerita, Pro-Gest Cream, Paraben Free, 4 oz</t>
        </is>
      </c>
      <c r="E34" s="2">
        <f>HYPERLINK("https://www.amazon.com/Emerita-Pro-Gest-Cream-Paraben-Free/dp/B000YFXPF8/ref=sr_1_1?keywords=Emerita+Pro-Gest+Cream%2C+4+Oz&amp;qid=1695169723&amp;sr=8-1", "https://www.amazon.com/Emerita-Pro-Gest-Cream-Paraben-Free/dp/B000YFXPF8/ref=sr_1_1?keywords=Emerita+Pro-Gest+Cream%2C+4+Oz&amp;qid=1695169723&amp;sr=8-1")</f>
        <v/>
      </c>
      <c r="F34" t="inlineStr">
        <is>
          <t>B000YFXPF8</t>
        </is>
      </c>
      <c r="G34">
        <f>_xludf.IMAGE("https://www.shelhealth.com/cdn/shop/files/emerita-pro-gest-cream-4-oz-dhea-pregnenolone-hormones-shelhealth-374.jpg?v=1689654640&amp;width=1946")</f>
        <v/>
      </c>
      <c r="H34">
        <f>_xludf.IMAGE("https://m.media-amazon.com/images/I/51wvFQHt1xL._AC_UL320_.jpg")</f>
        <v/>
      </c>
      <c r="K34" t="inlineStr">
        <is>
          <t>59.99</t>
        </is>
      </c>
      <c r="L34" t="n">
        <v>38.99</v>
      </c>
      <c r="M34" s="1" t="inlineStr">
        <is>
          <t>-35.01%</t>
        </is>
      </c>
      <c r="N34" s="3" t="n">
        <v>-35.01</v>
      </c>
      <c r="O34" t="n">
        <v>4.8</v>
      </c>
      <c r="P34" t="n">
        <v>14</v>
      </c>
      <c r="R34" t="inlineStr">
        <is>
          <t>InStock</t>
        </is>
      </c>
      <c r="S34" t="inlineStr">
        <is>
          <t>59.99</t>
        </is>
      </c>
      <c r="T34" t="inlineStr">
        <is>
          <t>7241614098620</t>
        </is>
      </c>
    </row>
    <row r="35" hidden="1" ht="15.75" customHeight="1">
      <c r="A35" s="2">
        <f>HYPERLINK("https://www.shelhealth.com/products/one-a-day-multi-gummies-women-230-count", "https://www.shelhealth.com/products/one-a-day-multi-gummies-women-230-count")</f>
        <v/>
      </c>
      <c r="B35" s="2">
        <f>HYPERLINK("https://www.shelhealth.com/products/one-a-day-multi-gummies-women-230-count", "https://www.shelhealth.com/products/one-a-day-multi-gummies-women-230-count")</f>
        <v/>
      </c>
      <c r="C35" t="inlineStr">
        <is>
          <t>One A Day Multi Gummies, Women, 230 Count</t>
        </is>
      </c>
      <c r="D35" t="inlineStr">
        <is>
          <t>One-A-Day Multi+ Brain Support Gummies, Multivitamin Gummies for Men &amp; Women with Boost of Brain Support with Super 8 B Vitamin Complex, 100 Count</t>
        </is>
      </c>
      <c r="E35" s="2">
        <f>HYPERLINK("https://www.amazon.com/Multi-Support-Multivitamin-Vitamin-Complex/dp/B09QB7GXX4/ref=sr_1_10?keywords=One+A+Day+Multi+Gummies%2C+Women%2C+230+Count&amp;qid=1695169716&amp;sr=8-10", "https://www.amazon.com/Multi-Support-Multivitamin-Vitamin-Complex/dp/B09QB7GXX4/ref=sr_1_10?keywords=One+A+Day+Multi+Gummies%2C+Women%2C+230+Count&amp;qid=1695169716&amp;sr=8-10")</f>
        <v/>
      </c>
      <c r="F35" t="inlineStr">
        <is>
          <t>B09QB7GXX4</t>
        </is>
      </c>
      <c r="G35">
        <f>_xludf.IMAGE("https://www.shelhealth.com/cdn/shop/products/one-a-day-multi-gummies-women-230-count-shelhealth-125.jpg?v=1663351547&amp;width=1946")</f>
        <v/>
      </c>
      <c r="H35">
        <f>_xludf.IMAGE("https://m.media-amazon.com/images/I/71a7woGii0L._AC_UL320_.jpg")</f>
        <v/>
      </c>
      <c r="K35" t="inlineStr">
        <is>
          <t>23.99</t>
        </is>
      </c>
      <c r="L35" t="n">
        <v>15.06</v>
      </c>
      <c r="M35" s="1" t="inlineStr">
        <is>
          <t>-37.22%</t>
        </is>
      </c>
      <c r="N35" s="3" t="n">
        <v>-37.22</v>
      </c>
      <c r="O35" t="n">
        <v>4.4</v>
      </c>
      <c r="P35" t="n">
        <v>269</v>
      </c>
      <c r="R35" t="inlineStr">
        <is>
          <t>InStock</t>
        </is>
      </c>
      <c r="S35" t="inlineStr">
        <is>
          <t>23.99</t>
        </is>
      </c>
      <c r="T35" t="inlineStr">
        <is>
          <t>4111459385396</t>
        </is>
      </c>
    </row>
    <row r="36" hidden="1" ht="15.75" customHeight="1">
      <c r="A36" s="2">
        <f>HYPERLINK("https://www.shelhealth.com/products/trunature-womens-daily-probiotic-90-vegetarian-capsules", "https://www.shelhealth.com/products/trunature-womens-daily-probiotic-90-vegetarian-capsules")</f>
        <v/>
      </c>
      <c r="B36" s="2">
        <f>HYPERLINK("https://www.shelhealth.com/products/trunature-womens-daily-probiotic-90-vegetarian-capsules", "https://www.shelhealth.com/products/trunature-womens-daily-probiotic-90-vegetarian-capsules")</f>
        <v/>
      </c>
      <c r="C36" t="inlineStr">
        <is>
          <t>trunature Women's Daily Probiotic, 90 Vegetarian Capsules</t>
        </is>
      </c>
      <c r="D36" t="inlineStr">
        <is>
          <t>TruNature Women's Daily PROBIOTIC 90 Capsules</t>
        </is>
      </c>
      <c r="E36" s="2">
        <f>HYPERLINK("https://www.amazon.com/TruNature-Womens-Daily-PROBIOTIC-Capsules/dp/B09H6QQVBS/ref=sr_1_1?keywords=trunature+women%27s+daily+probiotic%2C+90+vegetarian+capsules&amp;qid=1695169716&amp;sr=8-1", "https://www.amazon.com/TruNature-Womens-Daily-PROBIOTIC-Capsules/dp/B09H6QQVBS/ref=sr_1_1?keywords=trunature+women%27s+daily+probiotic%2C+90+vegetarian+capsules&amp;qid=1695169716&amp;sr=8-1")</f>
        <v/>
      </c>
      <c r="F36" t="inlineStr">
        <is>
          <t>B09H6QQVBS</t>
        </is>
      </c>
      <c r="G36">
        <f>_xludf.IMAGE("https://www.shelhealth.com/cdn/shop/files/trunature-womens-daily-probiotic-90-vegetarian-capsules-all-vitamins-supplements-shelhealth-503.jpg?v=1689976231&amp;width=1946")</f>
        <v/>
      </c>
      <c r="H36">
        <f>_xludf.IMAGE("https://m.media-amazon.com/images/I/51jotfp56rL._AC_UL320_.jpg")</f>
        <v/>
      </c>
      <c r="K36" t="inlineStr">
        <is>
          <t>38.99</t>
        </is>
      </c>
      <c r="L36" t="n">
        <v>22.99</v>
      </c>
      <c r="M36" s="1" t="inlineStr">
        <is>
          <t>-41.04%</t>
        </is>
      </c>
      <c r="N36" s="3" t="n">
        <v>-41.04</v>
      </c>
      <c r="O36" t="n">
        <v>4.8</v>
      </c>
      <c r="P36" t="n">
        <v>916</v>
      </c>
      <c r="R36" t="inlineStr">
        <is>
          <t>InStock</t>
        </is>
      </c>
      <c r="S36" t="inlineStr">
        <is>
          <t>38.99</t>
        </is>
      </c>
      <c r="T36" t="inlineStr">
        <is>
          <t>4657550098521</t>
        </is>
      </c>
    </row>
    <row r="37" hidden="1" ht="15.75" customHeight="1">
      <c r="A37" s="2">
        <f>HYPERLINK("https://www.shelhealth.com/products/centrum-silver-women-multivitamin-275-tablet", "https://www.shelhealth.com/products/centrum-silver-women-multivitamin-275-tablet")</f>
        <v/>
      </c>
      <c r="B37" s="2">
        <f>HYPERLINK("https://www.shelhealth.com/products/centrum-silver-women-multivitamin-275-tablet", "https://www.shelhealth.com/products/centrum-silver-women-multivitamin-275-tablet")</f>
        <v/>
      </c>
      <c r="C37" t="inlineStr">
        <is>
          <t>Centrum Silver Women Multivitamin - 275 Tablet</t>
        </is>
      </c>
      <c r="D37" t="inlineStr">
        <is>
          <t>Centrum Silver Women's Multivitamin for Women 50 Plus, Multivitamin/Multimineral Supplement with Vitamin D3, B Vitamins, Non-GMO Ingredients, Supports Memory and Cognition in Older Adults - 200 Ct</t>
        </is>
      </c>
      <c r="E37" s="2">
        <f>HYPERLINK("https://www.amazon.com/Centrum-Multivitamin-Multimineral-Antioxidants-Ingredients/dp/B09KCCVL9V/ref=sr_1_9?keywords=Centrum+Silver+Women+Multivitamin+-+275+Tablet&amp;qid=1695169718&amp;rdc=1&amp;sr=8-9", "https://www.amazon.com/Centrum-Multivitamin-Multimineral-Antioxidants-Ingredients/dp/B09KCCVL9V/ref=sr_1_9?keywords=Centrum+Silver+Women+Multivitamin+-+275+Tablet&amp;qid=1695169718&amp;rdc=1&amp;sr=8-9")</f>
        <v/>
      </c>
      <c r="F37" t="inlineStr">
        <is>
          <t>B09KCCVL9V</t>
        </is>
      </c>
      <c r="G37">
        <f>_xludf.IMAGE("https://www.shelhealth.com/cdn/shop/products/centrum-silver-women-multivitamin-275-tablet-shelhealth-162.jpg?v=1663338009&amp;width=1946")</f>
        <v/>
      </c>
      <c r="H37">
        <f>_xludf.IMAGE("https://m.media-amazon.com/images/I/717+L0htJ4L._AC_UL320_.jpg")</f>
        <v/>
      </c>
      <c r="K37" t="inlineStr">
        <is>
          <t>29.99</t>
        </is>
      </c>
      <c r="L37" t="n">
        <v>15.99</v>
      </c>
      <c r="M37" s="1" t="inlineStr">
        <is>
          <t>-46.68%</t>
        </is>
      </c>
      <c r="N37" s="3" t="n">
        <v>-46.68</v>
      </c>
      <c r="O37" t="n">
        <v>4.8</v>
      </c>
      <c r="P37" t="n">
        <v>10174</v>
      </c>
      <c r="R37" t="inlineStr">
        <is>
          <t>InStock</t>
        </is>
      </c>
      <c r="S37" t="inlineStr">
        <is>
          <t>29.99</t>
        </is>
      </c>
      <c r="T37" t="inlineStr">
        <is>
          <t>3783142211636</t>
        </is>
      </c>
    </row>
    <row r="38" hidden="1" ht="15.75" customHeight="1">
      <c r="A38" s="2">
        <f>HYPERLINK("https://www.shelhealth.com/products/one-a-day-multi-gummies-women-230-count", "https://www.shelhealth.com/products/one-a-day-multi-gummies-women-230-count")</f>
        <v/>
      </c>
      <c r="B38" s="2">
        <f>HYPERLINK("https://www.shelhealth.com/products/one-a-day-multi-gummies-women-230-count", "https://www.shelhealth.com/products/one-a-day-multi-gummies-women-230-count")</f>
        <v/>
      </c>
      <c r="C38" t="inlineStr">
        <is>
          <t>One A Day Multi Gummies, Women, 230 Count</t>
        </is>
      </c>
      <c r="D38" t="inlineStr">
        <is>
          <t>One-A-Day Multi+ Immune Support Gummies, Immunity Multivitamin with Vitamin D, Vitamin C, Vitamin E, Vitamin A, Zinc and More, Gummy Vitamin, 120 Count</t>
        </is>
      </c>
      <c r="E38" s="2">
        <f>HYPERLINK("https://www.amazon.com/Immunity-Defense-Multivitamin-Vitamins-Selenium/dp/B09QB26RJ9/ref=sr_1_6?keywords=One+A+Day+Multi+Gummies%2C+Women%2C+230+Count&amp;qid=1695169716&amp;sr=8-6", "https://www.amazon.com/Immunity-Defense-Multivitamin-Vitamins-Selenium/dp/B09QB26RJ9/ref=sr_1_6?keywords=One+A+Day+Multi+Gummies%2C+Women%2C+230+Count&amp;qid=1695169716&amp;sr=8-6")</f>
        <v/>
      </c>
      <c r="F38" t="inlineStr">
        <is>
          <t>B09QB26RJ9</t>
        </is>
      </c>
      <c r="G38">
        <f>_xludf.IMAGE("https://www.shelhealth.com/cdn/shop/products/one-a-day-multi-gummies-women-230-count-shelhealth-125.jpg?v=1663351547&amp;width=1946")</f>
        <v/>
      </c>
      <c r="H38">
        <f>_xludf.IMAGE("https://m.media-amazon.com/images/I/71st-+BSiTL._AC_UL320_.jpg")</f>
        <v/>
      </c>
      <c r="K38" t="inlineStr">
        <is>
          <t>23.99</t>
        </is>
      </c>
      <c r="L38" t="n">
        <v>12</v>
      </c>
      <c r="M38" s="1" t="inlineStr">
        <is>
          <t>-49.98%</t>
        </is>
      </c>
      <c r="N38" s="3" t="n">
        <v>-49.98</v>
      </c>
      <c r="O38" t="n">
        <v>4.4</v>
      </c>
      <c r="P38" t="n">
        <v>95</v>
      </c>
      <c r="R38" t="inlineStr">
        <is>
          <t>InStock</t>
        </is>
      </c>
      <c r="S38" t="inlineStr">
        <is>
          <t>23.99</t>
        </is>
      </c>
      <c r="T38" t="inlineStr">
        <is>
          <t>4111459385396</t>
        </is>
      </c>
    </row>
    <row r="39" hidden="1" ht="15.75" customHeight="1">
      <c r="A39" s="2">
        <f>HYPERLINK("https://www.shelhealth.com/products/356163300908-emerita-pro-gest-cream-4-oz", "https://www.shelhealth.com/products/356163300908-emerita-pro-gest-cream-4-oz")</f>
        <v/>
      </c>
      <c r="B39" s="2">
        <f>HYPERLINK("https://www.shelhealth.com/products/356163300908-emerita-pro-gest-cream-4-oz", "https://www.shelhealth.com/products/356163300908-emerita-pro-gest-cream-4-oz")</f>
        <v/>
      </c>
      <c r="C39" t="inlineStr">
        <is>
          <t>Emerita Pro-Gest Cream, 4 Oz</t>
        </is>
      </c>
      <c r="D39" t="inlineStr">
        <is>
          <t>Emerita Pro-Gest Body Cream - 48 Single Use Packets for Dry Skin, Vitamin E Enriched, Paraben Free, 2.2 oz</t>
        </is>
      </c>
      <c r="E39" s="2">
        <f>HYPERLINK("https://www.amazon.com/Pro-Gest-Body-Cream-Single-Packets/dp/B000CRC7JI/ref=sr_1_8?keywords=Emerita+Pro-Gest+Cream%2C+4+Oz&amp;qid=1695169723&amp;sr=8-8", "https://www.amazon.com/Pro-Gest-Body-Cream-Single-Packets/dp/B000CRC7JI/ref=sr_1_8?keywords=Emerita+Pro-Gest+Cream%2C+4+Oz&amp;qid=1695169723&amp;sr=8-8")</f>
        <v/>
      </c>
      <c r="F39" t="inlineStr">
        <is>
          <t>B000CRC7JI</t>
        </is>
      </c>
      <c r="G39">
        <f>_xludf.IMAGE("https://www.shelhealth.com/cdn/shop/files/emerita-pro-gest-cream-4-oz-dhea-pregnenolone-hormones-shelhealth-374.jpg?v=1689654640&amp;width=1946")</f>
        <v/>
      </c>
      <c r="H39">
        <f>_xludf.IMAGE("https://m.media-amazon.com/images/I/715YNBoKCBL._AC_UL320_.jpg")</f>
        <v/>
      </c>
      <c r="K39" t="inlineStr">
        <is>
          <t>59.99</t>
        </is>
      </c>
      <c r="L39" t="n">
        <v>28.71</v>
      </c>
      <c r="M39" s="1" t="inlineStr">
        <is>
          <t>-52.14%</t>
        </is>
      </c>
      <c r="N39" s="3" t="n">
        <v>-52.14</v>
      </c>
      <c r="O39" t="n">
        <v>4.5</v>
      </c>
      <c r="P39" t="n">
        <v>334</v>
      </c>
      <c r="R39" t="inlineStr">
        <is>
          <t>InStock</t>
        </is>
      </c>
      <c r="S39" t="inlineStr">
        <is>
          <t>59.99</t>
        </is>
      </c>
      <c r="T39" t="inlineStr">
        <is>
          <t>7241614098620</t>
        </is>
      </c>
    </row>
    <row r="40" hidden="1" ht="15.75" customHeight="1">
      <c r="A40" s="2">
        <f>HYPERLINK("https://www.shelhealth.com/products/alive-womens-multi-vitamin-200-tablets", "https://www.shelhealth.com/products/alive-womens-multi-vitamin-200-tablets")</f>
        <v/>
      </c>
      <c r="B40" s="2">
        <f>HYPERLINK("https://www.shelhealth.com/products/alive-womens-multi-vitamin-200-tablets", "https://www.shelhealth.com/products/alive-womens-multi-vitamin-200-tablets")</f>
        <v/>
      </c>
      <c r="C40" t="inlineStr">
        <is>
          <t>Alive! Women's Multivitamin 200 Tablets</t>
        </is>
      </c>
      <c r="D40" t="inlineStr">
        <is>
          <t>Nature's Way Alive! Max3 Potency Women's Multivitamin, Supports Daily Energy Metabolism*, 90 Tablets</t>
        </is>
      </c>
      <c r="E40" s="2">
        <f>HYPERLINK("https://www.amazon.com/Natures-Way-Multivitamin-Food-Based-Antioxidants/dp/B003B3OOP0/ref=sr_1_10?keywords=Alive%21+Womens+Multivitamin+200+Tablets&amp;qid=1695169717&amp;sr=8-10", "https://www.amazon.com/Natures-Way-Multivitamin-Food-Based-Antioxidants/dp/B003B3OOP0/ref=sr_1_10?keywords=Alive%21+Womens+Multivitamin+200+Tablets&amp;qid=1695169717&amp;sr=8-10")</f>
        <v/>
      </c>
      <c r="F40" t="inlineStr">
        <is>
          <t>B003B3OOP0</t>
        </is>
      </c>
      <c r="G40">
        <f>_xludf.IMAGE("https://www.shelhealth.com/cdn/shop/products/alive-womens-multivitamin-200-tablets-shelhealth-834.jpg?v=1663373583&amp;width=1946")</f>
        <v/>
      </c>
      <c r="H40">
        <f>_xludf.IMAGE("https://m.media-amazon.com/images/I/71tnmbpP1vL._AC_UL320_.jpg")</f>
        <v/>
      </c>
      <c r="K40" t="inlineStr">
        <is>
          <t>36.99</t>
        </is>
      </c>
      <c r="L40" t="n">
        <v>16.04</v>
      </c>
      <c r="M40" s="1" t="inlineStr">
        <is>
          <t>-56.64%</t>
        </is>
      </c>
      <c r="N40" s="3" t="n">
        <v>-56.64</v>
      </c>
      <c r="O40" t="n">
        <v>4.6</v>
      </c>
      <c r="P40" t="n">
        <v>3913</v>
      </c>
      <c r="R40" t="inlineStr">
        <is>
          <t>OutOfStock</t>
        </is>
      </c>
      <c r="S40" t="inlineStr">
        <is>
          <t>36.99</t>
        </is>
      </c>
      <c r="T40" t="inlineStr">
        <is>
          <t>4707669213273</t>
        </is>
      </c>
    </row>
    <row r="41" hidden="1" ht="15.75" customHeight="1">
      <c r="A41" s="2">
        <f>HYPERLINK("https://www.shelhealth.com/products/one-a-day-multi-gummies-women-230-count", "https://www.shelhealth.com/products/one-a-day-multi-gummies-women-230-count")</f>
        <v/>
      </c>
      <c r="B41" s="2">
        <f>HYPERLINK("https://www.shelhealth.com/products/one-a-day-multi-gummies-women-230-count", "https://www.shelhealth.com/products/one-a-day-multi-gummies-women-230-count")</f>
        <v/>
      </c>
      <c r="C41" t="inlineStr">
        <is>
          <t>One A Day Multi Gummies, Women, 230 Count</t>
        </is>
      </c>
      <c r="D41" t="inlineStr">
        <is>
          <t>One A Day Women’s  Multivitamin Gummies, Supplement with Vitamin A, Vitamin C, Vitamin D, Vitamin E and Zinc for Immune Health Support*, Calcium &amp; more, 80 count</t>
        </is>
      </c>
      <c r="E41" s="2">
        <f>HYPERLINK("https://www.amazon.com/ONE-DAY-vitacraves-multivitamin-Gummies/dp/B0857X6GNP/ref=sr_1_3?keywords=One+A+Day+Multi+Gummies%2C+Women%2C+230+Count&amp;qid=1695169716&amp;sr=8-3", "https://www.amazon.com/ONE-DAY-vitacraves-multivitamin-Gummies/dp/B0857X6GNP/ref=sr_1_3?keywords=One+A+Day+Multi+Gummies%2C+Women%2C+230+Count&amp;qid=1695169716&amp;sr=8-3")</f>
        <v/>
      </c>
      <c r="F41" t="inlineStr">
        <is>
          <t>B0857X6GNP</t>
        </is>
      </c>
      <c r="G41">
        <f>_xludf.IMAGE("https://www.shelhealth.com/cdn/shop/products/one-a-day-multi-gummies-women-230-count-shelhealth-125.jpg?v=1663351547&amp;width=1946")</f>
        <v/>
      </c>
      <c r="H41">
        <f>_xludf.IMAGE("https://m.media-amazon.com/images/I/81LLdF+39ML._AC_UL320_.jpg")</f>
        <v/>
      </c>
      <c r="K41" t="inlineStr">
        <is>
          <t>23.99</t>
        </is>
      </c>
      <c r="L41" t="n">
        <v>9.98</v>
      </c>
      <c r="M41" s="1" t="inlineStr">
        <is>
          <t>-58.40%</t>
        </is>
      </c>
      <c r="N41" s="3" t="n">
        <v>-58.4</v>
      </c>
      <c r="O41" t="n">
        <v>4.6</v>
      </c>
      <c r="P41" t="n">
        <v>2916</v>
      </c>
      <c r="R41" t="inlineStr">
        <is>
          <t>InStock</t>
        </is>
      </c>
      <c r="S41" t="inlineStr">
        <is>
          <t>23.99</t>
        </is>
      </c>
      <c r="T41" t="inlineStr">
        <is>
          <t>4111459385396</t>
        </is>
      </c>
    </row>
    <row r="42" hidden="1" ht="15.75" customHeight="1">
      <c r="A42" s="2">
        <f>HYPERLINK("https://www.shelhealth.com/products/natrol-juicefestiv-fruit-veggie", "https://www.shelhealth.com/products/natrol-juicefestiv-fruit-veggie")</f>
        <v/>
      </c>
      <c r="B42" s="2">
        <f>HYPERLINK("https://www.shelhealth.com/products/natrol-juicefestiv-fruit-veggie", "https://www.shelhealth.com/products/natrol-juicefestiv-fruit-veggie")</f>
        <v/>
      </c>
      <c r="C42" t="inlineStr">
        <is>
          <t>Natrol JuiceFestiv Daily Fruit &amp; Veggie, 240 Capsules</t>
        </is>
      </c>
      <c r="D42" t="inlineStr">
        <is>
          <t>Natrol JuiceFestiv Daily Fruit &amp; Veggie with SelenoExcell and Whole-Food [Phyto] Nutrients, Dietary Supplement Supports Better Nutrition (&amp; Overall Well-Being), 60 Capsules (Pack of 2), 30 Day Supply</t>
        </is>
      </c>
      <c r="E42" s="2">
        <f>HYPERLINK("https://www.amazon.com/Natrol-JuiceFestiv-SelenoExcell-Whole-Food-Supplement/dp/B002DW9XME/ref=sr_1_1?keywords=Natrol+JuiceFestiv+Daily+Fruit&amp;qid=1695169716&amp;sr=8-1", "https://www.amazon.com/Natrol-JuiceFestiv-SelenoExcell-Whole-Food-Supplement/dp/B002DW9XME/ref=sr_1_1?keywords=Natrol+JuiceFestiv+Daily+Fruit&amp;qid=1695169716&amp;sr=8-1")</f>
        <v/>
      </c>
      <c r="F42" t="inlineStr">
        <is>
          <t>B002DW9XME</t>
        </is>
      </c>
      <c r="G42">
        <f>_xludf.IMAGE("https://www.shelhealth.com/cdn/shop/products/natrol-juicefestiv-daily-fruit-veggie-240-capsules-shelhealth-718.jpg?v=1663372333&amp;width=1946")</f>
        <v/>
      </c>
      <c r="H42">
        <f>_xludf.IMAGE("https://m.media-amazon.com/images/I/71AD10tPzWL._AC_UL320_.jpg")</f>
        <v/>
      </c>
      <c r="K42" t="inlineStr">
        <is>
          <t>36.99</t>
        </is>
      </c>
      <c r="L42" t="n">
        <v>13.59</v>
      </c>
      <c r="M42" s="1" t="inlineStr">
        <is>
          <t>-63.26%</t>
        </is>
      </c>
      <c r="N42" s="3" t="n">
        <v>-63.26</v>
      </c>
      <c r="O42" t="n">
        <v>4.5</v>
      </c>
      <c r="P42" t="n">
        <v>4104</v>
      </c>
      <c r="R42" t="inlineStr">
        <is>
          <t>InStock</t>
        </is>
      </c>
      <c r="S42" t="inlineStr">
        <is>
          <t>36.99</t>
        </is>
      </c>
      <c r="T42" t="inlineStr">
        <is>
          <t>4690745917529</t>
        </is>
      </c>
    </row>
    <row r="43" hidden="1" ht="15.75" customHeight="1">
      <c r="A43" s="2">
        <f>HYPERLINK("https://www.shelhealth.com/products/qunol-liquid-coq10-100mg-for-heart-support-orange-pineapple-flavored-90-servings", "https://www.shelhealth.com/products/qunol-liquid-coq10-100mg-for-heart-support-orange-pineapple-flavored-90-servings")</f>
        <v/>
      </c>
      <c r="B43" s="2">
        <f>HYPERLINK("https://www.shelhealth.com/products/qunol-liquid-coq10-100mg-for-heart-support-orange-pineapple-flavored-90-servings", "https://www.shelhealth.com/products/qunol-liquid-coq10-100mg-for-heart-support-orange-pineapple-flavored-90-servings")</f>
        <v/>
      </c>
      <c r="C43" t="inlineStr">
        <is>
          <t>Qunol Liquid CoQ10 100mg, for Heart Support, Orange Pineapple Flavored, 90 Servings</t>
        </is>
      </c>
      <c r="D43" t="inlineStr">
        <is>
          <t>Qunol Liquid CoQ10 100mg, Superior Absorption Natural Supplement Form of Coenzyme Q10, Antioxidant for Heart Health, Orange Pineapple Flavored, 60 Servings, 20.3 oz Bottle, Pack of 2</t>
        </is>
      </c>
      <c r="E43" s="2">
        <f>HYPERLINK("https://www.amazon.com/Qunol-Absorption-Supplement-Antioxidant-Pineapple/dp/B073355T5L/ref=sr_1_2?keywords=Qunol+Liquid+CoQ10+100mg%2C+for+Heart+Support%2C+Orange+Pineapple+Flavored%2C+90+Servings&amp;qid=1695169735&amp;sr=8-2", "https://www.amazon.com/Qunol-Absorption-Supplement-Antioxidant-Pineapple/dp/B073355T5L/ref=sr_1_2?keywords=Qunol+Liquid+CoQ10+100mg%2C+for+Heart+Support%2C+Orange+Pineapple+Flavored%2C+90+Servings&amp;qid=1695169735&amp;sr=8-2")</f>
        <v/>
      </c>
      <c r="F43" t="inlineStr">
        <is>
          <t>B073355T5L</t>
        </is>
      </c>
      <c r="G43">
        <f>_xludf.IMAGE("https://www.shelhealth.com/cdn/shop/products/qunol-liquid-coq10-100mg-for-heart-support-orange-pineapple-flavored-90-servings-shelhealth-651.jpg?v=1663371065&amp;width=1946")</f>
        <v/>
      </c>
      <c r="H43">
        <f>_xludf.IMAGE("https://m.media-amazon.com/images/I/71bdZ0WdsdL._AC_UL320_.jpg")</f>
        <v/>
      </c>
      <c r="K43" t="inlineStr">
        <is>
          <t>52.99</t>
        </is>
      </c>
      <c r="L43" t="n">
        <v>82</v>
      </c>
      <c r="M43" s="1" t="inlineStr">
        <is>
          <t>54.75%</t>
        </is>
      </c>
      <c r="N43" s="3" t="n">
        <v>54.75</v>
      </c>
      <c r="O43" t="n">
        <v>4.6</v>
      </c>
      <c r="P43" t="n">
        <v>216</v>
      </c>
      <c r="R43" t="inlineStr">
        <is>
          <t>InStock</t>
        </is>
      </c>
      <c r="S43" t="inlineStr">
        <is>
          <t>52.99</t>
        </is>
      </c>
      <c r="T43" t="inlineStr">
        <is>
          <t>4667662401625</t>
        </is>
      </c>
    </row>
    <row r="44" hidden="1" ht="15.75" customHeight="1">
      <c r="A44" s="2">
        <f>HYPERLINK("https://www.shelhealth.com/products/qunol-ultra-coq10-100mg-120-count-softgels-1", "https://www.shelhealth.com/products/qunol-ultra-coq10-100mg-120-count-softgels-1")</f>
        <v/>
      </c>
      <c r="B44" s="2">
        <f>HYPERLINK("https://www.shelhealth.com/products/qunol-ultra-coq10-100mg-120-count-softgels-1", "https://www.shelhealth.com/products/qunol-ultra-coq10-100mg-120-count-softgels-1")</f>
        <v/>
      </c>
      <c r="C44" t="inlineStr">
        <is>
          <t>Qunol Ultra CoQ10 100mg, 120 Count Softgels</t>
        </is>
      </c>
      <c r="D44" t="inlineStr">
        <is>
          <t>CoQ10 100mg Softgels, Qunol Ultra CoQ10 100mg, 3x Better Absorption, Antioxidant for Heart Health &amp; Energy Production, Coenzyme Q10 Vitamins and Supplements, 8 Month Supply, 120 Count (Pack of 2)</t>
        </is>
      </c>
      <c r="E44" s="2">
        <f>HYPERLINK("https://www.amazon.com/Qunol-Absorption-Patented-Supplement-Antioxidant/dp/B0732XB19S/ref=sr_1_2?keywords=Qunol+Ultra+CoQ10+100mg%2C+120+Count+Softgels&amp;qid=1695169743&amp;sr=8-2", "https://www.amazon.com/Qunol-Absorption-Patented-Supplement-Antioxidant/dp/B0732XB19S/ref=sr_1_2?keywords=Qunol+Ultra+CoQ10+100mg%2C+120+Count+Softgels&amp;qid=1695169743&amp;sr=8-2")</f>
        <v/>
      </c>
      <c r="F44" t="inlineStr">
        <is>
          <t>B0732XB19S</t>
        </is>
      </c>
      <c r="G44">
        <f>_xludf.IMAGE("https://www.shelhealth.com/cdn/shop/products/qunol-ultra-coq10-100mg-120-count-softgels-shelhealth-150.jpg?v=1663371090&amp;width=1946")</f>
        <v/>
      </c>
      <c r="H44">
        <f>_xludf.IMAGE("https://m.media-amazon.com/images/I/81YYPtgPcML._AC_UL320_.jpg")</f>
        <v/>
      </c>
      <c r="K44" t="inlineStr">
        <is>
          <t>38.99</t>
        </is>
      </c>
      <c r="L44" t="n">
        <v>51</v>
      </c>
      <c r="M44" s="1" t="inlineStr">
        <is>
          <t>30.80%</t>
        </is>
      </c>
      <c r="N44" s="3" t="n">
        <v>30.8</v>
      </c>
      <c r="O44" t="n">
        <v>4.7</v>
      </c>
      <c r="P44" t="n">
        <v>3058</v>
      </c>
      <c r="R44" t="inlineStr">
        <is>
          <t>InStock</t>
        </is>
      </c>
      <c r="S44" t="inlineStr">
        <is>
          <t>38.99</t>
        </is>
      </c>
      <c r="T44" t="inlineStr">
        <is>
          <t>4667682717785</t>
        </is>
      </c>
    </row>
    <row r="45" hidden="1" ht="15.75" customHeight="1">
      <c r="A45" s="2">
        <f>HYPERLINK("https://www.shelhealth.com/products/trunature-coenzyme-coq10-100-mg-220-softgels", "https://www.shelhealth.com/products/trunature-coenzyme-coq10-100-mg-220-softgels")</f>
        <v/>
      </c>
      <c r="B45" s="2">
        <f>HYPERLINK("https://www.shelhealth.com/products/trunature-coenzyme-coq10-100-mg-220-softgels", "https://www.shelhealth.com/products/trunature-coenzyme-coq10-100-mg-220-softgels")</f>
        <v/>
      </c>
      <c r="C45" t="inlineStr">
        <is>
          <t>TruNature Coenzyme CoQ10 100 mg - 220 Softgels</t>
        </is>
      </c>
      <c r="D45" t="inlineStr">
        <is>
          <t>CoQ10 100mg Softgels - Qunol Ultra 3X Better Absorption Coenzyme Q10 Supplements - Antioxidant Supplement for Vascular and Heart Health &amp; Energy Production - 5 Month Supply - 150 Count</t>
        </is>
      </c>
      <c r="E45" s="2">
        <f>HYPERLINK("https://www.amazon.com/Qunol-Absorption-Patented-Supplement-Antioxidant/dp/B09Z7W88K9/ref=sr_1_9?keywords=TruNature+Coenzyme+CoQ10+100+mg+-+220+Softgels&amp;qid=1695169744&amp;sr=8-9", "https://www.amazon.com/Qunol-Absorption-Patented-Supplement-Antioxidant/dp/B09Z7W88K9/ref=sr_1_9?keywords=TruNature+Coenzyme+CoQ10+100+mg+-+220+Softgels&amp;qid=1695169744&amp;sr=8-9")</f>
        <v/>
      </c>
      <c r="F45" t="inlineStr">
        <is>
          <t>B09Z7W88K9</t>
        </is>
      </c>
      <c r="G45">
        <f>_xludf.IMAGE("https://www.shelhealth.com/cdn/shop/products/trunature-coenzyme-coq10-100-mg-220-softgels-shelhealth-324.jpg?v=1663371098&amp;width=1946")</f>
        <v/>
      </c>
      <c r="H45">
        <f>_xludf.IMAGE("https://m.media-amazon.com/images/I/71xP7VerO1L._AC_UL320_.jpg")</f>
        <v/>
      </c>
      <c r="K45" t="inlineStr">
        <is>
          <t>22.99</t>
        </is>
      </c>
      <c r="L45" t="n">
        <v>29.98</v>
      </c>
      <c r="M45" s="1" t="inlineStr">
        <is>
          <t>30.40%</t>
        </is>
      </c>
      <c r="N45" s="3" t="n">
        <v>30.4</v>
      </c>
      <c r="O45" t="n">
        <v>4.7</v>
      </c>
      <c r="P45" t="n">
        <v>229</v>
      </c>
      <c r="R45" t="inlineStr">
        <is>
          <t>OutOfStock</t>
        </is>
      </c>
      <c r="S45" t="inlineStr">
        <is>
          <t>22.99</t>
        </is>
      </c>
      <c r="T45" t="inlineStr">
        <is>
          <t>4667690352729</t>
        </is>
      </c>
    </row>
    <row r="46" hidden="1" ht="15.75" customHeight="1">
      <c r="A46" s="2">
        <f>HYPERLINK("https://www.shelhealth.com/products/trunature-coenzyme-coq10-100-mg-220-softgels", "https://www.shelhealth.com/products/trunature-coenzyme-coq10-100-mg-220-softgels")</f>
        <v/>
      </c>
      <c r="B46" s="2">
        <f>HYPERLINK("https://www.shelhealth.com/products/trunature-coenzyme-coq10-100-mg-220-softgels", "https://www.shelhealth.com/products/trunature-coenzyme-coq10-100-mg-220-softgels")</f>
        <v/>
      </c>
      <c r="C46" t="inlineStr">
        <is>
          <t>TruNature Coenzyme CoQ10 100 mg - 220 Softgels</t>
        </is>
      </c>
      <c r="D46" t="inlineStr">
        <is>
          <t>CoQ10 100mg Softgels, Qunol Ultra CoQ10 100mg, 3x Better Absorption, Antioxidant for Heart Health &amp; Energy Production, Coenzyme Q10 Vitamins and Supplements, 4 Month Supply, 60 Count (Pack of 2)</t>
        </is>
      </c>
      <c r="E46" s="2">
        <f>HYPERLINK("https://www.amazon.com/Qunol-Absorption-Patented-Supplement-Antioxidant/dp/B08Z19NG8S/ref=sr_1_8?keywords=TruNature+Coenzyme+CoQ10+100+mg+-+220+Softgels&amp;qid=1695169744&amp;sr=8-8", "https://www.amazon.com/Qunol-Absorption-Patented-Supplement-Antioxidant/dp/B08Z19NG8S/ref=sr_1_8?keywords=TruNature+Coenzyme+CoQ10+100+mg+-+220+Softgels&amp;qid=1695169744&amp;sr=8-8")</f>
        <v/>
      </c>
      <c r="F46" t="inlineStr">
        <is>
          <t>B08Z19NG8S</t>
        </is>
      </c>
      <c r="G46">
        <f>_xludf.IMAGE("https://www.shelhealth.com/cdn/shop/products/trunature-coenzyme-coq10-100-mg-220-softgels-shelhealth-324.jpg?v=1663371098&amp;width=1946")</f>
        <v/>
      </c>
      <c r="H46">
        <f>_xludf.IMAGE("https://m.media-amazon.com/images/I/81Pu41DGepL._AC_UL320_.jpg")</f>
        <v/>
      </c>
      <c r="K46" t="inlineStr">
        <is>
          <t>22.99</t>
        </is>
      </c>
      <c r="L46" t="n">
        <v>27.85</v>
      </c>
      <c r="M46" s="1" t="inlineStr">
        <is>
          <t>21.14%</t>
        </is>
      </c>
      <c r="N46" s="3" t="n">
        <v>21.14</v>
      </c>
      <c r="O46" t="n">
        <v>4.6</v>
      </c>
      <c r="P46" t="n">
        <v>3225</v>
      </c>
      <c r="R46" t="inlineStr">
        <is>
          <t>OutOfStock</t>
        </is>
      </c>
      <c r="S46" t="inlineStr">
        <is>
          <t>22.99</t>
        </is>
      </c>
      <c r="T46" t="inlineStr">
        <is>
          <t>4667690352729</t>
        </is>
      </c>
    </row>
    <row r="47" hidden="1" ht="15.75" customHeight="1">
      <c r="A47" s="2">
        <f>HYPERLINK("https://www.shelhealth.com/products/qunol-mega-ubiquinol-coq10-100mg-120-count-softgels", "https://www.shelhealth.com/products/qunol-mega-ubiquinol-coq10-100mg-120-count-softgels")</f>
        <v/>
      </c>
      <c r="B47" s="2">
        <f>HYPERLINK("https://www.shelhealth.com/products/qunol-mega-ubiquinol-coq10-100mg-120-count-softgels", "https://www.shelhealth.com/products/qunol-mega-ubiquinol-coq10-100mg-120-count-softgels")</f>
        <v/>
      </c>
      <c r="C47" t="inlineStr">
        <is>
          <t>Qunol Mega Ubiquinol CoQ10 100mg, 120 Count Softgels</t>
        </is>
      </c>
      <c r="D47" t="inlineStr">
        <is>
          <t>CoQ10 100mg Softgels, Qunol Ultra CoQ10 100mg, 3x Better Absorption, Antioxidant for Heart Health &amp; Energy Production, Coenzyme Q10 Vitamins and Supplements, 8 Month Supply, 120 Count (Pack of 2)</t>
        </is>
      </c>
      <c r="E47" s="2">
        <f>HYPERLINK("https://www.amazon.com/Qunol-Absorption-Patented-Supplement-Antioxidant/dp/B0732XB19S/ref=sr_1_9?keywords=Qunol+Mega+Ubiquinol+CoQ10+100mg%2C+120+Count+Softgels&amp;qid=1695169736&amp;sr=8-9", "https://www.amazon.com/Qunol-Absorption-Patented-Supplement-Antioxidant/dp/B0732XB19S/ref=sr_1_9?keywords=Qunol+Mega+Ubiquinol+CoQ10+100mg%2C+120+Count+Softgels&amp;qid=1695169736&amp;sr=8-9")</f>
        <v/>
      </c>
      <c r="F47" t="inlineStr">
        <is>
          <t>B0732XB19S</t>
        </is>
      </c>
      <c r="G47">
        <f>_xludf.IMAGE("https://www.shelhealth.com/cdn/shop/products/qunol-mega-ubiquinol-coq10-100mg-120-count-softgels-shelhealth-932.jpg?v=1663372620&amp;width=1946")</f>
        <v/>
      </c>
      <c r="H47">
        <f>_xludf.IMAGE("https://m.media-amazon.com/images/I/81YYPtgPcML._AC_UL320_.jpg")</f>
        <v/>
      </c>
      <c r="K47" t="inlineStr">
        <is>
          <t>54.99</t>
        </is>
      </c>
      <c r="L47" t="n">
        <v>51</v>
      </c>
      <c r="M47" s="1" t="inlineStr">
        <is>
          <t>-7.26%</t>
        </is>
      </c>
      <c r="N47" s="3" t="n">
        <v>-7.26</v>
      </c>
      <c r="O47" t="n">
        <v>4.7</v>
      </c>
      <c r="P47" t="n">
        <v>3058</v>
      </c>
      <c r="R47" t="inlineStr">
        <is>
          <t>InStock</t>
        </is>
      </c>
      <c r="S47" t="inlineStr">
        <is>
          <t>54.99</t>
        </is>
      </c>
      <c r="T47" t="inlineStr">
        <is>
          <t>4695904157785</t>
        </is>
      </c>
    </row>
    <row r="48" hidden="1" ht="15.75" customHeight="1">
      <c r="A48" s="2">
        <f>HYPERLINK("https://www.shelhealth.com/products/qunol-ultra-coq10-100mg-120-count-softgels-1", "https://www.shelhealth.com/products/qunol-ultra-coq10-100mg-120-count-softgels-1")</f>
        <v/>
      </c>
      <c r="B48" s="2">
        <f>HYPERLINK("https://www.shelhealth.com/products/qunol-ultra-coq10-100mg-120-count-softgels-1", "https://www.shelhealth.com/products/qunol-ultra-coq10-100mg-120-count-softgels-1")</f>
        <v/>
      </c>
      <c r="C48" t="inlineStr">
        <is>
          <t>Qunol Ultra CoQ10 100mg, 120 Count Softgels</t>
        </is>
      </c>
      <c r="D48" t="inlineStr">
        <is>
          <t>Ubiquinol CoQ10 100mg Softgels, Qunol Ubiquinol - Active form Of Coenzyme Q10, Antioxidant For Heart Health, Healthy Blood Pressure Levels, Beneficial To Statin Users, 4 Month Supply - 120 Count</t>
        </is>
      </c>
      <c r="E48" s="2">
        <f>HYPERLINK("https://www.amazon.com/Qunol-Ubiquinol-Antioxidant-Production-Supplement/dp/B073VL4WKN/ref=sr_1_10?keywords=Qunol+Ultra+CoQ10+100mg%2C+120+Count+Softgels&amp;qid=1695169743&amp;rdc=1&amp;sr=8-10", "https://www.amazon.com/Qunol-Ubiquinol-Antioxidant-Production-Supplement/dp/B073VL4WKN/ref=sr_1_10?keywords=Qunol+Ultra+CoQ10+100mg%2C+120+Count+Softgels&amp;qid=1695169743&amp;rdc=1&amp;sr=8-10")</f>
        <v/>
      </c>
      <c r="F48" t="inlineStr">
        <is>
          <t>B073VL4WKN</t>
        </is>
      </c>
      <c r="G48">
        <f>_xludf.IMAGE("https://www.shelhealth.com/cdn/shop/products/qunol-ultra-coq10-100mg-120-count-softgels-shelhealth-150.jpg?v=1663371090&amp;width=1946")</f>
        <v/>
      </c>
      <c r="H48">
        <f>_xludf.IMAGE("https://m.media-amazon.com/images/I/610YIIOLSQL._AC_UL320_.jpg")</f>
        <v/>
      </c>
      <c r="K48" t="inlineStr">
        <is>
          <t>38.99</t>
        </is>
      </c>
      <c r="L48" t="n">
        <v>33.99</v>
      </c>
      <c r="M48" s="1" t="inlineStr">
        <is>
          <t>-12.82%</t>
        </is>
      </c>
      <c r="N48" s="3" t="n">
        <v>-12.82</v>
      </c>
      <c r="O48" t="n">
        <v>4.6</v>
      </c>
      <c r="P48" t="n">
        <v>2051</v>
      </c>
      <c r="R48" t="inlineStr">
        <is>
          <t>InStock</t>
        </is>
      </c>
      <c r="S48" t="inlineStr">
        <is>
          <t>38.99</t>
        </is>
      </c>
      <c r="T48" t="inlineStr">
        <is>
          <t>4667682717785</t>
        </is>
      </c>
    </row>
    <row r="49" hidden="1" ht="15.75" customHeight="1">
      <c r="A49" s="2">
        <f>HYPERLINK("https://www.shelhealth.com/products/trunature-coenzyme-coq10-100-mg-220-softgels", "https://www.shelhealth.com/products/trunature-coenzyme-coq10-100-mg-220-softgels")</f>
        <v/>
      </c>
      <c r="B49" s="2">
        <f>HYPERLINK("https://www.shelhealth.com/products/trunature-coenzyme-coq10-100-mg-220-softgels", "https://www.shelhealth.com/products/trunature-coenzyme-coq10-100-mg-220-softgels")</f>
        <v/>
      </c>
      <c r="C49" t="inlineStr">
        <is>
          <t>TruNature Coenzyme CoQ10 100 mg - 220 Softgels</t>
        </is>
      </c>
      <c r="D49" t="inlineStr">
        <is>
          <t>Carlyle CoQ10 100mg | 240 Softgels | Mega Q-Sorb Coenzyme Q-10 | with Black Pepper Extract | Non-GMO, Gluten Free</t>
        </is>
      </c>
      <c r="E49" s="2">
        <f>HYPERLINK("https://www.amazon.com/Softgels-Coenzyme-Extract-Non-GMO-Carlyle/dp/B09R9QZYM1/ref=sr_1_3?keywords=TruNature+Coenzyme+CoQ10+100+mg+-+220+Softgels&amp;qid=1695169744&amp;sr=8-3", "https://www.amazon.com/Softgels-Coenzyme-Extract-Non-GMO-Carlyle/dp/B09R9QZYM1/ref=sr_1_3?keywords=TruNature+Coenzyme+CoQ10+100+mg+-+220+Softgels&amp;qid=1695169744&amp;sr=8-3")</f>
        <v/>
      </c>
      <c r="F49" t="inlineStr">
        <is>
          <t>B09R9QZYM1</t>
        </is>
      </c>
      <c r="G49">
        <f>_xludf.IMAGE("https://www.shelhealth.com/cdn/shop/products/trunature-coenzyme-coq10-100-mg-220-softgels-shelhealth-324.jpg?v=1663371098&amp;width=1946")</f>
        <v/>
      </c>
      <c r="H49">
        <f>_xludf.IMAGE("https://m.media-amazon.com/images/I/61gVspYxpWL._AC_UL320_.jpg")</f>
        <v/>
      </c>
      <c r="K49" t="inlineStr">
        <is>
          <t>22.99</t>
        </is>
      </c>
      <c r="L49" t="n">
        <v>19.99</v>
      </c>
      <c r="M49" s="1" t="inlineStr">
        <is>
          <t>-13.05%</t>
        </is>
      </c>
      <c r="N49" s="3" t="n">
        <v>-13.05</v>
      </c>
      <c r="O49" t="n">
        <v>4.5</v>
      </c>
      <c r="P49" t="n">
        <v>164</v>
      </c>
      <c r="R49" t="inlineStr">
        <is>
          <t>OutOfStock</t>
        </is>
      </c>
      <c r="S49" t="inlineStr">
        <is>
          <t>22.99</t>
        </is>
      </c>
      <c r="T49" t="inlineStr">
        <is>
          <t>4667690352729</t>
        </is>
      </c>
    </row>
    <row r="50" hidden="1" ht="15.75" customHeight="1">
      <c r="A50" s="2">
        <f>HYPERLINK("https://www.shelhealth.com/products/qunol-ultra-coq10-100mg-120-count-softgels-1", "https://www.shelhealth.com/products/qunol-ultra-coq10-100mg-120-count-softgels-1")</f>
        <v/>
      </c>
      <c r="B50" s="2">
        <f>HYPERLINK("https://www.shelhealth.com/products/qunol-ultra-coq10-100mg-120-count-softgels-1", "https://www.shelhealth.com/products/qunol-ultra-coq10-100mg-120-count-softgels-1")</f>
        <v/>
      </c>
      <c r="C50" t="inlineStr">
        <is>
          <t>Qunol Ultra CoQ10 100mg, 120 Count Softgels</t>
        </is>
      </c>
      <c r="D50" t="inlineStr">
        <is>
          <t>CoQ10 100mg Softgels - Qunol Ultra 3X Better Absorption Coenzyme Q10 Supplements - Antioxidant Supplement for Vascular and Heart Health &amp; Energy Production - 5 Month Supply - 150 Count</t>
        </is>
      </c>
      <c r="E50" s="2">
        <f>HYPERLINK("https://www.amazon.com/Qunol-Absorption-Patented-Supplement-Antioxidant/dp/B09Z7W88K9/ref=sr_1_7?keywords=Qunol+Ultra+CoQ10+100mg%2C+120+Count+Softgels&amp;qid=1695169743&amp;sr=8-7", "https://www.amazon.com/Qunol-Absorption-Patented-Supplement-Antioxidant/dp/B09Z7W88K9/ref=sr_1_7?keywords=Qunol+Ultra+CoQ10+100mg%2C+120+Count+Softgels&amp;qid=1695169743&amp;sr=8-7")</f>
        <v/>
      </c>
      <c r="F50" t="inlineStr">
        <is>
          <t>B09Z7W88K9</t>
        </is>
      </c>
      <c r="G50">
        <f>_xludf.IMAGE("https://www.shelhealth.com/cdn/shop/products/qunol-ultra-coq10-100mg-120-count-softgels-shelhealth-150.jpg?v=1663371090&amp;width=1946")</f>
        <v/>
      </c>
      <c r="H50">
        <f>_xludf.IMAGE("https://m.media-amazon.com/images/I/71xP7VerO1L._AC_UL320_.jpg")</f>
        <v/>
      </c>
      <c r="K50" t="inlineStr">
        <is>
          <t>38.99</t>
        </is>
      </c>
      <c r="L50" t="n">
        <v>29.98</v>
      </c>
      <c r="M50" s="1" t="inlineStr">
        <is>
          <t>-23.11%</t>
        </is>
      </c>
      <c r="N50" s="3" t="n">
        <v>-23.11</v>
      </c>
      <c r="O50" t="n">
        <v>4.7</v>
      </c>
      <c r="P50" t="n">
        <v>229</v>
      </c>
      <c r="R50" t="inlineStr">
        <is>
          <t>InStock</t>
        </is>
      </c>
      <c r="S50" t="inlineStr">
        <is>
          <t>38.99</t>
        </is>
      </c>
      <c r="T50" t="inlineStr">
        <is>
          <t>4667682717785</t>
        </is>
      </c>
    </row>
    <row r="51" hidden="1" ht="15.75" customHeight="1">
      <c r="A51" s="2">
        <f>HYPERLINK("https://www.shelhealth.com/products/qunol-ultra-coq10-100mg-120-count-softgels-1", "https://www.shelhealth.com/products/qunol-ultra-coq10-100mg-120-count-softgels-1")</f>
        <v/>
      </c>
      <c r="B51" s="2">
        <f>HYPERLINK("https://www.shelhealth.com/products/qunol-ultra-coq10-100mg-120-count-softgels-1", "https://www.shelhealth.com/products/qunol-ultra-coq10-100mg-120-count-softgels-1")</f>
        <v/>
      </c>
      <c r="C51" t="inlineStr">
        <is>
          <t>Qunol Ultra CoQ10 100mg, 120 Count Softgels</t>
        </is>
      </c>
      <c r="D51" t="inlineStr">
        <is>
          <t>CoQ10 100mg Softgels, Qunol Ultra CoQ10 100mg, 3x Better Absorption, Antioxidant for Heart Health &amp; Energy Production, Coenzyme Q10 Vitamins and Supplements, 3 Month Supply, 90 Count</t>
        </is>
      </c>
      <c r="E51" s="2">
        <f>HYPERLINK("https://www.amazon.com/Qunol-Softgels-Absorption-Coenzyme-Supplements/dp/B0BL1Z8MVD/ref=sr_1_8?keywords=Qunol+Ultra+CoQ10+100mg%2C+120+Count+Softgels&amp;qid=1695169743&amp;rdc=1&amp;sr=8-8", "https://www.amazon.com/Qunol-Softgels-Absorption-Coenzyme-Supplements/dp/B0BL1Z8MVD/ref=sr_1_8?keywords=Qunol+Ultra+CoQ10+100mg%2C+120+Count+Softgels&amp;qid=1695169743&amp;rdc=1&amp;sr=8-8")</f>
        <v/>
      </c>
      <c r="F51" t="inlineStr">
        <is>
          <t>B0BL1Z8MVD</t>
        </is>
      </c>
      <c r="G51">
        <f>_xludf.IMAGE("https://www.shelhealth.com/cdn/shop/products/qunol-ultra-coq10-100mg-120-count-softgels-shelhealth-150.jpg?v=1663371090&amp;width=1946")</f>
        <v/>
      </c>
      <c r="H51">
        <f>_xludf.IMAGE("https://m.media-amazon.com/images/I/71hek3cnEpL._AC_UL320_.jpg")</f>
        <v/>
      </c>
      <c r="K51" t="inlineStr">
        <is>
          <t>38.99</t>
        </is>
      </c>
      <c r="L51" t="n">
        <v>28.44</v>
      </c>
      <c r="M51" s="1" t="inlineStr">
        <is>
          <t>-27.06%</t>
        </is>
      </c>
      <c r="N51" s="3" t="n">
        <v>-27.06</v>
      </c>
      <c r="O51" t="n">
        <v>4.7</v>
      </c>
      <c r="P51" t="n">
        <v>1819</v>
      </c>
      <c r="R51" t="inlineStr">
        <is>
          <t>InStock</t>
        </is>
      </c>
      <c r="S51" t="inlineStr">
        <is>
          <t>38.99</t>
        </is>
      </c>
      <c r="T51" t="inlineStr">
        <is>
          <t>4667682717785</t>
        </is>
      </c>
    </row>
    <row r="52" hidden="1" ht="15.75" customHeight="1">
      <c r="A52" s="2">
        <f>HYPERLINK("https://www.shelhealth.com/products/qunol-ultra-coq10-100mg-120-count-softgels-1", "https://www.shelhealth.com/products/qunol-ultra-coq10-100mg-120-count-softgels-1")</f>
        <v/>
      </c>
      <c r="B52" s="2">
        <f>HYPERLINK("https://www.shelhealth.com/products/qunol-ultra-coq10-100mg-120-count-softgels-1", "https://www.shelhealth.com/products/qunol-ultra-coq10-100mg-120-count-softgels-1")</f>
        <v/>
      </c>
      <c r="C52" t="inlineStr">
        <is>
          <t>Qunol Ultra CoQ10 100mg, 120 Count Softgels</t>
        </is>
      </c>
      <c r="D52" t="inlineStr">
        <is>
          <t>CoQ10 100mg Softgels, Qunol Ultra CoQ10 100mg, 3x Better Absorption, Antioxidant for Heart Health &amp; Energy Production, Coenzyme Q10 Vitamins and Supplements, 4 Month Supply, 60 Count (Pack of 2)</t>
        </is>
      </c>
      <c r="E52" s="2">
        <f>HYPERLINK("https://www.amazon.com/Qunol-Absorption-Patented-Supplement-Antioxidant/dp/B08Z19NG8S/ref=sr_1_3?keywords=Qunol+Ultra+CoQ10+100mg%2C+120+Count+Softgels&amp;qid=1695169743&amp;sr=8-3", "https://www.amazon.com/Qunol-Absorption-Patented-Supplement-Antioxidant/dp/B08Z19NG8S/ref=sr_1_3?keywords=Qunol+Ultra+CoQ10+100mg%2C+120+Count+Softgels&amp;qid=1695169743&amp;sr=8-3")</f>
        <v/>
      </c>
      <c r="F52" t="inlineStr">
        <is>
          <t>B08Z19NG8S</t>
        </is>
      </c>
      <c r="G52">
        <f>_xludf.IMAGE("https://www.shelhealth.com/cdn/shop/products/qunol-ultra-coq10-100mg-120-count-softgels-shelhealth-150.jpg?v=1663371090&amp;width=1946")</f>
        <v/>
      </c>
      <c r="H52">
        <f>_xludf.IMAGE("https://m.media-amazon.com/images/I/81Pu41DGepL._AC_UL320_.jpg")</f>
        <v/>
      </c>
      <c r="K52" t="inlineStr">
        <is>
          <t>38.99</t>
        </is>
      </c>
      <c r="L52" t="n">
        <v>27.85</v>
      </c>
      <c r="M52" s="1" t="inlineStr">
        <is>
          <t>-28.57%</t>
        </is>
      </c>
      <c r="N52" s="3" t="n">
        <v>-28.57</v>
      </c>
      <c r="O52" t="n">
        <v>4.6</v>
      </c>
      <c r="P52" t="n">
        <v>3225</v>
      </c>
      <c r="R52" t="inlineStr">
        <is>
          <t>InStock</t>
        </is>
      </c>
      <c r="S52" t="inlineStr">
        <is>
          <t>38.99</t>
        </is>
      </c>
      <c r="T52" t="inlineStr">
        <is>
          <t>4667682717785</t>
        </is>
      </c>
    </row>
    <row r="53" hidden="1" ht="15.75" customHeight="1">
      <c r="A53" s="2">
        <f>HYPERLINK("https://www.shelhealth.com/products/qunol-liquid-coq10-100mg-for-heart-support-orange-pineapple-flavored-90-servings", "https://www.shelhealth.com/products/qunol-liquid-coq10-100mg-for-heart-support-orange-pineapple-flavored-90-servings")</f>
        <v/>
      </c>
      <c r="B53" s="2">
        <f>HYPERLINK("https://www.shelhealth.com/products/qunol-liquid-coq10-100mg-for-heart-support-orange-pineapple-flavored-90-servings", "https://www.shelhealth.com/products/qunol-liquid-coq10-100mg-for-heart-support-orange-pineapple-flavored-90-servings")</f>
        <v/>
      </c>
      <c r="C53" t="inlineStr">
        <is>
          <t>Qunol Liquid CoQ10 100mg, for Heart Support, Orange Pineapple Flavored, 90 Servings</t>
        </is>
      </c>
      <c r="D53" t="inlineStr">
        <is>
          <t>Qunol CoQ10 Liquid Supplement 100mg, Superior Absorption, Natural Form of Coenzyme Q10, Antioxidant for Heart Health, Orange Pineapple Flavored, 90 Servings, 30.4 oz Bottle</t>
        </is>
      </c>
      <c r="E53" s="2">
        <f>HYPERLINK("https://www.amazon.com/Qunol-Superior-Absorption-Supplement-Antioxidant/dp/B079K4G4JD/ref=sr_1_1?keywords=Qunol+Liquid+CoQ10+100mg%2C+for+Heart+Support%2C+Orange+Pineapple+Flavored%2C+90+Servings&amp;qid=1695169735&amp;sr=8-1", "https://www.amazon.com/Qunol-Superior-Absorption-Supplement-Antioxidant/dp/B079K4G4JD/ref=sr_1_1?keywords=Qunol+Liquid+CoQ10+100mg%2C+for+Heart+Support%2C+Orange+Pineapple+Flavored%2C+90+Servings&amp;qid=1695169735&amp;sr=8-1")</f>
        <v/>
      </c>
      <c r="F53" t="inlineStr">
        <is>
          <t>B079K4G4JD</t>
        </is>
      </c>
      <c r="G53">
        <f>_xludf.IMAGE("https://www.shelhealth.com/cdn/shop/products/qunol-liquid-coq10-100mg-for-heart-support-orange-pineapple-flavored-90-servings-shelhealth-651.jpg?v=1663371065&amp;width=1946")</f>
        <v/>
      </c>
      <c r="H53">
        <f>_xludf.IMAGE("https://m.media-amazon.com/images/I/71tR3xa+9ML._AC_UL320_.jpg")</f>
        <v/>
      </c>
      <c r="K53" t="inlineStr">
        <is>
          <t>52.99</t>
        </is>
      </c>
      <c r="L53" t="n">
        <v>36.99</v>
      </c>
      <c r="M53" s="1" t="inlineStr">
        <is>
          <t>-30.19%</t>
        </is>
      </c>
      <c r="N53" s="3" t="n">
        <v>-30.19</v>
      </c>
      <c r="O53" t="n">
        <v>4.6</v>
      </c>
      <c r="P53" t="n">
        <v>7954</v>
      </c>
      <c r="R53" t="inlineStr">
        <is>
          <t>InStock</t>
        </is>
      </c>
      <c r="S53" t="inlineStr">
        <is>
          <t>52.99</t>
        </is>
      </c>
      <c r="T53" t="inlineStr">
        <is>
          <t>4667662401625</t>
        </is>
      </c>
    </row>
    <row r="54" hidden="1" ht="15.75" customHeight="1">
      <c r="A54" s="2">
        <f>HYPERLINK("https://www.shelhealth.com/products/qunol-mega-ubiquinol-coq10-100mg-antioxidant-for-heart-support-120-softgels", "https://www.shelhealth.com/products/qunol-mega-ubiquinol-coq10-100mg-antioxidant-for-heart-support-120-softgels")</f>
        <v/>
      </c>
      <c r="B54" s="2">
        <f>HYPERLINK("https://www.shelhealth.com/products/qunol-mega-ubiquinol-coq10-100mg-antioxidant-for-heart-support-120-softgels", "https://www.shelhealth.com/products/qunol-mega-ubiquinol-coq10-100mg-antioxidant-for-heart-support-120-softgels")</f>
        <v/>
      </c>
      <c r="C54" t="inlineStr">
        <is>
          <t>Qunol Mega Ubiquinol CoQ10 100mg, Antioxidant for Heart Support, 120 Softgels</t>
        </is>
      </c>
      <c r="D54" t="inlineStr">
        <is>
          <t>Ubiquinol CoQ10 100mg Softgels, Qunol Ubiquinol - Active form Of Coenzyme Q10, Antioxidant For Heart Health, Healthy Blood Pressure Levels, Beneficial To Statin Users, 4 Month Supply - 120 Count</t>
        </is>
      </c>
      <c r="E54" s="2">
        <f>HYPERLINK("https://www.amazon.com/Qunol-Ubiquinol-Antioxidant-Production-Supplement/dp/B073VL4WKN/ref=sr_1_3?keywords=Qunol+Mega+Ubiquinol+CoQ10+100mg%2C+Antioxidant+for+Heart+Support%2C+120+Softgels&amp;qid=1695169750&amp;rdc=1&amp;sr=8-3", "https://www.amazon.com/Qunol-Ubiquinol-Antioxidant-Production-Supplement/dp/B073VL4WKN/ref=sr_1_3?keywords=Qunol+Mega+Ubiquinol+CoQ10+100mg%2C+Antioxidant+for+Heart+Support%2C+120+Softgels&amp;qid=1695169750&amp;rdc=1&amp;sr=8-3")</f>
        <v/>
      </c>
      <c r="F54" t="inlineStr">
        <is>
          <t>B073VL4WKN</t>
        </is>
      </c>
      <c r="G54">
        <f>_xludf.IMAGE("https://www.shelhealth.com/cdn/shop/products/qunol-mega-ubiquinol-coq10-100mg-antioxidant-for-heart-support-120-softgels-shelhealth-851.jpg?v=1663371083&amp;width=1946")</f>
        <v/>
      </c>
      <c r="H54">
        <f>_xludf.IMAGE("https://m.media-amazon.com/images/I/610YIIOLSQL._AC_UL320_.jpg")</f>
        <v/>
      </c>
      <c r="K54" t="inlineStr">
        <is>
          <t>51.99</t>
        </is>
      </c>
      <c r="L54" t="n">
        <v>33.99</v>
      </c>
      <c r="M54" s="1" t="inlineStr">
        <is>
          <t>-34.62%</t>
        </is>
      </c>
      <c r="N54" s="3" t="n">
        <v>-34.62</v>
      </c>
      <c r="O54" t="n">
        <v>4.6</v>
      </c>
      <c r="P54" t="n">
        <v>2051</v>
      </c>
      <c r="R54" t="inlineStr">
        <is>
          <t>InStock</t>
        </is>
      </c>
      <c r="S54" t="inlineStr">
        <is>
          <t>51.99</t>
        </is>
      </c>
      <c r="T54" t="inlineStr">
        <is>
          <t>4667678326873</t>
        </is>
      </c>
    </row>
    <row r="55" hidden="1" ht="15.75" customHeight="1">
      <c r="A55" s="2">
        <f>HYPERLINK("https://www.shelhealth.com/products/qunol-mega-ubiquinol-coq10-100mg-120-count-softgels", "https://www.shelhealth.com/products/qunol-mega-ubiquinol-coq10-100mg-120-count-softgels")</f>
        <v/>
      </c>
      <c r="B55" s="2">
        <f>HYPERLINK("https://www.shelhealth.com/products/qunol-mega-ubiquinol-coq10-100mg-120-count-softgels", "https://www.shelhealth.com/products/qunol-mega-ubiquinol-coq10-100mg-120-count-softgels")</f>
        <v/>
      </c>
      <c r="C55" t="inlineStr">
        <is>
          <t>Qunol Mega Ubiquinol CoQ10 100mg, 120 Count Softgels</t>
        </is>
      </c>
      <c r="D55" t="inlineStr">
        <is>
          <t>Ubiquinol CoQ10 100mg Softgels, Qunol Mega Ubiquinol 100mg - Superior Absorption - Active form of Coenzyme Q10 for Heart Health - 4 Month Supply - 120 Count</t>
        </is>
      </c>
      <c r="E55" s="2">
        <f>HYPERLINK("https://www.amazon.com/Qunol-Ubiquinol-Absorption-Supplement-Antioxidant/dp/B005CGA9EY/ref=sr_1_1?keywords=Qunol+Mega+Ubiquinol+CoQ10+100mg%2C+120+Count+Softgels&amp;qid=1695169736&amp;sr=8-1", "https://www.amazon.com/Qunol-Ubiquinol-Absorption-Supplement-Antioxidant/dp/B005CGA9EY/ref=sr_1_1?keywords=Qunol+Mega+Ubiquinol+CoQ10+100mg%2C+120+Count+Softgels&amp;qid=1695169736&amp;sr=8-1")</f>
        <v/>
      </c>
      <c r="F55" t="inlineStr">
        <is>
          <t>B005CGA9EY</t>
        </is>
      </c>
      <c r="G55">
        <f>_xludf.IMAGE("https://www.shelhealth.com/cdn/shop/products/qunol-mega-ubiquinol-coq10-100mg-120-count-softgels-shelhealth-932.jpg?v=1663372620&amp;width=1946")</f>
        <v/>
      </c>
      <c r="H55">
        <f>_xludf.IMAGE("https://m.media-amazon.com/images/I/71msi0i7BVL._AC_UL320_.jpg")</f>
        <v/>
      </c>
      <c r="K55" t="inlineStr">
        <is>
          <t>54.99</t>
        </is>
      </c>
      <c r="L55" t="n">
        <v>34.95</v>
      </c>
      <c r="M55" s="1" t="inlineStr">
        <is>
          <t>-36.44%</t>
        </is>
      </c>
      <c r="N55" s="3" t="n">
        <v>-36.44</v>
      </c>
      <c r="O55" t="n">
        <v>4.7</v>
      </c>
      <c r="P55" t="n">
        <v>20796</v>
      </c>
      <c r="R55" t="inlineStr">
        <is>
          <t>InStock</t>
        </is>
      </c>
      <c r="S55" t="inlineStr">
        <is>
          <t>54.99</t>
        </is>
      </c>
      <c r="T55" t="inlineStr">
        <is>
          <t>4695904157785</t>
        </is>
      </c>
    </row>
    <row r="56" hidden="1" ht="15.75" customHeight="1">
      <c r="A56" s="2">
        <f>HYPERLINK("https://www.shelhealth.com/products/qunol-mega-ubiquinol-coq10-100mg-120-count-softgels", "https://www.shelhealth.com/products/qunol-mega-ubiquinol-coq10-100mg-120-count-softgels")</f>
        <v/>
      </c>
      <c r="B56" s="2">
        <f>HYPERLINK("https://www.shelhealth.com/products/qunol-mega-ubiquinol-coq10-100mg-120-count-softgels", "https://www.shelhealth.com/products/qunol-mega-ubiquinol-coq10-100mg-120-count-softgels")</f>
        <v/>
      </c>
      <c r="C56" t="inlineStr">
        <is>
          <t>Qunol Mega Ubiquinol CoQ10 100mg, 120 Count Softgels</t>
        </is>
      </c>
      <c r="D56" t="inlineStr">
        <is>
          <t>Ubiquinol CoQ10 100mg Softgels, Qunol Ubiquinol - Active form Of Coenzyme Q10, Antioxidant For Heart Health, Healthy Blood Pressure Levels, Beneficial To Statin Users, 4 Month Supply - 120 Count</t>
        </is>
      </c>
      <c r="E56" s="2">
        <f>HYPERLINK("https://www.amazon.com/Qunol-Ubiquinol-Antioxidant-Production-Supplement/dp/B073VL4WKN/ref=sr_1_4?keywords=Qunol+Mega+Ubiquinol+CoQ10+100mg%2C+120+Count+Softgels&amp;qid=1695169736&amp;rdc=1&amp;sr=8-4", "https://www.amazon.com/Qunol-Ubiquinol-Antioxidant-Production-Supplement/dp/B073VL4WKN/ref=sr_1_4?keywords=Qunol+Mega+Ubiquinol+CoQ10+100mg%2C+120+Count+Softgels&amp;qid=1695169736&amp;rdc=1&amp;sr=8-4")</f>
        <v/>
      </c>
      <c r="F56" t="inlineStr">
        <is>
          <t>B073VL4WKN</t>
        </is>
      </c>
      <c r="G56">
        <f>_xludf.IMAGE("https://www.shelhealth.com/cdn/shop/products/qunol-mega-ubiquinol-coq10-100mg-120-count-softgels-shelhealth-932.jpg?v=1663372620&amp;width=1946")</f>
        <v/>
      </c>
      <c r="H56">
        <f>_xludf.IMAGE("https://m.media-amazon.com/images/I/610YIIOLSQL._AC_UL320_.jpg")</f>
        <v/>
      </c>
      <c r="K56" t="inlineStr">
        <is>
          <t>54.99</t>
        </is>
      </c>
      <c r="L56" t="n">
        <v>33.99</v>
      </c>
      <c r="M56" s="1" t="inlineStr">
        <is>
          <t>-38.19%</t>
        </is>
      </c>
      <c r="N56" s="3" t="n">
        <v>-38.19</v>
      </c>
      <c r="O56" t="n">
        <v>4.6</v>
      </c>
      <c r="P56" t="n">
        <v>2051</v>
      </c>
      <c r="R56" t="inlineStr">
        <is>
          <t>InStock</t>
        </is>
      </c>
      <c r="S56" t="inlineStr">
        <is>
          <t>54.99</t>
        </is>
      </c>
      <c r="T56" t="inlineStr">
        <is>
          <t>4695904157785</t>
        </is>
      </c>
    </row>
    <row r="57" hidden="1" ht="15.75" customHeight="1">
      <c r="A57" s="2">
        <f>HYPERLINK("https://www.shelhealth.com/products/weider-artery-health-with-vitamin-k2-60-veggie-caps", "https://www.shelhealth.com/products/weider-artery-health-with-vitamin-k2-60-veggie-caps")</f>
        <v/>
      </c>
      <c r="B57" s="2">
        <f>HYPERLINK("https://www.shelhealth.com/products/weider-artery-health-with-vitamin-k2-60-veggie-caps", "https://www.shelhealth.com/products/weider-artery-health-with-vitamin-k2-60-veggie-caps")</f>
        <v/>
      </c>
      <c r="C57" t="inlineStr">
        <is>
          <t>Weider Artery Health Supplement with Vitamin K2, 60 Veggie Caps</t>
        </is>
      </c>
      <c r="D57" t="inlineStr">
        <is>
          <t>Weider Artery Health for Heart, Immune and Bone Support with Vitamin K2 (180mcg) &amp; Vitamin D3 (5000iu), 30 Veggie Capsules</t>
        </is>
      </c>
      <c r="E57" s="2">
        <f>HYPERLINK("https://www.amazon.com/Artery-Health-Support-Vitamin-Capsules/dp/B0B5FJXJGQ/ref=sr_1_1?keywords=Weider+Artery+Health+Supplement+with+Vitamin+K2%2C+60+Veggie+Caps&amp;qid=1695169739&amp;sr=8-1", "https://www.amazon.com/Artery-Health-Support-Vitamin-Capsules/dp/B0B5FJXJGQ/ref=sr_1_1?keywords=Weider+Artery+Health+Supplement+with+Vitamin+K2%2C+60+Veggie+Caps&amp;qid=1695169739&amp;sr=8-1")</f>
        <v/>
      </c>
      <c r="F57" t="inlineStr">
        <is>
          <t>B0B5FJXJGQ</t>
        </is>
      </c>
      <c r="G57">
        <f>_xludf.IMAGE("https://www.shelhealth.com/cdn/shop/products/weider-artery-health-supplement-with-vitamin-k2-60-veggie-caps-shelhealth-784.jpg?v=1663337793&amp;width=1946")</f>
        <v/>
      </c>
      <c r="H57">
        <f>_xludf.IMAGE("https://m.media-amazon.com/images/I/713NhuewITL._AC_UL320_.jpg")</f>
        <v/>
      </c>
      <c r="K57" t="inlineStr">
        <is>
          <t>35.99</t>
        </is>
      </c>
      <c r="L57" t="n">
        <v>17.99</v>
      </c>
      <c r="M57" s="1" t="inlineStr">
        <is>
          <t>-50.01%</t>
        </is>
      </c>
      <c r="N57" s="3" t="n">
        <v>-50.01</v>
      </c>
      <c r="O57" t="n">
        <v>4.1</v>
      </c>
      <c r="P57" t="n">
        <v>45</v>
      </c>
      <c r="R57" t="inlineStr">
        <is>
          <t>InStock</t>
        </is>
      </c>
      <c r="S57" t="inlineStr">
        <is>
          <t>35.99</t>
        </is>
      </c>
      <c r="T57" t="inlineStr">
        <is>
          <t>3778626650164</t>
        </is>
      </c>
    </row>
    <row r="58" hidden="1" ht="15.75" customHeight="1">
      <c r="A58" s="2">
        <f>HYPERLINK("https://www.shelhealth.com/products/qunol-mega-ubiquinol-coq10-100mg-120-count-softgels", "https://www.shelhealth.com/products/qunol-mega-ubiquinol-coq10-100mg-120-count-softgels")</f>
        <v/>
      </c>
      <c r="B58" s="2">
        <f>HYPERLINK("https://www.shelhealth.com/products/qunol-mega-ubiquinol-coq10-100mg-120-count-softgels", "https://www.shelhealth.com/products/qunol-mega-ubiquinol-coq10-100mg-120-count-softgels")</f>
        <v/>
      </c>
      <c r="C58" t="inlineStr">
        <is>
          <t>Qunol Mega Ubiquinol CoQ10 100mg, 120 Count Softgels</t>
        </is>
      </c>
      <c r="D58" t="inlineStr">
        <is>
          <t>Qunol Ubiquinol CoQ10 100mg Softgels, Mega Ubiquinol 100mg - Superior Absorption - Active Form of Coenzyme Q10 for Heart Health &amp; Healthy Blood Pressure Levels - 2 Month Supply - 60 Count</t>
        </is>
      </c>
      <c r="E58" s="2">
        <f>HYPERLINK("https://www.amazon.com/Qunol-Ubiquinol-Absorption-Supplement-Antioxidant/dp/B07M8S664L/ref=sr_1_2?keywords=Qunol+Mega+Ubiquinol+CoQ10+100mg%2C+120+Count+Softgels&amp;qid=1695169736&amp;sr=8-2", "https://www.amazon.com/Qunol-Ubiquinol-Absorption-Supplement-Antioxidant/dp/B07M8S664L/ref=sr_1_2?keywords=Qunol+Mega+Ubiquinol+CoQ10+100mg%2C+120+Count+Softgels&amp;qid=1695169736&amp;sr=8-2")</f>
        <v/>
      </c>
      <c r="F58" t="inlineStr">
        <is>
          <t>B07M8S664L</t>
        </is>
      </c>
      <c r="G58">
        <f>_xludf.IMAGE("https://www.shelhealth.com/cdn/shop/products/qunol-mega-ubiquinol-coq10-100mg-120-count-softgels-shelhealth-932.jpg?v=1663372620&amp;width=1946")</f>
        <v/>
      </c>
      <c r="H58">
        <f>_xludf.IMAGE("https://m.media-amazon.com/images/I/71uN2OrizfL._AC_UL320_.jpg")</f>
        <v/>
      </c>
      <c r="K58" t="inlineStr">
        <is>
          <t>54.99</t>
        </is>
      </c>
      <c r="L58" t="n">
        <v>21.88</v>
      </c>
      <c r="M58" s="1" t="inlineStr">
        <is>
          <t>-60.21%</t>
        </is>
      </c>
      <c r="N58" s="3" t="n">
        <v>-60.21</v>
      </c>
      <c r="O58" t="n">
        <v>4.7</v>
      </c>
      <c r="P58" t="n">
        <v>476</v>
      </c>
      <c r="R58" t="inlineStr">
        <is>
          <t>InStock</t>
        </is>
      </c>
      <c r="S58" t="inlineStr">
        <is>
          <t>54.99</t>
        </is>
      </c>
      <c r="T58" t="inlineStr">
        <is>
          <t>4695904157785</t>
        </is>
      </c>
    </row>
    <row r="59" hidden="1" ht="15.75" customHeight="1">
      <c r="A59" s="2">
        <f>HYPERLINK("https://www.shelhealth.com/products/weider-artery-health-with-vitamin-k2-60-veggie-caps", "https://www.shelhealth.com/products/weider-artery-health-with-vitamin-k2-60-veggie-caps")</f>
        <v/>
      </c>
      <c r="B59" s="2">
        <f>HYPERLINK("https://www.shelhealth.com/products/weider-artery-health-with-vitamin-k2-60-veggie-caps", "https://www.shelhealth.com/products/weider-artery-health-with-vitamin-k2-60-veggie-caps")</f>
        <v/>
      </c>
      <c r="C59" t="inlineStr">
        <is>
          <t>Weider Artery Health Supplement with Vitamin K2, 60 Veggie Caps</t>
        </is>
      </c>
      <c r="D59" t="inlineStr">
        <is>
          <t>Doctor's Best Natural Vitamin K2 Mk-7 with MenaQ7, 100mcg Vitamin K2 Supplement Supports Bone Health, Non-GMO, 60 Veggie Capsules</t>
        </is>
      </c>
      <c r="E59" s="2">
        <f>HYPERLINK("https://www.amazon.com/Doctors-Best-Natural-Vitamin-Non-GMO/dp/B00O4BQIQQ/ref=sr_1_2?keywords=Weider+Artery+Health+Supplement+with+Vitamin+K2%2C+60+Veggie+Caps&amp;qid=1695169739&amp;sr=8-2", "https://www.amazon.com/Doctors-Best-Natural-Vitamin-Non-GMO/dp/B00O4BQIQQ/ref=sr_1_2?keywords=Weider+Artery+Health+Supplement+with+Vitamin+K2%2C+60+Veggie+Caps&amp;qid=1695169739&amp;sr=8-2")</f>
        <v/>
      </c>
      <c r="F59" t="inlineStr">
        <is>
          <t>B00O4BQIQQ</t>
        </is>
      </c>
      <c r="G59">
        <f>_xludf.IMAGE("https://www.shelhealth.com/cdn/shop/products/weider-artery-health-supplement-with-vitamin-k2-60-veggie-caps-shelhealth-784.jpg?v=1663337793&amp;width=1946")</f>
        <v/>
      </c>
      <c r="H59">
        <f>_xludf.IMAGE("https://m.media-amazon.com/images/I/61UxeNGlsmL._AC_UL320_.jpg")</f>
        <v/>
      </c>
      <c r="K59" t="inlineStr">
        <is>
          <t>35.99</t>
        </is>
      </c>
      <c r="L59" t="n">
        <v>12.04</v>
      </c>
      <c r="M59" s="1" t="inlineStr">
        <is>
          <t>-66.55%</t>
        </is>
      </c>
      <c r="N59" s="3" t="n">
        <v>-66.55</v>
      </c>
      <c r="O59" t="n">
        <v>4.7</v>
      </c>
      <c r="P59" t="n">
        <v>5290</v>
      </c>
      <c r="R59" t="inlineStr">
        <is>
          <t>InStock</t>
        </is>
      </c>
      <c r="S59" t="inlineStr">
        <is>
          <t>35.99</t>
        </is>
      </c>
      <c r="T59" t="inlineStr">
        <is>
          <t>3778626650164</t>
        </is>
      </c>
    </row>
    <row r="60" ht="75" customHeight="1">
      <c r="A60" s="2">
        <f>HYPERLINK("https://www.shelhealth.com/products/q-tips-cotton-swabs-1875-count", "https://www.shelhealth.com/products/q-tips-cotton-swabs-1875-count")</f>
        <v/>
      </c>
      <c r="B60" s="2">
        <f>HYPERLINK("https://www.shelhealth.com/products/q-tips-cotton-swabs-1875-count", "https://www.shelhealth.com/products/q-tips-cotton-swabs-1875-count")</f>
        <v/>
      </c>
      <c r="C60" t="inlineStr">
        <is>
          <t>Q-Tips Cotton Swabs - 1875 Count</t>
        </is>
      </c>
      <c r="D60" t="inlineStr">
        <is>
          <t>6 Wholesale Lots 3 Pack Q-Tips Cotton Swabs 1875 Count, Total 11,250 Cotton Swabs</t>
        </is>
      </c>
      <c r="E60" s="2">
        <f>HYPERLINK("https://www.amazon.com/Wholesale-Q-Tips-Cotton-Swabs-Count/dp/B00MU96QAW/ref=sr_1_5?keywords=Q-Tips+Cotton+Swabs+-+1875+Count&amp;qid=1695169762&amp;sr=8-5", "https://www.amazon.com/Wholesale-Q-Tips-Cotton-Swabs-Count/dp/B00MU96QAW/ref=sr_1_5?keywords=Q-Tips+Cotton+Swabs+-+1875+Count&amp;qid=1695169762&amp;sr=8-5")</f>
        <v/>
      </c>
      <c r="F60" t="inlineStr">
        <is>
          <t>B00MU96QAW</t>
        </is>
      </c>
      <c r="G60">
        <f>_xlfn.IMAGE("https://www.shelhealth.com/cdn/shop/products/q-tips-cotton-swabs-1875-count-shelhealth-397.jpg?v=1663338400&amp;width=1946")</f>
        <v/>
      </c>
      <c r="H60">
        <f>_xlfn.IMAGE("https://m.media-amazon.com/images/I/41wtrj244+L._AC_UL320_.jpg")</f>
        <v/>
      </c>
      <c r="K60" t="inlineStr">
        <is>
          <t>13.99</t>
        </is>
      </c>
      <c r="L60" t="n">
        <v>96</v>
      </c>
      <c r="M60" s="1" t="inlineStr">
        <is>
          <t>586.20%</t>
        </is>
      </c>
      <c r="N60" s="3" t="n">
        <v>586.2</v>
      </c>
      <c r="O60" t="n">
        <v>5</v>
      </c>
      <c r="P60" t="n">
        <v>1</v>
      </c>
      <c r="R60" t="inlineStr">
        <is>
          <t>InStock</t>
        </is>
      </c>
      <c r="S60" t="inlineStr">
        <is>
          <t>13.99</t>
        </is>
      </c>
      <c r="T60" t="inlineStr">
        <is>
          <t>3785311223860</t>
        </is>
      </c>
    </row>
    <row r="61" ht="75" customHeight="1">
      <c r="A61" s="2">
        <f>HYPERLINK("https://www.shelhealth.com/products/conair-reflections-double-sided-led-lighted-vanity-makeup-mirror-1x-10x-magnification", "https://www.shelhealth.com/products/conair-reflections-double-sided-led-lighted-vanity-makeup-mirror-1x-10x-magnification")</f>
        <v/>
      </c>
      <c r="B61" s="2">
        <f>HYPERLINK("https://www.shelhealth.com/products/conair-reflections-double-sided-led-lighted-vanity-makeup-mirror-1x-10x-magnification", "https://www.shelhealth.com/products/conair-reflections-double-sided-led-lighted-vanity-makeup-mirror-1x-10x-magnification")</f>
        <v/>
      </c>
      <c r="C61" t="inlineStr">
        <is>
          <t>Conair Reflections Double Sided LED Lighted Vanity Makeup Mirror, 1x/10x magnification</t>
        </is>
      </c>
      <c r="D61" t="inlineStr">
        <is>
          <t>Conair Reflections Double-Sided LED Lighted Tabletop Mount Vanity Makeup Mirror, 1x/10x magnification, Satin Nickel</t>
        </is>
      </c>
      <c r="E61" s="2">
        <f>HYPERLINK("https://www.amazon.com/Conair-Double-Sided-Lighted-Makeup-Mirror/dp/B003GCA4TQ/ref=sr_1_1?keywords=Conair+Reflections+Double+Sided+LED+Lighted+Vanity+Makeup+Mirror%2C+1x%2F10x+magnification&amp;qid=1695169774&amp;sr=8-1", "https://www.amazon.com/Conair-Double-Sided-Lighted-Makeup-Mirror/dp/B003GCA4TQ/ref=sr_1_1?keywords=Conair+Reflections+Double+Sided+LED+Lighted+Vanity+Makeup+Mirror%2C+1x%2F10x+magnification&amp;qid=1695169774&amp;sr=8-1")</f>
        <v/>
      </c>
      <c r="F61" t="inlineStr">
        <is>
          <t>B003GCA4TQ</t>
        </is>
      </c>
      <c r="G61">
        <f>_xlfn.IMAGE("https://www.shelhealth.com/cdn/shop/products/conair-reflections-double-sided-led-lighted-vanity-makeup-mirror-1x10x-magnification-shelhealth-695.jpg?v=1663373815&amp;width=1946")</f>
        <v/>
      </c>
      <c r="H61">
        <f>_xlfn.IMAGE("https://m.media-amazon.com/images/I/61ORlXzR1YL._AC_UL320_.jpg")</f>
        <v/>
      </c>
      <c r="K61" t="inlineStr">
        <is>
          <t>43.99</t>
        </is>
      </c>
      <c r="L61" t="n">
        <v>114.99</v>
      </c>
      <c r="M61" s="1" t="inlineStr">
        <is>
          <t>161.40%</t>
        </is>
      </c>
      <c r="N61" s="3" t="n">
        <v>161.4</v>
      </c>
      <c r="O61" t="n">
        <v>4.2</v>
      </c>
      <c r="P61" t="n">
        <v>835</v>
      </c>
      <c r="R61" t="inlineStr">
        <is>
          <t>InStock</t>
        </is>
      </c>
      <c r="S61" t="inlineStr">
        <is>
          <t>43.99</t>
        </is>
      </c>
      <c r="T61" t="inlineStr">
        <is>
          <t>4710428049497</t>
        </is>
      </c>
    </row>
    <row r="62" hidden="1" ht="15.75" customHeight="1">
      <c r="A62" s="2">
        <f>HYPERLINK("https://www.shelhealth.com/products/neutrogena-hydro-boost-hyaluronic-acid-hydrating-water-face-gel-moisturizer-for-dry-skin-1-7-fl-oz-2-pack", "https://www.shelhealth.com/products/neutrogena-hydro-boost-hyaluronic-acid-hydrating-water-face-gel-moisturizer-for-dry-skin-1-7-fl-oz-2-pack")</f>
        <v/>
      </c>
      <c r="B62" s="2">
        <f>HYPERLINK("https://www.shelhealth.com/products/neutrogena-hydro-boost-hyaluronic-acid-hydrating-water-face-gel-moisturizer-for-dry-skin-1-7-fl-oz-2-pack", "https://www.shelhealth.com/products/neutrogena-hydro-boost-hyaluronic-acid-hydrating-water-face-gel-moisturizer-for-dry-skin-1-7-fl-oz-2-pack")</f>
        <v/>
      </c>
      <c r="C62" t="inlineStr">
        <is>
          <t>Neutrogena Hydro Boost Hyaluronic Acid Hydrating Water Face Gel Moisturizer for Dry Skin, 1.7 fl. oz (2 pack)</t>
        </is>
      </c>
      <c r="D62" t="inlineStr">
        <is>
          <t>Neutrogena Hydro Boost Hyaluronic Acid Hydrating Water Face Gel Moisturizer for Dry Skin, Oil-Free, Non Comedogenic, Travel Size.5 oz (Pack of 12)</t>
        </is>
      </c>
      <c r="E62" s="2" t="n"/>
      <c r="F62" t="inlineStr">
        <is>
          <t>B084QW3764</t>
        </is>
      </c>
      <c r="G62">
        <f>_xludf.IMAGE("https://www.shelhealth.com/cdn/shop/products/neutrogena-hydro-boost-hyaluronic-acid-hydrating-water-face-gel-moisturizer-for-dry-skin-1-7-fl-oz-2-pack-shelhealth-356.jpg?v=1663342777&amp;width=1946")</f>
        <v/>
      </c>
      <c r="H62">
        <f>_xludf.IMAGE("https://m.media-amazon.com/images/I/81be7tW93qL._AC_UL320_.jpg")</f>
        <v/>
      </c>
      <c r="K62" t="inlineStr">
        <is>
          <t>35.99</t>
        </is>
      </c>
      <c r="L62" t="n">
        <v>68.98999999999999</v>
      </c>
      <c r="M62" s="1" t="inlineStr">
        <is>
          <t>91.69%</t>
        </is>
      </c>
      <c r="N62" s="3" t="n">
        <v>91.69</v>
      </c>
      <c r="O62" t="n">
        <v>3.1</v>
      </c>
      <c r="P62" t="n">
        <v>8</v>
      </c>
      <c r="R62" t="inlineStr">
        <is>
          <t>InStock</t>
        </is>
      </c>
      <c r="S62" t="inlineStr">
        <is>
          <t>35.99</t>
        </is>
      </c>
      <c r="T62" t="inlineStr">
        <is>
          <t>3817379364916</t>
        </is>
      </c>
    </row>
    <row r="63" hidden="1" ht="15.75" customHeight="1">
      <c r="A63" s="2">
        <f>HYPERLINK("https://www.shelhealth.com/products/conair-reflections-double-sided-led-lighted-vanity-makeup-mirror-1x-10x-magnification", "https://www.shelhealth.com/products/conair-reflections-double-sided-led-lighted-vanity-makeup-mirror-1x-10x-magnification")</f>
        <v/>
      </c>
      <c r="B63" s="2">
        <f>HYPERLINK("https://www.shelhealth.com/products/conair-reflections-double-sided-led-lighted-vanity-makeup-mirror-1x-10x-magnification", "https://www.shelhealth.com/products/conair-reflections-double-sided-led-lighted-vanity-makeup-mirror-1x-10x-magnification")</f>
        <v/>
      </c>
      <c r="C63" t="inlineStr">
        <is>
          <t>Conair Reflections Double Sided LED Lighted Vanity Makeup Mirror, 1x/10x magnification</t>
        </is>
      </c>
      <c r="D63" t="inlineStr">
        <is>
          <t>Conair Tabletop Mount Reflections Double-sided Incandescent Lighted Vanity Makeup Mirror, 1x/7x magnification, Matte Black finish</t>
        </is>
      </c>
      <c r="E63" s="2">
        <f>HYPERLINK("https://www.amazon.com/Conair-Control-Double-Sided-Lighted-Makeup/dp/B007RX2TSO/ref=sr_1_3?keywords=Conair+Reflections+Double+Sided+LED+Lighted+Vanity+Makeup+Mirror%2C+1x%2F10x+magnification&amp;qid=1695169774&amp;sr=8-3", "https://www.amazon.com/Conair-Control-Double-Sided-Lighted-Makeup/dp/B007RX2TSO/ref=sr_1_3?keywords=Conair+Reflections+Double+Sided+LED+Lighted+Vanity+Makeup+Mirror%2C+1x%2F10x+magnification&amp;qid=1695169774&amp;sr=8-3")</f>
        <v/>
      </c>
      <c r="F63" t="inlineStr">
        <is>
          <t>B007RX2TSO</t>
        </is>
      </c>
      <c r="G63">
        <f>_xludf.IMAGE("https://www.shelhealth.com/cdn/shop/products/conair-reflections-double-sided-led-lighted-vanity-makeup-mirror-1x10x-magnification-shelhealth-695.jpg?v=1663373815&amp;width=1946")</f>
        <v/>
      </c>
      <c r="H63">
        <f>_xludf.IMAGE("https://m.media-amazon.com/images/I/61CNW9jlhfL._AC_UL320_.jpg")</f>
        <v/>
      </c>
      <c r="K63" t="inlineStr">
        <is>
          <t>43.99</t>
        </is>
      </c>
      <c r="L63" t="n">
        <v>69.98999999999999</v>
      </c>
      <c r="M63" s="1" t="inlineStr">
        <is>
          <t>59.10%</t>
        </is>
      </c>
      <c r="N63" s="3" t="n">
        <v>59.1</v>
      </c>
      <c r="O63" t="n">
        <v>4.1</v>
      </c>
      <c r="P63" t="n">
        <v>2436</v>
      </c>
      <c r="R63" t="inlineStr">
        <is>
          <t>InStock</t>
        </is>
      </c>
      <c r="S63" t="inlineStr">
        <is>
          <t>43.99</t>
        </is>
      </c>
      <c r="T63" t="inlineStr">
        <is>
          <t>4710428049497</t>
        </is>
      </c>
    </row>
    <row r="64" hidden="1" ht="15.75" customHeight="1">
      <c r="A64" s="2">
        <f>HYPERLINK("https://www.shelhealth.com/products/q-tips-cotton-swabs-1875-count", "https://www.shelhealth.com/products/q-tips-cotton-swabs-1875-count")</f>
        <v/>
      </c>
      <c r="B64" s="2">
        <f>HYPERLINK("https://www.shelhealth.com/products/q-tips-cotton-swabs-1875-count", "https://www.shelhealth.com/products/q-tips-cotton-swabs-1875-count")</f>
        <v/>
      </c>
      <c r="C64" t="inlineStr">
        <is>
          <t>Q-Tips Cotton Swabs - 1875 Count</t>
        </is>
      </c>
      <c r="D64" t="inlineStr">
        <is>
          <t>Q-tips Ultimate Home &amp; Beauty Tool Multipurpose Cotton Swabs - 1875 Count</t>
        </is>
      </c>
      <c r="E64" s="2">
        <f>HYPERLINK("https://www.amazon.com/Q-tips-Ultimate-Beauty-Multipurpose-Cotton/dp/B07GZ2Y35V/ref=sr_1_2?keywords=Q-Tips+Cotton+Swabs+-+1875+Count&amp;qid=1695169762&amp;sr=8-2", "https://www.amazon.com/Q-tips-Ultimate-Beauty-Multipurpose-Cotton/dp/B07GZ2Y35V/ref=sr_1_2?keywords=Q-Tips+Cotton+Swabs+-+1875+Count&amp;qid=1695169762&amp;sr=8-2")</f>
        <v/>
      </c>
      <c r="F64" t="inlineStr">
        <is>
          <t>B07GZ2Y35V</t>
        </is>
      </c>
      <c r="G64">
        <f>_xludf.IMAGE("https://www.shelhealth.com/cdn/shop/products/q-tips-cotton-swabs-1875-count-shelhealth-397.jpg?v=1663338400&amp;width=1946")</f>
        <v/>
      </c>
      <c r="H64">
        <f>_xludf.IMAGE("https://m.media-amazon.com/images/I/71NljOpC5zL._AC_UL320_.jpg")</f>
        <v/>
      </c>
      <c r="K64" t="inlineStr">
        <is>
          <t>13.99</t>
        </is>
      </c>
      <c r="L64" t="n">
        <v>21.95</v>
      </c>
      <c r="M64" s="1" t="inlineStr">
        <is>
          <t>56.90%</t>
        </is>
      </c>
      <c r="N64" s="3" t="n">
        <v>56.9</v>
      </c>
      <c r="O64" t="n">
        <v>5</v>
      </c>
      <c r="P64" t="n">
        <v>1</v>
      </c>
      <c r="R64" t="inlineStr">
        <is>
          <t>InStock</t>
        </is>
      </c>
      <c r="S64" t="inlineStr">
        <is>
          <t>13.99</t>
        </is>
      </c>
      <c r="T64" t="inlineStr">
        <is>
          <t>3785311223860</t>
        </is>
      </c>
    </row>
    <row r="65" hidden="1" ht="15.75" customHeight="1">
      <c r="A65" s="2">
        <f>HYPERLINK("https://www.shelhealth.com/products/conair-reflections-double-sided-led-lighted-vanity-makeup-mirror-1x-10x-magnification", "https://www.shelhealth.com/products/conair-reflections-double-sided-led-lighted-vanity-makeup-mirror-1x-10x-magnification")</f>
        <v/>
      </c>
      <c r="B65" s="2">
        <f>HYPERLINK("https://www.shelhealth.com/products/conair-reflections-double-sided-led-lighted-vanity-makeup-mirror-1x-10x-magnification", "https://www.shelhealth.com/products/conair-reflections-double-sided-led-lighted-vanity-makeup-mirror-1x-10x-magnification")</f>
        <v/>
      </c>
      <c r="C65" t="inlineStr">
        <is>
          <t>Conair Reflections Double Sided LED Lighted Vanity Makeup Mirror, 1x/10x magnification</t>
        </is>
      </c>
      <c r="D65" t="inlineStr">
        <is>
          <t>Conair Reflections LED Lighted Mirror, Double-Sided with 1x 10x Magnification</t>
        </is>
      </c>
      <c r="E65" s="2">
        <f>HYPERLINK("https://www.amazon.com/Conair-Reflections-Lighted-Double-Sided-Magnification/dp/B09QZ3WKTP/ref=sr_1_2?keywords=Conair+Reflections+Double+Sided+LED+Lighted+Vanity+Makeup+Mirror%2C+1x%2F10x+magnification&amp;qid=1695169774&amp;sr=8-2", "https://www.amazon.com/Conair-Reflections-Lighted-Double-Sided-Magnification/dp/B09QZ3WKTP/ref=sr_1_2?keywords=Conair+Reflections+Double+Sided+LED+Lighted+Vanity+Makeup+Mirror%2C+1x%2F10x+magnification&amp;qid=1695169774&amp;sr=8-2")</f>
        <v/>
      </c>
      <c r="F65" t="inlineStr">
        <is>
          <t>B09QZ3WKTP</t>
        </is>
      </c>
      <c r="G65">
        <f>_xludf.IMAGE("https://www.shelhealth.com/cdn/shop/products/conair-reflections-double-sided-led-lighted-vanity-makeup-mirror-1x10x-magnification-shelhealth-695.jpg?v=1663373815&amp;width=1946")</f>
        <v/>
      </c>
      <c r="H65">
        <f>_xludf.IMAGE("https://m.media-amazon.com/images/I/31vsfNWjXnL._AC_UL320_.jpg")</f>
        <v/>
      </c>
      <c r="K65" t="inlineStr">
        <is>
          <t>43.99</t>
        </is>
      </c>
      <c r="L65" t="n">
        <v>63.88</v>
      </c>
      <c r="M65" s="1" t="inlineStr">
        <is>
          <t>45.21%</t>
        </is>
      </c>
      <c r="N65" s="3" t="n">
        <v>45.21</v>
      </c>
      <c r="O65" t="n">
        <v>4.2</v>
      </c>
      <c r="P65" t="n">
        <v>26</v>
      </c>
      <c r="R65" t="inlineStr">
        <is>
          <t>InStock</t>
        </is>
      </c>
      <c r="S65" t="inlineStr">
        <is>
          <t>43.99</t>
        </is>
      </c>
      <c r="T65" t="inlineStr">
        <is>
          <t>4710428049497</t>
        </is>
      </c>
    </row>
    <row r="66" hidden="1" ht="15.75" customHeight="1">
      <c r="A66" s="2">
        <f>HYPERLINK("https://www.shelhealth.com/products/becca-luminous-blush-tigerlily-by-becca-for-women-0-2-oz", "https://www.shelhealth.com/products/becca-luminous-blush-tigerlily-by-becca-for-women-0-2-oz")</f>
        <v/>
      </c>
      <c r="B66" s="2">
        <f>HYPERLINK("https://www.shelhealth.com/products/becca-luminous-blush-tigerlily-by-becca-for-women-0-2-oz", "https://www.shelhealth.com/products/becca-luminous-blush-tigerlily-by-becca-for-women-0-2-oz")</f>
        <v/>
      </c>
      <c r="C66" t="inlineStr">
        <is>
          <t>Becca Luminous Blush - Tigerlily by Becca for Women - 0.2 oz</t>
        </is>
      </c>
      <c r="D66" t="inlineStr">
        <is>
          <t>Becca Luminous Blush - Camellia By Becca for Women - 0.2 Oz Blush, 0.2 Oz</t>
        </is>
      </c>
      <c r="E66" s="2">
        <f>HYPERLINK("https://www.amazon.com/BECCA-Luminous-Blush-Camellia-Ounce/dp/B01EJ3B1AG/ref=sr_1_2?keywords=Becca+Luminous+Blush+-+Tigerlily+by+Becca+for+Women+-+0.2+oz&amp;qid=1695169770&amp;sr=8-2", "https://www.amazon.com/BECCA-Luminous-Blush-Camellia-Ounce/dp/B01EJ3B1AG/ref=sr_1_2?keywords=Becca+Luminous+Blush+-+Tigerlily+by+Becca+for+Women+-+0.2+oz&amp;qid=1695169770&amp;sr=8-2")</f>
        <v/>
      </c>
      <c r="F66" t="inlineStr">
        <is>
          <t>B01EJ3B1AG</t>
        </is>
      </c>
      <c r="G66">
        <f>_xludf.IMAGE("https://www.shelhealth.com/cdn/shop/products/becca-luminous-blush-tigerlily-by-for-women-0-2-oz-shelhealth-585.jpg?v=1663337283&amp;width=1946")</f>
        <v/>
      </c>
      <c r="H66">
        <f>_xludf.IMAGE("https://m.media-amazon.com/images/I/81xXEHXq6JL._AC_UL320_.jpg")</f>
        <v/>
      </c>
      <c r="K66" t="inlineStr">
        <is>
          <t>30.99</t>
        </is>
      </c>
      <c r="L66" t="n">
        <v>40.62</v>
      </c>
      <c r="M66" s="1" t="inlineStr">
        <is>
          <t>31.07%</t>
        </is>
      </c>
      <c r="N66" s="3" t="n">
        <v>31.07</v>
      </c>
      <c r="O66" t="n">
        <v>4.4</v>
      </c>
      <c r="P66" t="n">
        <v>131</v>
      </c>
      <c r="R66" t="inlineStr">
        <is>
          <t>OutOfStock</t>
        </is>
      </c>
      <c r="S66" t="inlineStr">
        <is>
          <t>30.99</t>
        </is>
      </c>
      <c r="T66" t="inlineStr">
        <is>
          <t>3753148973108</t>
        </is>
      </c>
    </row>
    <row r="67" hidden="1" ht="15.75" customHeight="1">
      <c r="A67" s="2">
        <f>HYPERLINK("https://www.shelhealth.com/products/stylepro-makeup-brush-cleaner-cleanser", "https://www.shelhealth.com/products/stylepro-makeup-brush-cleaner-cleanser")</f>
        <v/>
      </c>
      <c r="B67" s="2">
        <f>HYPERLINK("https://www.shelhealth.com/products/stylepro-makeup-brush-cleaner-cleanser", "https://www.shelhealth.com/products/stylepro-makeup-brush-cleaner-cleanser")</f>
        <v/>
      </c>
      <c r="C67" t="inlineStr">
        <is>
          <t>StylePro Makeup Brush Cleaner &amp; Cleanser</t>
        </is>
      </c>
      <c r="D67" t="inlineStr">
        <is>
          <t>STYLPRO Premium Electric Makeup Brush Cleaner and Dryer Award Winning Gift Set including Coloured Spinning Device, Professional Brush Cleanser &amp; 2x Makeup Brushes, Clean and Dry Brushes in Seconds</t>
        </is>
      </c>
      <c r="E67" s="2">
        <f>HYPERLINK("https://www.amazon.com/Electric-including-Coloured-Spinning-Professional/dp/B08DJPH8QB/ref=sr_1_2?keywords=stylpro+makeup+brush+cleaner&amp;qid=1695169772&amp;sr=8-2", "https://www.amazon.com/Electric-including-Coloured-Spinning-Professional/dp/B08DJPH8QB/ref=sr_1_2?keywords=stylpro+makeup+brush+cleaner&amp;qid=1695169772&amp;sr=8-2")</f>
        <v/>
      </c>
      <c r="F67" t="inlineStr">
        <is>
          <t>B08DJPH8QB</t>
        </is>
      </c>
      <c r="G67">
        <f>_xludf.IMAGE("https://www.shelhealth.com/cdn/shop/products/stylepro-makeup-brush-cleaner-cleanser-shelhealth-285.jpg?v=1663369665&amp;width=1946")</f>
        <v/>
      </c>
      <c r="H67">
        <f>_xludf.IMAGE("https://m.media-amazon.com/images/I/71lN4D6v0dL._AC_UL320_.jpg")</f>
        <v/>
      </c>
      <c r="K67" t="inlineStr">
        <is>
          <t>30.99</t>
        </is>
      </c>
      <c r="L67" t="n">
        <v>39.99</v>
      </c>
      <c r="M67" s="1" t="inlineStr">
        <is>
          <t>29.04%</t>
        </is>
      </c>
      <c r="N67" s="3" t="n">
        <v>29.04</v>
      </c>
      <c r="O67" t="n">
        <v>4.4</v>
      </c>
      <c r="P67" t="n">
        <v>951</v>
      </c>
      <c r="R67" t="inlineStr">
        <is>
          <t>OutOfStock</t>
        </is>
      </c>
      <c r="S67" t="inlineStr">
        <is>
          <t>30.99</t>
        </is>
      </c>
      <c r="T67" t="inlineStr">
        <is>
          <t>4652910641241</t>
        </is>
      </c>
    </row>
    <row r="68" hidden="1" ht="15.75" customHeight="1">
      <c r="A68" s="2">
        <f>HYPERLINK("https://www.shelhealth.com/products/051381908669-aura-cacia-oil-essential-myrrh-org-0-25-oz", "https://www.shelhealth.com/products/051381908669-aura-cacia-oil-essential-myrrh-org-0-25-oz")</f>
        <v/>
      </c>
      <c r="B68" s="2">
        <f>HYPERLINK("https://www.shelhealth.com/products/051381908669-aura-cacia-oil-essential-myrrh-org-0-25-oz", "https://www.shelhealth.com/products/051381908669-aura-cacia-oil-essential-myrrh-org-0-25-oz")</f>
        <v/>
      </c>
      <c r="C68" t="inlineStr">
        <is>
          <t>Aura Cacia Oil Essential Myrrh Org, 0.25 Oz</t>
        </is>
      </c>
      <c r="D68" t="inlineStr">
        <is>
          <t>Aura Cacia Aromatherapy Myrrh Essential Oil 1/2 Oz. Bottle</t>
        </is>
      </c>
      <c r="E68" s="2">
        <f>HYPERLINK("https://www.amazon.com/Aura-Cacia-Ess-Oil-Myrrh/dp/B00GPKBVB6/ref=sr_1_3?keywords=Aura+Cacia+Oil+Essential+Myrrh+Org%2C+0.25+Oz&amp;qid=1695169760&amp;sr=8-3", "https://www.amazon.com/Aura-Cacia-Ess-Oil-Myrrh/dp/B00GPKBVB6/ref=sr_1_3?keywords=Aura+Cacia+Oil+Essential+Myrrh+Org%2C+0.25+Oz&amp;qid=1695169760&amp;sr=8-3")</f>
        <v/>
      </c>
      <c r="F68" t="inlineStr">
        <is>
          <t>B00GPKBVB6</t>
        </is>
      </c>
      <c r="G68">
        <f>_xludf.IMAGE("https://www.shelhealth.com/cdn/shop/files/aura-cacia-oil-essential-myrrh-org-0-25-oz-beauty-body-care-shelhealth-550.jpg?v=1686143417&amp;width=1946")</f>
        <v/>
      </c>
      <c r="H68">
        <f>_xludf.IMAGE("https://m.media-amazon.com/images/I/61D0FqGZpKL._AC_UL320_.jpg")</f>
        <v/>
      </c>
      <c r="K68" t="inlineStr">
        <is>
          <t>18.99</t>
        </is>
      </c>
      <c r="L68" t="n">
        <v>24.17</v>
      </c>
      <c r="M68" s="1" t="inlineStr">
        <is>
          <t>27.28%</t>
        </is>
      </c>
      <c r="N68" s="3" t="n">
        <v>27.28</v>
      </c>
      <c r="O68" t="n">
        <v>4.2</v>
      </c>
      <c r="P68" t="n">
        <v>8</v>
      </c>
      <c r="R68" t="inlineStr">
        <is>
          <t>OutOfStock</t>
        </is>
      </c>
      <c r="S68" t="inlineStr">
        <is>
          <t>18.99</t>
        </is>
      </c>
      <c r="T68" t="inlineStr">
        <is>
          <t>7241465102524</t>
        </is>
      </c>
    </row>
    <row r="69" hidden="1" ht="15.75" customHeight="1">
      <c r="A69" s="2">
        <f>HYPERLINK("https://www.shelhealth.com/products/q-tips-cotton-swabs-1875-count", "https://www.shelhealth.com/products/q-tips-cotton-swabs-1875-count")</f>
        <v/>
      </c>
      <c r="B69" s="2">
        <f>HYPERLINK("https://www.shelhealth.com/products/q-tips-cotton-swabs-1875-count", "https://www.shelhealth.com/products/q-tips-cotton-swabs-1875-count")</f>
        <v/>
      </c>
      <c r="C69" t="inlineStr">
        <is>
          <t>Q-Tips Cotton Swabs - 1875 Count</t>
        </is>
      </c>
      <c r="D69" t="inlineStr">
        <is>
          <t>Q-tips Cotton Swabs, Club Pack 1875 ct(Pack of 3)</t>
        </is>
      </c>
      <c r="E69" s="2">
        <f>HYPERLINK("https://www.amazon.com/Q-Tips-Cotton-Swabs-Club-Pack/dp/B00MOJUQAO/ref=sr_1_3?keywords=Q-Tips+Cotton+Swabs+-+1875+Count&amp;qid=1695169762&amp;sr=8-3", "https://www.amazon.com/Q-Tips-Cotton-Swabs-Club-Pack/dp/B00MOJUQAO/ref=sr_1_3?keywords=Q-Tips+Cotton+Swabs+-+1875+Count&amp;qid=1695169762&amp;sr=8-3")</f>
        <v/>
      </c>
      <c r="F69" t="inlineStr">
        <is>
          <t>B00MOJUQAO</t>
        </is>
      </c>
      <c r="G69">
        <f>_xludf.IMAGE("https://www.shelhealth.com/cdn/shop/products/q-tips-cotton-swabs-1875-count-shelhealth-397.jpg?v=1663338400&amp;width=1946")</f>
        <v/>
      </c>
      <c r="H69">
        <f>_xludf.IMAGE("https://m.media-amazon.com/images/I/91uJDzXgBdL._AC_UL320_.jpg")</f>
        <v/>
      </c>
      <c r="K69" t="inlineStr">
        <is>
          <t>13.99</t>
        </is>
      </c>
      <c r="L69" t="n">
        <v>17.79</v>
      </c>
      <c r="M69" s="1" t="inlineStr">
        <is>
          <t>27.16%</t>
        </is>
      </c>
      <c r="N69" s="3" t="n">
        <v>27.16</v>
      </c>
      <c r="O69" t="n">
        <v>4.7</v>
      </c>
      <c r="P69" t="n">
        <v>3389</v>
      </c>
      <c r="R69" t="inlineStr">
        <is>
          <t>InStock</t>
        </is>
      </c>
      <c r="S69" t="inlineStr">
        <is>
          <t>13.99</t>
        </is>
      </c>
      <c r="T69" t="inlineStr">
        <is>
          <t>3785311223860</t>
        </is>
      </c>
    </row>
    <row r="70" hidden="1" ht="15.75" customHeight="1">
      <c r="A70" s="2">
        <f>HYPERLINK("https://www.shelhealth.com/products/conair-reflections-double-sided-led-lighted-vanity-makeup-mirror-1x-10x-magnification", "https://www.shelhealth.com/products/conair-reflections-double-sided-led-lighted-vanity-makeup-mirror-1x-10x-magnification")</f>
        <v/>
      </c>
      <c r="B70" s="2">
        <f>HYPERLINK("https://www.shelhealth.com/products/conair-reflections-double-sided-led-lighted-vanity-makeup-mirror-1x-10x-magnification", "https://www.shelhealth.com/products/conair-reflections-double-sided-led-lighted-vanity-makeup-mirror-1x-10x-magnification")</f>
        <v/>
      </c>
      <c r="C70" t="inlineStr">
        <is>
          <t>Conair Reflections Double Sided LED Lighted Vanity Makeup Mirror, 1x/10x magnification</t>
        </is>
      </c>
      <c r="D70" t="inlineStr">
        <is>
          <t>Gospire 8'' Lighted Makeup Mirror with Double Sided 1X/10X Magnification, [54 LED Lights &amp; 3 Color Lighting &amp; Adjustable Brightness] Touch Control Cosmetic Mirror [Rechargeable] Vanity Mirror</t>
        </is>
      </c>
      <c r="E70" s="2">
        <f>HYPERLINK("https://www.amazon.com/Gospire-Magnification-Adjustable-Brightness-Rechargeable/dp/B08DK8HMZM/ref=sr_1_9?keywords=Conair+Reflections+Double+Sided+LED+Lighted+Vanity+Makeup+Mirror%2C+1x%2F10x+magnification&amp;qid=1695169774&amp;sr=8-9", "https://www.amazon.com/Gospire-Magnification-Adjustable-Brightness-Rechargeable/dp/B08DK8HMZM/ref=sr_1_9?keywords=Conair+Reflections+Double+Sided+LED+Lighted+Vanity+Makeup+Mirror%2C+1x%2F10x+magnification&amp;qid=1695169774&amp;sr=8-9")</f>
        <v/>
      </c>
      <c r="F70" t="inlineStr">
        <is>
          <t>B08DK8HMZM</t>
        </is>
      </c>
      <c r="G70">
        <f>_xludf.IMAGE("https://www.shelhealth.com/cdn/shop/products/conair-reflections-double-sided-led-lighted-vanity-makeup-mirror-1x10x-magnification-shelhealth-695.jpg?v=1663373815&amp;width=1946")</f>
        <v/>
      </c>
      <c r="H70">
        <f>_xludf.IMAGE("https://m.media-amazon.com/images/I/61ysW8zfjGL._AC_UL320_.jpg")</f>
        <v/>
      </c>
      <c r="K70" t="inlineStr">
        <is>
          <t>43.99</t>
        </is>
      </c>
      <c r="L70" t="n">
        <v>54.99</v>
      </c>
      <c r="M70" s="1" t="inlineStr">
        <is>
          <t>25.01%</t>
        </is>
      </c>
      <c r="N70" s="3" t="n">
        <v>25.01</v>
      </c>
      <c r="O70" t="n">
        <v>4.3</v>
      </c>
      <c r="P70" t="n">
        <v>3910</v>
      </c>
      <c r="R70" t="inlineStr">
        <is>
          <t>InStock</t>
        </is>
      </c>
      <c r="S70" t="inlineStr">
        <is>
          <t>43.99</t>
        </is>
      </c>
      <c r="T70" t="inlineStr">
        <is>
          <t>4710428049497</t>
        </is>
      </c>
    </row>
    <row r="71" hidden="1" ht="15.75" customHeight="1">
      <c r="A71" s="2">
        <f>HYPERLINK("https://www.shelhealth.com/products/q-tips-cotton-swabs-1875-count", "https://www.shelhealth.com/products/q-tips-cotton-swabs-1875-count")</f>
        <v/>
      </c>
      <c r="B71" s="2">
        <f>HYPERLINK("https://www.shelhealth.com/products/q-tips-cotton-swabs-1875-count", "https://www.shelhealth.com/products/q-tips-cotton-swabs-1875-count")</f>
        <v/>
      </c>
      <c r="C71" t="inlineStr">
        <is>
          <t>Q-Tips Cotton Swabs - 1875 Count</t>
        </is>
      </c>
      <c r="D71" t="inlineStr">
        <is>
          <t>Q-tips Cotton Swabs 3 Packs of 625 Count</t>
        </is>
      </c>
      <c r="E71" s="2">
        <f>HYPERLINK("https://www.amazon.com/Q-tips-Cotton-Swabs-Packs-Cos-10/dp/B00J9R7OSQ/ref=sr_1_1?keywords=Q-Tips+Cotton+Swabs+-+1875+Count&amp;qid=1695169762&amp;sr=8-1", "https://www.amazon.com/Q-tips-Cotton-Swabs-Packs-Cos-10/dp/B00J9R7OSQ/ref=sr_1_1?keywords=Q-Tips+Cotton+Swabs+-+1875+Count&amp;qid=1695169762&amp;sr=8-1")</f>
        <v/>
      </c>
      <c r="F71" t="inlineStr">
        <is>
          <t>B00J9R7OSQ</t>
        </is>
      </c>
      <c r="G71">
        <f>_xludf.IMAGE("https://www.shelhealth.com/cdn/shop/products/q-tips-cotton-swabs-1875-count-shelhealth-397.jpg?v=1663338400&amp;width=1946")</f>
        <v/>
      </c>
      <c r="H71">
        <f>_xludf.IMAGE("https://m.media-amazon.com/images/I/91qjWIQQv+L._AC_UL320_.jpg")</f>
        <v/>
      </c>
      <c r="K71" t="inlineStr">
        <is>
          <t>13.99</t>
        </is>
      </c>
      <c r="L71" t="n">
        <v>16.85</v>
      </c>
      <c r="M71" s="1" t="inlineStr">
        <is>
          <t>20.44%</t>
        </is>
      </c>
      <c r="N71" s="3" t="n">
        <v>20.44</v>
      </c>
      <c r="O71" t="n">
        <v>4.7</v>
      </c>
      <c r="P71" t="n">
        <v>2642</v>
      </c>
      <c r="R71" t="inlineStr">
        <is>
          <t>InStock</t>
        </is>
      </c>
      <c r="S71" t="inlineStr">
        <is>
          <t>13.99</t>
        </is>
      </c>
      <c r="T71" t="inlineStr">
        <is>
          <t>3785311223860</t>
        </is>
      </c>
    </row>
    <row r="72" hidden="1" ht="15.75" customHeight="1">
      <c r="A72" s="2">
        <f>HYPERLINK("https://www.shelhealth.com/products/051381908676-aura-cacia-oil-essential-rsemry-vrbn-0-25-oz", "https://www.shelhealth.com/products/051381908676-aura-cacia-oil-essential-rsemry-vrbn-0-25-oz")</f>
        <v/>
      </c>
      <c r="B72" s="2">
        <f>HYPERLINK("https://www.shelhealth.com/products/051381908676-aura-cacia-oil-essential-rsemry-vrbn-0-25-oz", "https://www.shelhealth.com/products/051381908676-aura-cacia-oil-essential-rsemry-vrbn-0-25-oz")</f>
        <v/>
      </c>
      <c r="C72" t="inlineStr">
        <is>
          <t>Aura Cacia Oil Essential Rsemry Vrbn, 0.25 Oz</t>
        </is>
      </c>
      <c r="D72" t="inlineStr">
        <is>
          <t>Aura Cacia Aromatherapy 100% Organic Essential Oil, Rosemary - 0.25 Oz (Pack of 2)</t>
        </is>
      </c>
      <c r="E72" s="2">
        <f>HYPERLINK("https://www.amazon.com/Aura-Cacia-Aromatherapy-Essential-Rosemary/dp/B0CB6CGH5Q/ref=sr_1_4?keywords=aura+cacia+oil+essential+rosemary+vrbn%2C+0.25+oz&amp;qid=1695169762&amp;sr=8-4", "https://www.amazon.com/Aura-Cacia-Aromatherapy-Essential-Rosemary/dp/B0CB6CGH5Q/ref=sr_1_4?keywords=aura+cacia+oil+essential+rosemary+vrbn%2C+0.25+oz&amp;qid=1695169762&amp;sr=8-4")</f>
        <v/>
      </c>
      <c r="F72" t="inlineStr">
        <is>
          <t>B0CB6CGH5Q</t>
        </is>
      </c>
      <c r="G72">
        <f>_xludf.IMAGE("https://www.shelhealth.com/cdn/shop/files/aura-cacia-oil-essential-rsemry-vrbn-0-25-oz-beauty-body-care-shelhealth-841.jpg?v=1686143414&amp;width=1946")</f>
        <v/>
      </c>
      <c r="H72">
        <f>_xludf.IMAGE("https://m.media-amazon.com/images/I/51lRG5w6vfL._AC_UL320_.jpg")</f>
        <v/>
      </c>
      <c r="K72" t="inlineStr">
        <is>
          <t>14.99</t>
        </is>
      </c>
      <c r="L72" t="n">
        <v>17.58</v>
      </c>
      <c r="M72" s="1" t="inlineStr">
        <is>
          <t>17.28%</t>
        </is>
      </c>
      <c r="N72" s="3" t="n">
        <v>17.28</v>
      </c>
      <c r="O72" t="n">
        <v>4.5</v>
      </c>
      <c r="P72" t="n">
        <v>668</v>
      </c>
      <c r="R72" t="inlineStr">
        <is>
          <t>InStock</t>
        </is>
      </c>
      <c r="S72" t="inlineStr">
        <is>
          <t>14.99</t>
        </is>
      </c>
      <c r="T72" t="inlineStr">
        <is>
          <t>7241465233596</t>
        </is>
      </c>
    </row>
    <row r="73" hidden="1" ht="15.75" customHeight="1">
      <c r="A73" s="2">
        <f>HYPERLINK("https://www.shelhealth.com/products/051381908676-aura-cacia-oil-essential-rsemry-vrbn-0-25-oz", "https://www.shelhealth.com/products/051381908676-aura-cacia-oil-essential-rsemry-vrbn-0-25-oz")</f>
        <v/>
      </c>
      <c r="B73" s="2">
        <f>HYPERLINK("https://www.shelhealth.com/products/051381908676-aura-cacia-oil-essential-rsemry-vrbn-0-25-oz", "https://www.shelhealth.com/products/051381908676-aura-cacia-oil-essential-rsemry-vrbn-0-25-oz")</f>
        <v/>
      </c>
      <c r="C73" t="inlineStr">
        <is>
          <t>Aura Cacia Oil Essential Rsemry Vrbn, 0.25 Oz</t>
        </is>
      </c>
      <c r="D73" t="inlineStr">
        <is>
          <t>Aura Cacia 100% Pure Verbenone Rosemary Essential Oil | Certified Organic, GC/MS Tested for Purity | 7.4 ml (0.25 fl. oz.) | Rosmarinus officinalis</t>
        </is>
      </c>
      <c r="E73" s="2">
        <f>HYPERLINK("https://www.amazon.com/AURA-CACIA-Rosemary-Verbenone-Ounce/dp/B07DBTST41/ref=sr_1_7?keywords=aura+cacia+oil+essential+rosemary+vrbn%2C+0.25+oz&amp;qid=1695169762&amp;sr=8-7", "https://www.amazon.com/AURA-CACIA-Rosemary-Verbenone-Ounce/dp/B07DBTST41/ref=sr_1_7?keywords=aura+cacia+oil+essential+rosemary+vrbn%2C+0.25+oz&amp;qid=1695169762&amp;sr=8-7")</f>
        <v/>
      </c>
      <c r="F73" t="inlineStr">
        <is>
          <t>B07DBTST41</t>
        </is>
      </c>
      <c r="G73">
        <f>_xludf.IMAGE("https://www.shelhealth.com/cdn/shop/files/aura-cacia-oil-essential-rsemry-vrbn-0-25-oz-beauty-body-care-shelhealth-841.jpg?v=1686143414&amp;width=1946")</f>
        <v/>
      </c>
      <c r="H73">
        <f>_xludf.IMAGE("https://m.media-amazon.com/images/I/61oBiWjFz5S._AC_UL320_.jpg")</f>
        <v/>
      </c>
      <c r="K73" t="inlineStr">
        <is>
          <t>14.99</t>
        </is>
      </c>
      <c r="L73" t="n">
        <v>16.59</v>
      </c>
      <c r="M73" s="1" t="inlineStr">
        <is>
          <t>10.67%</t>
        </is>
      </c>
      <c r="N73" s="3" t="n">
        <v>10.67</v>
      </c>
      <c r="O73" t="n">
        <v>4.6</v>
      </c>
      <c r="P73" t="n">
        <v>212</v>
      </c>
      <c r="R73" t="inlineStr">
        <is>
          <t>InStock</t>
        </is>
      </c>
      <c r="S73" t="inlineStr">
        <is>
          <t>14.99</t>
        </is>
      </c>
      <c r="T73" t="inlineStr">
        <is>
          <t>7241465233596</t>
        </is>
      </c>
    </row>
    <row r="74" hidden="1" ht="15.75" customHeight="1">
      <c r="A74" s="2">
        <f>HYPERLINK("https://www.shelhealth.com/products/lapcos-sheet-mask-set-collagen-variety-pack-10-masks", "https://www.shelhealth.com/products/lapcos-sheet-mask-set-collagen-variety-pack-10-masks")</f>
        <v/>
      </c>
      <c r="B74" s="2">
        <f>HYPERLINK("https://www.shelhealth.com/products/lapcos-sheet-mask-set-collagen-variety-pack-10-masks", "https://www.shelhealth.com/products/lapcos-sheet-mask-set-collagen-variety-pack-10-masks")</f>
        <v/>
      </c>
      <c r="C74" t="inlineStr">
        <is>
          <t>Lapcos Sheet Mask Set Collagen Variety Pack - 10 Masks</t>
        </is>
      </c>
      <c r="D74" t="inlineStr">
        <is>
          <t>LAPCOS Collagen &amp; Pearl Sheet Mask Set, (10-Pack) Daily Sheet Masks with Collagen and Probiotics, Anti-Aging and Brightening Duo to Treat and Renew Skin, Korean Beauty Favorites</t>
        </is>
      </c>
      <c r="E74" s="2">
        <f>HYPERLINK("https://www.amazon.com/LAPCOS-Probiotics-Anti-Aging-Brightening-Favorites/dp/B0CCNH45YX/ref=sr_1_3?keywords=Lapcos+Sheet+Mask+Set+Collagen+Variety+Pack+-+10+Masks&amp;qid=1695169793&amp;sr=8-3", "https://www.amazon.com/LAPCOS-Probiotics-Anti-Aging-Brightening-Favorites/dp/B0CCNH45YX/ref=sr_1_3?keywords=Lapcos+Sheet+Mask+Set+Collagen+Variety+Pack+-+10+Masks&amp;qid=1695169793&amp;sr=8-3")</f>
        <v/>
      </c>
      <c r="F74" t="inlineStr">
        <is>
          <t>B0CCNH45YX</t>
        </is>
      </c>
      <c r="G74">
        <f>_xludf.IMAGE("https://www.shelhealth.com/cdn/shop/products/lapcos-sheet-mask-set-collagen-variety-pack-10-masks-shelhealth-990.jpg?v=1663342468&amp;width=1946")</f>
        <v/>
      </c>
      <c r="H74">
        <f>_xludf.IMAGE("https://m.media-amazon.com/images/I/81KuMGMX36L._AC_UL320_.jpg")</f>
        <v/>
      </c>
      <c r="K74" t="inlineStr">
        <is>
          <t>27.99</t>
        </is>
      </c>
      <c r="L74" t="n">
        <v>30.6</v>
      </c>
      <c r="M74" s="1" t="inlineStr">
        <is>
          <t>9.32%</t>
        </is>
      </c>
      <c r="N74" s="3" t="n">
        <v>9.32</v>
      </c>
      <c r="O74" t="n">
        <v>4</v>
      </c>
      <c r="P74" t="n">
        <v>1</v>
      </c>
      <c r="R74" t="inlineStr">
        <is>
          <t>OutOfStock</t>
        </is>
      </c>
      <c r="S74" t="inlineStr">
        <is>
          <t>27.99</t>
        </is>
      </c>
      <c r="T74" t="inlineStr">
        <is>
          <t>3814964887604</t>
        </is>
      </c>
    </row>
    <row r="75" hidden="1" ht="15.75" customHeight="1">
      <c r="A75" s="2">
        <f>HYPERLINK("https://www.shelhealth.com/products/lapcos-sheet-mask-set-aloe-variety-pack-10-masks", "https://www.shelhealth.com/products/lapcos-sheet-mask-set-aloe-variety-pack-10-masks")</f>
        <v/>
      </c>
      <c r="B75" s="2">
        <f>HYPERLINK("https://www.shelhealth.com/products/lapcos-sheet-mask-set-aloe-variety-pack-10-masks", "https://www.shelhealth.com/products/lapcos-sheet-mask-set-aloe-variety-pack-10-masks")</f>
        <v/>
      </c>
      <c r="C75" t="inlineStr">
        <is>
          <t>Lapcos Sheet Mask Set Aloe Variety Pack - 10 Masks</t>
        </is>
      </c>
      <c r="D75" t="inlineStr">
        <is>
          <t>LAPCOS Collagen &amp; Pearl Sheet Mask Set, (10-Pack) Daily Sheet Masks with Collagen and Probiotics, Anti-Aging and Brightening Duo to Treat and Renew Skin, Korean Beauty Favorites</t>
        </is>
      </c>
      <c r="E75" s="2">
        <f>HYPERLINK("https://www.amazon.com/LAPCOS-Probiotics-Anti-Aging-Brightening-Favorites/dp/B0CCNH45YX/ref=sr_1_3?keywords=Lapcos+Sheet+Mask+Set+Aloe+Variety+Pack+-+10+Masks&amp;qid=1695169775&amp;sr=8-3", "https://www.amazon.com/LAPCOS-Probiotics-Anti-Aging-Brightening-Favorites/dp/B0CCNH45YX/ref=sr_1_3?keywords=Lapcos+Sheet+Mask+Set+Aloe+Variety+Pack+-+10+Masks&amp;qid=1695169775&amp;sr=8-3")</f>
        <v/>
      </c>
      <c r="F75" t="inlineStr">
        <is>
          <t>B0CCNH45YX</t>
        </is>
      </c>
      <c r="G75">
        <f>_xludf.IMAGE("https://www.shelhealth.com/cdn/shop/products/lapcos-sheet-mask-set-aloe-variety-pack-10-masks-shelhealth-534.jpg?v=1663342538&amp;width=1946")</f>
        <v/>
      </c>
      <c r="H75">
        <f>_xludf.IMAGE("https://m.media-amazon.com/images/I/81KuMGMX36L._AC_UL320_.jpg")</f>
        <v/>
      </c>
      <c r="K75" t="inlineStr">
        <is>
          <t>27.99</t>
        </is>
      </c>
      <c r="L75" t="n">
        <v>30.6</v>
      </c>
      <c r="M75" s="1" t="inlineStr">
        <is>
          <t>9.32%</t>
        </is>
      </c>
      <c r="N75" s="3" t="n">
        <v>9.32</v>
      </c>
      <c r="O75" t="n">
        <v>4</v>
      </c>
      <c r="P75" t="n">
        <v>1</v>
      </c>
      <c r="R75" t="inlineStr">
        <is>
          <t>OutOfStock</t>
        </is>
      </c>
      <c r="S75" t="inlineStr">
        <is>
          <t>27.99</t>
        </is>
      </c>
      <c r="T75" t="inlineStr">
        <is>
          <t>3815936786484</t>
        </is>
      </c>
    </row>
    <row r="76" hidden="1" ht="15.75" customHeight="1">
      <c r="A76" s="2">
        <f>HYPERLINK("https://www.shelhealth.com/products/lapcos-sheet-mask-set-collagen-variety-pack-10-masks", "https://www.shelhealth.com/products/lapcos-sheet-mask-set-collagen-variety-pack-10-masks")</f>
        <v/>
      </c>
      <c r="B76" s="2">
        <f>HYPERLINK("https://www.shelhealth.com/products/lapcos-sheet-mask-set-collagen-variety-pack-10-masks", "https://www.shelhealth.com/products/lapcos-sheet-mask-set-collagen-variety-pack-10-masks")</f>
        <v/>
      </c>
      <c r="C76" t="inlineStr">
        <is>
          <t>Lapcos Sheet Mask Set Collagen Variety Pack - 10 Masks</t>
        </is>
      </c>
      <c r="D76" t="inlineStr">
        <is>
          <t>LAPCOS Hyaluronic Acid and Collagen Sheet Mask Set, (10-Pack) Daily Sheet Masks with Hyaluronic Acid and Collagen, Anti-Aging and Brightening Duo to Treat and Renew Skin, Korean Beauty Favorites</t>
        </is>
      </c>
      <c r="E76" s="2">
        <f>HYPERLINK("https://www.amazon.com/LAPCOS-Hyaluronic-Anti-Aging-Brightening-Favorites/dp/B08KTQKR5F/ref=sr_1_2?keywords=Lapcos+Sheet+Mask+Set+Collagen+Variety+Pack+-+10+Masks&amp;qid=1695169793&amp;sr=8-2", "https://www.amazon.com/LAPCOS-Hyaluronic-Anti-Aging-Brightening-Favorites/dp/B08KTQKR5F/ref=sr_1_2?keywords=Lapcos+Sheet+Mask+Set+Collagen+Variety+Pack+-+10+Masks&amp;qid=1695169793&amp;sr=8-2")</f>
        <v/>
      </c>
      <c r="F76" t="inlineStr">
        <is>
          <t>B08KTQKR5F</t>
        </is>
      </c>
      <c r="G76">
        <f>_xludf.IMAGE("https://www.shelhealth.com/cdn/shop/products/lapcos-sheet-mask-set-collagen-variety-pack-10-masks-shelhealth-990.jpg?v=1663342468&amp;width=1946")</f>
        <v/>
      </c>
      <c r="H76">
        <f>_xludf.IMAGE("https://m.media-amazon.com/images/I/81fVwdxfZrL._AC_UL320_.jpg")</f>
        <v/>
      </c>
      <c r="K76" t="inlineStr">
        <is>
          <t>27.99</t>
        </is>
      </c>
      <c r="L76" t="n">
        <v>30.6</v>
      </c>
      <c r="M76" s="1" t="inlineStr">
        <is>
          <t>9.32%</t>
        </is>
      </c>
      <c r="N76" s="3" t="n">
        <v>9.32</v>
      </c>
      <c r="O76" t="n">
        <v>4.7</v>
      </c>
      <c r="P76" t="n">
        <v>35</v>
      </c>
      <c r="R76" t="inlineStr">
        <is>
          <t>OutOfStock</t>
        </is>
      </c>
      <c r="S76" t="inlineStr">
        <is>
          <t>27.99</t>
        </is>
      </c>
      <c r="T76" t="inlineStr">
        <is>
          <t>3814964887604</t>
        </is>
      </c>
    </row>
    <row r="77" hidden="1" ht="15.75" customHeight="1">
      <c r="A77" s="2">
        <f>HYPERLINK("https://www.shelhealth.com/products/lapcos-sheet-mask-set-aloe-variety-pack-10-masks", "https://www.shelhealth.com/products/lapcos-sheet-mask-set-aloe-variety-pack-10-masks")</f>
        <v/>
      </c>
      <c r="B77" s="2">
        <f>HYPERLINK("https://www.shelhealth.com/products/lapcos-sheet-mask-set-aloe-variety-pack-10-masks", "https://www.shelhealth.com/products/lapcos-sheet-mask-set-aloe-variety-pack-10-masks")</f>
        <v/>
      </c>
      <c r="C77" t="inlineStr">
        <is>
          <t>Lapcos Sheet Mask Set Aloe Variety Pack - 10 Masks</t>
        </is>
      </c>
      <c r="D77" t="inlineStr">
        <is>
          <t>LAPCOS Hyaluronic Acid and Collagen Sheet Mask Set, (10-Pack) Daily Sheet Masks with Hyaluronic Acid and Collagen, Anti-Aging and Brightening Duo to Treat and Renew Skin, Korean Beauty Favorites</t>
        </is>
      </c>
      <c r="E77" s="2">
        <f>HYPERLINK("https://www.amazon.com/LAPCOS-Hyaluronic-Anti-Aging-Brightening-Favorites/dp/B08KTQKR5F/ref=sr_1_5?keywords=Lapcos+Sheet+Mask+Set+Aloe+Variety+Pack+-+10+Masks&amp;qid=1695169775&amp;sr=8-5", "https://www.amazon.com/LAPCOS-Hyaluronic-Anti-Aging-Brightening-Favorites/dp/B08KTQKR5F/ref=sr_1_5?keywords=Lapcos+Sheet+Mask+Set+Aloe+Variety+Pack+-+10+Masks&amp;qid=1695169775&amp;sr=8-5")</f>
        <v/>
      </c>
      <c r="F77" t="inlineStr">
        <is>
          <t>B08KTQKR5F</t>
        </is>
      </c>
      <c r="G77">
        <f>_xludf.IMAGE("https://www.shelhealth.com/cdn/shop/products/lapcos-sheet-mask-set-aloe-variety-pack-10-masks-shelhealth-534.jpg?v=1663342538&amp;width=1946")</f>
        <v/>
      </c>
      <c r="H77">
        <f>_xludf.IMAGE("https://m.media-amazon.com/images/I/81fVwdxfZrL._AC_UL320_.jpg")</f>
        <v/>
      </c>
      <c r="K77" t="inlineStr">
        <is>
          <t>27.99</t>
        </is>
      </c>
      <c r="L77" t="n">
        <v>30.6</v>
      </c>
      <c r="M77" s="1" t="inlineStr">
        <is>
          <t>9.32%</t>
        </is>
      </c>
      <c r="N77" s="3" t="n">
        <v>9.32</v>
      </c>
      <c r="O77" t="n">
        <v>4.7</v>
      </c>
      <c r="P77" t="n">
        <v>35</v>
      </c>
      <c r="R77" t="inlineStr">
        <is>
          <t>OutOfStock</t>
        </is>
      </c>
      <c r="S77" t="inlineStr">
        <is>
          <t>27.99</t>
        </is>
      </c>
      <c r="T77" t="inlineStr">
        <is>
          <t>3815936786484</t>
        </is>
      </c>
    </row>
    <row r="78" hidden="1" ht="15.75" customHeight="1">
      <c r="A78" s="2">
        <f>HYPERLINK("https://www.shelhealth.com/products/lapcos-sheet-mask-set-aloe-variety-pack-10-masks", "https://www.shelhealth.com/products/lapcos-sheet-mask-set-aloe-variety-pack-10-masks")</f>
        <v/>
      </c>
      <c r="B78" s="2">
        <f>HYPERLINK("https://www.shelhealth.com/products/lapcos-sheet-mask-set-aloe-variety-pack-10-masks", "https://www.shelhealth.com/products/lapcos-sheet-mask-set-aloe-variety-pack-10-masks")</f>
        <v/>
      </c>
      <c r="C78" t="inlineStr">
        <is>
          <t>Lapcos Sheet Mask Set Aloe Variety Pack - 10 Masks</t>
        </is>
      </c>
      <c r="D78" t="inlineStr">
        <is>
          <t>LAPCOS Vita C and Collagen Sheet Mask Set, (10-Pack) Daily Sheet Masks with Vitamin C and Collagen, Anti-Aging and Brightening Duo to Treat and Renew Skin, Korean Beauty Favorites</t>
        </is>
      </c>
      <c r="E78" s="2">
        <f>HYPERLINK("https://www.amazon.com/LAPCOS-Collagen-Anti-Aging-Brightening-Favorites/dp/B08KTQ48D3/ref=sr_1_9?keywords=Lapcos+Sheet+Mask+Set+Aloe+Variety+Pack+-+10+Masks&amp;qid=1695169775&amp;sr=8-9", "https://www.amazon.com/LAPCOS-Collagen-Anti-Aging-Brightening-Favorites/dp/B08KTQ48D3/ref=sr_1_9?keywords=Lapcos+Sheet+Mask+Set+Aloe+Variety+Pack+-+10+Masks&amp;qid=1695169775&amp;sr=8-9")</f>
        <v/>
      </c>
      <c r="F78" t="inlineStr">
        <is>
          <t>B08KTQ48D3</t>
        </is>
      </c>
      <c r="G78">
        <f>_xludf.IMAGE("https://www.shelhealth.com/cdn/shop/products/lapcos-sheet-mask-set-aloe-variety-pack-10-masks-shelhealth-534.jpg?v=1663342538&amp;width=1946")</f>
        <v/>
      </c>
      <c r="H78">
        <f>_xludf.IMAGE("https://m.media-amazon.com/images/I/81NQI2mJobL._AC_UL320_.jpg")</f>
        <v/>
      </c>
      <c r="K78" t="inlineStr">
        <is>
          <t>27.99</t>
        </is>
      </c>
      <c r="L78" t="n">
        <v>30.6</v>
      </c>
      <c r="M78" s="1" t="inlineStr">
        <is>
          <t>9.32%</t>
        </is>
      </c>
      <c r="N78" s="3" t="n">
        <v>9.32</v>
      </c>
      <c r="O78" t="n">
        <v>4.7</v>
      </c>
      <c r="P78" t="n">
        <v>18</v>
      </c>
      <c r="R78" t="inlineStr">
        <is>
          <t>OutOfStock</t>
        </is>
      </c>
      <c r="S78" t="inlineStr">
        <is>
          <t>27.99</t>
        </is>
      </c>
      <c r="T78" t="inlineStr">
        <is>
          <t>3815936786484</t>
        </is>
      </c>
    </row>
    <row r="79" hidden="1" ht="15.75" customHeight="1">
      <c r="A79" s="2">
        <f>HYPERLINK("https://www.shelhealth.com/products/lapcos-sheet-mask-set-collagen-variety-pack-10-masks", "https://www.shelhealth.com/products/lapcos-sheet-mask-set-collagen-variety-pack-10-masks")</f>
        <v/>
      </c>
      <c r="B79" s="2">
        <f>HYPERLINK("https://www.shelhealth.com/products/lapcos-sheet-mask-set-collagen-variety-pack-10-masks", "https://www.shelhealth.com/products/lapcos-sheet-mask-set-collagen-variety-pack-10-masks")</f>
        <v/>
      </c>
      <c r="C79" t="inlineStr">
        <is>
          <t>Lapcos Sheet Mask Set Collagen Variety Pack - 10 Masks</t>
        </is>
      </c>
      <c r="D79" t="inlineStr">
        <is>
          <t>LAPCOS Vita C and Collagen Sheet Mask Set, (10-Pack) Daily Sheet Masks with Vitamin C and Collagen, Anti-Aging and Brightening Duo to Treat and Renew Skin, Korean Beauty Favorites</t>
        </is>
      </c>
      <c r="E79" s="2">
        <f>HYPERLINK("https://www.amazon.com/LAPCOS-Collagen-Anti-Aging-Brightening-Favorites/dp/B08KTQ48D3/ref=sr_1_1?keywords=Lapcos+Sheet+Mask+Set+Collagen+Variety+Pack+-+10+Masks&amp;qid=1695169793&amp;sr=8-1", "https://www.amazon.com/LAPCOS-Collagen-Anti-Aging-Brightening-Favorites/dp/B08KTQ48D3/ref=sr_1_1?keywords=Lapcos+Sheet+Mask+Set+Collagen+Variety+Pack+-+10+Masks&amp;qid=1695169793&amp;sr=8-1")</f>
        <v/>
      </c>
      <c r="F79" t="inlineStr">
        <is>
          <t>B08KTQ48D3</t>
        </is>
      </c>
      <c r="G79">
        <f>_xludf.IMAGE("https://www.shelhealth.com/cdn/shop/products/lapcos-sheet-mask-set-collagen-variety-pack-10-masks-shelhealth-990.jpg?v=1663342468&amp;width=1946")</f>
        <v/>
      </c>
      <c r="H79">
        <f>_xludf.IMAGE("https://m.media-amazon.com/images/I/81NQI2mJobL._AC_UL320_.jpg")</f>
        <v/>
      </c>
      <c r="K79" t="inlineStr">
        <is>
          <t>27.99</t>
        </is>
      </c>
      <c r="L79" t="n">
        <v>30.6</v>
      </c>
      <c r="M79" s="1" t="inlineStr">
        <is>
          <t>9.32%</t>
        </is>
      </c>
      <c r="N79" s="3" t="n">
        <v>9.32</v>
      </c>
      <c r="O79" t="n">
        <v>4.7</v>
      </c>
      <c r="P79" t="n">
        <v>18</v>
      </c>
      <c r="R79" t="inlineStr">
        <is>
          <t>OutOfStock</t>
        </is>
      </c>
      <c r="S79" t="inlineStr">
        <is>
          <t>27.99</t>
        </is>
      </c>
      <c r="T79" t="inlineStr">
        <is>
          <t>3814964887604</t>
        </is>
      </c>
    </row>
    <row r="80" hidden="1" ht="15.75" customHeight="1">
      <c r="A80" s="2">
        <f>HYPERLINK("https://www.shelhealth.com/products/q-tips-cotton-swabs-1875-count", "https://www.shelhealth.com/products/q-tips-cotton-swabs-1875-count")</f>
        <v/>
      </c>
      <c r="B80" s="2">
        <f>HYPERLINK("https://www.shelhealth.com/products/q-tips-cotton-swabs-1875-count", "https://www.shelhealth.com/products/q-tips-cotton-swabs-1875-count")</f>
        <v/>
      </c>
      <c r="C80" t="inlineStr">
        <is>
          <t>Q-Tips Cotton Swabs - 1875 Count</t>
        </is>
      </c>
      <c r="D80" t="inlineStr">
        <is>
          <t>Q-TIPS SWABS Cotton Club ct, 625 Count, (Pack of 3)</t>
        </is>
      </c>
      <c r="E80" s="2">
        <f>HYPERLINK("https://www.amazon.com/Q-tips-Cotton-Swabs-Club-Pack/dp/B003ZTVDBS/ref=sr_1_6?keywords=Q-Tips+Cotton+Swabs+-+1875+Count&amp;qid=1695169762&amp;sr=8-6", "https://www.amazon.com/Q-tips-Cotton-Swabs-Club-Pack/dp/B003ZTVDBS/ref=sr_1_6?keywords=Q-Tips+Cotton+Swabs+-+1875+Count&amp;qid=1695169762&amp;sr=8-6")</f>
        <v/>
      </c>
      <c r="F80" t="inlineStr">
        <is>
          <t>B003ZTVDBS</t>
        </is>
      </c>
      <c r="G80">
        <f>_xludf.IMAGE("https://www.shelhealth.com/cdn/shop/products/q-tips-cotton-swabs-1875-count-shelhealth-397.jpg?v=1663338400&amp;width=1946")</f>
        <v/>
      </c>
      <c r="H80">
        <f>_xludf.IMAGE("https://m.media-amazon.com/images/I/81P-wg22poL._AC_UL320_.jpg")</f>
        <v/>
      </c>
      <c r="K80" t="inlineStr">
        <is>
          <t>13.99</t>
        </is>
      </c>
      <c r="L80" t="n">
        <v>15.15</v>
      </c>
      <c r="M80" s="1" t="inlineStr">
        <is>
          <t>8.29%</t>
        </is>
      </c>
      <c r="N80" s="3" t="n">
        <v>8.289999999999999</v>
      </c>
      <c r="O80" t="n">
        <v>4.7</v>
      </c>
      <c r="P80" t="n">
        <v>3389</v>
      </c>
      <c r="R80" t="inlineStr">
        <is>
          <t>InStock</t>
        </is>
      </c>
      <c r="S80" t="inlineStr">
        <is>
          <t>13.99</t>
        </is>
      </c>
      <c r="T80" t="inlineStr">
        <is>
          <t>3785311223860</t>
        </is>
      </c>
    </row>
    <row r="81" hidden="1" ht="15.75" customHeight="1">
      <c r="A81" s="2">
        <f>HYPERLINK("https://www.shelhealth.com/products/051381908669-aura-cacia-oil-essential-myrrh-org-0-25-oz", "https://www.shelhealth.com/products/051381908669-aura-cacia-oil-essential-myrrh-org-0-25-oz")</f>
        <v/>
      </c>
      <c r="B81" s="2">
        <f>HYPERLINK("https://www.shelhealth.com/products/051381908669-aura-cacia-oil-essential-myrrh-org-0-25-oz", "https://www.shelhealth.com/products/051381908669-aura-cacia-oil-essential-myrrh-org-0-25-oz")</f>
        <v/>
      </c>
      <c r="C81" t="inlineStr">
        <is>
          <t>Aura Cacia Oil Essential Myrrh Org, 0.25 Oz</t>
        </is>
      </c>
      <c r="D81" t="inlineStr">
        <is>
          <t>Aura Cacia Aromatherapy 100% Organic Essential Oil, Patchouli, 0.25 Oz</t>
        </is>
      </c>
      <c r="E81" s="2">
        <f>HYPERLINK("https://www.amazon.com/Aura-Cacia-Organic-Essential-Patchouli/dp/B003N3R27A/ref=sr_1_9?keywords=Aura+Cacia+Oil+Essential+Myrrh+Org%2C+0.25+Oz&amp;qid=1695169760&amp;sr=8-9", "https://www.amazon.com/Aura-Cacia-Organic-Essential-Patchouli/dp/B003N3R27A/ref=sr_1_9?keywords=Aura+Cacia+Oil+Essential+Myrrh+Org%2C+0.25+Oz&amp;qid=1695169760&amp;sr=8-9")</f>
        <v/>
      </c>
      <c r="F81" t="inlineStr">
        <is>
          <t>B003N3R27A</t>
        </is>
      </c>
      <c r="G81">
        <f>_xludf.IMAGE("https://www.shelhealth.com/cdn/shop/files/aura-cacia-oil-essential-myrrh-org-0-25-oz-beauty-body-care-shelhealth-550.jpg?v=1686143417&amp;width=1946")</f>
        <v/>
      </c>
      <c r="H81">
        <f>_xludf.IMAGE("https://m.media-amazon.com/images/I/61-XC-fpgIL._AC_UL320_.jpg")</f>
        <v/>
      </c>
      <c r="K81" t="inlineStr">
        <is>
          <t>18.99</t>
        </is>
      </c>
      <c r="L81" t="n">
        <v>19.99</v>
      </c>
      <c r="M81" s="1" t="inlineStr">
        <is>
          <t>5.27%</t>
        </is>
      </c>
      <c r="N81" s="3" t="n">
        <v>5.27</v>
      </c>
      <c r="O81" t="n">
        <v>4.7</v>
      </c>
      <c r="P81" t="n">
        <v>526</v>
      </c>
      <c r="R81" t="inlineStr">
        <is>
          <t>OutOfStock</t>
        </is>
      </c>
      <c r="S81" t="inlineStr">
        <is>
          <t>18.99</t>
        </is>
      </c>
      <c r="T81" t="inlineStr">
        <is>
          <t>7241465102524</t>
        </is>
      </c>
    </row>
    <row r="82" hidden="1" ht="15.75" customHeight="1">
      <c r="A82" s="2">
        <f>HYPERLINK("https://www.shelhealth.com/products/051381908669-aura-cacia-oil-essential-myrrh-org-0-25-oz", "https://www.shelhealth.com/products/051381908669-aura-cacia-oil-essential-myrrh-org-0-25-oz")</f>
        <v/>
      </c>
      <c r="B82" s="2">
        <f>HYPERLINK("https://www.shelhealth.com/products/051381908669-aura-cacia-oil-essential-myrrh-org-0-25-oz", "https://www.shelhealth.com/products/051381908669-aura-cacia-oil-essential-myrrh-org-0-25-oz")</f>
        <v/>
      </c>
      <c r="C82" t="inlineStr">
        <is>
          <t>Aura Cacia Oil Essential Myrrh Org, 0.25 Oz</t>
        </is>
      </c>
      <c r="D82" t="inlineStr">
        <is>
          <t>Aura Cacia 100% Pure Myrrh Essential Oil | Certified Organic, GC/MS Tested for Purity | 7.4 ml (0.25 fl. oz.) | Commiphora myrrha</t>
        </is>
      </c>
      <c r="E82" s="2">
        <f>HYPERLINK("https://www.amazon.com/Aura-Cacia-Essential-Organic-Myrrh/dp/B07DBTN66W/ref=sr_1_1?keywords=Aura+Cacia+Oil+Essential+Myrrh+Org%2C+0.25+Oz&amp;qid=1695169760&amp;sr=8-1", "https://www.amazon.com/Aura-Cacia-Essential-Organic-Myrrh/dp/B07DBTN66W/ref=sr_1_1?keywords=Aura+Cacia+Oil+Essential+Myrrh+Org%2C+0.25+Oz&amp;qid=1695169760&amp;sr=8-1")</f>
        <v/>
      </c>
      <c r="F82" t="inlineStr">
        <is>
          <t>B07DBTN66W</t>
        </is>
      </c>
      <c r="G82">
        <f>_xludf.IMAGE("https://www.shelhealth.com/cdn/shop/files/aura-cacia-oil-essential-myrrh-org-0-25-oz-beauty-body-care-shelhealth-550.jpg?v=1686143417&amp;width=1946")</f>
        <v/>
      </c>
      <c r="H82">
        <f>_xludf.IMAGE("https://m.media-amazon.com/images/I/61x29ElRLlS._AC_UL320_.jpg")</f>
        <v/>
      </c>
      <c r="K82" t="inlineStr">
        <is>
          <t>18.99</t>
        </is>
      </c>
      <c r="L82" t="n">
        <v>19.75</v>
      </c>
      <c r="M82" s="1" t="inlineStr">
        <is>
          <t>4.00%</t>
        </is>
      </c>
      <c r="N82" s="3" t="n">
        <v>4</v>
      </c>
      <c r="O82" t="n">
        <v>4.6</v>
      </c>
      <c r="P82" t="n">
        <v>119</v>
      </c>
      <c r="R82" t="inlineStr">
        <is>
          <t>OutOfStock</t>
        </is>
      </c>
      <c r="S82" t="inlineStr">
        <is>
          <t>18.99</t>
        </is>
      </c>
      <c r="T82" t="inlineStr">
        <is>
          <t>7241465102524</t>
        </is>
      </c>
    </row>
    <row r="83" hidden="1" ht="15.75" customHeight="1">
      <c r="A83" s="2">
        <f>HYPERLINK("https://www.shelhealth.com/products/051381908621-aura-cacia-oil-essential-cardmom-org-0-25-oz", "https://www.shelhealth.com/products/051381908621-aura-cacia-oil-essential-cardmom-org-0-25-oz")</f>
        <v/>
      </c>
      <c r="B83" s="2">
        <f>HYPERLINK("https://www.shelhealth.com/products/051381908621-aura-cacia-oil-essential-cardmom-org-0-25-oz", "https://www.shelhealth.com/products/051381908621-aura-cacia-oil-essential-cardmom-org-0-25-oz")</f>
        <v/>
      </c>
      <c r="C83" t="inlineStr">
        <is>
          <t>Aura Cacia Oil Essential Cardmom Org, 0.25 Oz</t>
        </is>
      </c>
      <c r="D83" t="inlineStr">
        <is>
          <t>Aura Cacia Certified Organic Pure Cardamom Essential Oil | 0.25 fl. oz. | Elettaria cardamomum</t>
        </is>
      </c>
      <c r="E83" s="2">
        <f>HYPERLINK("https://www.amazon.com/Aura-Cacia-Certified-Essential-cardamomum/dp/B07DBJ7CXY/ref=sr_1_1?keywords=aura+cacia+oil+essential+cardamom+org%2C+0.25+oz&amp;qid=1695169765&amp;sr=8-1", "https://www.amazon.com/Aura-Cacia-Certified-Essential-cardamomum/dp/B07DBJ7CXY/ref=sr_1_1?keywords=aura+cacia+oil+essential+cardamom+org%2C+0.25+oz&amp;qid=1695169765&amp;sr=8-1")</f>
        <v/>
      </c>
      <c r="F83" t="inlineStr">
        <is>
          <t>B07DBJ7CXY</t>
        </is>
      </c>
      <c r="G83">
        <f>_xludf.IMAGE("https://www.shelhealth.com/cdn/shop/files/aura-cacia-oil-essential-cardmom-org-0-25-oz-beauty-body-care-shelhealth-510.jpg?v=1686143447&amp;width=1946")</f>
        <v/>
      </c>
      <c r="H83">
        <f>_xludf.IMAGE("https://m.media-amazon.com/images/I/61lGEjog4MS._AC_UL320_.jpg")</f>
        <v/>
      </c>
      <c r="K83" t="inlineStr">
        <is>
          <t>15.99</t>
        </is>
      </c>
      <c r="L83" t="n">
        <v>16.25</v>
      </c>
      <c r="M83" s="1" t="inlineStr">
        <is>
          <t>1.63%</t>
        </is>
      </c>
      <c r="N83" s="3" t="n">
        <v>1.63</v>
      </c>
      <c r="O83" t="n">
        <v>4.7</v>
      </c>
      <c r="P83" t="n">
        <v>16</v>
      </c>
      <c r="R83" t="inlineStr">
        <is>
          <t>InStock</t>
        </is>
      </c>
      <c r="S83" t="inlineStr">
        <is>
          <t>15.99</t>
        </is>
      </c>
      <c r="T83" t="inlineStr">
        <is>
          <t>7241464479932</t>
        </is>
      </c>
    </row>
    <row r="84" hidden="1" ht="15.75" customHeight="1">
      <c r="A84" s="2">
        <f>HYPERLINK("https://www.shelhealth.com/products/lapcos-sheet-mask-set-aloe-variety-pack-10-masks", "https://www.shelhealth.com/products/lapcos-sheet-mask-set-aloe-variety-pack-10-masks")</f>
        <v/>
      </c>
      <c r="B84" s="2">
        <f>HYPERLINK("https://www.shelhealth.com/products/lapcos-sheet-mask-set-aloe-variety-pack-10-masks", "https://www.shelhealth.com/products/lapcos-sheet-mask-set-aloe-variety-pack-10-masks")</f>
        <v/>
      </c>
      <c r="C84" t="inlineStr">
        <is>
          <t>Lapcos Sheet Mask Set Aloe Variety Pack - 10 Masks</t>
        </is>
      </c>
      <c r="D84" t="inlineStr">
        <is>
          <t>LAPCOS Sheet Masks Variety Set 8 Masks + 2 Bonus Exfoliating Pads - Honey Pearl Aloe Aqua Collagen Charcoal Milk Face Masks Variety Set Korean Beauty Salon</t>
        </is>
      </c>
      <c r="E84" s="2">
        <f>HYPERLINK("https://www.amazon.com/LAPCOS-Sheet-Masks-Variety-Exfoliating/dp/B07GVHV9SJ/ref=sr_1_4?keywords=Lapcos+Sheet+Mask+Set+Aloe+Variety+Pack+-+10+Masks&amp;qid=1695169775&amp;sr=8-4", "https://www.amazon.com/LAPCOS-Sheet-Masks-Variety-Exfoliating/dp/B07GVHV9SJ/ref=sr_1_4?keywords=Lapcos+Sheet+Mask+Set+Aloe+Variety+Pack+-+10+Masks&amp;qid=1695169775&amp;sr=8-4")</f>
        <v/>
      </c>
      <c r="F84" t="inlineStr">
        <is>
          <t>B07GVHV9SJ</t>
        </is>
      </c>
      <c r="G84">
        <f>_xludf.IMAGE("https://www.shelhealth.com/cdn/shop/products/lapcos-sheet-mask-set-aloe-variety-pack-10-masks-shelhealth-534.jpg?v=1663342538&amp;width=1946")</f>
        <v/>
      </c>
      <c r="H84">
        <f>_xludf.IMAGE("https://m.media-amazon.com/images/I/A1+SoWqDf7L._AC_UL320_.jpg")</f>
        <v/>
      </c>
      <c r="K84" t="inlineStr">
        <is>
          <t>27.99</t>
        </is>
      </c>
      <c r="L84" t="n">
        <v>27.99</v>
      </c>
      <c r="M84" s="1" t="inlineStr">
        <is>
          <t>0.00%</t>
        </is>
      </c>
      <c r="N84" s="3" t="n">
        <v>0</v>
      </c>
      <c r="O84" t="n">
        <v>4.2</v>
      </c>
      <c r="P84" t="n">
        <v>53</v>
      </c>
      <c r="R84" t="inlineStr">
        <is>
          <t>OutOfStock</t>
        </is>
      </c>
      <c r="S84" t="inlineStr">
        <is>
          <t>27.99</t>
        </is>
      </c>
      <c r="T84" t="inlineStr">
        <is>
          <t>3815936786484</t>
        </is>
      </c>
    </row>
    <row r="85" hidden="1" ht="15.75" customHeight="1">
      <c r="A85" s="2">
        <f>HYPERLINK("https://www.shelhealth.com/products/lapcos-sheet-mask-set-collagen-variety-pack-10-masks", "https://www.shelhealth.com/products/lapcos-sheet-mask-set-collagen-variety-pack-10-masks")</f>
        <v/>
      </c>
      <c r="B85" s="2">
        <f>HYPERLINK("https://www.shelhealth.com/products/lapcos-sheet-mask-set-collagen-variety-pack-10-masks", "https://www.shelhealth.com/products/lapcos-sheet-mask-set-collagen-variety-pack-10-masks")</f>
        <v/>
      </c>
      <c r="C85" t="inlineStr">
        <is>
          <t>Lapcos Sheet Mask Set Collagen Variety Pack - 10 Masks</t>
        </is>
      </c>
      <c r="D85" t="inlineStr">
        <is>
          <t>LAPCOS Sheet Masks Variety Set 8 Masks + 2 Bonus Exfoliating Pads - Honey Pearl Aloe Aqua Collagen Charcoal Milk Face Masks Variety Set Korean Beauty Salon</t>
        </is>
      </c>
      <c r="E85" s="2">
        <f>HYPERLINK("https://www.amazon.com/LAPCOS-Sheet-Masks-Variety-Exfoliating/dp/B07GVHV9SJ/ref=sr_1_7?keywords=Lapcos+Sheet+Mask+Set+Collagen+Variety+Pack+-+10+Masks&amp;qid=1695169793&amp;sr=8-7", "https://www.amazon.com/LAPCOS-Sheet-Masks-Variety-Exfoliating/dp/B07GVHV9SJ/ref=sr_1_7?keywords=Lapcos+Sheet+Mask+Set+Collagen+Variety+Pack+-+10+Masks&amp;qid=1695169793&amp;sr=8-7")</f>
        <v/>
      </c>
      <c r="F85" t="inlineStr">
        <is>
          <t>B07GVHV9SJ</t>
        </is>
      </c>
      <c r="G85">
        <f>_xludf.IMAGE("https://www.shelhealth.com/cdn/shop/products/lapcos-sheet-mask-set-collagen-variety-pack-10-masks-shelhealth-990.jpg?v=1663342468&amp;width=1946")</f>
        <v/>
      </c>
      <c r="H85">
        <f>_xludf.IMAGE("https://m.media-amazon.com/images/I/A1+SoWqDf7L._AC_UL320_.jpg")</f>
        <v/>
      </c>
      <c r="K85" t="inlineStr">
        <is>
          <t>27.99</t>
        </is>
      </c>
      <c r="L85" t="n">
        <v>27.99</v>
      </c>
      <c r="M85" s="1" t="inlineStr">
        <is>
          <t>0.00%</t>
        </is>
      </c>
      <c r="N85" s="3" t="n">
        <v>0</v>
      </c>
      <c r="O85" t="n">
        <v>4.2</v>
      </c>
      <c r="P85" t="n">
        <v>53</v>
      </c>
      <c r="R85" t="inlineStr">
        <is>
          <t>OutOfStock</t>
        </is>
      </c>
      <c r="S85" t="inlineStr">
        <is>
          <t>27.99</t>
        </is>
      </c>
      <c r="T85" t="inlineStr">
        <is>
          <t>3814964887604</t>
        </is>
      </c>
    </row>
    <row r="86" hidden="1" ht="15.75" customHeight="1">
      <c r="A86" s="2">
        <f>HYPERLINK("https://www.shelhealth.com/products/51381991074-aura-cacia-journey-to-diffusion-kit-essential-oil-1-fo", "https://www.shelhealth.com/products/51381991074-aura-cacia-journey-to-diffusion-kit-essential-oil-1-fo")</f>
        <v/>
      </c>
      <c r="B86" s="2">
        <f>HYPERLINK("https://www.shelhealth.com/products/51381991074-aura-cacia-journey-to-diffusion-kit-essential-oil-1-fo", "https://www.shelhealth.com/products/51381991074-aura-cacia-journey-to-diffusion-kit-essential-oil-1-fo")</f>
        <v/>
      </c>
      <c r="C86" t="inlineStr">
        <is>
          <t>Aura Cacia Journey To Diffusion Kit Essential Oil, 1 Fo</t>
        </is>
      </c>
      <c r="D86" t="inlineStr">
        <is>
          <t>Aura Cacia Journey Essential Diffusion Oils Kit, 4-Pack, Spice Market, Dreamy Forest, Quiet Orchard &amp; Sunny Garden Pure Oils</t>
        </is>
      </c>
      <c r="E86" s="2">
        <f>HYPERLINK("https://www.amazon.com/Aura-Cacia-Journey-Diffusion-Essential/dp/B085VW5SCF/ref=sr_1_1?keywords=Aura+Cacia+Journey+To+Diffusion+Kit+Essential+Oil%2C+1+Fo&amp;qid=1695169770&amp;sr=8-1", "https://www.amazon.com/Aura-Cacia-Journey-Diffusion-Essential/dp/B085VW5SCF/ref=sr_1_1?keywords=Aura+Cacia+Journey+To+Diffusion+Kit+Essential+Oil%2C+1+Fo&amp;qid=1695169770&amp;sr=8-1")</f>
        <v/>
      </c>
      <c r="F86" t="inlineStr">
        <is>
          <t>B085VW5SCF</t>
        </is>
      </c>
      <c r="G86">
        <f>_xludf.IMAGE("https://www.shelhealth.com/cdn/shop/files/aura-cacia-journey-to-diffusion-kit-essential-oil-1-fo-beauty-body-care-shelhealth-124.jpg?v=1686143472&amp;width=1946")</f>
        <v/>
      </c>
      <c r="H86">
        <f>_xludf.IMAGE("https://m.media-amazon.com/images/I/91PdMV1sq1L._AC_UL320_.jpg")</f>
        <v/>
      </c>
      <c r="K86" t="inlineStr">
        <is>
          <t>17.99</t>
        </is>
      </c>
      <c r="L86" t="n">
        <v>16.98</v>
      </c>
      <c r="M86" s="1" t="inlineStr">
        <is>
          <t>-5.61%</t>
        </is>
      </c>
      <c r="N86" s="3" t="n">
        <v>-5.61</v>
      </c>
      <c r="O86" t="n">
        <v>4.6</v>
      </c>
      <c r="P86" t="n">
        <v>2207</v>
      </c>
      <c r="R86" t="inlineStr">
        <is>
          <t>InStock</t>
        </is>
      </c>
      <c r="S86" t="inlineStr">
        <is>
          <t>17.99</t>
        </is>
      </c>
      <c r="T86" t="inlineStr">
        <is>
          <t>7241463562428</t>
        </is>
      </c>
    </row>
    <row r="87" hidden="1" ht="15.75" customHeight="1">
      <c r="A87" s="2">
        <f>HYPERLINK("https://www.shelhealth.com/products/conair-reflections-double-sided-led-lighted-vanity-makeup-mirror-1x-10x-magnification", "https://www.shelhealth.com/products/conair-reflections-double-sided-led-lighted-vanity-makeup-mirror-1x-10x-magnification")</f>
        <v/>
      </c>
      <c r="B87" s="2">
        <f>HYPERLINK("https://www.shelhealth.com/products/conair-reflections-double-sided-led-lighted-vanity-makeup-mirror-1x-10x-magnification", "https://www.shelhealth.com/products/conair-reflections-double-sided-led-lighted-vanity-makeup-mirror-1x-10x-magnification")</f>
        <v/>
      </c>
      <c r="C87" t="inlineStr">
        <is>
          <t>Conair Reflections Double Sided LED Lighted Vanity Makeup Mirror, 1x/10x magnification</t>
        </is>
      </c>
      <c r="D87" t="inlineStr">
        <is>
          <t>SPIGHTDEX Magnifying Mirror with Light 1x/10x Magnification，Mirror with Lights 7 Inch Double Sided，Lighted Makeup Vanity Mirror with Stand，Led Cosmetic Beauty Mirror for Tabletop Shaving Bathroom</t>
        </is>
      </c>
      <c r="E87" s="2">
        <f>HYPERLINK("https://www.amazon.com/SPIGHTDEX-Mirror-Magnification%EF%BC%8CMirror-Lights-Makeup/dp/B08F5BKLYL/ref=sr_1_8?keywords=Conair+Reflections+Double+Sided+LED+Lighted+Vanity+Makeup+Mirror%2C+1x%2F10x+magnification&amp;qid=1695169774&amp;sr=8-8", "https://www.amazon.com/SPIGHTDEX-Mirror-Magnification%EF%BC%8CMirror-Lights-Makeup/dp/B08F5BKLYL/ref=sr_1_8?keywords=Conair+Reflections+Double+Sided+LED+Lighted+Vanity+Makeup+Mirror%2C+1x%2F10x+magnification&amp;qid=1695169774&amp;sr=8-8")</f>
        <v/>
      </c>
      <c r="F87" t="inlineStr">
        <is>
          <t>B08F5BKLYL</t>
        </is>
      </c>
      <c r="G87">
        <f>_xludf.IMAGE("https://www.shelhealth.com/cdn/shop/products/conair-reflections-double-sided-led-lighted-vanity-makeup-mirror-1x10x-magnification-shelhealth-695.jpg?v=1663373815&amp;width=1946")</f>
        <v/>
      </c>
      <c r="H87">
        <f>_xludf.IMAGE("https://m.media-amazon.com/images/I/51pfoUvJrtS._AC_UL320_.jpg")</f>
        <v/>
      </c>
      <c r="K87" t="inlineStr">
        <is>
          <t>43.99</t>
        </is>
      </c>
      <c r="L87" t="n">
        <v>41.49</v>
      </c>
      <c r="M87" s="1" t="inlineStr">
        <is>
          <t>-5.68%</t>
        </is>
      </c>
      <c r="N87" s="3" t="n">
        <v>-5.68</v>
      </c>
      <c r="O87" t="n">
        <v>4</v>
      </c>
      <c r="P87" t="n">
        <v>468</v>
      </c>
      <c r="R87" t="inlineStr">
        <is>
          <t>InStock</t>
        </is>
      </c>
      <c r="S87" t="inlineStr">
        <is>
          <t>43.99</t>
        </is>
      </c>
      <c r="T87" t="inlineStr">
        <is>
          <t>4710428049497</t>
        </is>
      </c>
    </row>
    <row r="88" hidden="1" ht="15.75" customHeight="1">
      <c r="A88" s="2">
        <f>HYPERLINK("https://www.shelhealth.com/products/neutrogena-hydro-boost-hyaluronic-acid-hydrating-water-face-gel-moisturizer-for-dry-skin-1-7-fl-oz-2-pack", "https://www.shelhealth.com/products/neutrogena-hydro-boost-hyaluronic-acid-hydrating-water-face-gel-moisturizer-for-dry-skin-1-7-fl-oz-2-pack")</f>
        <v/>
      </c>
      <c r="B88" s="2">
        <f>HYPERLINK("https://www.shelhealth.com/products/neutrogena-hydro-boost-hyaluronic-acid-hydrating-water-face-gel-moisturizer-for-dry-skin-1-7-fl-oz-2-pack", "https://www.shelhealth.com/products/neutrogena-hydro-boost-hyaluronic-acid-hydrating-water-face-gel-moisturizer-for-dry-skin-1-7-fl-oz-2-pack")</f>
        <v/>
      </c>
      <c r="C88" t="inlineStr">
        <is>
          <t>Neutrogena Hydro Boost Hyaluronic Acid Hydrating Water Face Gel Moisturizer for Dry Skin, 1.7 fl. oz (2 pack)</t>
        </is>
      </c>
      <c r="D88" t="inlineStr">
        <is>
          <t>Neutrogena Hydro Boost Hyaluronic Acid Hydrating Water Face Gel Moisturizer for Dry Skin, 2 Pack (1.7 fl. Oz)</t>
        </is>
      </c>
      <c r="E88" s="2">
        <f>HYPERLINK("https://www.amazon.com/Neutrogena-Hydro-Hyaluronic-Hydrating-Moisturizer/dp/B07FN4WHM3/ref=sr_1_1?keywords=Neutrogena+Hydro+Boost+Hyaluronic+Acid+Hydrating+Water+Face+Gel+Moisturizer+for+Dry+Skin%2C+1.7+fl.+oz+%282+pack%29&amp;qid=1695169774&amp;sr=8-1", "https://www.amazon.com/Neutrogena-Hydro-Hyaluronic-Hydrating-Moisturizer/dp/B07FN4WHM3/ref=sr_1_1?keywords=Neutrogena+Hydro+Boost+Hyaluronic+Acid+Hydrating+Water+Face+Gel+Moisturizer+for+Dry+Skin%2C+1.7+fl.+oz+%282+pack%29&amp;qid=1695169774&amp;sr=8-1")</f>
        <v/>
      </c>
      <c r="F88" t="inlineStr">
        <is>
          <t>B07FN4WHM3</t>
        </is>
      </c>
      <c r="G88">
        <f>_xludf.IMAGE("https://www.shelhealth.com/cdn/shop/products/neutrogena-hydro-boost-hyaluronic-acid-hydrating-water-face-gel-moisturizer-for-dry-skin-1-7-fl-oz-2-pack-shelhealth-356.jpg?v=1663342777&amp;width=1946")</f>
        <v/>
      </c>
      <c r="H88">
        <f>_xludf.IMAGE("https://m.media-amazon.com/images/I/71Qf69SvLdL._AC_UL320_.jpg")</f>
        <v/>
      </c>
      <c r="K88" t="inlineStr">
        <is>
          <t>35.99</t>
        </is>
      </c>
      <c r="L88" t="n">
        <v>32.65</v>
      </c>
      <c r="M88" s="1" t="inlineStr">
        <is>
          <t>-9.28%</t>
        </is>
      </c>
      <c r="N88" s="3" t="n">
        <v>-9.279999999999999</v>
      </c>
      <c r="O88" t="n">
        <v>4.6</v>
      </c>
      <c r="P88" t="n">
        <v>12</v>
      </c>
      <c r="R88" t="inlineStr">
        <is>
          <t>InStock</t>
        </is>
      </c>
      <c r="S88" t="inlineStr">
        <is>
          <t>35.99</t>
        </is>
      </c>
      <c r="T88" t="inlineStr">
        <is>
          <t>3817379364916</t>
        </is>
      </c>
    </row>
    <row r="89" hidden="1" ht="15.75" customHeight="1">
      <c r="A89" s="2">
        <f>HYPERLINK("https://www.shelhealth.com/products/makeup-eraser-7-day-set-and-full-size", "https://www.shelhealth.com/products/makeup-eraser-7-day-set-and-full-size")</f>
        <v/>
      </c>
      <c r="B89" s="2">
        <f>HYPERLINK("https://www.shelhealth.com/products/makeup-eraser-7-day-set-and-full-size", "https://www.shelhealth.com/products/makeup-eraser-7-day-set-and-full-size")</f>
        <v/>
      </c>
      <c r="C89" t="inlineStr">
        <is>
          <t>Makeup Eraser 7 Day Set And Full Size</t>
        </is>
      </c>
      <c r="D89" t="inlineStr">
        <is>
          <t>MakeUp Eraser, 7-Day Set, Erase All Makeup With Just Water, Including Waterproof Mascara, Eyeliner, Foundation, Lipstick, and More!</t>
        </is>
      </c>
      <c r="E89" s="2">
        <f>HYPERLINK("https://www.amazon.com/Makeup-Eraser-Including-Waterproof-Foundation/dp/B09GFXV538/ref=sr_1_2?keywords=Makeup+Eraser+7+Day+Set+And+Full+Size&amp;qid=1695169766&amp;sr=8-2", "https://www.amazon.com/Makeup-Eraser-Including-Waterproof-Foundation/dp/B09GFXV538/ref=sr_1_2?keywords=Makeup+Eraser+7+Day+Set+And+Full+Size&amp;qid=1695169766&amp;sr=8-2")</f>
        <v/>
      </c>
      <c r="F89" t="inlineStr">
        <is>
          <t>B09GFXV538</t>
        </is>
      </c>
      <c r="G89">
        <f>_xludf.IMAGE("https://www.shelhealth.com/cdn/shop/products/makeup-eraser-7-day-set-and-full-size-shelhealth-708.jpg?v=1663658002&amp;width=1946")</f>
        <v/>
      </c>
      <c r="H89">
        <f>_xludf.IMAGE("https://m.media-amazon.com/images/I/91JyiKY62iL._AC_UL320_.jpg")</f>
        <v/>
      </c>
      <c r="K89" t="inlineStr">
        <is>
          <t>27.99</t>
        </is>
      </c>
      <c r="L89" t="n">
        <v>25</v>
      </c>
      <c r="M89" s="1" t="inlineStr">
        <is>
          <t>-10.68%</t>
        </is>
      </c>
      <c r="N89" s="3" t="n">
        <v>-10.68</v>
      </c>
      <c r="O89" t="n">
        <v>4.7</v>
      </c>
      <c r="P89" t="n">
        <v>1554</v>
      </c>
      <c r="R89" t="inlineStr">
        <is>
          <t>InStock</t>
        </is>
      </c>
      <c r="S89" t="inlineStr">
        <is>
          <t>27.99</t>
        </is>
      </c>
      <c r="T89" t="inlineStr">
        <is>
          <t>6083743809724</t>
        </is>
      </c>
    </row>
    <row r="90" hidden="1" ht="15.75" customHeight="1">
      <c r="A90" s="2">
        <f>HYPERLINK("https://www.shelhealth.com/products/butter-london-4-piece-nail-lacquer-set-with-banana-file", "https://www.shelhealth.com/products/butter-london-4-piece-nail-lacquer-set-with-banana-file")</f>
        <v/>
      </c>
      <c r="B90" s="2">
        <f>HYPERLINK("https://www.shelhealth.com/products/butter-london-4-piece-nail-lacquer-set-with-banana-file", "https://www.shelhealth.com/products/butter-london-4-piece-nail-lacquer-set-with-banana-file")</f>
        <v/>
      </c>
      <c r="C90" t="inlineStr">
        <is>
          <t>Butter London 4-Piece Nail Lacquer Set With Banana File</t>
        </is>
      </c>
      <c r="D90" t="inlineStr">
        <is>
          <t>Custom Nail Manicure Kit Includes Butter|London 4-Piece Patent Shine 10x Lacquer Set plus 4-Piece Deluxe Stainless Steel Manicure Set</t>
        </is>
      </c>
      <c r="E90" s="2">
        <f>HYPERLINK("https://www.amazon.com/Custom-Manicure-4-Piece-Lacquer-Stainless/dp/B0BJ9M6HGG/ref=sr_1_1?keywords=Butter+London+4-Piece+Nail+Lacquer+Set+With+Banana+File&amp;qid=1695169774&amp;sr=8-1", "https://www.amazon.com/Custom-Manicure-4-Piece-Lacquer-Stainless/dp/B0BJ9M6HGG/ref=sr_1_1?keywords=Butter+London+4-Piece+Nail+Lacquer+Set+With+Banana+File&amp;qid=1695169774&amp;sr=8-1")</f>
        <v/>
      </c>
      <c r="F90" t="inlineStr">
        <is>
          <t>B0BJ9M6HGG</t>
        </is>
      </c>
      <c r="G90">
        <f>_xludf.IMAGE("https://www.shelhealth.com/cdn/shop/products/butter-london-4-piece-nail-lacquer-set-with-banana-file-shelhealth-331.jpg?v=1663657987&amp;width=1946")</f>
        <v/>
      </c>
      <c r="H90">
        <f>_xludf.IMAGE("https://m.media-amazon.com/images/I/61K+p9kCa-L._AC_UL320_.jpg")</f>
        <v/>
      </c>
      <c r="K90" t="inlineStr">
        <is>
          <t>27.99</t>
        </is>
      </c>
      <c r="L90" t="n">
        <v>24</v>
      </c>
      <c r="M90" s="1" t="inlineStr">
        <is>
          <t>-14.26%</t>
        </is>
      </c>
      <c r="N90" s="3" t="n">
        <v>-14.26</v>
      </c>
      <c r="O90" t="n">
        <v>4.3</v>
      </c>
      <c r="P90" t="n">
        <v>6</v>
      </c>
      <c r="R90" t="inlineStr">
        <is>
          <t>OutOfStock</t>
        </is>
      </c>
      <c r="S90" t="inlineStr">
        <is>
          <t>27.99</t>
        </is>
      </c>
      <c r="T90" t="inlineStr">
        <is>
          <t>6083733717180</t>
        </is>
      </c>
    </row>
    <row r="91" hidden="1" ht="15.75" customHeight="1">
      <c r="A91" s="2">
        <f>HYPERLINK("https://www.shelhealth.com/products/051381912437-aura-cacia-oil-essential-manuka-0-5-oz", "https://www.shelhealth.com/products/051381912437-aura-cacia-oil-essential-manuka-0-5-oz")</f>
        <v/>
      </c>
      <c r="B91" s="2">
        <f>HYPERLINK("https://www.shelhealth.com/products/051381912437-aura-cacia-oil-essential-manuka-0-5-oz", "https://www.shelhealth.com/products/051381912437-aura-cacia-oil-essential-manuka-0-5-oz")</f>
        <v/>
      </c>
      <c r="C91" t="inlineStr">
        <is>
          <t>Aura Cacia Oil Essential Manuka, 0.5 Oz</t>
        </is>
      </c>
      <c r="D91" t="inlineStr">
        <is>
          <t>Aura Cacia Manuka Essential Oil | GC/MS Tested for Purity | 15ml (0.5 fl. oz.)</t>
        </is>
      </c>
      <c r="E91" s="2">
        <f>HYPERLINK("https://www.amazon.com/Aura-Cacia-Pure-Essential-Manuka/dp/B07DBV32PC/ref=sr_1_1?keywords=Aura+Cacia+Oil+Essential+Manuka%2C+0.5+Oz&amp;qid=1695169761&amp;sr=8-1", "https://www.amazon.com/Aura-Cacia-Pure-Essential-Manuka/dp/B07DBV32PC/ref=sr_1_1?keywords=Aura+Cacia+Oil+Essential+Manuka%2C+0.5+Oz&amp;qid=1695169761&amp;sr=8-1")</f>
        <v/>
      </c>
      <c r="F91" t="inlineStr">
        <is>
          <t>B07DBV32PC</t>
        </is>
      </c>
      <c r="G91">
        <f>_xludf.IMAGE("https://www.shelhealth.com/cdn/shop/files/aura-cacia-oil-essential-manuka-0-5-oz-beauty-body-care-shelhealth-195.jpg?v=1686143426&amp;width=1946")</f>
        <v/>
      </c>
      <c r="H91">
        <f>_xludf.IMAGE("https://m.media-amazon.com/images/I/41vqNAL2xUL._AC_UL320_.jpg")</f>
        <v/>
      </c>
      <c r="K91" t="inlineStr">
        <is>
          <t>39.99</t>
        </is>
      </c>
      <c r="L91" t="n">
        <v>31.37</v>
      </c>
      <c r="M91" s="1" t="inlineStr">
        <is>
          <t>-21.56%</t>
        </is>
      </c>
      <c r="N91" s="3" t="n">
        <v>-21.56</v>
      </c>
      <c r="O91" t="n">
        <v>4.9</v>
      </c>
      <c r="P91" t="n">
        <v>14</v>
      </c>
      <c r="R91" t="inlineStr">
        <is>
          <t>OutOfStock</t>
        </is>
      </c>
      <c r="S91" t="inlineStr">
        <is>
          <t>39.99</t>
        </is>
      </c>
      <c r="T91" t="inlineStr">
        <is>
          <t>7241465004220</t>
        </is>
      </c>
    </row>
    <row r="92" hidden="1" ht="15.75" customHeight="1">
      <c r="A92" s="2">
        <f>HYPERLINK("https://www.shelhealth.com/products/conair-reflections-double-sided-led-lighted-vanity-makeup-mirror-1x-10x-magnification", "https://www.shelhealth.com/products/conair-reflections-double-sided-led-lighted-vanity-makeup-mirror-1x-10x-magnification")</f>
        <v/>
      </c>
      <c r="B92" s="2">
        <f>HYPERLINK("https://www.shelhealth.com/products/conair-reflections-double-sided-led-lighted-vanity-makeup-mirror-1x-10x-magnification", "https://www.shelhealth.com/products/conair-reflections-double-sided-led-lighted-vanity-makeup-mirror-1x-10x-magnification")</f>
        <v/>
      </c>
      <c r="C92" t="inlineStr">
        <is>
          <t>Conair Reflections Double Sided LED Lighted Vanity Makeup Mirror, 1x/10x magnification</t>
        </is>
      </c>
      <c r="D92" t="inlineStr">
        <is>
          <t>Conair Lighted Makeup Mirror with Magnification, Oval Mirror, LED Vanity Mirror, 1X/7X Magnifying Mirror, Double Sided Mirror, Corded in Polished Chrome</t>
        </is>
      </c>
      <c r="E92" s="2">
        <f>HYPERLINK("https://www.amazon.com/Conair-Double-Sided-Lighted-Makeup-Mirror/dp/B003JFBXMM/ref=sr_1_5?keywords=Conair+Reflections+Double+Sided+LED+Lighted+Vanity+Makeup+Mirror%2C+1x%2F10x+magnification&amp;qid=1695169774&amp;sr=8-5", "https://www.amazon.com/Conair-Double-Sided-Lighted-Makeup-Mirror/dp/B003JFBXMM/ref=sr_1_5?keywords=Conair+Reflections+Double+Sided+LED+Lighted+Vanity+Makeup+Mirror%2C+1x%2F10x+magnification&amp;qid=1695169774&amp;sr=8-5")</f>
        <v/>
      </c>
      <c r="F92" t="inlineStr">
        <is>
          <t>B003JFBXMM</t>
        </is>
      </c>
      <c r="G92">
        <f>_xludf.IMAGE("https://www.shelhealth.com/cdn/shop/products/conair-reflections-double-sided-led-lighted-vanity-makeup-mirror-1x10x-magnification-shelhealth-695.jpg?v=1663373815&amp;width=1946")</f>
        <v/>
      </c>
      <c r="H92">
        <f>_xludf.IMAGE("https://m.media-amazon.com/images/I/613lBPFv93L._AC_UL320_.jpg")</f>
        <v/>
      </c>
      <c r="K92" t="inlineStr">
        <is>
          <t>43.99</t>
        </is>
      </c>
      <c r="L92" t="n">
        <v>33.58</v>
      </c>
      <c r="M92" s="1" t="inlineStr">
        <is>
          <t>-23.66%</t>
        </is>
      </c>
      <c r="N92" s="3" t="n">
        <v>-23.66</v>
      </c>
      <c r="O92" t="n">
        <v>4.2</v>
      </c>
      <c r="P92" t="n">
        <v>10117</v>
      </c>
      <c r="R92" t="inlineStr">
        <is>
          <t>InStock</t>
        </is>
      </c>
      <c r="S92" t="inlineStr">
        <is>
          <t>43.99</t>
        </is>
      </c>
      <c r="T92" t="inlineStr">
        <is>
          <t>4710428049497</t>
        </is>
      </c>
    </row>
    <row r="93" hidden="1" ht="15.75" customHeight="1">
      <c r="A93" s="2">
        <f>HYPERLINK("https://www.shelhealth.com/products/olay-regenerist-micro-sculpting-super-ultra-lightweight-serum-100ml-3-4oz", "https://www.shelhealth.com/products/olay-regenerist-micro-sculpting-super-ultra-lightweight-serum-100ml-3-4oz")</f>
        <v/>
      </c>
      <c r="B93" s="2">
        <f>HYPERLINK("https://www.shelhealth.com/products/olay-regenerist-micro-sculpting-super-ultra-lightweight-serum-100ml-3-4oz", "https://www.shelhealth.com/products/olay-regenerist-micro-sculpting-super-ultra-lightweight-serum-100ml-3-4oz")</f>
        <v/>
      </c>
      <c r="C93" t="inlineStr">
        <is>
          <t>Olay Regenerist Micro-Sculpting Super Ultra-LightWeight Serum 100ml/3.4oz</t>
        </is>
      </c>
      <c r="D93" t="inlineStr">
        <is>
          <t>Olay Regenerist Micro-Sculpting Serum, 2-Pack, Ultra-Lightweight Anti-Aging Moisturizer, 100ml (3.4 FL OZ) Total</t>
        </is>
      </c>
      <c r="E93" s="2">
        <f>HYPERLINK("https://www.amazon.com/Olay-Regenerist-Micro-Sculpting-Ultra-Lightweight-Anti-Aging/dp/B07YZMMH8Q/ref=sr_1_1?keywords=Olay+Regenerist+Micro-Sculpting+Super+Ultra-LightWeight+Serum+100ml%2F3.4oz&amp;qid=1695169758&amp;sr=8-1", "https://www.amazon.com/Olay-Regenerist-Micro-Sculpting-Ultra-Lightweight-Anti-Aging/dp/B07YZMMH8Q/ref=sr_1_1?keywords=Olay+Regenerist+Micro-Sculpting+Super+Ultra-LightWeight+Serum+100ml%2F3.4oz&amp;qid=1695169758&amp;sr=8-1")</f>
        <v/>
      </c>
      <c r="F93" t="inlineStr">
        <is>
          <t>B07YZMMH8Q</t>
        </is>
      </c>
      <c r="G93">
        <f>_xludf.IMAGE("https://www.shelhealth.com/cdn/shop/products/olay-regenerist-micro-sculpting-super-ultra-lightweight-serum-100ml3-4oz-shelhealth-774.jpg?v=1663337086&amp;width=1946")</f>
        <v/>
      </c>
      <c r="H93">
        <f>_xludf.IMAGE("https://m.media-amazon.com/images/I/61KKgmmc0+L._AC_UL320_.jpg")</f>
        <v/>
      </c>
      <c r="K93" t="inlineStr">
        <is>
          <t>54.99</t>
        </is>
      </c>
      <c r="L93" t="n">
        <v>39.97</v>
      </c>
      <c r="M93" s="1" t="inlineStr">
        <is>
          <t>-27.31%</t>
        </is>
      </c>
      <c r="N93" s="3" t="n">
        <v>-27.31</v>
      </c>
      <c r="O93" t="n">
        <v>4.7</v>
      </c>
      <c r="P93" t="n">
        <v>1113</v>
      </c>
      <c r="R93" t="inlineStr">
        <is>
          <t>InStock</t>
        </is>
      </c>
      <c r="S93" t="inlineStr">
        <is>
          <t>54.99</t>
        </is>
      </c>
      <c r="T93" t="inlineStr">
        <is>
          <t>3738222723124</t>
        </is>
      </c>
    </row>
    <row r="94" hidden="1" ht="15.75" customHeight="1">
      <c r="A94" s="2">
        <f>HYPERLINK("https://www.shelhealth.com/products/makeup-eraser-7-day-set-and-full-size", "https://www.shelhealth.com/products/makeup-eraser-7-day-set-and-full-size")</f>
        <v/>
      </c>
      <c r="B94" s="2">
        <f>HYPERLINK("https://www.shelhealth.com/products/makeup-eraser-7-day-set-and-full-size", "https://www.shelhealth.com/products/makeup-eraser-7-day-set-and-full-size")</f>
        <v/>
      </c>
      <c r="C94" t="inlineStr">
        <is>
          <t>Makeup Eraser 7 Day Set And Full Size</t>
        </is>
      </c>
      <c r="D94" t="inlineStr">
        <is>
          <t>MakeUp Eraser, 7-Day Set, Erase All Makeup With Just Water, Including Waterproof Mascara, Eyeliner, Foundation, Lipstick, and More, Disney Villains, 7 ct.</t>
        </is>
      </c>
      <c r="E94" s="2">
        <f>HYPERLINK("https://www.amazon.com/Makeup-Eraser-Disney-Villains-7-Day/dp/B09KF6BHXQ/ref=sr_1_3?keywords=Makeup+Eraser+7+Day+Set+And+Full+Size&amp;qid=1695169766&amp;sr=8-3", "https://www.amazon.com/Makeup-Eraser-Disney-Villains-7-Day/dp/B09KF6BHXQ/ref=sr_1_3?keywords=Makeup+Eraser+7+Day+Set+And+Full+Size&amp;qid=1695169766&amp;sr=8-3")</f>
        <v/>
      </c>
      <c r="F94" t="inlineStr">
        <is>
          <t>B09KF6BHXQ</t>
        </is>
      </c>
      <c r="G94">
        <f>_xludf.IMAGE("https://www.shelhealth.com/cdn/shop/products/makeup-eraser-7-day-set-and-full-size-shelhealth-708.jpg?v=1663658002&amp;width=1946")</f>
        <v/>
      </c>
      <c r="H94">
        <f>_xludf.IMAGE("https://m.media-amazon.com/images/I/81MBqFUDcTL._AC_UL320_.jpg")</f>
        <v/>
      </c>
      <c r="K94" t="inlineStr">
        <is>
          <t>27.99</t>
        </is>
      </c>
      <c r="L94" t="n">
        <v>19.56</v>
      </c>
      <c r="M94" s="1" t="inlineStr">
        <is>
          <t>-30.12%</t>
        </is>
      </c>
      <c r="N94" s="3" t="n">
        <v>-30.12</v>
      </c>
      <c r="O94" t="n">
        <v>4.7</v>
      </c>
      <c r="P94" t="n">
        <v>198</v>
      </c>
      <c r="R94" t="inlineStr">
        <is>
          <t>InStock</t>
        </is>
      </c>
      <c r="S94" t="inlineStr">
        <is>
          <t>27.99</t>
        </is>
      </c>
      <c r="T94" t="inlineStr">
        <is>
          <t>6083743809724</t>
        </is>
      </c>
    </row>
    <row r="95" hidden="1" ht="15.75" customHeight="1">
      <c r="A95" s="2">
        <f>HYPERLINK("https://www.shelhealth.com/products/neutrogena-rapid-wrinkle-repair-2-x-1-7-oz", "https://www.shelhealth.com/products/neutrogena-rapid-wrinkle-repair-2-x-1-7-oz")</f>
        <v/>
      </c>
      <c r="B95" s="2">
        <f>HYPERLINK("https://www.shelhealth.com/products/neutrogena-rapid-wrinkle-repair-2-x-1-7-oz", "https://www.shelhealth.com/products/neutrogena-rapid-wrinkle-repair-2-x-1-7-oz")</f>
        <v/>
      </c>
      <c r="C95" t="inlineStr">
        <is>
          <t>Neutrogena Rapid Wrinkle Repair, 2 x 1.7 oz.</t>
        </is>
      </c>
      <c r="D95" t="inlineStr">
        <is>
          <t>Neutrogena Rapid Wrinkle Repair Retinol Face Moisturizer, Daily Anti-Aging Cream with &amp; Hyaluronic Acid to Fight Fine Lines, Wrinkles, Dark Spots, 1.7 oz (pack of 2) 3.4 Ounce</t>
        </is>
      </c>
      <c r="E95" s="2">
        <f>HYPERLINK("https://www.amazon.com/Neutrogena-Moisturizer-Anti-Aging-Hyaluronic-Wrinkles/dp/B0BWC6MXS9/ref=sr_1_1?keywords=Neutrogena+Rapid+Wrinkle+Repair%2C+2+x+1.7+oz.&amp;qid=1695169780&amp;sr=8-1", "https://www.amazon.com/Neutrogena-Moisturizer-Anti-Aging-Hyaluronic-Wrinkles/dp/B0BWC6MXS9/ref=sr_1_1?keywords=Neutrogena+Rapid+Wrinkle+Repair%2C+2+x+1.7+oz.&amp;qid=1695169780&amp;sr=8-1")</f>
        <v/>
      </c>
      <c r="F95" t="inlineStr">
        <is>
          <t>B0BWC6MXS9</t>
        </is>
      </c>
      <c r="G95">
        <f>_xludf.IMAGE("https://www.shelhealth.com/cdn/shop/products/neutrogena-rapid-wrinkle-repair-2-x-1-7-oz-shelhealth-425.jpg?v=1663372881&amp;width=1946")</f>
        <v/>
      </c>
      <c r="H95">
        <f>_xludf.IMAGE("https://m.media-amazon.com/images/I/61TJO-UTiOL._AC_UL320_.jpg")</f>
        <v/>
      </c>
      <c r="K95" t="inlineStr">
        <is>
          <t>66.99</t>
        </is>
      </c>
      <c r="L95" t="n">
        <v>46</v>
      </c>
      <c r="M95" s="1" t="inlineStr">
        <is>
          <t>-31.33%</t>
        </is>
      </c>
      <c r="N95" s="3" t="n">
        <v>-31.33</v>
      </c>
      <c r="O95" t="n">
        <v>4.4</v>
      </c>
      <c r="P95" t="n">
        <v>48</v>
      </c>
      <c r="R95" t="inlineStr">
        <is>
          <t>InStock</t>
        </is>
      </c>
      <c r="S95" t="inlineStr">
        <is>
          <t>66.99</t>
        </is>
      </c>
      <c r="T95" t="inlineStr">
        <is>
          <t>4697889210457</t>
        </is>
      </c>
    </row>
    <row r="96" hidden="1" ht="15.75" customHeight="1">
      <c r="A96" s="2">
        <f>HYPERLINK("https://www.shelhealth.com/products/658010123037-garden-of-life-oil-essential-sweet-orang-0-5-fo", "https://www.shelhealth.com/products/658010123037-garden-of-life-oil-essential-sweet-orang-0-5-fo")</f>
        <v/>
      </c>
      <c r="B96" s="2">
        <f>HYPERLINK("https://www.shelhealth.com/products/658010123037-garden-of-life-oil-essential-sweet-orang-0-5-fo", "https://www.shelhealth.com/products/658010123037-garden-of-life-oil-essential-sweet-orang-0-5-fo")</f>
        <v/>
      </c>
      <c r="C96" t="inlineStr">
        <is>
          <t>GARDEN OF LIFE Oil Essential Sweet Orang, 0.5 fo (Case of 3)</t>
        </is>
      </c>
      <c r="D96" t="inlineStr">
        <is>
          <t>Garden of Life Essential Oils, 100% Organic &amp; Pure Geranium Essential Oil Plus Sweet Orange &amp; Palmarosa - Happy Blend for Diffusers, Home, Skin &amp; Body Care, Refreshing, Balancing, Joyful, 0.5 fl oz</t>
        </is>
      </c>
      <c r="E96" s="2">
        <f>HYPERLINK("https://www.amazon.com/Garden-Life-Organic-Essential-Happy/dp/B07STD1QQ3/ref=sr_1_2?keywords=GARDEN+OF+LIFE+Oil+Essential+Sweet+Orang%2C+0.5+fo+%28Case+of+3%29&amp;qid=1695169767&amp;sr=8-2", "https://www.amazon.com/Garden-Life-Organic-Essential-Happy/dp/B07STD1QQ3/ref=sr_1_2?keywords=GARDEN+OF+LIFE+Oil+Essential+Sweet+Orang%2C+0.5+fo+%28Case+of+3%29&amp;qid=1695169767&amp;sr=8-2")</f>
        <v/>
      </c>
      <c r="F96" t="inlineStr">
        <is>
          <t>B07STD1QQ3</t>
        </is>
      </c>
      <c r="G96">
        <f>_xludf.IMAGE("https://www.shelhealth.com/cdn/shop/files/garden-of-life-oil-essential-sweet-orang-0-5-fo-case-3-aromatherapy-and-body-oils-shelhealth-991.jpg?v=1686212813&amp;width=1946")</f>
        <v/>
      </c>
      <c r="H96">
        <f>_xludf.IMAGE("https://m.media-amazon.com/images/I/51l6Ey0p3PL._AC_UL320_.jpg")</f>
        <v/>
      </c>
      <c r="K96" t="inlineStr">
        <is>
          <t>24.99</t>
        </is>
      </c>
      <c r="L96" t="n">
        <v>16.99</v>
      </c>
      <c r="M96" s="1" t="inlineStr">
        <is>
          <t>-32.01%</t>
        </is>
      </c>
      <c r="N96" s="3" t="n">
        <v>-32.01</v>
      </c>
      <c r="O96" t="n">
        <v>4.2</v>
      </c>
      <c r="P96" t="n">
        <v>47</v>
      </c>
      <c r="R96" t="inlineStr">
        <is>
          <t>OutOfStock</t>
        </is>
      </c>
      <c r="S96" t="inlineStr">
        <is>
          <t>24.99</t>
        </is>
      </c>
      <c r="T96" t="inlineStr">
        <is>
          <t>7574094872808</t>
        </is>
      </c>
    </row>
    <row r="97" hidden="1" ht="15.75" customHeight="1">
      <c r="A97" s="2">
        <f>HYPERLINK("https://www.shelhealth.com/products/051381908676-aura-cacia-oil-essential-rsemry-vrbn-0-25-oz", "https://www.shelhealth.com/products/051381908676-aura-cacia-oil-essential-rsemry-vrbn-0-25-oz")</f>
        <v/>
      </c>
      <c r="B97" s="2">
        <f>HYPERLINK("https://www.shelhealth.com/products/051381908676-aura-cacia-oil-essential-rsemry-vrbn-0-25-oz", "https://www.shelhealth.com/products/051381908676-aura-cacia-oil-essential-rsemry-vrbn-0-25-oz")</f>
        <v/>
      </c>
      <c r="C97" t="inlineStr">
        <is>
          <t>Aura Cacia Oil Essential Rsemry Vrbn, 0.25 Oz</t>
        </is>
      </c>
      <c r="D97" t="inlineStr">
        <is>
          <t>Aura Cacia Organic Rosemary Essential Oil | GC/MS Tested for Purity | 7.4ml (0.25 fl. oz.)</t>
        </is>
      </c>
      <c r="E97" s="2">
        <f>HYPERLINK("https://www.amazon.com/Essential-Oil-Rosemary-Organic-Aura-Cacia/dp/B006K0BDHI/ref=sr_1_2?keywords=aura+cacia+oil+essential+rosemary+vrbn%2C+0.25+oz&amp;qid=1695169762&amp;sr=8-2", "https://www.amazon.com/Essential-Oil-Rosemary-Organic-Aura-Cacia/dp/B006K0BDHI/ref=sr_1_2?keywords=aura+cacia+oil+essential+rosemary+vrbn%2C+0.25+oz&amp;qid=1695169762&amp;sr=8-2")</f>
        <v/>
      </c>
      <c r="F97" t="inlineStr">
        <is>
          <t>B006K0BDHI</t>
        </is>
      </c>
      <c r="G97">
        <f>_xludf.IMAGE("https://www.shelhealth.com/cdn/shop/files/aura-cacia-oil-essential-rsemry-vrbn-0-25-oz-beauty-body-care-shelhealth-841.jpg?v=1686143414&amp;width=1946")</f>
        <v/>
      </c>
      <c r="H97">
        <f>_xludf.IMAGE("https://m.media-amazon.com/images/I/71PqdEVaeOL._AC_UL320_.jpg")</f>
        <v/>
      </c>
      <c r="K97" t="inlineStr">
        <is>
          <t>14.99</t>
        </is>
      </c>
      <c r="L97" t="n">
        <v>10</v>
      </c>
      <c r="M97" s="1" t="inlineStr">
        <is>
          <t>-33.29%</t>
        </is>
      </c>
      <c r="N97" s="3" t="n">
        <v>-33.29</v>
      </c>
      <c r="O97" t="n">
        <v>4.5</v>
      </c>
      <c r="P97" t="n">
        <v>72</v>
      </c>
      <c r="R97" t="inlineStr">
        <is>
          <t>InStock</t>
        </is>
      </c>
      <c r="S97" t="inlineStr">
        <is>
          <t>14.99</t>
        </is>
      </c>
      <c r="T97" t="inlineStr">
        <is>
          <t>7241465233596</t>
        </is>
      </c>
    </row>
    <row r="98" hidden="1" ht="15.75" customHeight="1">
      <c r="A98" s="2">
        <f>HYPERLINK("https://www.shelhealth.com/products/051381912437-aura-cacia-oil-essential-manuka-0-5-oz", "https://www.shelhealth.com/products/051381912437-aura-cacia-oil-essential-manuka-0-5-oz")</f>
        <v/>
      </c>
      <c r="B98" s="2">
        <f>HYPERLINK("https://www.shelhealth.com/products/051381912437-aura-cacia-oil-essential-manuka-0-5-oz", "https://www.shelhealth.com/products/051381912437-aura-cacia-oil-essential-manuka-0-5-oz")</f>
        <v/>
      </c>
      <c r="C98" t="inlineStr">
        <is>
          <t>Aura Cacia Oil Essential Manuka, 0.5 Oz</t>
        </is>
      </c>
      <c r="D98" t="inlineStr">
        <is>
          <t>Aura Cacia Essential Oil Lavender (Lavendula Augustifolia) 2 oz</t>
        </is>
      </c>
      <c r="E98" s="2">
        <f>HYPERLINK("https://www.amazon.com/Aura-Cacia-Essential-Lavendula-Augustifolia/dp/B0016B5FRK/ref=sr_1_2?keywords=Aura+Cacia+Oil+Essential+Manuka%2C+0.5+Oz&amp;qid=1695169761&amp;sr=8-2", "https://www.amazon.com/Aura-Cacia-Essential-Lavendula-Augustifolia/dp/B0016B5FRK/ref=sr_1_2?keywords=Aura+Cacia+Oil+Essential+Manuka%2C+0.5+Oz&amp;qid=1695169761&amp;sr=8-2")</f>
        <v/>
      </c>
      <c r="F98" t="inlineStr">
        <is>
          <t>B0016B5FRK</t>
        </is>
      </c>
      <c r="G98">
        <f>_xludf.IMAGE("https://www.shelhealth.com/cdn/shop/files/aura-cacia-oil-essential-manuka-0-5-oz-beauty-body-care-shelhealth-195.jpg?v=1686143426&amp;width=1946")</f>
        <v/>
      </c>
      <c r="H98">
        <f>_xludf.IMAGE("https://m.media-amazon.com/images/I/61QfYTcLOoL._AC_UL320_.jpg")</f>
        <v/>
      </c>
      <c r="K98" t="inlineStr">
        <is>
          <t>39.99</t>
        </is>
      </c>
      <c r="L98" t="n">
        <v>25.99</v>
      </c>
      <c r="M98" s="1" t="inlineStr">
        <is>
          <t>-35.01%</t>
        </is>
      </c>
      <c r="N98" s="3" t="n">
        <v>-35.01</v>
      </c>
      <c r="O98" t="n">
        <v>4.6</v>
      </c>
      <c r="P98" t="n">
        <v>105</v>
      </c>
      <c r="R98" t="inlineStr">
        <is>
          <t>OutOfStock</t>
        </is>
      </c>
      <c r="S98" t="inlineStr">
        <is>
          <t>39.99</t>
        </is>
      </c>
      <c r="T98" t="inlineStr">
        <is>
          <t>7241465004220</t>
        </is>
      </c>
    </row>
    <row r="99" hidden="1" ht="15.75" customHeight="1">
      <c r="A99" s="2">
        <f>HYPERLINK("https://www.shelhealth.com/products/stylepro-makeup-brush-cleaner-cleanser", "https://www.shelhealth.com/products/stylepro-makeup-brush-cleaner-cleanser")</f>
        <v/>
      </c>
      <c r="B99" s="2">
        <f>HYPERLINK("https://www.shelhealth.com/products/stylepro-makeup-brush-cleaner-cleanser", "https://www.shelhealth.com/products/stylepro-makeup-brush-cleaner-cleanser")</f>
        <v/>
      </c>
      <c r="C99" t="inlineStr">
        <is>
          <t>StylePro Makeup Brush Cleaner &amp; Cleanser</t>
        </is>
      </c>
      <c r="D99" t="inlineStr">
        <is>
          <t>StylePro Makeup Brush Cleaner &amp; Cleanser</t>
        </is>
      </c>
      <c r="E99" s="2">
        <f>HYPERLINK("https://www.amazon.com/StylePro-Makeup-Brush-Cleaner-Cleanser/dp/B092GCRHCS/ref=sr_1_3?keywords=stylpro+makeup+brush+cleaner&amp;qid=1695169772&amp;sr=8-3", "https://www.amazon.com/StylePro-Makeup-Brush-Cleaner-Cleanser/dp/B092GCRHCS/ref=sr_1_3?keywords=stylpro+makeup+brush+cleaner&amp;qid=1695169772&amp;sr=8-3")</f>
        <v/>
      </c>
      <c r="F99" t="inlineStr">
        <is>
          <t>B092GCRHCS</t>
        </is>
      </c>
      <c r="G99">
        <f>_xludf.IMAGE("https://www.shelhealth.com/cdn/shop/products/stylepro-makeup-brush-cleaner-cleanser-shelhealth-285.jpg?v=1663369665&amp;width=1946")</f>
        <v/>
      </c>
      <c r="H99">
        <f>_xludf.IMAGE("https://m.media-amazon.com/images/I/81G2kwMPRZL._AC_UL320_.jpg")</f>
        <v/>
      </c>
      <c r="K99" t="inlineStr">
        <is>
          <t>30.99</t>
        </is>
      </c>
      <c r="L99" t="n">
        <v>19.98</v>
      </c>
      <c r="M99" s="1" t="inlineStr">
        <is>
          <t>-35.53%</t>
        </is>
      </c>
      <c r="N99" s="3" t="n">
        <v>-35.53</v>
      </c>
      <c r="O99" t="n">
        <v>3.2</v>
      </c>
      <c r="P99" t="n">
        <v>4</v>
      </c>
      <c r="R99" t="inlineStr">
        <is>
          <t>OutOfStock</t>
        </is>
      </c>
      <c r="S99" t="inlineStr">
        <is>
          <t>30.99</t>
        </is>
      </c>
      <c r="T99" t="inlineStr">
        <is>
          <t>4652910641241</t>
        </is>
      </c>
    </row>
    <row r="100" hidden="1" ht="15.75" customHeight="1">
      <c r="A100" s="2">
        <f>HYPERLINK("https://www.shelhealth.com/products/051381908621-aura-cacia-oil-essential-cardmom-org-0-25-oz", "https://www.shelhealth.com/products/051381908621-aura-cacia-oil-essential-cardmom-org-0-25-oz")</f>
        <v/>
      </c>
      <c r="B100" s="2">
        <f>HYPERLINK("https://www.shelhealth.com/products/051381908621-aura-cacia-oil-essential-cardmom-org-0-25-oz", "https://www.shelhealth.com/products/051381908621-aura-cacia-oil-essential-cardmom-org-0-25-oz")</f>
        <v/>
      </c>
      <c r="C100" t="inlineStr">
        <is>
          <t>Aura Cacia Oil Essential Cardmom Org, 0.25 Oz</t>
        </is>
      </c>
      <c r="D100" t="inlineStr">
        <is>
          <t>Aura Cacia 100% Pure Oregano Essential Oil | Certified Organic, GC/MS Tested for Purity | 7.4 ml (0.25 fl. oz.) | Origanum vulgare</t>
        </is>
      </c>
      <c r="E100" s="2">
        <f>HYPERLINK("https://www.amazon.com/Essential-Oil-Oregano-Organic-Aura-Cacia/dp/B00A2F5GWA/ref=sr_1_5?keywords=aura+cacia+oil+essential+cardamom+org%2C+0.25+oz&amp;qid=1695169765&amp;sr=8-5", "https://www.amazon.com/Essential-Oil-Oregano-Organic-Aura-Cacia/dp/B00A2F5GWA/ref=sr_1_5?keywords=aura+cacia+oil+essential+cardamom+org%2C+0.25+oz&amp;qid=1695169765&amp;sr=8-5")</f>
        <v/>
      </c>
      <c r="F100" t="inlineStr">
        <is>
          <t>B00A2F5GWA</t>
        </is>
      </c>
      <c r="G100">
        <f>_xludf.IMAGE("https://www.shelhealth.com/cdn/shop/files/aura-cacia-oil-essential-cardmom-org-0-25-oz-beauty-body-care-shelhealth-510.jpg?v=1686143447&amp;width=1946")</f>
        <v/>
      </c>
      <c r="H100">
        <f>_xludf.IMAGE("https://m.media-amazon.com/images/I/51A08LeJdmL._AC_UL320_.jpg")</f>
        <v/>
      </c>
      <c r="K100" t="inlineStr">
        <is>
          <t>15.99</t>
        </is>
      </c>
      <c r="L100" t="n">
        <v>10.16</v>
      </c>
      <c r="M100" s="1" t="inlineStr">
        <is>
          <t>-36.46%</t>
        </is>
      </c>
      <c r="N100" s="3" t="n">
        <v>-36.46</v>
      </c>
      <c r="O100" t="n">
        <v>3.9</v>
      </c>
      <c r="P100" t="n">
        <v>35</v>
      </c>
      <c r="R100" t="inlineStr">
        <is>
          <t>InStock</t>
        </is>
      </c>
      <c r="S100" t="inlineStr">
        <is>
          <t>15.99</t>
        </is>
      </c>
      <c r="T100" t="inlineStr">
        <is>
          <t>7241464479932</t>
        </is>
      </c>
    </row>
    <row r="101" hidden="1" ht="15.75" customHeight="1">
      <c r="A101" s="2">
        <f>HYPERLINK("https://www.shelhealth.com/products/051381908621-aura-cacia-oil-essential-cardmom-org-0-25-oz", "https://www.shelhealth.com/products/051381908621-aura-cacia-oil-essential-cardmom-org-0-25-oz")</f>
        <v/>
      </c>
      <c r="B101" s="2">
        <f>HYPERLINK("https://www.shelhealth.com/products/051381908621-aura-cacia-oil-essential-cardmom-org-0-25-oz", "https://www.shelhealth.com/products/051381908621-aura-cacia-oil-essential-cardmom-org-0-25-oz")</f>
        <v/>
      </c>
      <c r="C101" t="inlineStr">
        <is>
          <t>Aura Cacia Oil Essential Cardmom Org, 0.25 Oz</t>
        </is>
      </c>
      <c r="D101" t="inlineStr">
        <is>
          <t>Aura Cacia Organic Rosemary Essential Oil | GC/MS Tested for Purity | 7.4ml (0.25 fl. oz.)</t>
        </is>
      </c>
      <c r="E101" s="2">
        <f>HYPERLINK("https://www.amazon.com/Essential-Oil-Rosemary-Organic-Aura-Cacia/dp/B006K0BDHI/ref=sr_1_4?keywords=aura+cacia+oil+essential+cardamom+org%2C+0.25+oz&amp;qid=1695169765&amp;sr=8-4", "https://www.amazon.com/Essential-Oil-Rosemary-Organic-Aura-Cacia/dp/B006K0BDHI/ref=sr_1_4?keywords=aura+cacia+oil+essential+cardamom+org%2C+0.25+oz&amp;qid=1695169765&amp;sr=8-4")</f>
        <v/>
      </c>
      <c r="F101" t="inlineStr">
        <is>
          <t>B006K0BDHI</t>
        </is>
      </c>
      <c r="G101">
        <f>_xludf.IMAGE("https://www.shelhealth.com/cdn/shop/files/aura-cacia-oil-essential-cardmom-org-0-25-oz-beauty-body-care-shelhealth-510.jpg?v=1686143447&amp;width=1946")</f>
        <v/>
      </c>
      <c r="H101">
        <f>_xludf.IMAGE("https://m.media-amazon.com/images/I/71PqdEVaeOL._AC_UL320_.jpg")</f>
        <v/>
      </c>
      <c r="K101" t="inlineStr">
        <is>
          <t>15.99</t>
        </is>
      </c>
      <c r="L101" t="n">
        <v>10</v>
      </c>
      <c r="M101" s="1" t="inlineStr">
        <is>
          <t>-37.46%</t>
        </is>
      </c>
      <c r="N101" s="3" t="n">
        <v>-37.46</v>
      </c>
      <c r="O101" t="n">
        <v>4.5</v>
      </c>
      <c r="P101" t="n">
        <v>72</v>
      </c>
      <c r="R101" t="inlineStr">
        <is>
          <t>InStock</t>
        </is>
      </c>
      <c r="S101" t="inlineStr">
        <is>
          <t>15.99</t>
        </is>
      </c>
      <c r="T101" t="inlineStr">
        <is>
          <t>7241464479932</t>
        </is>
      </c>
    </row>
    <row r="102" hidden="1" ht="15.75" customHeight="1">
      <c r="A102" s="2">
        <f>HYPERLINK("https://www.shelhealth.com/products/lapcos-sheet-mask-set-collagen-variety-pack-10-masks", "https://www.shelhealth.com/products/lapcos-sheet-mask-set-collagen-variety-pack-10-masks")</f>
        <v/>
      </c>
      <c r="B102" s="2">
        <f>HYPERLINK("https://www.shelhealth.com/products/lapcos-sheet-mask-set-collagen-variety-pack-10-masks", "https://www.shelhealth.com/products/lapcos-sheet-mask-set-collagen-variety-pack-10-masks")</f>
        <v/>
      </c>
      <c r="C102" t="inlineStr">
        <is>
          <t>Lapcos Sheet Mask Set Collagen Variety Pack - 10 Masks</t>
        </is>
      </c>
      <c r="D102" t="inlineStr">
        <is>
          <t>LAPCOS Rejuvenating Sheet Mask Variety Set, Korean Facial Sheet Masks, Moisturizing &amp; Restorative Skincare, 5-Pack</t>
        </is>
      </c>
      <c r="E102" s="2">
        <f>HYPERLINK("https://www.amazon.com/LAPCOS-Rejuvenating-Moisturizing-Restorative-Skincare/dp/B07JNCKBZM/ref=sr_1_4?keywords=Lapcos+Sheet+Mask+Set+Collagen+Variety+Pack+-+10+Masks&amp;qid=1695169793&amp;sr=8-4", "https://www.amazon.com/LAPCOS-Rejuvenating-Moisturizing-Restorative-Skincare/dp/B07JNCKBZM/ref=sr_1_4?keywords=Lapcos+Sheet+Mask+Set+Collagen+Variety+Pack+-+10+Masks&amp;qid=1695169793&amp;sr=8-4")</f>
        <v/>
      </c>
      <c r="F102" t="inlineStr">
        <is>
          <t>B07JNCKBZM</t>
        </is>
      </c>
      <c r="G102">
        <f>_xludf.IMAGE("https://www.shelhealth.com/cdn/shop/products/lapcos-sheet-mask-set-collagen-variety-pack-10-masks-shelhealth-990.jpg?v=1663342468&amp;width=1946")</f>
        <v/>
      </c>
      <c r="H102">
        <f>_xludf.IMAGE("https://m.media-amazon.com/images/I/71OpZrp7YrL._AC_UL320_.jpg")</f>
        <v/>
      </c>
      <c r="K102" t="inlineStr">
        <is>
          <t>27.99</t>
        </is>
      </c>
      <c r="L102" t="n">
        <v>17</v>
      </c>
      <c r="M102" s="1" t="inlineStr">
        <is>
          <t>-39.26%</t>
        </is>
      </c>
      <c r="N102" s="3" t="n">
        <v>-39.26</v>
      </c>
      <c r="O102" t="n">
        <v>4.6</v>
      </c>
      <c r="P102" t="n">
        <v>1290</v>
      </c>
      <c r="R102" t="inlineStr">
        <is>
          <t>OutOfStock</t>
        </is>
      </c>
      <c r="S102" t="inlineStr">
        <is>
          <t>27.99</t>
        </is>
      </c>
      <c r="T102" t="inlineStr">
        <is>
          <t>3814964887604</t>
        </is>
      </c>
    </row>
    <row r="103" hidden="1" ht="15.75" customHeight="1">
      <c r="A103" s="2">
        <f>HYPERLINK("https://www.shelhealth.com/products/lapcos-sheet-mask-set-aloe-variety-pack-10-masks", "https://www.shelhealth.com/products/lapcos-sheet-mask-set-aloe-variety-pack-10-masks")</f>
        <v/>
      </c>
      <c r="B103" s="2">
        <f>HYPERLINK("https://www.shelhealth.com/products/lapcos-sheet-mask-set-aloe-variety-pack-10-masks", "https://www.shelhealth.com/products/lapcos-sheet-mask-set-aloe-variety-pack-10-masks")</f>
        <v/>
      </c>
      <c r="C103" t="inlineStr">
        <is>
          <t>Lapcos Sheet Mask Set Aloe Variety Pack - 10 Masks</t>
        </is>
      </c>
      <c r="D103" t="inlineStr">
        <is>
          <t>LAPCOS Rejuvenating Sheet Mask Variety Set, Korean Facial Sheet Masks, Moisturizing &amp; Restorative Skincare, 5-Pack</t>
        </is>
      </c>
      <c r="E103" s="2">
        <f>HYPERLINK("https://www.amazon.com/LAPCOS-Rejuvenating-Moisturizing-Restorative-Skincare/dp/B07JNCKBZM/ref=sr_1_1?keywords=Lapcos+Sheet+Mask+Set+Aloe+Variety+Pack+-+10+Masks&amp;qid=1695169775&amp;sr=8-1", "https://www.amazon.com/LAPCOS-Rejuvenating-Moisturizing-Restorative-Skincare/dp/B07JNCKBZM/ref=sr_1_1?keywords=Lapcos+Sheet+Mask+Set+Aloe+Variety+Pack+-+10+Masks&amp;qid=1695169775&amp;sr=8-1")</f>
        <v/>
      </c>
      <c r="F103" t="inlineStr">
        <is>
          <t>B07JNCKBZM</t>
        </is>
      </c>
      <c r="G103">
        <f>_xludf.IMAGE("https://www.shelhealth.com/cdn/shop/products/lapcos-sheet-mask-set-aloe-variety-pack-10-masks-shelhealth-534.jpg?v=1663342538&amp;width=1946")</f>
        <v/>
      </c>
      <c r="H103">
        <f>_xludf.IMAGE("https://m.media-amazon.com/images/I/71OpZrp7YrL._AC_UL320_.jpg")</f>
        <v/>
      </c>
      <c r="K103" t="inlineStr">
        <is>
          <t>27.99</t>
        </is>
      </c>
      <c r="L103" t="n">
        <v>17</v>
      </c>
      <c r="M103" s="1" t="inlineStr">
        <is>
          <t>-39.26%</t>
        </is>
      </c>
      <c r="N103" s="3" t="n">
        <v>-39.26</v>
      </c>
      <c r="O103" t="n">
        <v>4.6</v>
      </c>
      <c r="P103" t="n">
        <v>1290</v>
      </c>
      <c r="R103" t="inlineStr">
        <is>
          <t>OutOfStock</t>
        </is>
      </c>
      <c r="S103" t="inlineStr">
        <is>
          <t>27.99</t>
        </is>
      </c>
      <c r="T103" t="inlineStr">
        <is>
          <t>3815936786484</t>
        </is>
      </c>
    </row>
    <row r="104" hidden="1" ht="15.75" customHeight="1">
      <c r="A104" s="2">
        <f>HYPERLINK("https://www.shelhealth.com/products/roc-retinol-correxion-deep-wrinkle-treatment-daily-moisturizer-with-sunscreen-broad-spectrum-spf-30-2-pk-1-oz-1", "https://www.shelhealth.com/products/roc-retinol-correxion-deep-wrinkle-treatment-daily-moisturizer-with-sunscreen-broad-spectrum-spf-30-2-pk-1-oz-1")</f>
        <v/>
      </c>
      <c r="B104" s="2">
        <f>HYPERLINK("https://www.shelhealth.com/products/roc-retinol-correxion-deep-wrinkle-treatment-daily-moisturizer-with-sunscreen-broad-spectrum-spf-30-2-pk-1-oz-1", "https://www.shelhealth.com/products/roc-retinol-correxion-deep-wrinkle-treatment-daily-moisturizer-with-sunscreen-broad-spectrum-spf-30-2-pk-1-oz-1")</f>
        <v/>
      </c>
      <c r="C104" t="inlineStr">
        <is>
          <t>Roc Retinol Correxion Deep Wrinkle Treatment Daily Moisturizer With Sunscreen Broad Spectrum spf 30, 2 pk./1 oz.</t>
        </is>
      </c>
      <c r="D104" t="inlineStr">
        <is>
          <t>RoC Multi Correxion 1.5% Pure Hyaluronic Acid Anti Aging Daily Face Moisturizer with Broad Spectrum Sunscreen SPF 30 (1.7 oz) + RoC Retinol Wrinkle Smoothing Capsules (7 CT), Skin Care for Women &amp; Men</t>
        </is>
      </c>
      <c r="E104" s="2">
        <f>HYPERLINK("https://www.amazon.com/Correxion-Hyaluronic-Moisturizer-Sunscreen-RoC/dp/B092B4ZM27/ref=sr_1_4?keywords=Roc+Retinol+Correxion+Deep+Wrinkle+Treatment+Daily+Moisturizer+With+Sunscreen+Broad+Spectrum+spf+30%2C+2+pk.%2F1+oz.&amp;qid=1695169769&amp;sr=8-4", "https://www.amazon.com/Correxion-Hyaluronic-Moisturizer-Sunscreen-RoC/dp/B092B4ZM27/ref=sr_1_4?keywords=Roc+Retinol+Correxion+Deep+Wrinkle+Treatment+Daily+Moisturizer+With+Sunscreen+Broad+Spectrum+spf+30%2C+2+pk.%2F1+oz.&amp;qid=1695169769&amp;sr=8-4")</f>
        <v/>
      </c>
      <c r="F104" t="inlineStr">
        <is>
          <t>B092B4ZM27</t>
        </is>
      </c>
      <c r="G104">
        <f>_xludf.IMAGE("https://www.shelhealth.com/cdn/shop/products/roc-retinol-correxion-deep-wrinkle-treatment-daily-moisturizer-with-sunscreen-broad-spectrum-spf-30-2-pk-1-oz-shelhealth-990.jpg?v=1663354059&amp;width=1946")</f>
        <v/>
      </c>
      <c r="H104">
        <f>_xludf.IMAGE("https://m.media-amazon.com/images/I/71EbLKBAUAL._AC_UL320_.jpg")</f>
        <v/>
      </c>
      <c r="K104" t="inlineStr">
        <is>
          <t>41.99</t>
        </is>
      </c>
      <c r="L104" t="n">
        <v>24.99</v>
      </c>
      <c r="M104" s="1" t="inlineStr">
        <is>
          <t>-40.49%</t>
        </is>
      </c>
      <c r="N104" s="3" t="n">
        <v>-40.49</v>
      </c>
      <c r="O104" t="n">
        <v>4.5</v>
      </c>
      <c r="P104" t="n">
        <v>771</v>
      </c>
      <c r="R104" t="inlineStr">
        <is>
          <t>OutOfStock</t>
        </is>
      </c>
      <c r="S104" t="inlineStr">
        <is>
          <t>41.99</t>
        </is>
      </c>
      <c r="T104" t="inlineStr">
        <is>
          <t>4165557420084</t>
        </is>
      </c>
    </row>
    <row r="105" hidden="1" ht="15.75" customHeight="1">
      <c r="A105" s="2">
        <f>HYPERLINK("https://www.shelhealth.com/products/conair-reflections-double-sided-led-lighted-vanity-makeup-mirror-1x-10x-magnification", "https://www.shelhealth.com/products/conair-reflections-double-sided-led-lighted-vanity-makeup-mirror-1x-10x-magnification")</f>
        <v/>
      </c>
      <c r="B105" s="2">
        <f>HYPERLINK("https://www.shelhealth.com/products/conair-reflections-double-sided-led-lighted-vanity-makeup-mirror-1x-10x-magnification", "https://www.shelhealth.com/products/conair-reflections-double-sided-led-lighted-vanity-makeup-mirror-1x-10x-magnification")</f>
        <v/>
      </c>
      <c r="C105" t="inlineStr">
        <is>
          <t>Conair Reflections Double Sided LED Lighted Vanity Makeup Mirror, 1x/10x magnification</t>
        </is>
      </c>
      <c r="D105" t="inlineStr">
        <is>
          <t>Conair Lighted Makeup-Mirror with Magnification, LED Vanity-Mirror, 1X/5X Magnifying-Mirror, Double Sided-Mirror, Operated in-Battery Rose Gold</t>
        </is>
      </c>
      <c r="E105" s="2">
        <f>HYPERLINK("https://www.amazon.com/Conair-Makeup-Mirror-Magnification-Vanity-Mirror-Magnifying-Mirror/dp/B072BHQT2H/ref=sr_1_4?keywords=Conair+Reflections+Double+Sided+LED+Lighted+Vanity+Makeup+Mirror%2C+1x%2F10x+magnification&amp;qid=1695169774&amp;sr=8-4", "https://www.amazon.com/Conair-Makeup-Mirror-Magnification-Vanity-Mirror-Magnifying-Mirror/dp/B072BHQT2H/ref=sr_1_4?keywords=Conair+Reflections+Double+Sided+LED+Lighted+Vanity+Makeup+Mirror%2C+1x%2F10x+magnification&amp;qid=1695169774&amp;sr=8-4")</f>
        <v/>
      </c>
      <c r="F105" t="inlineStr">
        <is>
          <t>B072BHQT2H</t>
        </is>
      </c>
      <c r="G105">
        <f>_xludf.IMAGE("https://www.shelhealth.com/cdn/shop/products/conair-reflections-double-sided-led-lighted-vanity-makeup-mirror-1x10x-magnification-shelhealth-695.jpg?v=1663373815&amp;width=1946")</f>
        <v/>
      </c>
      <c r="H105">
        <f>_xludf.IMAGE("https://m.media-amazon.com/images/I/71g+B98WqdL._AC_UL320_.jpg")</f>
        <v/>
      </c>
      <c r="K105" t="inlineStr">
        <is>
          <t>43.99</t>
        </is>
      </c>
      <c r="L105" t="n">
        <v>24.85</v>
      </c>
      <c r="M105" s="1" t="inlineStr">
        <is>
          <t>-43.51%</t>
        </is>
      </c>
      <c r="N105" s="3" t="n">
        <v>-43.51</v>
      </c>
      <c r="O105" t="n">
        <v>4</v>
      </c>
      <c r="P105" t="n">
        <v>303</v>
      </c>
      <c r="R105" t="inlineStr">
        <is>
          <t>InStock</t>
        </is>
      </c>
      <c r="S105" t="inlineStr">
        <is>
          <t>43.99</t>
        </is>
      </c>
      <c r="T105" t="inlineStr">
        <is>
          <t>4710428049497</t>
        </is>
      </c>
    </row>
    <row r="106" hidden="1" ht="15.75" customHeight="1">
      <c r="A106" s="2">
        <f>HYPERLINK("https://www.shelhealth.com/products/conair-reflections-double-sided-led-lighted-vanity-makeup-mirror-1x-10x-magnification", "https://www.shelhealth.com/products/conair-reflections-double-sided-led-lighted-vanity-makeup-mirror-1x-10x-magnification")</f>
        <v/>
      </c>
      <c r="B106" s="2">
        <f>HYPERLINK("https://www.shelhealth.com/products/conair-reflections-double-sided-led-lighted-vanity-makeup-mirror-1x-10x-magnification", "https://www.shelhealth.com/products/conair-reflections-double-sided-led-lighted-vanity-makeup-mirror-1x-10x-magnification")</f>
        <v/>
      </c>
      <c r="C106" t="inlineStr">
        <is>
          <t>Conair Reflections Double Sided LED Lighted Vanity Makeup Mirror, 1x/10x magnification</t>
        </is>
      </c>
      <c r="D106" t="inlineStr">
        <is>
          <t>FASCINATE Magnifying Mirror 10X 1X Double Sided Magnification Makeup Vanity Mirror Rechargeable Lighted Mirror with 3 Color Setting Adjustable Rotation LED Vanity Desk Mirror White(Not Include Bag)</t>
        </is>
      </c>
      <c r="E106" s="2">
        <f>HYPERLINK("https://www.amazon.com/Rechargeable-Magnifying-Rotation-Tabletop-Mirror%EF%BC%8CPortable/dp/B08Q7GQMHJ/ref=sr_1_6?keywords=Conair+Reflections+Double+Sided+LED+Lighted+Vanity+Makeup+Mirror%2C+1x%2F10x+magnification&amp;qid=1695169774&amp;sr=8-6", "https://www.amazon.com/Rechargeable-Magnifying-Rotation-Tabletop-Mirror%EF%BC%8CPortable/dp/B08Q7GQMHJ/ref=sr_1_6?keywords=Conair+Reflections+Double+Sided+LED+Lighted+Vanity+Makeup+Mirror%2C+1x%2F10x+magnification&amp;qid=1695169774&amp;sr=8-6")</f>
        <v/>
      </c>
      <c r="F106" t="inlineStr">
        <is>
          <t>B08Q7GQMHJ</t>
        </is>
      </c>
      <c r="G106">
        <f>_xludf.IMAGE("https://www.shelhealth.com/cdn/shop/products/conair-reflections-double-sided-led-lighted-vanity-makeup-mirror-1x10x-magnification-shelhealth-695.jpg?v=1663373815&amp;width=1946")</f>
        <v/>
      </c>
      <c r="H106">
        <f>_xludf.IMAGE("https://m.media-amazon.com/images/I/51rQjdkw4wL._AC_UL320_.jpg")</f>
        <v/>
      </c>
      <c r="K106" t="inlineStr">
        <is>
          <t>43.99</t>
        </is>
      </c>
      <c r="L106" t="n">
        <v>24.59</v>
      </c>
      <c r="M106" s="1" t="inlineStr">
        <is>
          <t>-44.10%</t>
        </is>
      </c>
      <c r="N106" s="3" t="n">
        <v>-44.1</v>
      </c>
      <c r="O106" t="n">
        <v>4.4</v>
      </c>
      <c r="P106" t="n">
        <v>3353</v>
      </c>
      <c r="R106" t="inlineStr">
        <is>
          <t>InStock</t>
        </is>
      </c>
      <c r="S106" t="inlineStr">
        <is>
          <t>43.99</t>
        </is>
      </c>
      <c r="T106" t="inlineStr">
        <is>
          <t>4710428049497</t>
        </is>
      </c>
    </row>
    <row r="107" hidden="1" ht="15.75" customHeight="1">
      <c r="A107" s="2">
        <f>HYPERLINK("https://www.shelhealth.com/products/neutrogena-hydro-boost-hyaluronic-acid-hydrating-water-face-gel-moisturizer-for-dry-skin-1-7-fl-oz-2-pack", "https://www.shelhealth.com/products/neutrogena-hydro-boost-hyaluronic-acid-hydrating-water-face-gel-moisturizer-for-dry-skin-1-7-fl-oz-2-pack")</f>
        <v/>
      </c>
      <c r="B107" s="2">
        <f>HYPERLINK("https://www.shelhealth.com/products/neutrogena-hydro-boost-hyaluronic-acid-hydrating-water-face-gel-moisturizer-for-dry-skin-1-7-fl-oz-2-pack", "https://www.shelhealth.com/products/neutrogena-hydro-boost-hyaluronic-acid-hydrating-water-face-gel-moisturizer-for-dry-skin-1-7-fl-oz-2-pack")</f>
        <v/>
      </c>
      <c r="C107" t="inlineStr">
        <is>
          <t>Neutrogena Hydro Boost Hyaluronic Acid Hydrating Water Face Gel Moisturizer for Dry Skin, 1.7 fl. oz (2 pack)</t>
        </is>
      </c>
      <c r="D107" t="inlineStr">
        <is>
          <t>Neutrogena Hydro Boost Hyaluronic Acid Hydrating Gel-Cream Face Moisturizer to Hydrate &amp; Smooth Extra-Dry Skin, Oil-Free, Fragrance-Free, Non-Comedogenic &amp; Dye-Free Face Lotion, 1.7 oz</t>
        </is>
      </c>
      <c r="E107" s="2" t="n"/>
      <c r="F107" t="inlineStr">
        <is>
          <t>B017BGMOTK</t>
        </is>
      </c>
      <c r="G107">
        <f>_xludf.IMAGE("https://www.shelhealth.com/cdn/shop/products/neutrogena-hydro-boost-hyaluronic-acid-hydrating-water-face-gel-moisturizer-for-dry-skin-1-7-fl-oz-2-pack-shelhealth-356.jpg?v=1663342777&amp;width=1946")</f>
        <v/>
      </c>
      <c r="H107">
        <f>_xludf.IMAGE("https://m.media-amazon.com/images/I/71ICfUvvEyL._AC_UL320_.jpg")</f>
        <v/>
      </c>
      <c r="K107" t="inlineStr">
        <is>
          <t>35.99</t>
        </is>
      </c>
      <c r="L107" t="n">
        <v>19.59</v>
      </c>
      <c r="M107" s="1" t="inlineStr">
        <is>
          <t>-45.57%</t>
        </is>
      </c>
      <c r="N107" s="3" t="n">
        <v>-45.57</v>
      </c>
      <c r="O107" t="n">
        <v>4.2</v>
      </c>
      <c r="P107" t="n">
        <v>580</v>
      </c>
      <c r="R107" t="inlineStr">
        <is>
          <t>InStock</t>
        </is>
      </c>
      <c r="S107" t="inlineStr">
        <is>
          <t>35.99</t>
        </is>
      </c>
      <c r="T107" t="inlineStr">
        <is>
          <t>3817379364916</t>
        </is>
      </c>
    </row>
    <row r="108" hidden="1" ht="15.75" customHeight="1">
      <c r="A108" s="2">
        <f>HYPERLINK("https://www.shelhealth.com/products/q-tips-cotton-swabs-1875-count", "https://www.shelhealth.com/products/q-tips-cotton-swabs-1875-count")</f>
        <v/>
      </c>
      <c r="B108" s="2">
        <f>HYPERLINK("https://www.shelhealth.com/products/q-tips-cotton-swabs-1875-count", "https://www.shelhealth.com/products/q-tips-cotton-swabs-1875-count")</f>
        <v/>
      </c>
      <c r="C108" t="inlineStr">
        <is>
          <t>Q-Tips Cotton Swabs - 1875 Count</t>
        </is>
      </c>
      <c r="D108" t="inlineStr">
        <is>
          <t>Q-tips Cotton Swabs, 500 Count (Pack of 2)</t>
        </is>
      </c>
      <c r="E108" s="2">
        <f>HYPERLINK("https://www.amazon.com/Q-tips-Cotton-Swabs-500-Pack/dp/B00DUGPW40/ref=sr_1_9?keywords=Q-Tips+Cotton+Swabs+-+1875+Count&amp;qid=1695169762&amp;sr=8-9", "https://www.amazon.com/Q-tips-Cotton-Swabs-500-Pack/dp/B00DUGPW40/ref=sr_1_9?keywords=Q-Tips+Cotton+Swabs+-+1875+Count&amp;qid=1695169762&amp;sr=8-9")</f>
        <v/>
      </c>
      <c r="F108" t="inlineStr">
        <is>
          <t>B00DUGPW40</t>
        </is>
      </c>
      <c r="G108">
        <f>_xludf.IMAGE("https://www.shelhealth.com/cdn/shop/products/q-tips-cotton-swabs-1875-count-shelhealth-397.jpg?v=1663338400&amp;width=1946")</f>
        <v/>
      </c>
      <c r="H108">
        <f>_xludf.IMAGE("https://m.media-amazon.com/images/I/615s9faH-hL._AC_UL320_.jpg")</f>
        <v/>
      </c>
      <c r="K108" t="inlineStr">
        <is>
          <t>13.99</t>
        </is>
      </c>
      <c r="L108" t="n">
        <v>7.38</v>
      </c>
      <c r="M108" s="1" t="inlineStr">
        <is>
          <t>-47.25%</t>
        </is>
      </c>
      <c r="N108" s="3" t="n">
        <v>-47.25</v>
      </c>
      <c r="O108" t="n">
        <v>4.8</v>
      </c>
      <c r="P108" t="n">
        <v>6442</v>
      </c>
      <c r="R108" t="inlineStr">
        <is>
          <t>InStock</t>
        </is>
      </c>
      <c r="S108" t="inlineStr">
        <is>
          <t>13.99</t>
        </is>
      </c>
      <c r="T108" t="inlineStr">
        <is>
          <t>3785311223860</t>
        </is>
      </c>
    </row>
    <row r="109" hidden="1" ht="15.75" customHeight="1">
      <c r="A109" s="2">
        <f>HYPERLINK("https://www.shelhealth.com/products/051381908669-aura-cacia-oil-essential-myrrh-org-0-25-oz", "https://www.shelhealth.com/products/051381908669-aura-cacia-oil-essential-myrrh-org-0-25-oz")</f>
        <v/>
      </c>
      <c r="B109" s="2">
        <f>HYPERLINK("https://www.shelhealth.com/products/051381908669-aura-cacia-oil-essential-myrrh-org-0-25-oz", "https://www.shelhealth.com/products/051381908669-aura-cacia-oil-essential-myrrh-org-0-25-oz")</f>
        <v/>
      </c>
      <c r="C109" t="inlineStr">
        <is>
          <t>Aura Cacia Oil Essential Myrrh Org, 0.25 Oz</t>
        </is>
      </c>
      <c r="D109" t="inlineStr">
        <is>
          <t>Aura Cacia Organic Rosemary Essential Oil | GC/MS Tested for Purity | 7.4ml (0.25 fl. oz.)</t>
        </is>
      </c>
      <c r="E109" s="2">
        <f>HYPERLINK("https://www.amazon.com/Essential-Oil-Rosemary-Organic-Aura-Cacia/dp/B006K0BDHI/ref=sr_1_8?keywords=Aura+Cacia+Oil+Essential+Myrrh+Org%2C+0.25+Oz&amp;qid=1695169760&amp;sr=8-8", "https://www.amazon.com/Essential-Oil-Rosemary-Organic-Aura-Cacia/dp/B006K0BDHI/ref=sr_1_8?keywords=Aura+Cacia+Oil+Essential+Myrrh+Org%2C+0.25+Oz&amp;qid=1695169760&amp;sr=8-8")</f>
        <v/>
      </c>
      <c r="F109" t="inlineStr">
        <is>
          <t>B006K0BDHI</t>
        </is>
      </c>
      <c r="G109">
        <f>_xludf.IMAGE("https://www.shelhealth.com/cdn/shop/files/aura-cacia-oil-essential-myrrh-org-0-25-oz-beauty-body-care-shelhealth-550.jpg?v=1686143417&amp;width=1946")</f>
        <v/>
      </c>
      <c r="H109">
        <f>_xludf.IMAGE("https://m.media-amazon.com/images/I/71PqdEVaeOL._AC_UL320_.jpg")</f>
        <v/>
      </c>
      <c r="K109" t="inlineStr">
        <is>
          <t>18.99</t>
        </is>
      </c>
      <c r="L109" t="n">
        <v>10</v>
      </c>
      <c r="M109" s="1" t="inlineStr">
        <is>
          <t>-47.34%</t>
        </is>
      </c>
      <c r="N109" s="3" t="n">
        <v>-47.34</v>
      </c>
      <c r="O109" t="n">
        <v>4.5</v>
      </c>
      <c r="P109" t="n">
        <v>72</v>
      </c>
      <c r="R109" t="inlineStr">
        <is>
          <t>OutOfStock</t>
        </is>
      </c>
      <c r="S109" t="inlineStr">
        <is>
          <t>18.99</t>
        </is>
      </c>
      <c r="T109" t="inlineStr">
        <is>
          <t>7241465102524</t>
        </is>
      </c>
    </row>
    <row r="110" hidden="1" ht="15.75" customHeight="1">
      <c r="A110" s="2">
        <f>HYPERLINK("https://www.shelhealth.com/products/813424020123-acure-organic-the-essentials-rosehip-oil-1-fl-oz", "https://www.shelhealth.com/products/813424020123-acure-organic-the-essentials-rosehip-oil-1-fl-oz")</f>
        <v/>
      </c>
      <c r="B110" s="2">
        <f>HYPERLINK("https://www.shelhealth.com/products/813424020123-acure-organic-the-essentials-rosehip-oil-1-fl-oz", "https://www.shelhealth.com/products/813424020123-acure-organic-the-essentials-rosehip-oil-1-fl-oz")</f>
        <v/>
      </c>
      <c r="C110" t="inlineStr">
        <is>
          <t>Acure Organic The Essentials Rosehip Oil, 1 Fl Oz (Case of 2)</t>
        </is>
      </c>
      <c r="D110" t="inlineStr">
        <is>
          <t>Acure The Essentials Rosehip Oil, 1 Fl Oz, Pack of 24 (Packaging May Vary)</t>
        </is>
      </c>
      <c r="E110" s="2">
        <f>HYPERLINK("https://www.amazon.com/Acure-Essentials-Rosehip-Fluid-Packaging/dp/B00ZGMEZ7Q/ref=sr_1_1?keywords=Acure+Organic+The+Essentials+Rosehip+Oil%2C+1+Fl+Oz+%28Case+of+2%29&amp;qid=1695169772&amp;sr=8-1", "https://www.amazon.com/Acure-Essentials-Rosehip-Fluid-Packaging/dp/B00ZGMEZ7Q/ref=sr_1_1?keywords=Acure+Organic+The+Essentials+Rosehip+Oil%2C+1+Fl+Oz+%28Case+of+2%29&amp;qid=1695169772&amp;sr=8-1")</f>
        <v/>
      </c>
      <c r="F110" t="inlineStr">
        <is>
          <t>B00ZGMEZ7Q</t>
        </is>
      </c>
      <c r="G110">
        <f>_xludf.IMAGE("https://www.shelhealth.com/cdn/shop/files/acure-organic-the-essentials-rosehip-oil-1-fl-oz-case-of-2-beauty-body-care-shelhealth-497.jpg?v=1686520614&amp;width=1946")</f>
        <v/>
      </c>
      <c r="H110">
        <f>_xludf.IMAGE("https://m.media-amazon.com/images/I/61mwinifdbL._AC_UL320_.jpg")</f>
        <v/>
      </c>
      <c r="K110" t="inlineStr">
        <is>
          <t>25.99</t>
        </is>
      </c>
      <c r="L110" t="n">
        <v>13.63</v>
      </c>
      <c r="M110" s="1" t="inlineStr">
        <is>
          <t>-47.56%</t>
        </is>
      </c>
      <c r="N110" s="3" t="n">
        <v>-47.56</v>
      </c>
      <c r="O110" t="n">
        <v>4.2</v>
      </c>
      <c r="P110" t="n">
        <v>100</v>
      </c>
      <c r="R110" t="inlineStr">
        <is>
          <t>InStock</t>
        </is>
      </c>
      <c r="S110" t="inlineStr">
        <is>
          <t>25.99</t>
        </is>
      </c>
      <c r="T110" t="inlineStr">
        <is>
          <t>7241423880380</t>
        </is>
      </c>
    </row>
    <row r="111" hidden="1" ht="15.75" customHeight="1">
      <c r="A111" s="2">
        <f>HYPERLINK("https://www.shelhealth.com/products/051381908669-aura-cacia-oil-essential-myrrh-org-0-25-oz", "https://www.shelhealth.com/products/051381908669-aura-cacia-oil-essential-myrrh-org-0-25-oz")</f>
        <v/>
      </c>
      <c r="B111" s="2">
        <f>HYPERLINK("https://www.shelhealth.com/products/051381908669-aura-cacia-oil-essential-myrrh-org-0-25-oz", "https://www.shelhealth.com/products/051381908669-aura-cacia-oil-essential-myrrh-org-0-25-oz")</f>
        <v/>
      </c>
      <c r="C111" t="inlineStr">
        <is>
          <t>Aura Cacia Oil Essential Myrrh Org, 0.25 Oz</t>
        </is>
      </c>
      <c r="D111" t="inlineStr">
        <is>
          <t>Aura Cacia 100% Pure Myrrh Essential Oil, 0.5 fl. oz, Balsamic, Warm Spicy Aroma, Centering &amp; Meditative Restoring Myrrh Oil</t>
        </is>
      </c>
      <c r="E111" s="2">
        <f>HYPERLINK("https://www.amazon.com/Aura-Cacia-Essential-Introspective-Myrrh/dp/B002Q4UCEC/ref=sr_1_2?keywords=Aura+Cacia+Oil+Essential+Myrrh+Org%2C+0.25+Oz&amp;qid=1695169760&amp;sr=8-2", "https://www.amazon.com/Aura-Cacia-Essential-Introspective-Myrrh/dp/B002Q4UCEC/ref=sr_1_2?keywords=Aura+Cacia+Oil+Essential+Myrrh+Org%2C+0.25+Oz&amp;qid=1695169760&amp;sr=8-2")</f>
        <v/>
      </c>
      <c r="F111" t="inlineStr">
        <is>
          <t>B002Q4UCEC</t>
        </is>
      </c>
      <c r="G111">
        <f>_xludf.IMAGE("https://www.shelhealth.com/cdn/shop/files/aura-cacia-oil-essential-myrrh-org-0-25-oz-beauty-body-care-shelhealth-550.jpg?v=1686143417&amp;width=1946")</f>
        <v/>
      </c>
      <c r="H111">
        <f>_xludf.IMAGE("https://m.media-amazon.com/images/I/71hqXVM-jQL._AC_UL320_.jpg")</f>
        <v/>
      </c>
      <c r="K111" t="inlineStr">
        <is>
          <t>18.99</t>
        </is>
      </c>
      <c r="L111" t="n">
        <v>9.789999999999999</v>
      </c>
      <c r="M111" s="1" t="inlineStr">
        <is>
          <t>-48.45%</t>
        </is>
      </c>
      <c r="N111" s="3" t="n">
        <v>-48.45</v>
      </c>
      <c r="O111" t="n">
        <v>4.4</v>
      </c>
      <c r="P111" t="n">
        <v>991</v>
      </c>
      <c r="R111" t="inlineStr">
        <is>
          <t>OutOfStock</t>
        </is>
      </c>
      <c r="S111" t="inlineStr">
        <is>
          <t>18.99</t>
        </is>
      </c>
      <c r="T111" t="inlineStr">
        <is>
          <t>7241465102524</t>
        </is>
      </c>
    </row>
    <row r="112" hidden="1" ht="15.75" customHeight="1">
      <c r="A112" s="2">
        <f>HYPERLINK("https://www.shelhealth.com/products/51381992002-aura-cacia-chill-pill-essential-oil-boxed-0-5-oz", "https://www.shelhealth.com/products/51381992002-aura-cacia-chill-pill-essential-oil-boxed-0-5-oz")</f>
        <v/>
      </c>
      <c r="B112" s="2">
        <f>HYPERLINK("https://www.shelhealth.com/products/51381992002-aura-cacia-chill-pill-essential-oil-boxed-0-5-oz", "https://www.shelhealth.com/products/51381992002-aura-cacia-chill-pill-essential-oil-boxed-0-5-oz")</f>
        <v/>
      </c>
      <c r="C112" t="inlineStr">
        <is>
          <t>Aura Cacia Chill Pill Essential Oil Boxed, 0.5 Oz (Case of 2)</t>
        </is>
      </c>
      <c r="D112" t="inlineStr">
        <is>
          <t>Aura Cacia Essential Solutions Oil, Chill Pill 0.5 Oz (Pack of 1)</t>
        </is>
      </c>
      <c r="E112" s="2">
        <f>HYPERLINK("https://www.amazon.com/Aura-Cacia-Essential-Solutions-Chill/dp/B00869QWTK/ref=sr_1_4?keywords=Aura+Cacia+Chill+Pill+Essential+Oil+Boxed%2C+0.5+Oz+%28Case+of+2%29&amp;qid=1695169768&amp;sr=8-4", "https://www.amazon.com/Aura-Cacia-Essential-Solutions-Chill/dp/B00869QWTK/ref=sr_1_4?keywords=Aura+Cacia+Chill+Pill+Essential+Oil+Boxed%2C+0.5+Oz+%28Case+of+2%29&amp;qid=1695169768&amp;sr=8-4")</f>
        <v/>
      </c>
      <c r="F112" t="inlineStr">
        <is>
          <t>B00869QWTK</t>
        </is>
      </c>
      <c r="G112">
        <f>_xludf.IMAGE("https://www.shelhealth.com/cdn/shop/files/aura-cacia-chill-pill-essential-oil-boxed-0-5-oz-case-of-2-beauty-body-care-shelhealth-183.jpg?v=1686521817&amp;width=1946")</f>
        <v/>
      </c>
      <c r="H112">
        <f>_xludf.IMAGE("https://m.media-amazon.com/images/I/61+rwT0cTMS._AC_UL320_.jpg")</f>
        <v/>
      </c>
      <c r="K112" t="inlineStr">
        <is>
          <t>23.99</t>
        </is>
      </c>
      <c r="L112" t="n">
        <v>12.3</v>
      </c>
      <c r="M112" s="1" t="inlineStr">
        <is>
          <t>-48.73%</t>
        </is>
      </c>
      <c r="N112" s="3" t="n">
        <v>-48.73</v>
      </c>
      <c r="O112" t="n">
        <v>4.7</v>
      </c>
      <c r="P112" t="n">
        <v>167</v>
      </c>
      <c r="R112" t="inlineStr">
        <is>
          <t>InStock</t>
        </is>
      </c>
      <c r="S112" t="inlineStr">
        <is>
          <t>23.99</t>
        </is>
      </c>
      <c r="T112" t="inlineStr">
        <is>
          <t>7241462546620</t>
        </is>
      </c>
    </row>
    <row r="113" hidden="1" ht="15.75" customHeight="1">
      <c r="A113" s="2">
        <f>HYPERLINK("https://www.shelhealth.com/products/051381908621-aura-cacia-oil-essential-cardmom-org-0-25-oz", "https://www.shelhealth.com/products/051381908621-aura-cacia-oil-essential-cardmom-org-0-25-oz")</f>
        <v/>
      </c>
      <c r="B113" s="2">
        <f>HYPERLINK("https://www.shelhealth.com/products/051381908621-aura-cacia-oil-essential-cardmom-org-0-25-oz", "https://www.shelhealth.com/products/051381908621-aura-cacia-oil-essential-cardmom-org-0-25-oz")</f>
        <v/>
      </c>
      <c r="C113" t="inlineStr">
        <is>
          <t>Aura Cacia Oil Essential Cardmom Org, 0.25 Oz</t>
        </is>
      </c>
      <c r="D113" t="inlineStr">
        <is>
          <t>Aura Cacia Essential Oil Cinnamon Leaf (Cinnamomum verum) 0.25 oz</t>
        </is>
      </c>
      <c r="E113" s="2">
        <f>HYPERLINK("https://www.amazon.com/Aura-Cacia-Essential-Cinnamon-Cinnamomum/dp/B005P0M0W6/ref=sr_1_3?keywords=aura+cacia+oil+essential+cardamom+org%2C+0.25+oz&amp;qid=1695169765&amp;sr=8-3", "https://www.amazon.com/Aura-Cacia-Essential-Cinnamon-Cinnamomum/dp/B005P0M0W6/ref=sr_1_3?keywords=aura+cacia+oil+essential+cardamom+org%2C+0.25+oz&amp;qid=1695169765&amp;sr=8-3")</f>
        <v/>
      </c>
      <c r="F113" t="inlineStr">
        <is>
          <t>B005P0M0W6</t>
        </is>
      </c>
      <c r="G113">
        <f>_xludf.IMAGE("https://www.shelhealth.com/cdn/shop/files/aura-cacia-oil-essential-cardmom-org-0-25-oz-beauty-body-care-shelhealth-510.jpg?v=1686143447&amp;width=1946")</f>
        <v/>
      </c>
      <c r="H113">
        <f>_xludf.IMAGE("https://m.media-amazon.com/images/I/61meyc06nOL._AC_UL320_.jpg")</f>
        <v/>
      </c>
      <c r="K113" t="inlineStr">
        <is>
          <t>15.99</t>
        </is>
      </c>
      <c r="L113" t="n">
        <v>7.77</v>
      </c>
      <c r="M113" s="1" t="inlineStr">
        <is>
          <t>-51.41%</t>
        </is>
      </c>
      <c r="N113" s="3" t="n">
        <v>-51.41</v>
      </c>
      <c r="O113" t="n">
        <v>4.2</v>
      </c>
      <c r="P113" t="n">
        <v>22</v>
      </c>
      <c r="R113" t="inlineStr">
        <is>
          <t>InStock</t>
        </is>
      </c>
      <c r="S113" t="inlineStr">
        <is>
          <t>15.99</t>
        </is>
      </c>
      <c r="T113" t="inlineStr">
        <is>
          <t>7241464479932</t>
        </is>
      </c>
    </row>
    <row r="114" hidden="1" ht="15.75" customHeight="1">
      <c r="A114" s="2">
        <f>HYPERLINK("https://www.shelhealth.com/products/neutrogena-hydro-boost-hyaluronic-acid-hydrating-water-face-gel-moisturizer-for-dry-skin-1-7-fl-oz-2-pack", "https://www.shelhealth.com/products/neutrogena-hydro-boost-hyaluronic-acid-hydrating-water-face-gel-moisturizer-for-dry-skin-1-7-fl-oz-2-pack")</f>
        <v/>
      </c>
      <c r="B114" s="2">
        <f>HYPERLINK("https://www.shelhealth.com/products/neutrogena-hydro-boost-hyaluronic-acid-hydrating-water-face-gel-moisturizer-for-dry-skin-1-7-fl-oz-2-pack", "https://www.shelhealth.com/products/neutrogena-hydro-boost-hyaluronic-acid-hydrating-water-face-gel-moisturizer-for-dry-skin-1-7-fl-oz-2-pack")</f>
        <v/>
      </c>
      <c r="C114" t="inlineStr">
        <is>
          <t>Neutrogena Hydro Boost Hyaluronic Acid Hydrating Water Face Gel Moisturizer for Dry Skin, 1.7 fl. oz (2 pack)</t>
        </is>
      </c>
      <c r="D114" t="inlineStr">
        <is>
          <t>Neutrogena Hydro Boost Hyaluronic Acid Hydrating Face Moisturizer Gel-Cream to Hydrate and Smooth Extra-Dry Skin, 1.7 oz</t>
        </is>
      </c>
      <c r="E114" s="2">
        <f>HYPERLINK("https://www.amazon.com/Neutrogena-Hyaluronic-Hydrating-Moisturizer-Gel-Cream/dp/B00NR1YQK4/ref=sr_1_8?keywords=Neutrogena+Hydro+Boost+Hyaluronic+Acid+Hydrating+Water+Face+Gel+Moisturizer+for+Dry+Skin%2C+1.7+fl.+oz+%282+pack%29&amp;qid=1695169774&amp;sr=8-8", "https://www.amazon.com/Neutrogena-Hyaluronic-Hydrating-Moisturizer-Gel-Cream/dp/B00NR1YQK4/ref=sr_1_8?keywords=Neutrogena+Hydro+Boost+Hyaluronic+Acid+Hydrating+Water+Face+Gel+Moisturizer+for+Dry+Skin%2C+1.7+fl.+oz+%282+pack%29&amp;qid=1695169774&amp;sr=8-8")</f>
        <v/>
      </c>
      <c r="F114" t="inlineStr">
        <is>
          <t>B00NR1YQK4</t>
        </is>
      </c>
      <c r="G114">
        <f>_xludf.IMAGE("https://www.shelhealth.com/cdn/shop/products/neutrogena-hydro-boost-hyaluronic-acid-hydrating-water-face-gel-moisturizer-for-dry-skin-1-7-fl-oz-2-pack-shelhealth-356.jpg?v=1663342777&amp;width=1946")</f>
        <v/>
      </c>
      <c r="H114">
        <f>_xludf.IMAGE("https://m.media-amazon.com/images/I/71Z+wNMRYYL._AC_UL320_.jpg")</f>
        <v/>
      </c>
      <c r="K114" t="inlineStr">
        <is>
          <t>35.99</t>
        </is>
      </c>
      <c r="L114" t="n">
        <v>16.98</v>
      </c>
      <c r="M114" s="1" t="inlineStr">
        <is>
          <t>-52.82%</t>
        </is>
      </c>
      <c r="N114" s="3" t="n">
        <v>-52.82</v>
      </c>
      <c r="O114" t="n">
        <v>4.6</v>
      </c>
      <c r="P114" t="n">
        <v>44093</v>
      </c>
      <c r="R114" t="inlineStr">
        <is>
          <t>InStock</t>
        </is>
      </c>
      <c r="S114" t="inlineStr">
        <is>
          <t>35.99</t>
        </is>
      </c>
      <c r="T114" t="inlineStr">
        <is>
          <t>3817379364916</t>
        </is>
      </c>
    </row>
    <row r="115" hidden="1" ht="15.75" customHeight="1">
      <c r="A115" s="2">
        <f>HYPERLINK("https://www.shelhealth.com/products/neutrogena-hydro-boost-hyaluronic-acid-hydrating-water-face-gel-moisturizer-for-dry-skin-1-7-fl-oz-2-pack", "https://www.shelhealth.com/products/neutrogena-hydro-boost-hyaluronic-acid-hydrating-water-face-gel-moisturizer-for-dry-skin-1-7-fl-oz-2-pack")</f>
        <v/>
      </c>
      <c r="B115" s="2">
        <f>HYPERLINK("https://www.shelhealth.com/products/neutrogena-hydro-boost-hyaluronic-acid-hydrating-water-face-gel-moisturizer-for-dry-skin-1-7-fl-oz-2-pack", "https://www.shelhealth.com/products/neutrogena-hydro-boost-hyaluronic-acid-hydrating-water-face-gel-moisturizer-for-dry-skin-1-7-fl-oz-2-pack")</f>
        <v/>
      </c>
      <c r="C115" t="inlineStr">
        <is>
          <t>Neutrogena Hydro Boost Hyaluronic Acid Hydrating Water Face Gel Moisturizer for Dry Skin, 1.7 fl. oz (2 pack)</t>
        </is>
      </c>
      <c r="D115" t="inlineStr">
        <is>
          <t>Neutrogena Hydro Boost Hyaluronic Acid Facial Moisturizer with Broad Spectrum SPF 50 Sunscreen, Daily Water Gel Face Moisturizer to Hydrate &amp; Soothe Dry Skin, Fragrance-Free, 1.7 fl. oz</t>
        </is>
      </c>
      <c r="E115" s="2">
        <f>HYPERLINK("https://www.amazon.com/Neutrogena-Hyaluronic-Moisturizer-Sunscreen-Fragrance-Free/dp/B097NNR535/ref=sr_1_3?keywords=Neutrogena+Hydro+Boost+Hyaluronic+Acid+Hydrating+Water+Face+Gel+Moisturizer+for+Dry+Skin%2C+1.7+fl.+oz+%282+pack%29&amp;qid=1695169774&amp;sr=8-3", "https://www.amazon.com/Neutrogena-Hyaluronic-Moisturizer-Sunscreen-Fragrance-Free/dp/B097NNR535/ref=sr_1_3?keywords=Neutrogena+Hydro+Boost+Hyaluronic+Acid+Hydrating+Water+Face+Gel+Moisturizer+for+Dry+Skin%2C+1.7+fl.+oz+%282+pack%29&amp;qid=1695169774&amp;sr=8-3")</f>
        <v/>
      </c>
      <c r="F115" t="inlineStr">
        <is>
          <t>B097NNR535</t>
        </is>
      </c>
      <c r="G115">
        <f>_xludf.IMAGE("https://www.shelhealth.com/cdn/shop/products/neutrogena-hydro-boost-hyaluronic-acid-hydrating-water-face-gel-moisturizer-for-dry-skin-1-7-fl-oz-2-pack-shelhealth-356.jpg?v=1663342777&amp;width=1946")</f>
        <v/>
      </c>
      <c r="H115">
        <f>_xludf.IMAGE("https://m.media-amazon.com/images/I/71SmBhXzwnL._AC_UL320_.jpg")</f>
        <v/>
      </c>
      <c r="K115" t="inlineStr">
        <is>
          <t>35.99</t>
        </is>
      </c>
      <c r="L115" t="n">
        <v>16.67</v>
      </c>
      <c r="M115" s="1" t="inlineStr">
        <is>
          <t>-53.68%</t>
        </is>
      </c>
      <c r="N115" s="3" t="n">
        <v>-53.68</v>
      </c>
      <c r="O115" t="n">
        <v>4.4</v>
      </c>
      <c r="P115" t="n">
        <v>5339</v>
      </c>
      <c r="R115" t="inlineStr">
        <is>
          <t>InStock</t>
        </is>
      </c>
      <c r="S115" t="inlineStr">
        <is>
          <t>35.99</t>
        </is>
      </c>
      <c r="T115" t="inlineStr">
        <is>
          <t>3817379364916</t>
        </is>
      </c>
    </row>
    <row r="116" hidden="1" ht="15.75" customHeight="1">
      <c r="A116" s="2">
        <f>HYPERLINK("https://www.shelhealth.com/products/eos-organic-lip-balm-care-collection-9-pack", "https://www.shelhealth.com/products/eos-organic-lip-balm-care-collection-9-pack")</f>
        <v/>
      </c>
      <c r="B116" s="2">
        <f>HYPERLINK("https://www.shelhealth.com/products/eos-organic-lip-balm-care-collection-9-pack", "https://www.shelhealth.com/products/eos-organic-lip-balm-care-collection-9-pack")</f>
        <v/>
      </c>
      <c r="C116" t="inlineStr">
        <is>
          <t>EOS Organic Lip Balm Care Collection, 9 Pack</t>
        </is>
      </c>
      <c r="D116" t="inlineStr">
        <is>
          <t>eos 100% Natural &amp; Organic Lip Balm Sticks- Strawberry Sorbet, Vanilla Bean, Sweet Mint &amp; Pomegranate Raspberry, Lip Care Products, 0.14 oz, 4-Pack</t>
        </is>
      </c>
      <c r="E116" s="2">
        <f>HYPERLINK("https://www.amazon.com/eos-Strawberry-Pomegranate-Raspberry-Products/dp/B0BNP3ZN4X/ref=sr_1_5?keywords=EOS+Organic+Lip+Balm+Care+Collection%2C+9+Pack&amp;qid=1695169760&amp;rdc=1&amp;sr=8-5", "https://www.amazon.com/eos-Strawberry-Pomegranate-Raspberry-Products/dp/B0BNP3ZN4X/ref=sr_1_5?keywords=EOS+Organic+Lip+Balm+Care+Collection%2C+9+Pack&amp;qid=1695169760&amp;rdc=1&amp;sr=8-5")</f>
        <v/>
      </c>
      <c r="F116" t="inlineStr">
        <is>
          <t>B0BNP3ZN4X</t>
        </is>
      </c>
      <c r="G116">
        <f>_xludf.IMAGE("https://www.shelhealth.com/cdn/shop/products/eos-organic-lip-balm-care-collection-9-pack-shelhealth-885.jpg?v=1663337014&amp;width=1946")</f>
        <v/>
      </c>
      <c r="H116">
        <f>_xludf.IMAGE("https://m.media-amazon.com/images/I/71cbhmApMyL._AC_UL320_.jpg")</f>
        <v/>
      </c>
      <c r="K116" t="inlineStr">
        <is>
          <t>21.99</t>
        </is>
      </c>
      <c r="L116" t="n">
        <v>9.98</v>
      </c>
      <c r="M116" s="1" t="inlineStr">
        <is>
          <t>-54.62%</t>
        </is>
      </c>
      <c r="N116" s="3" t="n">
        <v>-54.62</v>
      </c>
      <c r="O116" t="n">
        <v>4.6</v>
      </c>
      <c r="P116" t="n">
        <v>96</v>
      </c>
      <c r="R116" t="inlineStr">
        <is>
          <t>InStock</t>
        </is>
      </c>
      <c r="S116" t="inlineStr">
        <is>
          <t>21.99</t>
        </is>
      </c>
      <c r="T116" t="inlineStr">
        <is>
          <t>3736872747060</t>
        </is>
      </c>
    </row>
    <row r="117" hidden="1" ht="15.75" customHeight="1">
      <c r="A117" s="2">
        <f>HYPERLINK("https://www.shelhealth.com/products/neutrogena-hydro-boost-hyaluronic-acid-hydrating-water-face-gel-moisturizer-for-dry-skin-1-7-fl-oz-2-pack", "https://www.shelhealth.com/products/neutrogena-hydro-boost-hyaluronic-acid-hydrating-water-face-gel-moisturizer-for-dry-skin-1-7-fl-oz-2-pack")</f>
        <v/>
      </c>
      <c r="B117" s="2">
        <f>HYPERLINK("https://www.shelhealth.com/products/neutrogena-hydro-boost-hyaluronic-acid-hydrating-water-face-gel-moisturizer-for-dry-skin-1-7-fl-oz-2-pack", "https://www.shelhealth.com/products/neutrogena-hydro-boost-hyaluronic-acid-hydrating-water-face-gel-moisturizer-for-dry-skin-1-7-fl-oz-2-pack")</f>
        <v/>
      </c>
      <c r="C117" t="inlineStr">
        <is>
          <t>Neutrogena Hydro Boost Hyaluronic Acid Hydrating Water Face Gel Moisturizer for Dry Skin, 1.7 fl. oz (2 pack)</t>
        </is>
      </c>
      <c r="D117" t="inlineStr">
        <is>
          <t>Neutrogena Hydro Boost Hyaluronic Acid Hydrating Water Gel Daily Face Moisturizer for Dry Skin, Oil-Free, Non-Comedogenic Face Lotion, 1.7 fl. Oz</t>
        </is>
      </c>
      <c r="E117" s="2">
        <f>HYPERLINK("https://www.amazon.com/Neutrogena-Hydro-Hyaluronic-Hydrating-Moisturizer/dp/B00NR1YQHM/ref=sr_1_2?keywords=Neutrogena+Hydro+Boost+Hyaluronic+Acid+Hydrating+Water+Face+Gel+Moisturizer+for+Dry+Skin%2C+1.7+fl.+oz+%282+pack%29&amp;qid=1695169774&amp;sr=8-2", "https://www.amazon.com/Neutrogena-Hydro-Hyaluronic-Hydrating-Moisturizer/dp/B00NR1YQHM/ref=sr_1_2?keywords=Neutrogena+Hydro+Boost+Hyaluronic+Acid+Hydrating+Water+Face+Gel+Moisturizer+for+Dry+Skin%2C+1.7+fl.+oz+%282+pack%29&amp;qid=1695169774&amp;sr=8-2")</f>
        <v/>
      </c>
      <c r="F117" t="inlineStr">
        <is>
          <t>B00NR1YQHM</t>
        </is>
      </c>
      <c r="G117">
        <f>_xludf.IMAGE("https://www.shelhealth.com/cdn/shop/products/neutrogena-hydro-boost-hyaluronic-acid-hydrating-water-face-gel-moisturizer-for-dry-skin-1-7-fl-oz-2-pack-shelhealth-356.jpg?v=1663342777&amp;width=1946")</f>
        <v/>
      </c>
      <c r="H117">
        <f>_xludf.IMAGE("https://m.media-amazon.com/images/I/71n9F0LtxLL._AC_UL320_.jpg")</f>
        <v/>
      </c>
      <c r="K117" t="inlineStr">
        <is>
          <t>35.99</t>
        </is>
      </c>
      <c r="L117" t="n">
        <v>15.51</v>
      </c>
      <c r="M117" s="1" t="inlineStr">
        <is>
          <t>-56.90%</t>
        </is>
      </c>
      <c r="N117" s="3" t="n">
        <v>-56.9</v>
      </c>
      <c r="O117" t="n">
        <v>4.6</v>
      </c>
      <c r="P117" t="n">
        <v>82115</v>
      </c>
      <c r="R117" t="inlineStr">
        <is>
          <t>InStock</t>
        </is>
      </c>
      <c r="S117" t="inlineStr">
        <is>
          <t>35.99</t>
        </is>
      </c>
      <c r="T117" t="inlineStr">
        <is>
          <t>3817379364916</t>
        </is>
      </c>
    </row>
    <row r="118" hidden="1" ht="15.75" customHeight="1">
      <c r="A118" s="2">
        <f>HYPERLINK("https://www.shelhealth.com/products/roc-retinol-correxion-deep-wrinkle-treatment-daily-moisturizer-with-sunscreen-broad-spectrum-spf-30-2-pk-1-oz-1", "https://www.shelhealth.com/products/roc-retinol-correxion-deep-wrinkle-treatment-daily-moisturizer-with-sunscreen-broad-spectrum-spf-30-2-pk-1-oz-1")</f>
        <v/>
      </c>
      <c r="B118" s="2">
        <f>HYPERLINK("https://www.shelhealth.com/products/roc-retinol-correxion-deep-wrinkle-treatment-daily-moisturizer-with-sunscreen-broad-spectrum-spf-30-2-pk-1-oz-1", "https://www.shelhealth.com/products/roc-retinol-correxion-deep-wrinkle-treatment-daily-moisturizer-with-sunscreen-broad-spectrum-spf-30-2-pk-1-oz-1")</f>
        <v/>
      </c>
      <c r="C118" t="inlineStr">
        <is>
          <t>Roc Retinol Correxion Deep Wrinkle Treatment Daily Moisturizer With Sunscreen Broad Spectrum spf 30, 2 pk./1 oz.</t>
        </is>
      </c>
      <c r="D118" t="inlineStr">
        <is>
          <t>RoC Retinol Correxion Deep Wrinkle Daily Face Moisturizer with Sunscreen SPF 30, Skin Care Treatment for Fine Lines, Dark Spots, Post-Acne Scars, 1 Ounce</t>
        </is>
      </c>
      <c r="E118" s="2">
        <f>HYPERLINK("https://www.amazon.com/RoC-Correxion-Anti-Aging-Moisturizer-Sunscreen/dp/B00387F426/ref=sr_1_1?keywords=Roc+Retinol+Correxion+Deep+Wrinkle+Treatment+Daily+Moisturizer+With+Sunscreen+Broad+Spectrum+spf+30%2C+2+pk.%2F1+oz.&amp;qid=1695169769&amp;sr=8-1", "https://www.amazon.com/RoC-Correxion-Anti-Aging-Moisturizer-Sunscreen/dp/B00387F426/ref=sr_1_1?keywords=Roc+Retinol+Correxion+Deep+Wrinkle+Treatment+Daily+Moisturizer+With+Sunscreen+Broad+Spectrum+spf+30%2C+2+pk.%2F1+oz.&amp;qid=1695169769&amp;sr=8-1")</f>
        <v/>
      </c>
      <c r="F118" t="inlineStr">
        <is>
          <t>B00387F426</t>
        </is>
      </c>
      <c r="G118">
        <f>_xludf.IMAGE("https://www.shelhealth.com/cdn/shop/products/roc-retinol-correxion-deep-wrinkle-treatment-daily-moisturizer-with-sunscreen-broad-spectrum-spf-30-2-pk-1-oz-shelhealth-990.jpg?v=1663354059&amp;width=1946")</f>
        <v/>
      </c>
      <c r="H118">
        <f>_xludf.IMAGE("https://m.media-amazon.com/images/I/71oA1Df+KML._AC_UL320_.jpg")</f>
        <v/>
      </c>
      <c r="K118" t="inlineStr">
        <is>
          <t>41.99</t>
        </is>
      </c>
      <c r="L118" t="n">
        <v>17.91</v>
      </c>
      <c r="M118" s="1" t="inlineStr">
        <is>
          <t>-57.35%</t>
        </is>
      </c>
      <c r="N118" s="3" t="n">
        <v>-57.35</v>
      </c>
      <c r="O118" t="n">
        <v>4.6</v>
      </c>
      <c r="P118" t="n">
        <v>6607</v>
      </c>
      <c r="R118" t="inlineStr">
        <is>
          <t>OutOfStock</t>
        </is>
      </c>
      <c r="S118" t="inlineStr">
        <is>
          <t>41.99</t>
        </is>
      </c>
      <c r="T118" t="inlineStr">
        <is>
          <t>4165557420084</t>
        </is>
      </c>
    </row>
    <row r="119" hidden="1" ht="15.75" customHeight="1">
      <c r="A119" s="2">
        <f>HYPERLINK("https://www.shelhealth.com/products/051381908638-aura-cacia-oil-essential-copaiba-org-0-25-oz", "https://www.shelhealth.com/products/051381908638-aura-cacia-oil-essential-copaiba-org-0-25-oz")</f>
        <v/>
      </c>
      <c r="B119" s="2">
        <f>HYPERLINK("https://www.shelhealth.com/products/051381908638-aura-cacia-oil-essential-copaiba-org-0-25-oz", "https://www.shelhealth.com/products/051381908638-aura-cacia-oil-essential-copaiba-org-0-25-oz")</f>
        <v/>
      </c>
      <c r="C119" t="inlineStr">
        <is>
          <t>Aura Cacia Oil Essential Copaiba Org, 0.25 Oz (Case of 4)</t>
        </is>
      </c>
      <c r="D119" t="inlineStr">
        <is>
          <t>Aura Cacia Certified Organic Pure Copaiba Essential Oil | 0.25 fl. oz. | Copaifera officinalis</t>
        </is>
      </c>
      <c r="E119" s="2">
        <f>HYPERLINK("https://www.amazon.com/Aura-Cacia-Certified-Essential-officinalis/dp/B07DBVNRX5/ref=sr_1_1?keywords=Aura+Cacia+Oil+Essential+Copaiba+Org%2C+0.25+Oz+%28Case+of+4%29&amp;qid=1695169758&amp;sr=8-1", "https://www.amazon.com/Aura-Cacia-Certified-Essential-officinalis/dp/B07DBVNRX5/ref=sr_1_1?keywords=Aura+Cacia+Oil+Essential+Copaiba+Org%2C+0.25+Oz+%28Case+of+4%29&amp;qid=1695169758&amp;sr=8-1")</f>
        <v/>
      </c>
      <c r="F119" t="inlineStr">
        <is>
          <t>B07DBVNRX5</t>
        </is>
      </c>
      <c r="G119">
        <f>_xludf.IMAGE("https://www.shelhealth.com/cdn/shop/files/aura-cacia-oil-essential-copaiba-org-0-25-oz-case-of-4-beauty-body-care-shelhealth-464.jpg?v=1686143442&amp;width=1946")</f>
        <v/>
      </c>
      <c r="H119">
        <f>_xludf.IMAGE("https://m.media-amazon.com/images/I/61mu89LIhDS._AC_UL320_.jpg")</f>
        <v/>
      </c>
      <c r="K119" t="inlineStr">
        <is>
          <t>23.99</t>
        </is>
      </c>
      <c r="L119" t="n">
        <v>9.81</v>
      </c>
      <c r="M119" s="1" t="inlineStr">
        <is>
          <t>-59.11%</t>
        </is>
      </c>
      <c r="N119" s="3" t="n">
        <v>-59.11</v>
      </c>
      <c r="O119" t="n">
        <v>4.5</v>
      </c>
      <c r="P119" t="n">
        <v>67</v>
      </c>
      <c r="R119" t="inlineStr">
        <is>
          <t>OutOfStock</t>
        </is>
      </c>
      <c r="S119" t="inlineStr">
        <is>
          <t>23.99</t>
        </is>
      </c>
      <c r="T119" t="inlineStr">
        <is>
          <t>7241464578236</t>
        </is>
      </c>
    </row>
    <row r="120" hidden="1" ht="15.75" customHeight="1">
      <c r="A120" s="2">
        <f>HYPERLINK("https://www.shelhealth.com/products/051381912437-aura-cacia-oil-essential-manuka-0-5-oz", "https://www.shelhealth.com/products/051381912437-aura-cacia-oil-essential-manuka-0-5-oz")</f>
        <v/>
      </c>
      <c r="B120" s="2">
        <f>HYPERLINK("https://www.shelhealth.com/products/051381912437-aura-cacia-oil-essential-manuka-0-5-oz", "https://www.shelhealth.com/products/051381912437-aura-cacia-oil-essential-manuka-0-5-oz")</f>
        <v/>
      </c>
      <c r="C120" t="inlineStr">
        <is>
          <t>Aura Cacia Oil Essential Manuka, 0.5 Oz</t>
        </is>
      </c>
      <c r="D120" t="inlineStr">
        <is>
          <t>Aura Cacia - Pure Organic Lavender Essential Oil | 0.25 fl. oz.</t>
        </is>
      </c>
      <c r="E120" s="2">
        <f>HYPERLINK("https://www.amazon.com/Aura-Cacia-Organic-Lavender-Fluid/dp/B003N43A4I/ref=sr_1_8?keywords=Aura+Cacia+Oil+Essential+Manuka%2C+0.5+Oz&amp;qid=1695169761&amp;sr=8-8", "https://www.amazon.com/Aura-Cacia-Organic-Lavender-Fluid/dp/B003N43A4I/ref=sr_1_8?keywords=Aura+Cacia+Oil+Essential+Manuka%2C+0.5+Oz&amp;qid=1695169761&amp;sr=8-8")</f>
        <v/>
      </c>
      <c r="F120" t="inlineStr">
        <is>
          <t>B003N43A4I</t>
        </is>
      </c>
      <c r="G120">
        <f>_xludf.IMAGE("https://www.shelhealth.com/cdn/shop/files/aura-cacia-oil-essential-manuka-0-5-oz-beauty-body-care-shelhealth-195.jpg?v=1686143426&amp;width=1946")</f>
        <v/>
      </c>
      <c r="H120">
        <f>_xludf.IMAGE("https://m.media-amazon.com/images/I/51ggzpHgaYL._AC_UL320_.jpg")</f>
        <v/>
      </c>
      <c r="K120" t="inlineStr">
        <is>
          <t>39.99</t>
        </is>
      </c>
      <c r="L120" t="n">
        <v>15.24</v>
      </c>
      <c r="M120" s="1" t="inlineStr">
        <is>
          <t>-61.89%</t>
        </is>
      </c>
      <c r="N120" s="3" t="n">
        <v>-61.89</v>
      </c>
      <c r="O120" t="n">
        <v>4.7</v>
      </c>
      <c r="P120" t="n">
        <v>526</v>
      </c>
      <c r="R120" t="inlineStr">
        <is>
          <t>OutOfStock</t>
        </is>
      </c>
      <c r="S120" t="inlineStr">
        <is>
          <t>39.99</t>
        </is>
      </c>
      <c r="T120" t="inlineStr">
        <is>
          <t>7241465004220</t>
        </is>
      </c>
    </row>
    <row r="121" hidden="1" ht="15.75" customHeight="1">
      <c r="A121" s="2">
        <f>HYPERLINK("https://www.shelhealth.com/products/658010123037-garden-of-life-oil-essential-sweet-orang-0-5-fo", "https://www.shelhealth.com/products/658010123037-garden-of-life-oil-essential-sweet-orang-0-5-fo")</f>
        <v/>
      </c>
      <c r="B121" s="2">
        <f>HYPERLINK("https://www.shelhealth.com/products/658010123037-garden-of-life-oil-essential-sweet-orang-0-5-fo", "https://www.shelhealth.com/products/658010123037-garden-of-life-oil-essential-sweet-orang-0-5-fo")</f>
        <v/>
      </c>
      <c r="C121" t="inlineStr">
        <is>
          <t>GARDEN OF LIFE Oil Essential Sweet Orang, 0.5 fo (Case of 3)</t>
        </is>
      </c>
      <c r="D121" t="inlineStr">
        <is>
          <t>Garden of Life Essential Oil Sweet Orange 100% USDA Organic &amp; Pure, Clean, Undiluted &amp; Non-GMO for Diffuser, Aromatherapy, Meditation, Joyful, Calming, Balancing, Uplifting, 0.5 Fl Oz</t>
        </is>
      </c>
      <c r="E121" s="2">
        <f>HYPERLINK("https://www.amazon.com/Garden-Life-Essential-Oil-Aromatherapy/dp/B07D4RZS2G/ref=sr_1_1?keywords=GARDEN+OF+LIFE+Oil+Essential+Sweet+Orang%2C+0.5+fo+%28Case+of+3%29&amp;qid=1695169767&amp;sr=8-1", "https://www.amazon.com/Garden-Life-Essential-Oil-Aromatherapy/dp/B07D4RZS2G/ref=sr_1_1?keywords=GARDEN+OF+LIFE+Oil+Essential+Sweet+Orang%2C+0.5+fo+%28Case+of+3%29&amp;qid=1695169767&amp;sr=8-1")</f>
        <v/>
      </c>
      <c r="F121" t="inlineStr">
        <is>
          <t>B07D4RZS2G</t>
        </is>
      </c>
      <c r="G121">
        <f>_xludf.IMAGE("https://www.shelhealth.com/cdn/shop/files/garden-of-life-oil-essential-sweet-orang-0-5-fo-case-3-aromatherapy-and-body-oils-shelhealth-991.jpg?v=1686212813&amp;width=1946")</f>
        <v/>
      </c>
      <c r="H121">
        <f>_xludf.IMAGE("https://m.media-amazon.com/images/I/61dML79cHoL._AC_UL320_.jpg")</f>
        <v/>
      </c>
      <c r="K121" t="inlineStr">
        <is>
          <t>24.99</t>
        </is>
      </c>
      <c r="L121" t="n">
        <v>8.99</v>
      </c>
      <c r="M121" s="1" t="inlineStr">
        <is>
          <t>-64.03%</t>
        </is>
      </c>
      <c r="N121" s="3" t="n">
        <v>-64.03</v>
      </c>
      <c r="O121" t="n">
        <v>4.6</v>
      </c>
      <c r="P121" t="n">
        <v>148</v>
      </c>
      <c r="R121" t="inlineStr">
        <is>
          <t>OutOfStock</t>
        </is>
      </c>
      <c r="S121" t="inlineStr">
        <is>
          <t>24.99</t>
        </is>
      </c>
      <c r="T121" t="inlineStr">
        <is>
          <t>7574094872808</t>
        </is>
      </c>
    </row>
    <row r="122" hidden="1" ht="15.75" customHeight="1">
      <c r="A122" s="2">
        <f>HYPERLINK("https://www.shelhealth.com/products/eos-organic-lip-balm-care-collection-9-pack", "https://www.shelhealth.com/products/eos-organic-lip-balm-care-collection-9-pack")</f>
        <v/>
      </c>
      <c r="B122" s="2">
        <f>HYPERLINK("https://www.shelhealth.com/products/eos-organic-lip-balm-care-collection-9-pack", "https://www.shelhealth.com/products/eos-organic-lip-balm-care-collection-9-pack")</f>
        <v/>
      </c>
      <c r="C122" t="inlineStr">
        <is>
          <t>EOS Organic Lip Balm Care Collection, 9 Pack</t>
        </is>
      </c>
      <c r="D122" t="inlineStr">
        <is>
          <t>eos 100% Natural &amp; Organic Lip Balm Trio- Vanilla Bean, Sweet Mint, &amp; Strawberry Sorbet, Made for Sensitive Skin, Lip Care Products, 0.14 oz, 3-Pack</t>
        </is>
      </c>
      <c r="E122" s="2">
        <f>HYPERLINK("https://www.amazon.com/eos-Natural-Strawberry-Sensitive-Products/dp/B09NNYTTXK/ref=sr_1_2?keywords=EOS+Organic+Lip+Balm+Care+Collection%2C+9+Pack&amp;qid=1695169760&amp;sr=8-2", "https://www.amazon.com/eos-Natural-Strawberry-Sensitive-Products/dp/B09NNYTTXK/ref=sr_1_2?keywords=EOS+Organic+Lip+Balm+Care+Collection%2C+9+Pack&amp;qid=1695169760&amp;sr=8-2")</f>
        <v/>
      </c>
      <c r="F122" t="inlineStr">
        <is>
          <t>B09NNYTTXK</t>
        </is>
      </c>
      <c r="G122">
        <f>_xludf.IMAGE("https://www.shelhealth.com/cdn/shop/products/eos-organic-lip-balm-care-collection-9-pack-shelhealth-885.jpg?v=1663337014&amp;width=1946")</f>
        <v/>
      </c>
      <c r="H122">
        <f>_xludf.IMAGE("https://m.media-amazon.com/images/I/81d1lMch6PL._AC_UL320_.jpg")</f>
        <v/>
      </c>
      <c r="K122" t="inlineStr">
        <is>
          <t>21.99</t>
        </is>
      </c>
      <c r="L122" t="n">
        <v>7.45</v>
      </c>
      <c r="M122" s="1" t="inlineStr">
        <is>
          <t>-66.12%</t>
        </is>
      </c>
      <c r="N122" s="3" t="n">
        <v>-66.12</v>
      </c>
      <c r="O122" t="n">
        <v>4.7</v>
      </c>
      <c r="P122" t="n">
        <v>148</v>
      </c>
      <c r="R122" t="inlineStr">
        <is>
          <t>InStock</t>
        </is>
      </c>
      <c r="S122" t="inlineStr">
        <is>
          <t>21.99</t>
        </is>
      </c>
      <c r="T122" t="inlineStr">
        <is>
          <t>3736872747060</t>
        </is>
      </c>
    </row>
    <row r="123" hidden="1" ht="15.75" customHeight="1">
      <c r="A123" s="2">
        <f>HYPERLINK("https://www.shelhealth.com/products/q-tips-cotton-swabs-1875-count", "https://www.shelhealth.com/products/q-tips-cotton-swabs-1875-count")</f>
        <v/>
      </c>
      <c r="B123" s="2">
        <f>HYPERLINK("https://www.shelhealth.com/products/q-tips-cotton-swabs-1875-count", "https://www.shelhealth.com/products/q-tips-cotton-swabs-1875-count")</f>
        <v/>
      </c>
      <c r="C123" t="inlineStr">
        <is>
          <t>Q-Tips Cotton Swabs - 1875 Count</t>
        </is>
      </c>
      <c r="D123" t="inlineStr">
        <is>
          <t>Q-tips Cotton Swabs For Hygiene and Beauty Care Original Cotton Swab Made With 100% Cotton 625 Count</t>
        </is>
      </c>
      <c r="E123" s="2">
        <f>HYPERLINK("https://www.amazon.com/Q-tips-Cotton-Swabs-625-ct/dp/B01AXQP6AE/ref=sr_1_8?keywords=Q-Tips+Cotton+Swabs+-+1875+Count&amp;qid=1695169762&amp;sr=8-8", "https://www.amazon.com/Q-tips-Cotton-Swabs-625-ct/dp/B01AXQP6AE/ref=sr_1_8?keywords=Q-Tips+Cotton+Swabs+-+1875+Count&amp;qid=1695169762&amp;sr=8-8")</f>
        <v/>
      </c>
      <c r="F123" t="inlineStr">
        <is>
          <t>B01AXQP6AE</t>
        </is>
      </c>
      <c r="G123">
        <f>_xludf.IMAGE("https://www.shelhealth.com/cdn/shop/products/q-tips-cotton-swabs-1875-count-shelhealth-397.jpg?v=1663338400&amp;width=1946")</f>
        <v/>
      </c>
      <c r="H123">
        <f>_xludf.IMAGE("https://m.media-amazon.com/images/I/81M3VK1irpL._AC_UL320_.jpg")</f>
        <v/>
      </c>
      <c r="K123" t="inlineStr">
        <is>
          <t>13.99</t>
        </is>
      </c>
      <c r="L123" t="n">
        <v>4.47</v>
      </c>
      <c r="M123" s="1" t="inlineStr">
        <is>
          <t>-68.05%</t>
        </is>
      </c>
      <c r="N123" s="3" t="n">
        <v>-68.05</v>
      </c>
      <c r="O123" t="n">
        <v>4.7</v>
      </c>
      <c r="P123" t="n">
        <v>2077</v>
      </c>
      <c r="R123" t="inlineStr">
        <is>
          <t>InStock</t>
        </is>
      </c>
      <c r="S123" t="inlineStr">
        <is>
          <t>13.99</t>
        </is>
      </c>
      <c r="T123" t="inlineStr">
        <is>
          <t>3785311223860</t>
        </is>
      </c>
    </row>
    <row r="124" hidden="1" ht="15.75" customHeight="1">
      <c r="A124" s="2">
        <f>HYPERLINK("https://www.shelhealth.com/products/051381912437-aura-cacia-oil-essential-manuka-0-5-oz", "https://www.shelhealth.com/products/051381912437-aura-cacia-oil-essential-manuka-0-5-oz")</f>
        <v/>
      </c>
      <c r="B124" s="2">
        <f>HYPERLINK("https://www.shelhealth.com/products/051381912437-aura-cacia-oil-essential-manuka-0-5-oz", "https://www.shelhealth.com/products/051381912437-aura-cacia-oil-essential-manuka-0-5-oz")</f>
        <v/>
      </c>
      <c r="C124" t="inlineStr">
        <is>
          <t>Aura Cacia Oil Essential Manuka, 0.5 Oz</t>
        </is>
      </c>
      <c r="D124" t="inlineStr">
        <is>
          <t>Aura Cacia Essential Solutions Oil, Chill Pill 0.5 Oz (Pack of 1)</t>
        </is>
      </c>
      <c r="E124" s="2">
        <f>HYPERLINK("https://www.amazon.com/Aura-Cacia-Essential-Solutions-Chill/dp/B00869QWTK/ref=sr_1_5?keywords=Aura+Cacia+Oil+Essential+Manuka%2C+0.5+Oz&amp;qid=1695169761&amp;sr=8-5", "https://www.amazon.com/Aura-Cacia-Essential-Solutions-Chill/dp/B00869QWTK/ref=sr_1_5?keywords=Aura+Cacia+Oil+Essential+Manuka%2C+0.5+Oz&amp;qid=1695169761&amp;sr=8-5")</f>
        <v/>
      </c>
      <c r="F124" t="inlineStr">
        <is>
          <t>B00869QWTK</t>
        </is>
      </c>
      <c r="G124">
        <f>_xludf.IMAGE("https://www.shelhealth.com/cdn/shop/files/aura-cacia-oil-essential-manuka-0-5-oz-beauty-body-care-shelhealth-195.jpg?v=1686143426&amp;width=1946")</f>
        <v/>
      </c>
      <c r="H124">
        <f>_xludf.IMAGE("https://m.media-amazon.com/images/I/61+rwT0cTMS._AC_UL320_.jpg")</f>
        <v/>
      </c>
      <c r="K124" t="inlineStr">
        <is>
          <t>39.99</t>
        </is>
      </c>
      <c r="L124" t="n">
        <v>12.3</v>
      </c>
      <c r="M124" s="1" t="inlineStr">
        <is>
          <t>-69.24%</t>
        </is>
      </c>
      <c r="N124" s="3" t="n">
        <v>-69.23999999999999</v>
      </c>
      <c r="O124" t="n">
        <v>4.7</v>
      </c>
      <c r="P124" t="n">
        <v>167</v>
      </c>
      <c r="R124" t="inlineStr">
        <is>
          <t>OutOfStock</t>
        </is>
      </c>
      <c r="S124" t="inlineStr">
        <is>
          <t>39.99</t>
        </is>
      </c>
      <c r="T124" t="inlineStr">
        <is>
          <t>7241465004220</t>
        </is>
      </c>
    </row>
    <row r="125" hidden="1" ht="15.75" customHeight="1">
      <c r="A125" s="2">
        <f>HYPERLINK("https://www.shelhealth.com/products/051381912437-aura-cacia-oil-essential-manuka-0-5-oz", "https://www.shelhealth.com/products/051381912437-aura-cacia-oil-essential-manuka-0-5-oz")</f>
        <v/>
      </c>
      <c r="B125" s="2">
        <f>HYPERLINK("https://www.shelhealth.com/products/051381912437-aura-cacia-oil-essential-manuka-0-5-oz", "https://www.shelhealth.com/products/051381912437-aura-cacia-oil-essential-manuka-0-5-oz")</f>
        <v/>
      </c>
      <c r="C125" t="inlineStr">
        <is>
          <t>Aura Cacia Oil Essential Manuka, 0.5 Oz</t>
        </is>
      </c>
      <c r="D125" t="inlineStr">
        <is>
          <t>Aura Cacia Jasmine Absolute in Jojoba Oil | GC/MS Tested for Purity | 15ml (0.5 fl. oz.)</t>
        </is>
      </c>
      <c r="E125" s="2">
        <f>HYPERLINK("https://www.amazon.com/Precious-Essentials-Absolute-Aura-Cacia/dp/B005JPOBEC/ref=sr_1_10?keywords=Aura+Cacia+Oil+Essential+Manuka%2C+0.5+Oz&amp;qid=1695169761&amp;sr=8-10", "https://www.amazon.com/Precious-Essentials-Absolute-Aura-Cacia/dp/B005JPOBEC/ref=sr_1_10?keywords=Aura+Cacia+Oil+Essential+Manuka%2C+0.5+Oz&amp;qid=1695169761&amp;sr=8-10")</f>
        <v/>
      </c>
      <c r="F125" t="inlineStr">
        <is>
          <t>B005JPOBEC</t>
        </is>
      </c>
      <c r="G125">
        <f>_xludf.IMAGE("https://www.shelhealth.com/cdn/shop/files/aura-cacia-oil-essential-manuka-0-5-oz-beauty-body-care-shelhealth-195.jpg?v=1686143426&amp;width=1946")</f>
        <v/>
      </c>
      <c r="H125">
        <f>_xludf.IMAGE("https://m.media-amazon.com/images/I/61WijWET5wL._AC_UL320_.jpg")</f>
        <v/>
      </c>
      <c r="K125" t="inlineStr">
        <is>
          <t>39.99</t>
        </is>
      </c>
      <c r="L125" t="n">
        <v>11.54</v>
      </c>
      <c r="M125" s="1" t="inlineStr">
        <is>
          <t>-71.14%</t>
        </is>
      </c>
      <c r="N125" s="3" t="n">
        <v>-71.14</v>
      </c>
      <c r="O125" t="n">
        <v>4.4</v>
      </c>
      <c r="P125" t="n">
        <v>934</v>
      </c>
      <c r="R125" t="inlineStr">
        <is>
          <t>OutOfStock</t>
        </is>
      </c>
      <c r="S125" t="inlineStr">
        <is>
          <t>39.99</t>
        </is>
      </c>
      <c r="T125" t="inlineStr">
        <is>
          <t>7241465004220</t>
        </is>
      </c>
    </row>
    <row r="126" hidden="1" ht="15.75" customHeight="1">
      <c r="A126" s="2">
        <f>HYPERLINK("https://www.shelhealth.com/products/eos-organic-lip-balm-care-collection-9-pack", "https://www.shelhealth.com/products/eos-organic-lip-balm-care-collection-9-pack")</f>
        <v/>
      </c>
      <c r="B126" s="2">
        <f>HYPERLINK("https://www.shelhealth.com/products/eos-organic-lip-balm-care-collection-9-pack", "https://www.shelhealth.com/products/eos-organic-lip-balm-care-collection-9-pack")</f>
        <v/>
      </c>
      <c r="C126" t="inlineStr">
        <is>
          <t>EOS Organic Lip Balm Care Collection, 9 Pack</t>
        </is>
      </c>
      <c r="D126" t="inlineStr">
        <is>
          <t>eos 100% Natural &amp; Organic Lip Balm- Pomegranate Raspberry, Dermatologist Recommended, All-Day Moisture Lip Care, 0.14 Oz, 2 Pack</t>
        </is>
      </c>
      <c r="E126" s="2">
        <f>HYPERLINK("https://www.amazon.com/eos-Pomegranate-Raspberry-Dermatologist-Recommended/dp/B09V1W58M7/ref=sr_1_10?keywords=EOS+Organic+Lip+Balm+Care+Collection%2C+9+Pack&amp;qid=1695169760&amp;sr=8-10", "https://www.amazon.com/eos-Pomegranate-Raspberry-Dermatologist-Recommended/dp/B09V1W58M7/ref=sr_1_10?keywords=EOS+Organic+Lip+Balm+Care+Collection%2C+9+Pack&amp;qid=1695169760&amp;sr=8-10")</f>
        <v/>
      </c>
      <c r="F126" t="inlineStr">
        <is>
          <t>B09V1W58M7</t>
        </is>
      </c>
      <c r="G126">
        <f>_xludf.IMAGE("https://www.shelhealth.com/cdn/shop/products/eos-organic-lip-balm-care-collection-9-pack-shelhealth-885.jpg?v=1663337014&amp;width=1946")</f>
        <v/>
      </c>
      <c r="H126">
        <f>_xludf.IMAGE("https://m.media-amazon.com/images/I/71dO8v9TzuL._AC_UL320_.jpg")</f>
        <v/>
      </c>
      <c r="K126" t="inlineStr">
        <is>
          <t>21.99</t>
        </is>
      </c>
      <c r="L126" t="n">
        <v>5.99</v>
      </c>
      <c r="M126" s="1" t="inlineStr">
        <is>
          <t>-72.76%</t>
        </is>
      </c>
      <c r="N126" s="3" t="n">
        <v>-72.76000000000001</v>
      </c>
      <c r="O126" t="n">
        <v>4.5</v>
      </c>
      <c r="P126" t="n">
        <v>365</v>
      </c>
      <c r="R126" t="inlineStr">
        <is>
          <t>InStock</t>
        </is>
      </c>
      <c r="S126" t="inlineStr">
        <is>
          <t>21.99</t>
        </is>
      </c>
      <c r="T126" t="inlineStr">
        <is>
          <t>3736872747060</t>
        </is>
      </c>
    </row>
    <row r="127" hidden="1" ht="15.75" customHeight="1">
      <c r="A127" s="2">
        <f>HYPERLINK("https://www.shelhealth.com/products/051381912437-aura-cacia-oil-essential-manuka-0-5-oz", "https://www.shelhealth.com/products/051381912437-aura-cacia-oil-essential-manuka-0-5-oz")</f>
        <v/>
      </c>
      <c r="B127" s="2">
        <f>HYPERLINK("https://www.shelhealth.com/products/051381912437-aura-cacia-oil-essential-manuka-0-5-oz", "https://www.shelhealth.com/products/051381912437-aura-cacia-oil-essential-manuka-0-5-oz")</f>
        <v/>
      </c>
      <c r="C127" t="inlineStr">
        <is>
          <t>Aura Cacia Oil Essential Manuka, 0.5 Oz</t>
        </is>
      </c>
      <c r="D127" t="inlineStr">
        <is>
          <t>Aura Cacia 100% Pure Myrrh Essential Oil, 0.5 fl. oz, Balsamic, Warm Spicy Aroma, Centering &amp; Meditative Restoring Myrrh Oil</t>
        </is>
      </c>
      <c r="E127" s="2">
        <f>HYPERLINK("https://www.amazon.com/Aura-Cacia-Essential-Introspective-Myrrh/dp/B002Q4UCEC/ref=sr_1_4?keywords=Aura+Cacia+Oil+Essential+Manuka%2C+0.5+Oz&amp;qid=1695169761&amp;sr=8-4", "https://www.amazon.com/Aura-Cacia-Essential-Introspective-Myrrh/dp/B002Q4UCEC/ref=sr_1_4?keywords=Aura+Cacia+Oil+Essential+Manuka%2C+0.5+Oz&amp;qid=1695169761&amp;sr=8-4")</f>
        <v/>
      </c>
      <c r="F127" t="inlineStr">
        <is>
          <t>B002Q4UCEC</t>
        </is>
      </c>
      <c r="G127">
        <f>_xludf.IMAGE("https://www.shelhealth.com/cdn/shop/files/aura-cacia-oil-essential-manuka-0-5-oz-beauty-body-care-shelhealth-195.jpg?v=1686143426&amp;width=1946")</f>
        <v/>
      </c>
      <c r="H127">
        <f>_xludf.IMAGE("https://m.media-amazon.com/images/I/71hqXVM-jQL._AC_UL320_.jpg")</f>
        <v/>
      </c>
      <c r="K127" t="inlineStr">
        <is>
          <t>39.99</t>
        </is>
      </c>
      <c r="L127" t="n">
        <v>9.789999999999999</v>
      </c>
      <c r="M127" s="1" t="inlineStr">
        <is>
          <t>-75.52%</t>
        </is>
      </c>
      <c r="N127" s="3" t="n">
        <v>-75.52</v>
      </c>
      <c r="O127" t="n">
        <v>4.4</v>
      </c>
      <c r="P127" t="n">
        <v>991</v>
      </c>
      <c r="R127" t="inlineStr">
        <is>
          <t>OutOfStock</t>
        </is>
      </c>
      <c r="S127" t="inlineStr">
        <is>
          <t>39.99</t>
        </is>
      </c>
      <c r="T127" t="inlineStr">
        <is>
          <t>7241465004220</t>
        </is>
      </c>
    </row>
    <row r="128" hidden="1" ht="15.75" customHeight="1">
      <c r="A128" s="2">
        <f>HYPERLINK("https://www.shelhealth.com/products/051381912437-aura-cacia-oil-essential-manuka-0-5-oz", "https://www.shelhealth.com/products/051381912437-aura-cacia-oil-essential-manuka-0-5-oz")</f>
        <v/>
      </c>
      <c r="B128" s="2">
        <f>HYPERLINK("https://www.shelhealth.com/products/051381912437-aura-cacia-oil-essential-manuka-0-5-oz", "https://www.shelhealth.com/products/051381912437-aura-cacia-oil-essential-manuka-0-5-oz")</f>
        <v/>
      </c>
      <c r="C128" t="inlineStr">
        <is>
          <t>Aura Cacia Oil Essential Manuka, 0.5 Oz</t>
        </is>
      </c>
      <c r="D128" t="inlineStr">
        <is>
          <t>Aura Cacia Essential Oil, Cheering Sweet Orange, 2 fl. oz.</t>
        </is>
      </c>
      <c r="E128" s="2">
        <f>HYPERLINK("https://www.amazon.com/Aura-Cacia-Essential-Brightening-Orange/dp/B000774D2M/ref=sr_1_3?keywords=Aura+Cacia+Oil+Essential+Manuka%2C+0.5+Oz&amp;qid=1695169761&amp;sr=8-3", "https://www.amazon.com/Aura-Cacia-Essential-Brightening-Orange/dp/B000774D2M/ref=sr_1_3?keywords=Aura+Cacia+Oil+Essential+Manuka%2C+0.5+Oz&amp;qid=1695169761&amp;sr=8-3")</f>
        <v/>
      </c>
      <c r="F128" t="inlineStr">
        <is>
          <t>B000774D2M</t>
        </is>
      </c>
      <c r="G128">
        <f>_xludf.IMAGE("https://www.shelhealth.com/cdn/shop/files/aura-cacia-oil-essential-manuka-0-5-oz-beauty-body-care-shelhealth-195.jpg?v=1686143426&amp;width=1946")</f>
        <v/>
      </c>
      <c r="H128">
        <f>_xludf.IMAGE("https://m.media-amazon.com/images/I/51dMnlSQ9GL._AC_UL320_.jpg")</f>
        <v/>
      </c>
      <c r="K128" t="inlineStr">
        <is>
          <t>39.99</t>
        </is>
      </c>
      <c r="L128" t="n">
        <v>9.49</v>
      </c>
      <c r="M128" s="1" t="inlineStr">
        <is>
          <t>-76.27%</t>
        </is>
      </c>
      <c r="N128" s="3" t="n">
        <v>-76.27</v>
      </c>
      <c r="O128" t="n">
        <v>4.6</v>
      </c>
      <c r="P128" t="n">
        <v>1046</v>
      </c>
      <c r="R128" t="inlineStr">
        <is>
          <t>OutOfStock</t>
        </is>
      </c>
      <c r="S128" t="inlineStr">
        <is>
          <t>39.99</t>
        </is>
      </c>
      <c r="T128" t="inlineStr">
        <is>
          <t>7241465004220</t>
        </is>
      </c>
    </row>
    <row r="129" hidden="1" ht="15.75" customHeight="1">
      <c r="A129" s="2">
        <f>HYPERLINK("https://www.shelhealth.com/products/051381912437-aura-cacia-oil-essential-manuka-0-5-oz", "https://www.shelhealth.com/products/051381912437-aura-cacia-oil-essential-manuka-0-5-oz")</f>
        <v/>
      </c>
      <c r="B129" s="2">
        <f>HYPERLINK("https://www.shelhealth.com/products/051381912437-aura-cacia-oil-essential-manuka-0-5-oz", "https://www.shelhealth.com/products/051381912437-aura-cacia-oil-essential-manuka-0-5-oz")</f>
        <v/>
      </c>
      <c r="C129" t="inlineStr">
        <is>
          <t>Aura Cacia Oil Essential Manuka, 0.5 Oz</t>
        </is>
      </c>
      <c r="D129" t="inlineStr">
        <is>
          <t>Aura Cacia Essential Oil, Inspiring Lemongrass, 0.5 fluid ounce, Packaging May Vary</t>
        </is>
      </c>
      <c r="E129" s="2">
        <f>HYPERLINK("https://www.amazon.com/Aura-Cacia-Essential-Inspiring-Lemongrass/dp/B00016QSPO/ref=sr_1_6?keywords=Aura+Cacia+Oil+Essential+Manuka%2C+0.5+Oz&amp;qid=1695169761&amp;sr=8-6", "https://www.amazon.com/Aura-Cacia-Essential-Inspiring-Lemongrass/dp/B00016QSPO/ref=sr_1_6?keywords=Aura+Cacia+Oil+Essential+Manuka%2C+0.5+Oz&amp;qid=1695169761&amp;sr=8-6")</f>
        <v/>
      </c>
      <c r="F129" t="inlineStr">
        <is>
          <t>B00016QSPO</t>
        </is>
      </c>
      <c r="G129">
        <f>_xludf.IMAGE("https://www.shelhealth.com/cdn/shop/files/aura-cacia-oil-essential-manuka-0-5-oz-beauty-body-care-shelhealth-195.jpg?v=1686143426&amp;width=1946")</f>
        <v/>
      </c>
      <c r="H129">
        <f>_xludf.IMAGE("https://m.media-amazon.com/images/I/71k32U0uixL._AC_UL320_.jpg")</f>
        <v/>
      </c>
      <c r="K129" t="inlineStr">
        <is>
          <t>39.99</t>
        </is>
      </c>
      <c r="L129" t="n">
        <v>4.48</v>
      </c>
      <c r="M129" s="1" t="inlineStr">
        <is>
          <t>-88.80%</t>
        </is>
      </c>
      <c r="N129" s="3" t="n">
        <v>-88.8</v>
      </c>
      <c r="O129" t="n">
        <v>4.8</v>
      </c>
      <c r="P129" t="n">
        <v>539</v>
      </c>
      <c r="R129" t="inlineStr">
        <is>
          <t>OutOfStock</t>
        </is>
      </c>
      <c r="S129" t="inlineStr">
        <is>
          <t>39.99</t>
        </is>
      </c>
      <c r="T129" t="inlineStr">
        <is>
          <t>7241465004220</t>
        </is>
      </c>
    </row>
    <row r="130" ht="75" customHeight="1">
      <c r="A130" s="2">
        <f>HYPERLINK("https://www.shelhealth.com/products/801541107612-organic-india-psyllium-organic-whole-husk-fiber-12-oz", "https://www.shelhealth.com/products/801541107612-organic-india-psyllium-organic-whole-husk-fiber-12-oz")</f>
        <v/>
      </c>
      <c r="B130" s="2">
        <f>HYPERLINK("https://www.shelhealth.com/products/801541107612-organic-india-psyllium-organic-whole-husk-fiber-12-oz", "https://www.shelhealth.com/products/801541107612-organic-india-psyllium-organic-whole-husk-fiber-12-oz")</f>
        <v/>
      </c>
      <c r="C130" t="inlineStr">
        <is>
          <t>Organic India Psyllium Organic Whole Husk Fiber, 12 Oz</t>
        </is>
      </c>
      <c r="D130" t="inlineStr">
        <is>
          <t>ORGANIC INDIA Psyllium Herbal Powder - Whole Husk Fiber, Healthy Elimination, Keto Friendly, Vegan, Gluten-Free, USDA Certified Organic, Non-GMO, Soluble &amp; Insoluble Fiber - 12 oz Canister, 6 Pack</t>
        </is>
      </c>
      <c r="E130" s="2">
        <f>HYPERLINK("https://www.amazon.com/Fiber-Harmony-Organic-Psyllium-Whole/dp/B001E0VJ7S/ref=sr_1_4?keywords=Organic+India+Psyllium+Organic+Whole+Husk+Fiber%2C+12+Oz&amp;qid=1695169843&amp;sr=8-4", "https://www.amazon.com/Fiber-Harmony-Organic-Psyllium-Whole/dp/B001E0VJ7S/ref=sr_1_4?keywords=Organic+India+Psyllium+Organic+Whole+Husk+Fiber%2C+12+Oz&amp;qid=1695169843&amp;sr=8-4")</f>
        <v/>
      </c>
      <c r="F130" t="inlineStr">
        <is>
          <t>B001E0VJ7S</t>
        </is>
      </c>
      <c r="G130">
        <f>_xlfn.IMAGE("https://www.shelhealth.com/cdn/shop/files/organic-india-psyllium-whole-husk-fiber-12-oz-vitamins-supplements-shelhealth-515.jpg?v=1693360502&amp;width=1946")</f>
        <v/>
      </c>
      <c r="H130">
        <f>_xlfn.IMAGE("https://m.media-amazon.com/images/I/81e4WpohHhL._AC_UL320_.jpg")</f>
        <v/>
      </c>
      <c r="K130" t="inlineStr">
        <is>
          <t>20.99</t>
        </is>
      </c>
      <c r="L130" t="n">
        <v>119.94</v>
      </c>
      <c r="M130" s="1" t="inlineStr">
        <is>
          <t>471.41%</t>
        </is>
      </c>
      <c r="N130" s="3" t="n">
        <v>471.41</v>
      </c>
      <c r="O130" t="n">
        <v>4.6</v>
      </c>
      <c r="P130" t="n">
        <v>972</v>
      </c>
      <c r="R130" t="inlineStr">
        <is>
          <t>OutOfStock</t>
        </is>
      </c>
      <c r="S130" t="inlineStr">
        <is>
          <t>20.99</t>
        </is>
      </c>
      <c r="T130" t="inlineStr">
        <is>
          <t>7241906356412</t>
        </is>
      </c>
    </row>
    <row r="131" ht="75" customHeight="1">
      <c r="A131" s="2">
        <f>HYPERLINK("https://www.shelhealth.com/products/850021635060-organic-india-organic-psyllium-fiber-180-vc", "https://www.shelhealth.com/products/850021635060-organic-india-organic-psyllium-fiber-180-vc")</f>
        <v/>
      </c>
      <c r="B131" s="2">
        <f>HYPERLINK("https://www.shelhealth.com/products/850021635060-organic-india-organic-psyllium-fiber-180-vc", "https://www.shelhealth.com/products/850021635060-organic-india-organic-psyllium-fiber-180-vc")</f>
        <v/>
      </c>
      <c r="C131" t="inlineStr">
        <is>
          <t>ORGANIC INDIA Organic Psyllium Fiber, 180 vc</t>
        </is>
      </c>
      <c r="D131" t="inlineStr">
        <is>
          <t>Organic India Psyllium Herbal Powder - Whole Husk Fiber, Healthy Elimination, Keto Friendly, Vegan, Gluten-Free, USDA Certified Organic, Non-GMO, Soluble &amp; Insoluble Fiber Source - 12 Oz Canister (Pack of 2)</t>
        </is>
      </c>
      <c r="E131" s="2">
        <f>HYPERLINK("https://www.amazon.com/Organic-India-Whole-Psyllium-12-Ounce/dp/B00JDOAKRM/ref=sr_1_3?keywords=ORGANIC+INDIA+Organic+Psyllium+Fiber%2C+180+vc&amp;qid=1695169846&amp;sr=8-3", "https://www.amazon.com/Organic-India-Whole-Psyllium-12-Ounce/dp/B00JDOAKRM/ref=sr_1_3?keywords=ORGANIC+INDIA+Organic+Psyllium+Fiber%2C+180+vc&amp;qid=1695169846&amp;sr=8-3")</f>
        <v/>
      </c>
      <c r="F131" t="inlineStr">
        <is>
          <t>B00JDOAKRM</t>
        </is>
      </c>
      <c r="G131">
        <f>_xlfn.IMAGE("https://www.shelhealth.com/cdn/shop/files/organic-india-psyllium-fiber-180-vc-vitamins-supplements-shelhealth-258.jpg?v=1688713495&amp;width=1946")</f>
        <v/>
      </c>
      <c r="H131">
        <f>_xlfn.IMAGE("https://m.media-amazon.com/images/I/71mleGyTIdL._AC_UL320_.jpg")</f>
        <v/>
      </c>
      <c r="K131" t="inlineStr">
        <is>
          <t>16.99</t>
        </is>
      </c>
      <c r="L131" t="n">
        <v>64.5</v>
      </c>
      <c r="M131" s="1" t="inlineStr">
        <is>
          <t>279.64%</t>
        </is>
      </c>
      <c r="N131" s="3" t="n">
        <v>279.64</v>
      </c>
      <c r="O131" t="n">
        <v>4.6</v>
      </c>
      <c r="P131" t="n">
        <v>2408</v>
      </c>
      <c r="R131" t="inlineStr">
        <is>
          <t>InStock</t>
        </is>
      </c>
      <c r="S131" t="inlineStr">
        <is>
          <t>16.99</t>
        </is>
      </c>
      <c r="T131" t="inlineStr">
        <is>
          <t>7574241837288</t>
        </is>
      </c>
    </row>
    <row r="132" ht="75" customHeight="1">
      <c r="A132" s="2">
        <f>HYPERLINK("https://www.shelhealth.com/products/801541107612-organic-india-psyllium-organic-whole-husk-fiber-12-oz", "https://www.shelhealth.com/products/801541107612-organic-india-psyllium-organic-whole-husk-fiber-12-oz")</f>
        <v/>
      </c>
      <c r="B132" s="2">
        <f>HYPERLINK("https://www.shelhealth.com/products/801541107612-organic-india-psyllium-organic-whole-husk-fiber-12-oz", "https://www.shelhealth.com/products/801541107612-organic-india-psyllium-organic-whole-husk-fiber-12-oz")</f>
        <v/>
      </c>
      <c r="C132" t="inlineStr">
        <is>
          <t>Organic India Psyllium Organic Whole Husk Fiber, 12 Oz</t>
        </is>
      </c>
      <c r="D132" t="inlineStr">
        <is>
          <t>Organic India Psyllium Herbal Powder - Whole Husk Fiber, Healthy Elimination, Keto Friendly, Vegan, Gluten-Free, USDA Certified Organic, Non-GMO, Soluble &amp; Insoluble Fiber Source - 12 Oz Canister (Pack of 2)</t>
        </is>
      </c>
      <c r="E132" s="2">
        <f>HYPERLINK("https://www.amazon.com/Organic-India-Whole-Psyllium-12-Ounce/dp/B00JDOAKRM/ref=sr_1_3?keywords=Organic+India+Psyllium+Organic+Whole+Husk+Fiber%2C+12+Oz&amp;qid=1695169843&amp;sr=8-3", "https://www.amazon.com/Organic-India-Whole-Psyllium-12-Ounce/dp/B00JDOAKRM/ref=sr_1_3?keywords=Organic+India+Psyllium+Organic+Whole+Husk+Fiber%2C+12+Oz&amp;qid=1695169843&amp;sr=8-3")</f>
        <v/>
      </c>
      <c r="F132" t="inlineStr">
        <is>
          <t>B00JDOAKRM</t>
        </is>
      </c>
      <c r="G132">
        <f>_xlfn.IMAGE("https://www.shelhealth.com/cdn/shop/files/organic-india-psyllium-whole-husk-fiber-12-oz-vitamins-supplements-shelhealth-515.jpg?v=1693360502&amp;width=1946")</f>
        <v/>
      </c>
      <c r="H132">
        <f>_xlfn.IMAGE("https://m.media-amazon.com/images/I/71mleGyTIdL._AC_UL320_.jpg")</f>
        <v/>
      </c>
      <c r="K132" t="inlineStr">
        <is>
          <t>20.99</t>
        </is>
      </c>
      <c r="L132" t="n">
        <v>64.5</v>
      </c>
      <c r="M132" s="1" t="inlineStr">
        <is>
          <t>207.29%</t>
        </is>
      </c>
      <c r="N132" s="3" t="n">
        <v>207.29</v>
      </c>
      <c r="O132" t="n">
        <v>4.6</v>
      </c>
      <c r="P132" t="n">
        <v>2408</v>
      </c>
      <c r="R132" t="inlineStr">
        <is>
          <t>OutOfStock</t>
        </is>
      </c>
      <c r="S132" t="inlineStr">
        <is>
          <t>20.99</t>
        </is>
      </c>
      <c r="T132" t="inlineStr">
        <is>
          <t>7241906356412</t>
        </is>
      </c>
    </row>
    <row r="133" ht="75" customHeight="1">
      <c r="A133" s="2">
        <f>HYPERLINK("https://www.shelhealth.com/products/pepcid-complete-dual-action-acid-reducer-and-antacid-berry-flavored-chewable-tablets-100-count-bottle", "https://www.shelhealth.com/products/pepcid-complete-dual-action-acid-reducer-and-antacid-berry-flavored-chewable-tablets-100-count-bottle")</f>
        <v/>
      </c>
      <c r="B133" s="2">
        <f>HYPERLINK("https://www.shelhealth.com/products/pepcid-complete-dual-action-acid-reducer-and-antacid-berry-flavored-chewable-tablets-100-count-bottle", "https://www.shelhealth.com/products/pepcid-complete-dual-action-acid-reducer-and-antacid-berry-flavored-chewable-tablets-100-count-bottle")</f>
        <v/>
      </c>
      <c r="C133" t="inlineStr">
        <is>
          <t>Pepcid Complete Dual Action Acid Reducer and Antacid Berry Flavored Chewable Tablets 100 Count Bottle</t>
        </is>
      </c>
      <c r="D133" t="inlineStr">
        <is>
          <t>Pepcid Complete Dual Action Acid Reducer and Antacid Berry Flavored Chewable 100 Count ( VarietySize Pack of 3) Pepcid-pm</t>
        </is>
      </c>
      <c r="E133" s="2">
        <f>HYPERLINK("https://www.amazon.com/Complete-Flavored-Chewable-VarietySize-Pepcid-pm/dp/B01G2Z228E/ref=sr_1_5?keywords=Pepcid+Complete+Dual+Action+Acid+Reducer+and+Antacid+Berry+Flavored+Chewable+Tablets+100+Count+Bottle&amp;qid=1695169832&amp;sr=8-5", "https://www.amazon.com/Complete-Flavored-Chewable-VarietySize-Pepcid-pm/dp/B01G2Z228E/ref=sr_1_5?keywords=Pepcid+Complete+Dual+Action+Acid+Reducer+and+Antacid+Berry+Flavored+Chewable+Tablets+100+Count+Bottle&amp;qid=1695169832&amp;sr=8-5")</f>
        <v/>
      </c>
      <c r="F133" t="inlineStr">
        <is>
          <t>B01G2Z228E</t>
        </is>
      </c>
      <c r="G133">
        <f>_xlfn.IMAGE("https://www.shelhealth.com/cdn/shop/products/pepcid-complete-dual-action-acid-reducer-and-antacid-berry-flavored-chewable-tablets-100-count-bottle-shelhealth-166.jpg?v=1663353732&amp;width=1946")</f>
        <v/>
      </c>
      <c r="H133">
        <f>_xlfn.IMAGE("https://m.media-amazon.com/images/I/713SfwYQMVS._AC_UL320_.jpg")</f>
        <v/>
      </c>
      <c r="K133" t="inlineStr">
        <is>
          <t>39.99</t>
        </is>
      </c>
      <c r="L133" t="n">
        <v>110.34</v>
      </c>
      <c r="M133" s="1" t="inlineStr">
        <is>
          <t>175.92%</t>
        </is>
      </c>
      <c r="N133" s="3" t="n">
        <v>175.92</v>
      </c>
      <c r="O133" t="n">
        <v>5</v>
      </c>
      <c r="P133" t="n">
        <v>5</v>
      </c>
      <c r="R133" t="inlineStr">
        <is>
          <t>InStock</t>
        </is>
      </c>
      <c r="S133" t="inlineStr">
        <is>
          <t>39.99</t>
        </is>
      </c>
      <c r="T133" t="inlineStr">
        <is>
          <t>4163586981940</t>
        </is>
      </c>
    </row>
    <row r="134" ht="75" customHeight="1">
      <c r="A134" s="2">
        <f>HYPERLINK("https://www.shelhealth.com/products/pepcid-complete-dual-action-acid-reducer-and-antacid-berry-flavored-chewable-tablets-100-count-bottle", "https://www.shelhealth.com/products/pepcid-complete-dual-action-acid-reducer-and-antacid-berry-flavored-chewable-tablets-100-count-bottle")</f>
        <v/>
      </c>
      <c r="B134" s="2">
        <f>HYPERLINK("https://www.shelhealth.com/products/pepcid-complete-dual-action-acid-reducer-and-antacid-berry-flavored-chewable-tablets-100-count-bottle", "https://www.shelhealth.com/products/pepcid-complete-dual-action-acid-reducer-and-antacid-berry-flavored-chewable-tablets-100-count-bottle")</f>
        <v/>
      </c>
      <c r="C134" t="inlineStr">
        <is>
          <t>Pepcid Complete Dual Action Acid Reducer and Antacid Berry Flavored Chewable Tablets 100 Count Bottle</t>
        </is>
      </c>
      <c r="D134" t="inlineStr">
        <is>
          <t>Pepcid Complete Dual Action Acid Reducer and Antacid Berry Flavored Chewable 100 Count ( LargerSize Pack of 3)</t>
        </is>
      </c>
      <c r="E134" s="2">
        <f>HYPERLINK("https://www.amazon.com/Pepcid-Complete-Flavored-Chewable-LargerSize/dp/B01I2FNB1Y/ref=sr_1_6?keywords=Pepcid+Complete+Dual+Action+Acid+Reducer+and+Antacid+Berry+Flavored+Chewable+Tablets+100+Count+Bottle&amp;qid=1695169832&amp;sr=8-6", "https://www.amazon.com/Pepcid-Complete-Flavored-Chewable-LargerSize/dp/B01I2FNB1Y/ref=sr_1_6?keywords=Pepcid+Complete+Dual+Action+Acid+Reducer+and+Antacid+Berry+Flavored+Chewable+Tablets+100+Count+Bottle&amp;qid=1695169832&amp;sr=8-6")</f>
        <v/>
      </c>
      <c r="F134" t="inlineStr">
        <is>
          <t>B01I2FNB1Y</t>
        </is>
      </c>
      <c r="G134">
        <f>_xlfn.IMAGE("https://www.shelhealth.com/cdn/shop/products/pepcid-complete-dual-action-acid-reducer-and-antacid-berry-flavored-chewable-tablets-100-count-bottle-shelhealth-166.jpg?v=1663353732&amp;width=1946")</f>
        <v/>
      </c>
      <c r="H134">
        <f>_xlfn.IMAGE("https://m.media-amazon.com/images/I/713SfwYQMVS._AC_UL320_.jpg")</f>
        <v/>
      </c>
      <c r="K134" t="inlineStr">
        <is>
          <t>39.99</t>
        </is>
      </c>
      <c r="L134" t="n">
        <v>99.89</v>
      </c>
      <c r="M134" s="1" t="inlineStr">
        <is>
          <t>149.79%</t>
        </is>
      </c>
      <c r="N134" s="3" t="n">
        <v>149.79</v>
      </c>
      <c r="O134" t="n">
        <v>5</v>
      </c>
      <c r="P134" t="n">
        <v>43</v>
      </c>
      <c r="R134" t="inlineStr">
        <is>
          <t>InStock</t>
        </is>
      </c>
      <c r="S134" t="inlineStr">
        <is>
          <t>39.99</t>
        </is>
      </c>
      <c r="T134" t="inlineStr">
        <is>
          <t>4163586981940</t>
        </is>
      </c>
    </row>
    <row r="135" ht="75" customHeight="1">
      <c r="A135" s="2">
        <f>HYPERLINK("https://www.shelhealth.com/products/810048610327-yum-vs-prebiotic-fiber-zero-gummy-60-ea", "https://www.shelhealth.com/products/810048610327-yum-vs-prebiotic-fiber-zero-gummy-60-ea")</f>
        <v/>
      </c>
      <c r="B135" s="2">
        <f>HYPERLINK("https://www.shelhealth.com/products/810048610327-yum-vs-prebiotic-fiber-zero-gummy-60-ea", "https://www.shelhealth.com/products/810048610327-yum-vs-prebiotic-fiber-zero-gummy-60-ea")</f>
        <v/>
      </c>
      <c r="C135" t="inlineStr">
        <is>
          <t>Yum Vs Prebiotic Fiber Zero Gummy, 60 Ea</t>
        </is>
      </c>
      <c r="D135" t="inlineStr">
        <is>
          <t>Prebiotic Fiber Zero Gummies by YumVs | Keto Friendly Sugar Free Supplement for Women &amp; Men | 4 g Fiber for Digestive Support | Natural Berry Flavor Chewables-60 Count (Pack of 2)</t>
        </is>
      </c>
      <c r="E135" s="2">
        <f>HYPERLINK("https://www.amazon.com/Prebiotic-Friendly-Supplement-Digestive-Chewables-60/dp/B0BLPBCNQC/ref=sr_1_2?keywords=Yum+Vs+Prebiotic+Fiber+Zero+Gummy%2C+60+Ea&amp;qid=1695169835&amp;sr=8-2", "https://www.amazon.com/Prebiotic-Friendly-Supplement-Digestive-Chewables-60/dp/B0BLPBCNQC/ref=sr_1_2?keywords=Yum+Vs+Prebiotic+Fiber+Zero+Gummy%2C+60+Ea&amp;qid=1695169835&amp;sr=8-2")</f>
        <v/>
      </c>
      <c r="F135" t="inlineStr">
        <is>
          <t>B0BLPBCNQC</t>
        </is>
      </c>
      <c r="G135">
        <f>_xlfn.IMAGE("https://www.shelhealth.com/cdn/shop/files/yum-vs-prebiotic-fiber-zero-gummy-60-ea-vitamins-supplements-shelhealth-510.jpg?v=1693364858&amp;width=1946")</f>
        <v/>
      </c>
      <c r="H135">
        <f>_xlfn.IMAGE("https://m.media-amazon.com/images/I/71hT7uBHjcL._AC_UL320_.jpg")</f>
        <v/>
      </c>
      <c r="K135" t="inlineStr">
        <is>
          <t>14.99</t>
        </is>
      </c>
      <c r="L135" t="n">
        <v>24.99</v>
      </c>
      <c r="M135" s="1" t="inlineStr">
        <is>
          <t>66.71%</t>
        </is>
      </c>
      <c r="N135" s="3" t="n">
        <v>66.70999999999999</v>
      </c>
      <c r="O135" t="n">
        <v>4.5</v>
      </c>
      <c r="P135" t="n">
        <v>499</v>
      </c>
      <c r="R135" t="inlineStr">
        <is>
          <t>OutOfStock</t>
        </is>
      </c>
      <c r="S135" t="inlineStr">
        <is>
          <t>14.99</t>
        </is>
      </c>
      <c r="T135" t="inlineStr">
        <is>
          <t>7242086580412</t>
        </is>
      </c>
    </row>
    <row r="136" ht="75" customHeight="1">
      <c r="A136" s="2">
        <f>HYPERLINK("https://www.shelhealth.com/products/schiff-digestive-advantage-probiotic-gummies-120-count", "https://www.shelhealth.com/products/schiff-digestive-advantage-probiotic-gummies-120-count")</f>
        <v/>
      </c>
      <c r="B136" s="2">
        <f>HYPERLINK("https://www.shelhealth.com/products/schiff-digestive-advantage-probiotic-gummies-120-count", "https://www.shelhealth.com/products/schiff-digestive-advantage-probiotic-gummies-120-count")</f>
        <v/>
      </c>
      <c r="C136" t="inlineStr">
        <is>
          <t>Schiff Digestive Advantage Probiotic Gummies (120 Count)</t>
        </is>
      </c>
      <c r="D136" t="inlineStr">
        <is>
          <t>Schiff Digestive Advantage Probiotic Gummies, 120 Count, Pack of 2</t>
        </is>
      </c>
      <c r="E136" s="2">
        <f>HYPERLINK("https://www.amazon.com/Schiff-Digestive-Advantage-Probiotic-Gummies/dp/B00X93S1G0/ref=sr_1_1?keywords=Schiff+Digestive+Advantage+Probiotic+Gummies+%28120+Count%29&amp;qid=1695169825&amp;sr=8-1", "https://www.amazon.com/Schiff-Digestive-Advantage-Probiotic-Gummies/dp/B00X93S1G0/ref=sr_1_1?keywords=Schiff+Digestive+Advantage+Probiotic+Gummies+%28120+Count%29&amp;qid=1695169825&amp;sr=8-1")</f>
        <v/>
      </c>
      <c r="F136" t="inlineStr">
        <is>
          <t>B00X93S1G0</t>
        </is>
      </c>
      <c r="G136">
        <f>_xlfn.IMAGE("https://www.shelhealth.com/cdn/shop/products/schiff-digestive-advantage-probiotic-gummies-120-count-shelhealth-680.jpg?v=1663337939&amp;width=1946")</f>
        <v/>
      </c>
      <c r="H136">
        <f>_xlfn.IMAGE("https://m.media-amazon.com/images/I/81LEw+qKRaL._AC_UL320_.jpg")</f>
        <v/>
      </c>
      <c r="K136" t="inlineStr">
        <is>
          <t>28.99</t>
        </is>
      </c>
      <c r="L136" t="n">
        <v>47.5</v>
      </c>
      <c r="M136" s="1" t="inlineStr">
        <is>
          <t>63.85%</t>
        </is>
      </c>
      <c r="N136" s="3" t="n">
        <v>63.85</v>
      </c>
      <c r="O136" t="n">
        <v>4.6</v>
      </c>
      <c r="P136" t="n">
        <v>307</v>
      </c>
      <c r="R136" t="inlineStr">
        <is>
          <t>InStock</t>
        </is>
      </c>
      <c r="S136" t="inlineStr">
        <is>
          <t>28.99</t>
        </is>
      </c>
      <c r="T136" t="inlineStr">
        <is>
          <t>3781953093684</t>
        </is>
      </c>
    </row>
    <row r="137" hidden="1" ht="15.75" customHeight="1">
      <c r="A137" s="2">
        <f>HYPERLINK("https://www.shelhealth.com/products/natures-bounty-ultra-strength-probiotic-10-140-capsules", "https://www.shelhealth.com/products/natures-bounty-ultra-strength-probiotic-10-140-capsules")</f>
        <v/>
      </c>
      <c r="B137" s="2">
        <f>HYPERLINK("https://www.shelhealth.com/products/natures-bounty-ultra-strength-probiotic-10-140-capsules", "https://www.shelhealth.com/products/natures-bounty-ultra-strength-probiotic-10-140-capsules")</f>
        <v/>
      </c>
      <c r="C137" t="inlineStr">
        <is>
          <t>Nature's Bounty Probiotic, Ultra Strength 10 70 Capsules</t>
        </is>
      </c>
      <c r="D137" t="inlineStr">
        <is>
          <t>Nature's Bounty Ultra Strength Probiotic 10 140 Capsules</t>
        </is>
      </c>
      <c r="E137" s="2">
        <f>HYPERLINK("https://www.amazon.com/Natures-Bounty-Strength-Probiotic-Capsules/dp/B01GTXRIQ0/ref=sr_1_3?keywords=Nature%27s+Bounty+Probiotic%2C+Ultra+Strength+10+70+Capsules&amp;qid=1695169825&amp;sr=8-3", "https://www.amazon.com/Natures-Bounty-Strength-Probiotic-Capsules/dp/B01GTXRIQ0/ref=sr_1_3?keywords=Nature%27s+Bounty+Probiotic%2C+Ultra+Strength+10+70+Capsules&amp;qid=1695169825&amp;sr=8-3")</f>
        <v/>
      </c>
      <c r="F137" t="inlineStr">
        <is>
          <t>B01GTXRIQ0</t>
        </is>
      </c>
      <c r="G137">
        <f>_xludf.IMAGE("https://www.shelhealth.com/cdn/shop/products/natures-bounty-probiotic-ultra-strength-10-70-capsules-shelhealth-589.jpg?v=1663337903&amp;width=1946")</f>
        <v/>
      </c>
      <c r="H137">
        <f>_xludf.IMAGE("https://m.media-amazon.com/images/I/71SywMKBNPL._AC_UL320_.jpg")</f>
        <v/>
      </c>
      <c r="K137" t="inlineStr">
        <is>
          <t>41.99</t>
        </is>
      </c>
      <c r="L137" t="n">
        <v>66.98999999999999</v>
      </c>
      <c r="M137" s="1" t="inlineStr">
        <is>
          <t>59.54%</t>
        </is>
      </c>
      <c r="N137" s="3" t="n">
        <v>59.54</v>
      </c>
      <c r="O137" t="n">
        <v>4.7</v>
      </c>
      <c r="P137" t="n">
        <v>14</v>
      </c>
      <c r="R137" t="inlineStr">
        <is>
          <t>InStock</t>
        </is>
      </c>
      <c r="S137" t="inlineStr">
        <is>
          <t>41.99</t>
        </is>
      </c>
      <c r="T137" t="inlineStr">
        <is>
          <t>3781928648756</t>
        </is>
      </c>
    </row>
    <row r="138" hidden="1" ht="15.75" customHeight="1">
      <c r="A138" s="2">
        <f>HYPERLINK("https://www.shelhealth.com/products/trunature-digestive-probiotic-capsules-100-count", "https://www.shelhealth.com/products/trunature-digestive-probiotic-capsules-100-count")</f>
        <v/>
      </c>
      <c r="B138" s="2">
        <f>HYPERLINK("https://www.shelhealth.com/products/trunature-digestive-probiotic-capsules-100-count", "https://www.shelhealth.com/products/trunature-digestive-probiotic-capsules-100-count")</f>
        <v/>
      </c>
      <c r="C138" t="inlineStr">
        <is>
          <t>TruNature Digestive Probiotic Capsules, 100 Count</t>
        </is>
      </c>
      <c r="D138" t="inlineStr">
        <is>
          <t>Trunature Digestive Probiotic Capsules, Healthy Immune System 2Pack (100 Count) Product is Recommended</t>
        </is>
      </c>
      <c r="E138" s="2">
        <f>HYPERLINK("https://www.amazon.com/Trunature-Digestive-Probiotic-Capsules-Recommended/dp/B07RV3NNFS/ref=sr_1_2?keywords=TruNature+Digestive+Probiotic+Capsules%2C+100+Count&amp;qid=1695169855&amp;sr=8-2", "https://www.amazon.com/Trunature-Digestive-Probiotic-Capsules-Recommended/dp/B07RV3NNFS/ref=sr_1_2?keywords=TruNature+Digestive+Probiotic+Capsules%2C+100+Count&amp;qid=1695169855&amp;sr=8-2")</f>
        <v/>
      </c>
      <c r="F138" t="inlineStr">
        <is>
          <t>B07RV3NNFS</t>
        </is>
      </c>
      <c r="G138">
        <f>_xludf.IMAGE("https://www.shelhealth.com/cdn/shop/products/trunature-digestive-probiotic-capsules-100-count-shelhealth-214.jpg?v=1663337666&amp;width=1946")</f>
        <v/>
      </c>
      <c r="H138">
        <f>_xludf.IMAGE("https://m.media-amazon.com/images/I/51mX2yUvQrL._AC_UL320_.jpg")</f>
        <v/>
      </c>
      <c r="K138" t="inlineStr">
        <is>
          <t>27.99</t>
        </is>
      </c>
      <c r="L138" t="n">
        <v>44.3</v>
      </c>
      <c r="M138" s="1" t="inlineStr">
        <is>
          <t>58.27%</t>
        </is>
      </c>
      <c r="N138" s="3" t="n">
        <v>58.27</v>
      </c>
      <c r="O138" t="n">
        <v>3.9</v>
      </c>
      <c r="P138" t="n">
        <v>21</v>
      </c>
      <c r="R138" t="inlineStr">
        <is>
          <t>InStock</t>
        </is>
      </c>
      <c r="S138" t="inlineStr">
        <is>
          <t>27.99</t>
        </is>
      </c>
      <c r="T138" t="inlineStr">
        <is>
          <t>3777132462132</t>
        </is>
      </c>
    </row>
    <row r="139" hidden="1" ht="15.75" customHeight="1">
      <c r="A139" s="2">
        <f>HYPERLINK("https://www.shelhealth.com/products/culturelle-digestive-health-probiotic-80-capsules", "https://www.shelhealth.com/products/culturelle-digestive-health-probiotic-80-capsules")</f>
        <v/>
      </c>
      <c r="B139" s="2">
        <f>HYPERLINK("https://www.shelhealth.com/products/culturelle-digestive-health-probiotic-80-capsules", "https://www.shelhealth.com/products/culturelle-digestive-health-probiotic-80-capsules")</f>
        <v/>
      </c>
      <c r="C139" t="inlineStr">
        <is>
          <t>Culturelle Digestive Health Probiotic, 80 Capsules</t>
        </is>
      </c>
      <c r="D139" t="inlineStr">
        <is>
          <t>Culturelle Digestive Health Probiotic - 2 Boxes, 80 Capsules Each</t>
        </is>
      </c>
      <c r="E139" s="2">
        <f>HYPERLINK("https://www.amazon.com/Culturelle-Digestive-Health-Probiotic-Capsules/dp/B00O810GVA/ref=sr_1_2?keywords=Culturelle+Digestive+Health+Probiotic%2C+80+Capsules&amp;qid=1695169825&amp;sr=8-2", "https://www.amazon.com/Culturelle-Digestive-Health-Probiotic-Capsules/dp/B00O810GVA/ref=sr_1_2?keywords=Culturelle+Digestive+Health+Probiotic%2C+80+Capsules&amp;qid=1695169825&amp;sr=8-2")</f>
        <v/>
      </c>
      <c r="F139" t="inlineStr">
        <is>
          <t>B00O810GVA</t>
        </is>
      </c>
      <c r="G139">
        <f>_xludf.IMAGE("https://www.shelhealth.com/cdn/shop/products/culturelle-digestive-health-probiotic-80-capsules-shelhealth-282.jpg?v=1663337676&amp;width=1946")</f>
        <v/>
      </c>
      <c r="H139">
        <f>_xludf.IMAGE("https://m.media-amazon.com/images/I/91fri9rYigL._AC_UL320_.jpg")</f>
        <v/>
      </c>
      <c r="K139" t="inlineStr">
        <is>
          <t>43.99</t>
        </is>
      </c>
      <c r="L139" t="n">
        <v>67.45</v>
      </c>
      <c r="M139" s="1" t="inlineStr">
        <is>
          <t>53.33%</t>
        </is>
      </c>
      <c r="N139" s="3" t="n">
        <v>53.33</v>
      </c>
      <c r="O139" t="n">
        <v>4.7</v>
      </c>
      <c r="P139" t="n">
        <v>398</v>
      </c>
      <c r="R139" t="inlineStr">
        <is>
          <t>InStock</t>
        </is>
      </c>
      <c r="S139" t="inlineStr">
        <is>
          <t>43.99</t>
        </is>
      </c>
      <c r="T139" t="inlineStr">
        <is>
          <t>3777135280180</t>
        </is>
      </c>
    </row>
    <row r="140" hidden="1" ht="15.75" customHeight="1">
      <c r="A140" s="2">
        <f>HYPERLINK("https://www.shelhealth.com/products/76630300827-american-health-probiotic-ex-care-complex-15-cp", "https://www.shelhealth.com/products/76630300827-american-health-probiotic-ex-care-complex-15-cp")</f>
        <v/>
      </c>
      <c r="B140" s="2">
        <f>HYPERLINK("https://www.shelhealth.com/products/76630300827-american-health-probiotic-ex-care-complex-15-cp", "https://www.shelhealth.com/products/76630300827-american-health-probiotic-ex-care-complex-15-cp")</f>
        <v/>
      </c>
      <c r="C140" t="inlineStr">
        <is>
          <t>American Health Probiotic Ex Care Complex, 15 Cp</t>
        </is>
      </c>
      <c r="D140" t="inlineStr">
        <is>
          <t>American Health Extra Care Probiotic Complex, 80 Billion Microorganisms - Beneficial Bacteria for The Digestive &amp; Immune Systems* - Non-GMO, Vegetarian - 30 Capsules, 30 Total Servings</t>
        </is>
      </c>
      <c r="E140" s="2">
        <f>HYPERLINK("https://www.amazon.com/American-Health-Probiotic-Complex-Microorganisms/dp/B097F38V4L/ref=sr_1_2?keywords=American+Health+Probiotic+Ex+Care+Complex%2C+15+Cp&amp;qid=1695169832&amp;sr=8-2", "https://www.amazon.com/American-Health-Probiotic-Complex-Microorganisms/dp/B097F38V4L/ref=sr_1_2?keywords=American+Health+Probiotic+Ex+Care+Complex%2C+15+Cp&amp;qid=1695169832&amp;sr=8-2")</f>
        <v/>
      </c>
      <c r="F140" t="inlineStr">
        <is>
          <t>B097F38V4L</t>
        </is>
      </c>
      <c r="G140">
        <f>_xludf.IMAGE("https://www.shelhealth.com/cdn/shop/files/american-health-probiotic-ex-care-complex-15-cp-vitamins-supplements-shelhealth-227.jpg?v=1686192408&amp;width=1946")</f>
        <v/>
      </c>
      <c r="H140">
        <f>_xludf.IMAGE("https://m.media-amazon.com/images/I/812Y5-SJzIL._AC_UL320_.jpg")</f>
        <v/>
      </c>
      <c r="K140" t="inlineStr">
        <is>
          <t>18.99</t>
        </is>
      </c>
      <c r="L140" t="n">
        <v>28.55</v>
      </c>
      <c r="M140" s="1" t="inlineStr">
        <is>
          <t>50.34%</t>
        </is>
      </c>
      <c r="N140" s="3" t="n">
        <v>50.34</v>
      </c>
      <c r="O140" t="n">
        <v>4.2</v>
      </c>
      <c r="P140" t="n">
        <v>37</v>
      </c>
      <c r="R140" t="inlineStr">
        <is>
          <t>OutOfStock</t>
        </is>
      </c>
      <c r="S140" t="inlineStr">
        <is>
          <t>18.99</t>
        </is>
      </c>
      <c r="T140" t="inlineStr">
        <is>
          <t>7241442066620</t>
        </is>
      </c>
    </row>
    <row r="141" hidden="1" ht="15.75" customHeight="1">
      <c r="A141" s="2">
        <f>HYPERLINK("https://www.shelhealth.com/products/natures-bounty-ultra-strength-probiotic-10-140-capsules", "https://www.shelhealth.com/products/natures-bounty-ultra-strength-probiotic-10-140-capsules")</f>
        <v/>
      </c>
      <c r="B141" s="2">
        <f>HYPERLINK("https://www.shelhealth.com/products/natures-bounty-ultra-strength-probiotic-10-140-capsules", "https://www.shelhealth.com/products/natures-bounty-ultra-strength-probiotic-10-140-capsules")</f>
        <v/>
      </c>
      <c r="C141" t="inlineStr">
        <is>
          <t>Nature's Bounty Probiotic, Ultra Strength 10 70 Capsules</t>
        </is>
      </c>
      <c r="D141" t="inlineStr">
        <is>
          <t>Nature's Bounty Ultra Strength Probiotic 10 140 Capsules - New Improved Formula</t>
        </is>
      </c>
      <c r="E141" s="2">
        <f>HYPERLINK("https://www.amazon.com/Natures-Bounty-Strength-Probiotic-Capsules/dp/B0139P2QUO/ref=sr_1_2?keywords=Nature%27s+Bounty+Probiotic%2C+Ultra+Strength+10+70+Capsules&amp;qid=1695169825&amp;sr=8-2", "https://www.amazon.com/Natures-Bounty-Strength-Probiotic-Capsules/dp/B0139P2QUO/ref=sr_1_2?keywords=Nature%27s+Bounty+Probiotic%2C+Ultra+Strength+10+70+Capsules&amp;qid=1695169825&amp;sr=8-2")</f>
        <v/>
      </c>
      <c r="F141" t="inlineStr">
        <is>
          <t>B0139P2QUO</t>
        </is>
      </c>
      <c r="G141">
        <f>_xludf.IMAGE("https://www.shelhealth.com/cdn/shop/products/natures-bounty-probiotic-ultra-strength-10-70-capsules-shelhealth-589.jpg?v=1663337903&amp;width=1946")</f>
        <v/>
      </c>
      <c r="H141">
        <f>_xludf.IMAGE("https://m.media-amazon.com/images/I/81g-DhiBOmL._AC_UL320_.jpg")</f>
        <v/>
      </c>
      <c r="K141" t="inlineStr">
        <is>
          <t>41.99</t>
        </is>
      </c>
      <c r="L141" t="n">
        <v>62.35</v>
      </c>
      <c r="M141" s="1" t="inlineStr">
        <is>
          <t>48.49%</t>
        </is>
      </c>
      <c r="N141" s="3" t="n">
        <v>48.49</v>
      </c>
      <c r="O141" t="n">
        <v>4.7</v>
      </c>
      <c r="P141" t="n">
        <v>1981</v>
      </c>
      <c r="R141" t="inlineStr">
        <is>
          <t>InStock</t>
        </is>
      </c>
      <c r="S141" t="inlineStr">
        <is>
          <t>41.99</t>
        </is>
      </c>
      <c r="T141" t="inlineStr">
        <is>
          <t>3781928648756</t>
        </is>
      </c>
    </row>
    <row r="142" hidden="1" ht="15.75" customHeight="1">
      <c r="A142" s="2">
        <f>HYPERLINK("https://www.shelhealth.com/products/trunature-digestive-probiotic-capsules-100-count", "https://www.shelhealth.com/products/trunature-digestive-probiotic-capsules-100-count")</f>
        <v/>
      </c>
      <c r="B142" s="2">
        <f>HYPERLINK("https://www.shelhealth.com/products/trunature-digestive-probiotic-capsules-100-count", "https://www.shelhealth.com/products/trunature-digestive-probiotic-capsules-100-count")</f>
        <v/>
      </c>
      <c r="C142" t="inlineStr">
        <is>
          <t>TruNature Digestive Probiotic Capsules, 100 Count</t>
        </is>
      </c>
      <c r="D142" t="inlineStr">
        <is>
          <t>Trunature Digestive Probiotic Capsules, 100 Count ( 2 Pack )</t>
        </is>
      </c>
      <c r="E142" s="2">
        <f>HYPERLINK("https://www.amazon.com/Trunature-Digestive-Probiotic-Capsules-Count/dp/B00PCJ00TA/ref=sr_1_1?keywords=TruNature+Digestive+Probiotic+Capsules%2C+100+Count&amp;qid=1695169855&amp;sr=8-1", "https://www.amazon.com/Trunature-Digestive-Probiotic-Capsules-Count/dp/B00PCJ00TA/ref=sr_1_1?keywords=TruNature+Digestive+Probiotic+Capsules%2C+100+Count&amp;qid=1695169855&amp;sr=8-1")</f>
        <v/>
      </c>
      <c r="F142" t="inlineStr">
        <is>
          <t>B00PCJ00TA</t>
        </is>
      </c>
      <c r="G142">
        <f>_xludf.IMAGE("https://www.shelhealth.com/cdn/shop/products/trunature-digestive-probiotic-capsules-100-count-shelhealth-214.jpg?v=1663337666&amp;width=1946")</f>
        <v/>
      </c>
      <c r="H142">
        <f>_xludf.IMAGE("https://m.media-amazon.com/images/I/31LXOwLuMiL._AC_UL320_.jpg")</f>
        <v/>
      </c>
      <c r="K142" t="inlineStr">
        <is>
          <t>27.99</t>
        </is>
      </c>
      <c r="L142" t="n">
        <v>39.84</v>
      </c>
      <c r="M142" s="1" t="inlineStr">
        <is>
          <t>42.34%</t>
        </is>
      </c>
      <c r="N142" s="3" t="n">
        <v>42.34</v>
      </c>
      <c r="O142" t="n">
        <v>4.7</v>
      </c>
      <c r="P142" t="n">
        <v>557</v>
      </c>
      <c r="R142" t="inlineStr">
        <is>
          <t>InStock</t>
        </is>
      </c>
      <c r="S142" t="inlineStr">
        <is>
          <t>27.99</t>
        </is>
      </c>
      <c r="T142" t="inlineStr">
        <is>
          <t>3777132462132</t>
        </is>
      </c>
    </row>
    <row r="143" hidden="1" ht="15.75" customHeight="1">
      <c r="A143" s="2">
        <f>HYPERLINK("https://www.shelhealth.com/products/fiber-choice-prebiotic-fiber-supplement-sugar-free-chewable-tablets-assorted-fruit-90-ct-pack-of-2", "https://www.shelhealth.com/products/fiber-choice-prebiotic-fiber-supplement-sugar-free-chewable-tablets-assorted-fruit-90-ct-pack-of-2")</f>
        <v/>
      </c>
      <c r="B143" s="2">
        <f>HYPERLINK("https://www.shelhealth.com/products/fiber-choice-prebiotic-fiber-supplement-sugar-free-chewable-tablets-assorted-fruit-90-ct-pack-of-2", "https://www.shelhealth.com/products/fiber-choice-prebiotic-fiber-supplement-sugar-free-chewable-tablets-assorted-fruit-90-ct-pack-of-2")</f>
        <v/>
      </c>
      <c r="C143" t="inlineStr">
        <is>
          <t>Fiber Choice Prebiotic Fiber Supplement Sugar-Free Chewable Tablets Assorted Fruit - 90 ct, Pack of 2</t>
        </is>
      </c>
      <c r="D143" t="inlineStr">
        <is>
          <t>Fiber Choice Daily Prebiotic Fiber Chewable Tablets, Sugar-Free, 1 Gastroenterologist Recommendedⱡ, Helps Support Regularity*, Prebiotic Fiber, 90 Count Assorted Fruit (Pack of 2)</t>
        </is>
      </c>
      <c r="E143" s="2">
        <f>HYPERLINK("https://www.amazon.com/Prebiotic-Supplement-Sugar-Free-Chewable-Assorted/dp/B07LCWLCV7/ref=sr_1_1?keywords=Fiber+Choice+Prebiotic+Fiber+Supplement+Sugar-Free+Chewable+Tablets+Assorted+Fruit+-+90+ct%2C+Pack+of+2&amp;qid=1695169830&amp;sr=8-1", "https://www.amazon.com/Prebiotic-Supplement-Sugar-Free-Chewable-Assorted/dp/B07LCWLCV7/ref=sr_1_1?keywords=Fiber+Choice+Prebiotic+Fiber+Supplement+Sugar-Free+Chewable+Tablets+Assorted+Fruit+-+90+ct%2C+Pack+of+2&amp;qid=1695169830&amp;sr=8-1")</f>
        <v/>
      </c>
      <c r="F143" t="inlineStr">
        <is>
          <t>B07LCWLCV7</t>
        </is>
      </c>
      <c r="G143">
        <f>_xludf.IMAGE("https://www.shelhealth.com/cdn/shop/products/fiber-choice-prebiotic-supplement-sugar-free-chewable-tablets-assorted-fruit-90-ct-pack-of-2-shelhealth-190.jpg?v=1663352354&amp;width=1946")</f>
        <v/>
      </c>
      <c r="H143">
        <f>_xludf.IMAGE("https://m.media-amazon.com/images/I/61HElWe2q2L._AC_UL320_.jpg")</f>
        <v/>
      </c>
      <c r="K143" t="inlineStr">
        <is>
          <t>30.99</t>
        </is>
      </c>
      <c r="L143" t="n">
        <v>38.8</v>
      </c>
      <c r="M143" s="1" t="inlineStr">
        <is>
          <t>25.20%</t>
        </is>
      </c>
      <c r="N143" s="3" t="n">
        <v>25.2</v>
      </c>
      <c r="O143" t="n">
        <v>4.5</v>
      </c>
      <c r="P143" t="n">
        <v>95</v>
      </c>
      <c r="R143" t="inlineStr">
        <is>
          <t>OutOfStock</t>
        </is>
      </c>
      <c r="S143" t="inlineStr">
        <is>
          <t>30.99</t>
        </is>
      </c>
      <c r="T143" t="inlineStr">
        <is>
          <t>4158121705524</t>
        </is>
      </c>
    </row>
    <row r="144" hidden="1" ht="15.75" customHeight="1">
      <c r="A144" s="2">
        <f>HYPERLINK("https://www.shelhealth.com/products/schiff-digestive-advantage-daily-probiotic-80-capsules", "https://www.shelhealth.com/products/schiff-digestive-advantage-daily-probiotic-80-capsules")</f>
        <v/>
      </c>
      <c r="B144" s="2">
        <f>HYPERLINK("https://www.shelhealth.com/products/schiff-digestive-advantage-daily-probiotic-80-capsules", "https://www.shelhealth.com/products/schiff-digestive-advantage-daily-probiotic-80-capsules")</f>
        <v/>
      </c>
      <c r="C144" t="inlineStr">
        <is>
          <t>Schiff Digestive Advantage Daily Probiotic, 80 Capsules</t>
        </is>
      </c>
      <c r="D144" t="inlineStr">
        <is>
          <t>Digestive Advantage Daily Probiotic &amp; Lactose Capsule Bundle - Daily Probitic Capsules (80ct Box) &amp; IBS Capsules (96ct Box), Probiotics for Men &amp; Women, for Digestive &amp; Immune Support</t>
        </is>
      </c>
      <c r="E144" s="2">
        <f>HYPERLINK("https://www.amazon.com/Daily-Probiotic-Capsule-Digestive-Defense-Lactase/dp/B07TZYNJT2/ref=sr_1_3?keywords=Schiff+Digestive+Advantage+Daily+Probiotic%2C+80+Capsules&amp;qid=1695169826&amp;sr=8-3", "https://www.amazon.com/Daily-Probiotic-Capsule-Digestive-Defense-Lactase/dp/B07TZYNJT2/ref=sr_1_3?keywords=Schiff+Digestive+Advantage+Daily+Probiotic%2C+80+Capsules&amp;qid=1695169826&amp;sr=8-3")</f>
        <v/>
      </c>
      <c r="F144" t="inlineStr">
        <is>
          <t>B07TZYNJT2</t>
        </is>
      </c>
      <c r="G144">
        <f>_xludf.IMAGE("https://www.shelhealth.com/cdn/shop/products/schiff-digestive-advantage-daily-probiotic-80-capsules-shelhealth-489.jpg?v=1663353757&amp;width=1946")</f>
        <v/>
      </c>
      <c r="H144">
        <f>_xludf.IMAGE("https://m.media-amazon.com/images/I/81khBz0S20L._AC_UL320_.jpg")</f>
        <v/>
      </c>
      <c r="K144" t="inlineStr">
        <is>
          <t>30.99</t>
        </is>
      </c>
      <c r="L144" t="n">
        <v>37.98</v>
      </c>
      <c r="M144" s="1" t="inlineStr">
        <is>
          <t>22.56%</t>
        </is>
      </c>
      <c r="N144" s="3" t="n">
        <v>22.56</v>
      </c>
      <c r="O144" t="n">
        <v>4.5</v>
      </c>
      <c r="P144" t="n">
        <v>31</v>
      </c>
      <c r="R144" t="inlineStr">
        <is>
          <t>InStock</t>
        </is>
      </c>
      <c r="S144" t="inlineStr">
        <is>
          <t>30.99</t>
        </is>
      </c>
      <c r="T144" t="inlineStr">
        <is>
          <t>4163674669108</t>
        </is>
      </c>
    </row>
    <row r="145" hidden="1" ht="15.75" customHeight="1">
      <c r="A145" s="2">
        <f>HYPERLINK("https://www.shelhealth.com/products/811961022389-navitas-organic-superfood-adaptogen-blend-6-3-oz", "https://www.shelhealth.com/products/811961022389-navitas-organic-superfood-adaptogen-blend-6-3-oz")</f>
        <v/>
      </c>
      <c r="B145" s="2">
        <f>HYPERLINK("https://www.shelhealth.com/products/811961022389-navitas-organic-superfood-adaptogen-blend-6-3-oz", "https://www.shelhealth.com/products/811961022389-navitas-organic-superfood-adaptogen-blend-6-3-oz")</f>
        <v/>
      </c>
      <c r="C145" t="inlineStr">
        <is>
          <t>Navitas Organic Superfood Adaptogen Blend, 6.3 Oz</t>
        </is>
      </c>
      <c r="D145" t="inlineStr">
        <is>
          <t>Navitas Organics Essential Superfood Protein Blend, Cacao &amp; Greens, 8.8 oz, Bag, 10 Servings — Organic, Non-GMO, Gluten-Free, Plant-Based Protein</t>
        </is>
      </c>
      <c r="E145" s="2">
        <f>HYPERLINK("https://www.amazon.com/Navitas-Organics-Superfood-Smoothie-Greens/dp/B071R5PV1Y/ref=sr_1_2?keywords=Navitas+Organic+Superfood+Adaptogen+Blend%2C+6.3+Oz&amp;qid=1695169841&amp;sr=8-2", "https://www.amazon.com/Navitas-Organics-Superfood-Smoothie-Greens/dp/B071R5PV1Y/ref=sr_1_2?keywords=Navitas+Organic+Superfood+Adaptogen+Blend%2C+6.3+Oz&amp;qid=1695169841&amp;sr=8-2")</f>
        <v/>
      </c>
      <c r="F145" t="inlineStr">
        <is>
          <t>B071R5PV1Y</t>
        </is>
      </c>
      <c r="G145">
        <f>_xludf.IMAGE("https://www.shelhealth.com/cdn/shop/files/navitas-organic-superfood-adaptogen-blend-6-3-oz-health-shelhealth-611.jpg?v=1686533231&amp;width=1946")</f>
        <v/>
      </c>
      <c r="H145">
        <f>_xludf.IMAGE("https://m.media-amazon.com/images/I/61xG6axhi-L._AC_UL320_.jpg")</f>
        <v/>
      </c>
      <c r="K145" t="inlineStr">
        <is>
          <t>16.99</t>
        </is>
      </c>
      <c r="L145" t="n">
        <v>20.49</v>
      </c>
      <c r="M145" s="1" t="inlineStr">
        <is>
          <t>20.60%</t>
        </is>
      </c>
      <c r="N145" s="3" t="n">
        <v>20.6</v>
      </c>
      <c r="O145" t="n">
        <v>4.5</v>
      </c>
      <c r="P145" t="n">
        <v>517</v>
      </c>
      <c r="R145" t="inlineStr">
        <is>
          <t>InStock</t>
        </is>
      </c>
      <c r="S145" t="inlineStr">
        <is>
          <t>16.99</t>
        </is>
      </c>
      <c r="T145" t="inlineStr">
        <is>
          <t>7241868837052</t>
        </is>
      </c>
    </row>
    <row r="146" hidden="1" ht="15.75" customHeight="1">
      <c r="A146" s="2">
        <f>HYPERLINK("https://www.shelhealth.com/products/811961022501-navitas-organic-superfood-greens-blend-6-3-oz", "https://www.shelhealth.com/products/811961022501-navitas-organic-superfood-greens-blend-6-3-oz")</f>
        <v/>
      </c>
      <c r="B146" s="2">
        <f>HYPERLINK("https://www.shelhealth.com/products/811961022501-navitas-organic-superfood-greens-blend-6-3-oz", "https://www.shelhealth.com/products/811961022501-navitas-organic-superfood-greens-blend-6-3-oz")</f>
        <v/>
      </c>
      <c r="C146" t="inlineStr">
        <is>
          <t>Navitas Organic Superfood Greens Blend, 6.3 Oz</t>
        </is>
      </c>
      <c r="D146" t="inlineStr">
        <is>
          <t>Navitas Organics Essential Superfood Protein Blend, Vanilla &amp; Greens, 8.4oz. Bag,10 Servings — Organic, Non-GMO, Gluten-Free, Plant-Based Protein</t>
        </is>
      </c>
      <c r="E146" s="2">
        <f>HYPERLINK("https://www.amazon.com/Navitas-Organics-Superfood-Smoothie-Vanilla/dp/B06ZYKZ3VS/ref=sr_1_2?keywords=Navitas+Organic+Superfood+Greens+Blend%2C+6.3+Oz&amp;qid=1695169839&amp;sr=8-2", "https://www.amazon.com/Navitas-Organics-Superfood-Smoothie-Vanilla/dp/B06ZYKZ3VS/ref=sr_1_2?keywords=Navitas+Organic+Superfood+Greens+Blend%2C+6.3+Oz&amp;qid=1695169839&amp;sr=8-2")</f>
        <v/>
      </c>
      <c r="F146" t="inlineStr">
        <is>
          <t>B06ZYKZ3VS</t>
        </is>
      </c>
      <c r="G146">
        <f>_xludf.IMAGE("https://www.shelhealth.com/cdn/shop/files/navitas-organic-superfood-greens-blend-6-3-oz-health-shelhealth-773.jpg?v=1686533122&amp;width=1946")</f>
        <v/>
      </c>
      <c r="H146">
        <f>_xludf.IMAGE("https://m.media-amazon.com/images/I/61TUv2i0WIL._AC_UL320_.jpg")</f>
        <v/>
      </c>
      <c r="K146" t="inlineStr">
        <is>
          <t>16.99</t>
        </is>
      </c>
      <c r="L146" t="n">
        <v>20</v>
      </c>
      <c r="M146" s="1" t="inlineStr">
        <is>
          <t>17.72%</t>
        </is>
      </c>
      <c r="N146" s="3" t="n">
        <v>17.72</v>
      </c>
      <c r="O146" t="n">
        <v>4.5</v>
      </c>
      <c r="P146" t="n">
        <v>517</v>
      </c>
      <c r="R146" t="inlineStr">
        <is>
          <t>InStock</t>
        </is>
      </c>
      <c r="S146" t="inlineStr">
        <is>
          <t>16.99</t>
        </is>
      </c>
      <c r="T146" t="inlineStr">
        <is>
          <t>7241869459644</t>
        </is>
      </c>
    </row>
    <row r="147" hidden="1" ht="15.75" customHeight="1">
      <c r="A147" s="2">
        <f>HYPERLINK("https://www.shelhealth.com/products/811961022518-navitas-organic-superfood-berry-blend-5-3-oz", "https://www.shelhealth.com/products/811961022518-navitas-organic-superfood-berry-blend-5-3-oz")</f>
        <v/>
      </c>
      <c r="B147" s="2">
        <f>HYPERLINK("https://www.shelhealth.com/products/811961022518-navitas-organic-superfood-berry-blend-5-3-oz", "https://www.shelhealth.com/products/811961022518-navitas-organic-superfood-berry-blend-5-3-oz")</f>
        <v/>
      </c>
      <c r="C147" t="inlineStr">
        <is>
          <t>Navitas Organic Superfood Berry Blend, 5.3 Oz</t>
        </is>
      </c>
      <c r="D147" t="inlineStr">
        <is>
          <t>Navitas Organics Essential Superfood Protein Blend, Vanilla &amp; Greens, 8.4oz. Bag,10 Servings — Organic, Non-GMO, Gluten-Free, Plant-Based Protein</t>
        </is>
      </c>
      <c r="E147" s="2">
        <f>HYPERLINK("https://www.amazon.com/Navitas-Organics-Superfood-Smoothie-Vanilla/dp/B06ZYKZ3VS/ref=sr_1_3?keywords=Navitas+Organic+Superfood+Berry+Blend%2C+5.3+Oz&amp;qid=1695169830&amp;sr=8-3", "https://www.amazon.com/Navitas-Organics-Superfood-Smoothie-Vanilla/dp/B06ZYKZ3VS/ref=sr_1_3?keywords=Navitas+Organic+Superfood+Berry+Blend%2C+5.3+Oz&amp;qid=1695169830&amp;sr=8-3")</f>
        <v/>
      </c>
      <c r="F147" t="inlineStr">
        <is>
          <t>B06ZYKZ3VS</t>
        </is>
      </c>
      <c r="G147">
        <f>_xludf.IMAGE("https://www.shelhealth.com/cdn/shop/files/navitas-organic-superfood-berry-blend-5-3-oz-health-shelhealth-188.jpg?v=1686533252&amp;width=1946")</f>
        <v/>
      </c>
      <c r="H147">
        <f>_xludf.IMAGE("https://m.media-amazon.com/images/I/61TUv2i0WIL._AC_UL320_.jpg")</f>
        <v/>
      </c>
      <c r="K147" t="inlineStr">
        <is>
          <t>16.99</t>
        </is>
      </c>
      <c r="L147" t="n">
        <v>20</v>
      </c>
      <c r="M147" s="1" t="inlineStr">
        <is>
          <t>17.72%</t>
        </is>
      </c>
      <c r="N147" s="3" t="n">
        <v>17.72</v>
      </c>
      <c r="O147" t="n">
        <v>4.5</v>
      </c>
      <c r="P147" t="n">
        <v>517</v>
      </c>
      <c r="R147" t="inlineStr">
        <is>
          <t>InStock</t>
        </is>
      </c>
      <c r="S147" t="inlineStr">
        <is>
          <t>16.99</t>
        </is>
      </c>
      <c r="T147" t="inlineStr">
        <is>
          <t>7241869295804</t>
        </is>
      </c>
    </row>
    <row r="148" hidden="1" ht="15.75" customHeight="1">
      <c r="A148" s="2">
        <f>HYPERLINK("https://www.shelhealth.com/products/850021635060-organic-india-organic-psyllium-fiber-180-vc", "https://www.shelhealth.com/products/850021635060-organic-india-organic-psyllium-fiber-180-vc")</f>
        <v/>
      </c>
      <c r="B148" s="2">
        <f>HYPERLINK("https://www.shelhealth.com/products/850021635060-organic-india-organic-psyllium-fiber-180-vc", "https://www.shelhealth.com/products/850021635060-organic-india-organic-psyllium-fiber-180-vc")</f>
        <v/>
      </c>
      <c r="C148" t="inlineStr">
        <is>
          <t>ORGANIC INDIA Organic Psyllium Fiber, 180 vc</t>
        </is>
      </c>
      <c r="D148" t="inlineStr">
        <is>
          <t>Organic India Psyllium Herbal Powder - Whole Husk Fiber, Healthy Elimination, Keto Friendly, Vegan, Gluten-Free, USDA Certified Organic, Non-GMO, Soluble &amp; Insoluble Fiber Source - 12 Oz Canister (Pack of 1)</t>
        </is>
      </c>
      <c r="E148" s="2">
        <f>HYPERLINK("https://www.amazon.com/Organic-India-Psyllium-Herbal-Powder/dp/B0016AXN7A/ref=sr_1_2?keywords=ORGANIC+INDIA+Organic+Psyllium+Fiber%2C+180+vc&amp;qid=1695169846&amp;sr=8-2", "https://www.amazon.com/Organic-India-Psyllium-Herbal-Powder/dp/B0016AXN7A/ref=sr_1_2?keywords=ORGANIC+INDIA+Organic+Psyllium+Fiber%2C+180+vc&amp;qid=1695169846&amp;sr=8-2")</f>
        <v/>
      </c>
      <c r="F148" t="inlineStr">
        <is>
          <t>B0016AXN7A</t>
        </is>
      </c>
      <c r="G148">
        <f>_xludf.IMAGE("https://www.shelhealth.com/cdn/shop/files/organic-india-psyllium-fiber-180-vc-vitamins-supplements-shelhealth-258.jpg?v=1688713495&amp;width=1946")</f>
        <v/>
      </c>
      <c r="H148">
        <f>_xludf.IMAGE("https://m.media-amazon.com/images/I/510FwbHG69L._AC_UL320_.jpg")</f>
        <v/>
      </c>
      <c r="K148" t="inlineStr">
        <is>
          <t>16.99</t>
        </is>
      </c>
      <c r="L148" t="n">
        <v>19.78</v>
      </c>
      <c r="M148" s="1" t="inlineStr">
        <is>
          <t>16.42%</t>
        </is>
      </c>
      <c r="N148" s="3" t="n">
        <v>16.42</v>
      </c>
      <c r="O148" t="n">
        <v>4.5</v>
      </c>
      <c r="P148" t="n">
        <v>4861</v>
      </c>
      <c r="R148" t="inlineStr">
        <is>
          <t>InStock</t>
        </is>
      </c>
      <c r="S148" t="inlineStr">
        <is>
          <t>16.99</t>
        </is>
      </c>
      <c r="T148" t="inlineStr">
        <is>
          <t>7574241837288</t>
        </is>
      </c>
    </row>
    <row r="149" hidden="1" ht="15.75" customHeight="1">
      <c r="A149" s="2">
        <f>HYPERLINK("https://www.shelhealth.com/products/lactaid-fast-act-lactose-intolerance-caplets-2-pk-60-ct", "https://www.shelhealth.com/products/lactaid-fast-act-lactose-intolerance-caplets-2-pk-60-ct")</f>
        <v/>
      </c>
      <c r="B149" s="2">
        <f>HYPERLINK("https://www.shelhealth.com/products/lactaid-fast-act-lactose-intolerance-caplets-2-pk-60-ct", "https://www.shelhealth.com/products/lactaid-fast-act-lactose-intolerance-caplets-2-pk-60-ct")</f>
        <v/>
      </c>
      <c r="C149" t="inlineStr">
        <is>
          <t>Lactaid Fast Act Lactose Intolerance Caplets, 2 pk./60 ct.</t>
        </is>
      </c>
      <c r="D149" t="inlineStr">
        <is>
          <t>Guardian Dairy Relief Fast Acting Lactase, 360 Caplets, 9000 FCC Maximum Strength, Lactose Intolerance Pills, Lactase Enzyme Supplement (360 CT)</t>
        </is>
      </c>
      <c r="E149" s="2">
        <f>HYPERLINK("https://www.amazon.com/Guardian-Relief-Acting-Caplets-Lactase/dp/B07BRQP9YR/ref=sr_1_4?keywords=Lactaid+Fast+Act+Lactose+Intolerance+Caplets%2C+2+pk.%2F60+ct.&amp;qid=1695169826&amp;sr=8-4", "https://www.amazon.com/Guardian-Relief-Acting-Caplets-Lactase/dp/B07BRQP9YR/ref=sr_1_4?keywords=Lactaid+Fast+Act+Lactose+Intolerance+Caplets%2C+2+pk.%2F60+ct.&amp;qid=1695169826&amp;sr=8-4")</f>
        <v/>
      </c>
      <c r="F149" t="inlineStr">
        <is>
          <t>B07BRQP9YR</t>
        </is>
      </c>
      <c r="G149">
        <f>_xludf.IMAGE("https://www.shelhealth.com/cdn/shop/files/lactaid-fast-act-lactose-intolerance-caplets-2-pk-60-ct-health-beautymedicine-cabinet-shelhealth-719.jpg?v=1686282690&amp;width=1946")</f>
        <v/>
      </c>
      <c r="H149">
        <f>_xludf.IMAGE("https://m.media-amazon.com/images/I/81F+zRgQ9fL._AC_UL320_.jpg")</f>
        <v/>
      </c>
      <c r="K149" t="inlineStr">
        <is>
          <t>32.99</t>
        </is>
      </c>
      <c r="L149" t="n">
        <v>37.99</v>
      </c>
      <c r="M149" s="1" t="inlineStr">
        <is>
          <t>15.16%</t>
        </is>
      </c>
      <c r="N149" s="3" t="n">
        <v>15.16</v>
      </c>
      <c r="O149" t="n">
        <v>4.7</v>
      </c>
      <c r="P149" t="n">
        <v>3392</v>
      </c>
      <c r="R149" t="inlineStr">
        <is>
          <t>InStock</t>
        </is>
      </c>
      <c r="S149" t="inlineStr">
        <is>
          <t>32.99</t>
        </is>
      </c>
      <c r="T149" t="inlineStr">
        <is>
          <t>4158679351348</t>
        </is>
      </c>
    </row>
    <row r="150" hidden="1" ht="15.75" customHeight="1">
      <c r="A150" s="2">
        <f>HYPERLINK("https://www.shelhealth.com/products/berkley-jensen-dairy-digestive-supplement-180-ct-1", "https://www.shelhealth.com/products/berkley-jensen-dairy-digestive-supplement-180-ct-1")</f>
        <v/>
      </c>
      <c r="B150" s="2">
        <f>HYPERLINK("https://www.shelhealth.com/products/berkley-jensen-dairy-digestive-supplement-180-ct-1", "https://www.shelhealth.com/products/berkley-jensen-dairy-digestive-supplement-180-ct-1")</f>
        <v/>
      </c>
      <c r="C150" t="inlineStr">
        <is>
          <t>Berkley Jensen Dairy Digestive Supplement, 180 ct.</t>
        </is>
      </c>
      <c r="D150" t="inlineStr">
        <is>
          <t>Berkley Jensen Dairy Digestive Supplement, 180 ct.</t>
        </is>
      </c>
      <c r="E150" s="2">
        <f>HYPERLINK("https://www.amazon.com/Berkley-Jensen-Dairy-Digestive-Supplement/dp/B0716H6GS4/ref=sr_1_2?keywords=Berkley+Jensen+Dairy+Digestive+Supplement%2C+180+ct.&amp;qid=1695169856&amp;sr=8-2", "https://www.amazon.com/Berkley-Jensen-Dairy-Digestive-Supplement/dp/B0716H6GS4/ref=sr_1_2?keywords=Berkley+Jensen+Dairy+Digestive+Supplement%2C+180+ct.&amp;qid=1695169856&amp;sr=8-2")</f>
        <v/>
      </c>
      <c r="F150" t="inlineStr">
        <is>
          <t>B0716H6GS4</t>
        </is>
      </c>
      <c r="G150">
        <f>_xludf.IMAGE("https://www.shelhealth.com/cdn/shop/products/berkley-jensen-dairy-digestive-supplement-180-ct-shelhealth-579.jpg?v=1663372545&amp;width=1946")</f>
        <v/>
      </c>
      <c r="H150">
        <f>_xludf.IMAGE("https://m.media-amazon.com/images/I/61jPmjP6y6L._AC_UL320_.jpg")</f>
        <v/>
      </c>
      <c r="K150" t="inlineStr">
        <is>
          <t>25.99</t>
        </is>
      </c>
      <c r="L150" t="n">
        <v>29.59</v>
      </c>
      <c r="M150" s="1" t="inlineStr">
        <is>
          <t>13.85%</t>
        </is>
      </c>
      <c r="N150" s="3" t="n">
        <v>13.85</v>
      </c>
      <c r="O150" t="n">
        <v>4.5</v>
      </c>
      <c r="P150" t="n">
        <v>2</v>
      </c>
      <c r="R150" t="inlineStr">
        <is>
          <t>InStock</t>
        </is>
      </c>
      <c r="S150" t="inlineStr">
        <is>
          <t>25.99</t>
        </is>
      </c>
      <c r="T150" t="inlineStr">
        <is>
          <t>4692427014233</t>
        </is>
      </c>
    </row>
    <row r="151" hidden="1" ht="15.75" customHeight="1">
      <c r="A151" s="2">
        <f>HYPERLINK("https://www.shelhealth.com/products/berkley-jensen-dairy-digestive-supplement-180-ct", "https://www.shelhealth.com/products/berkley-jensen-dairy-digestive-supplement-180-ct")</f>
        <v/>
      </c>
      <c r="B151" s="2">
        <f>HYPERLINK("https://www.shelhealth.com/products/berkley-jensen-dairy-digestive-supplement-180-ct", "https://www.shelhealth.com/products/berkley-jensen-dairy-digestive-supplement-180-ct")</f>
        <v/>
      </c>
      <c r="C151" t="inlineStr">
        <is>
          <t>Berkley Jensen Dairy Digestive Supplement, 180 ct.</t>
        </is>
      </c>
      <c r="D151" t="inlineStr">
        <is>
          <t>Berkley Jensen Dairy Digestive Supplement, 180 ct.</t>
        </is>
      </c>
      <c r="E151" s="2">
        <f>HYPERLINK("https://www.amazon.com/Berkley-Jensen-Dairy-Digestive-Supplement/dp/B0716H6GS4/ref=sr_1_2?keywords=Berkley+Jensen+Dairy+Digestive+Supplement%2C+180+ct.&amp;qid=1695169843&amp;sr=8-2", "https://www.amazon.com/Berkley-Jensen-Dairy-Digestive-Supplement/dp/B0716H6GS4/ref=sr_1_2?keywords=Berkley+Jensen+Dairy+Digestive+Supplement%2C+180+ct.&amp;qid=1695169843&amp;sr=8-2")</f>
        <v/>
      </c>
      <c r="F151" t="inlineStr">
        <is>
          <t>B0716H6GS4</t>
        </is>
      </c>
      <c r="G151">
        <f>_xludf.IMAGE("https://www.shelhealth.com/cdn/shop/files/berkley-jensen-dairy-digestive-supplement-180-ct-health-beautyvitamins-supplements-shelhealth-549.jpg?v=1686282576&amp;width=1946")</f>
        <v/>
      </c>
      <c r="H151">
        <f>_xludf.IMAGE("https://m.media-amazon.com/images/I/61jPmjP6y6L._AC_UL320_.jpg")</f>
        <v/>
      </c>
      <c r="K151" t="inlineStr">
        <is>
          <t>25.99</t>
        </is>
      </c>
      <c r="L151" t="n">
        <v>29.59</v>
      </c>
      <c r="M151" s="1" t="inlineStr">
        <is>
          <t>13.85%</t>
        </is>
      </c>
      <c r="N151" s="3" t="n">
        <v>13.85</v>
      </c>
      <c r="O151" t="n">
        <v>4.5</v>
      </c>
      <c r="P151" t="n">
        <v>2</v>
      </c>
      <c r="R151" t="inlineStr">
        <is>
          <t>InStock</t>
        </is>
      </c>
      <c r="S151" t="inlineStr">
        <is>
          <t>25.99</t>
        </is>
      </c>
      <c r="T151" t="inlineStr">
        <is>
          <t>4158728568884</t>
        </is>
      </c>
    </row>
    <row r="152" hidden="1" ht="15.75" customHeight="1">
      <c r="A152" s="2">
        <f>HYPERLINK("https://www.shelhealth.com/products/76630300568-american-health-probiotic-chew-grape-30-tb", "https://www.shelhealth.com/products/76630300568-american-health-probiotic-chew-grape-30-tb")</f>
        <v/>
      </c>
      <c r="B152" s="2">
        <f>HYPERLINK("https://www.shelhealth.com/products/76630300568-american-health-probiotic-chew-grape-30-tb", "https://www.shelhealth.com/products/76630300568-american-health-probiotic-chew-grape-30-tb")</f>
        <v/>
      </c>
      <c r="C152" t="inlineStr">
        <is>
          <t>American Health Probiotic Chew Grape, 30 Tb</t>
        </is>
      </c>
      <c r="D152" t="inlineStr">
        <is>
          <t>AMERICAN HEALTH Probiotic Kid Chewables, 30 Count</t>
        </is>
      </c>
      <c r="E152" s="2">
        <f>HYPERLINK("https://www.amazon.com/American-Health-Probiotic-KidChewables-Natural/dp/B08LZVJVJ2/ref=sr_1_1?keywords=American+Health+Probiotic+Chew+Grape%2C+30+Tb&amp;qid=1695169835&amp;sr=8-1", "https://www.amazon.com/American-Health-Probiotic-KidChewables-Natural/dp/B08LZVJVJ2/ref=sr_1_1?keywords=American+Health+Probiotic+Chew+Grape%2C+30+Tb&amp;qid=1695169835&amp;sr=8-1")</f>
        <v/>
      </c>
      <c r="F152" t="inlineStr">
        <is>
          <t>B08LZVJVJ2</t>
        </is>
      </c>
      <c r="G152">
        <f>_xludf.IMAGE("https://www.shelhealth.com/cdn/shop/files/american-health-probiotic-chew-grape-30-tb-vitamins-supplements-shelhealth-169.jpg?v=1693335575&amp;width=1946")</f>
        <v/>
      </c>
      <c r="H152">
        <f>_xludf.IMAGE("https://m.media-amazon.com/images/I/71GC3mC8GLL._AC_UL320_.jpg")</f>
        <v/>
      </c>
      <c r="K152" t="inlineStr">
        <is>
          <t>14.99</t>
        </is>
      </c>
      <c r="L152" t="n">
        <v>15.8</v>
      </c>
      <c r="M152" s="1" t="inlineStr">
        <is>
          <t>5.40%</t>
        </is>
      </c>
      <c r="N152" s="3" t="n">
        <v>5.4</v>
      </c>
      <c r="O152" t="n">
        <v>4.7</v>
      </c>
      <c r="P152" t="n">
        <v>20</v>
      </c>
      <c r="R152" t="inlineStr">
        <is>
          <t>OutOfStock</t>
        </is>
      </c>
      <c r="S152" t="inlineStr">
        <is>
          <t>14.99</t>
        </is>
      </c>
      <c r="T152" t="inlineStr">
        <is>
          <t>7241441509564</t>
        </is>
      </c>
    </row>
    <row r="153" hidden="1" ht="15.75" customHeight="1">
      <c r="A153" s="2">
        <f>HYPERLINK("https://www.shelhealth.com/products/76630300551-american-health-probiotic-chew-strawberr-30-tb", "https://www.shelhealth.com/products/76630300551-american-health-probiotic-chew-strawberr-30-tb")</f>
        <v/>
      </c>
      <c r="B153" s="2">
        <f>HYPERLINK("https://www.shelhealth.com/products/76630300551-american-health-probiotic-chew-strawberr-30-tb", "https://www.shelhealth.com/products/76630300551-american-health-probiotic-chew-strawberr-30-tb")</f>
        <v/>
      </c>
      <c r="C153" t="inlineStr">
        <is>
          <t>American Health Probiotic Chew Strawberr, 30 Tb</t>
        </is>
      </c>
      <c r="D153" t="inlineStr">
        <is>
          <t>AMERICAN HEALTH Probiotic Kid Chewables, 30 Count</t>
        </is>
      </c>
      <c r="E153" s="2">
        <f>HYPERLINK("https://www.amazon.com/American-Health-Probiotic-KidChewables-Natural/dp/B08LZVJVJ2/ref=sr_1_3?keywords=American+Health+Probiotic+Chew+Strawberr%2C+30+Tb&amp;qid=1695169842&amp;sr=8-3", "https://www.amazon.com/American-Health-Probiotic-KidChewables-Natural/dp/B08LZVJVJ2/ref=sr_1_3?keywords=American+Health+Probiotic+Chew+Strawberr%2C+30+Tb&amp;qid=1695169842&amp;sr=8-3")</f>
        <v/>
      </c>
      <c r="F153" t="inlineStr">
        <is>
          <t>B08LZVJVJ2</t>
        </is>
      </c>
      <c r="G153">
        <f>_xludf.IMAGE("https://www.shelhealth.com/cdn/shop/files/american-health-probiotic-chew-strawberr-30-tb-vitamins-supplements-shelhealth-542.jpg?v=1686192502&amp;width=1946")</f>
        <v/>
      </c>
      <c r="H153">
        <f>_xludf.IMAGE("https://m.media-amazon.com/images/I/71GC3mC8GLL._AC_UL320_.jpg")</f>
        <v/>
      </c>
      <c r="K153" t="inlineStr">
        <is>
          <t>14.99</t>
        </is>
      </c>
      <c r="L153" t="n">
        <v>15.42</v>
      </c>
      <c r="M153" s="1" t="inlineStr">
        <is>
          <t>2.87%</t>
        </is>
      </c>
      <c r="N153" s="3" t="n">
        <v>2.87</v>
      </c>
      <c r="O153" t="n">
        <v>4.7</v>
      </c>
      <c r="P153" t="n">
        <v>20</v>
      </c>
      <c r="R153" t="inlineStr">
        <is>
          <t>OutOfStock</t>
        </is>
      </c>
      <c r="S153" t="inlineStr">
        <is>
          <t>14.99</t>
        </is>
      </c>
      <c r="T153" t="inlineStr">
        <is>
          <t>7241441706172</t>
        </is>
      </c>
    </row>
    <row r="154" hidden="1" ht="15.75" customHeight="1">
      <c r="A154" s="2">
        <f>HYPERLINK("https://www.shelhealth.com/products/citrucel-methylcellulose-fiber-therapy-for-irregularity-240-caplets", "https://www.shelhealth.com/products/citrucel-methylcellulose-fiber-therapy-for-irregularity-240-caplets")</f>
        <v/>
      </c>
      <c r="B154" s="2">
        <f>HYPERLINK("https://www.shelhealth.com/products/citrucel-methylcellulose-fiber-therapy-for-irregularity-240-caplets", "https://www.shelhealth.com/products/citrucel-methylcellulose-fiber-therapy-for-irregularity-240-caplets")</f>
        <v/>
      </c>
      <c r="C154" t="inlineStr">
        <is>
          <t>Citrucel Methylcellulose Fiber Therapy For Irregularity - 240 Caplets</t>
        </is>
      </c>
      <c r="D154" t="inlineStr">
        <is>
          <t>Citrucel Methylcellulose Fiber Therapy for Regularity, Fiber Caplets, 180-Count Bottle</t>
        </is>
      </c>
      <c r="E154" s="2">
        <f>HYPERLINK("https://www.amazon.com/Citrucel-Methylcellulose-Therapy-Regularity-180-Count/dp/B000UANJLW/ref=sr_1_7?keywords=Citrucel+Methylcellulose+Fiber+Therapy+For+Irregularity+-+240+Caplets&amp;qid=1695169837&amp;sr=8-7", "https://www.amazon.com/Citrucel-Methylcellulose-Therapy-Regularity-180-Count/dp/B000UANJLW/ref=sr_1_7?keywords=Citrucel+Methylcellulose+Fiber+Therapy+For+Irregularity+-+240+Caplets&amp;qid=1695169837&amp;sr=8-7")</f>
        <v/>
      </c>
      <c r="F154" t="inlineStr">
        <is>
          <t>B000UANJLW</t>
        </is>
      </c>
      <c r="G154">
        <f>_xludf.IMAGE("https://www.shelhealth.com/cdn/shop/products/citrucel-methylcellulose-fiber-therapy-for-irregularity-240-caplets-shelhealth-540.jpg?v=1663337596&amp;width=1946")</f>
        <v/>
      </c>
      <c r="H154">
        <f>_xludf.IMAGE("https://m.media-amazon.com/images/I/81blVRVi+nL._AC_UL320_.jpg")</f>
        <v/>
      </c>
      <c r="K154" t="inlineStr">
        <is>
          <t>36.99</t>
        </is>
      </c>
      <c r="L154" t="n">
        <v>37.25</v>
      </c>
      <c r="M154" s="1" t="inlineStr">
        <is>
          <t>0.70%</t>
        </is>
      </c>
      <c r="N154" s="3" t="n">
        <v>0.7</v>
      </c>
      <c r="O154" t="n">
        <v>4.7</v>
      </c>
      <c r="P154" t="n">
        <v>588</v>
      </c>
      <c r="R154" t="inlineStr">
        <is>
          <t>InStock</t>
        </is>
      </c>
      <c r="S154" t="inlineStr">
        <is>
          <t>36.99</t>
        </is>
      </c>
      <c r="T154" t="inlineStr">
        <is>
          <t>3776724992052</t>
        </is>
      </c>
    </row>
    <row r="155" hidden="1" ht="15.75" customHeight="1">
      <c r="A155" s="2">
        <f>HYPERLINK("https://www.shelhealth.com/products/811961022389-navitas-organic-superfood-adaptogen-blend-6-3-oz", "https://www.shelhealth.com/products/811961022389-navitas-organic-superfood-adaptogen-blend-6-3-oz")</f>
        <v/>
      </c>
      <c r="B155" s="2">
        <f>HYPERLINK("https://www.shelhealth.com/products/811961022389-navitas-organic-superfood-adaptogen-blend-6-3-oz", "https://www.shelhealth.com/products/811961022389-navitas-organic-superfood-adaptogen-blend-6-3-oz")</f>
        <v/>
      </c>
      <c r="C155" t="inlineStr">
        <is>
          <t>Navitas Organic Superfood Adaptogen Blend, 6.3 Oz</t>
        </is>
      </c>
      <c r="D155" t="inlineStr">
        <is>
          <t>Navitas Organics Superfood+ Adaptogen Blend for Stress Support (Maca + Reishi + Ashwagandha), 6.3oz Bag, 30 Servings — Organic, Non-GMO, Vegan, Gluten-Free, Keto &amp; Paleo.</t>
        </is>
      </c>
      <c r="E155" s="2">
        <f>HYPERLINK("https://www.amazon.com/Navitas-Organics-Superfood-Adaptogen-Ashwagandha/dp/B0823JFJB4/ref=sr_1_1?keywords=Navitas+Organic+Superfood+Adaptogen+Blend%2C+6.3+Oz&amp;qid=1695169841&amp;sr=8-1", "https://www.amazon.com/Navitas-Organics-Superfood-Adaptogen-Ashwagandha/dp/B0823JFJB4/ref=sr_1_1?keywords=Navitas+Organic+Superfood+Adaptogen+Blend%2C+6.3+Oz&amp;qid=1695169841&amp;sr=8-1")</f>
        <v/>
      </c>
      <c r="F155" t="inlineStr">
        <is>
          <t>B0823JFJB4</t>
        </is>
      </c>
      <c r="G155">
        <f>_xludf.IMAGE("https://www.shelhealth.com/cdn/shop/files/navitas-organic-superfood-adaptogen-blend-6-3-oz-health-shelhealth-611.jpg?v=1686533231&amp;width=1946")</f>
        <v/>
      </c>
      <c r="H155">
        <f>_xludf.IMAGE("https://m.media-amazon.com/images/I/71PBPAWbxaL._AC_UL320_.jpg")</f>
        <v/>
      </c>
      <c r="K155" t="inlineStr">
        <is>
          <t>16.99</t>
        </is>
      </c>
      <c r="L155" t="n">
        <v>16.63</v>
      </c>
      <c r="M155" s="1" t="inlineStr">
        <is>
          <t>-2.12%</t>
        </is>
      </c>
      <c r="N155" s="3" t="n">
        <v>-2.12</v>
      </c>
      <c r="O155" t="n">
        <v>4.6</v>
      </c>
      <c r="P155" t="n">
        <v>1454</v>
      </c>
      <c r="R155" t="inlineStr">
        <is>
          <t>InStock</t>
        </is>
      </c>
      <c r="S155" t="inlineStr">
        <is>
          <t>16.99</t>
        </is>
      </c>
      <c r="T155" t="inlineStr">
        <is>
          <t>7241868837052</t>
        </is>
      </c>
    </row>
    <row r="156" hidden="1" ht="15.75" customHeight="1">
      <c r="A156" s="2">
        <f>HYPERLINK("https://www.shelhealth.com/products/801541107612-organic-india-psyllium-organic-whole-husk-fiber-12-oz", "https://www.shelhealth.com/products/801541107612-organic-india-psyllium-organic-whole-husk-fiber-12-oz")</f>
        <v/>
      </c>
      <c r="B156" s="2">
        <f>HYPERLINK("https://www.shelhealth.com/products/801541107612-organic-india-psyllium-organic-whole-husk-fiber-12-oz", "https://www.shelhealth.com/products/801541107612-organic-india-psyllium-organic-whole-husk-fiber-12-oz")</f>
        <v/>
      </c>
      <c r="C156" t="inlineStr">
        <is>
          <t>Organic India Psyllium Organic Whole Husk Fiber, 12 Oz</t>
        </is>
      </c>
      <c r="D156" t="inlineStr">
        <is>
          <t>Yerba Prima Organic Psyllium Whole Husks 12 oz - Natural Dietary Fiber Supplement, Non GMO, Gluten Free, Keto and Vegan Friendly for Regularity Support, Unflavored</t>
        </is>
      </c>
      <c r="E156" s="2">
        <f>HYPERLINK("https://www.amazon.com/Yerba-Prima-Organic-Psyllium-Supplement/dp/B01FJFZZWI/ref=sr_1_2?keywords=Organic+India+Psyllium+Organic+Whole+Husk+Fiber%2C+12+Oz&amp;qid=1695169843&amp;sr=8-2", "https://www.amazon.com/Yerba-Prima-Organic-Psyllium-Supplement/dp/B01FJFZZWI/ref=sr_1_2?keywords=Organic+India+Psyllium+Organic+Whole+Husk+Fiber%2C+12+Oz&amp;qid=1695169843&amp;sr=8-2")</f>
        <v/>
      </c>
      <c r="F156" t="inlineStr">
        <is>
          <t>B01FJFZZWI</t>
        </is>
      </c>
      <c r="G156">
        <f>_xludf.IMAGE("https://www.shelhealth.com/cdn/shop/files/organic-india-psyllium-whole-husk-fiber-12-oz-vitamins-supplements-shelhealth-515.jpg?v=1693360502&amp;width=1946")</f>
        <v/>
      </c>
      <c r="H156">
        <f>_xludf.IMAGE("https://m.media-amazon.com/images/I/61dYkV6sJmL._AC_UL320_.jpg")</f>
        <v/>
      </c>
      <c r="K156" t="inlineStr">
        <is>
          <t>20.99</t>
        </is>
      </c>
      <c r="L156" t="n">
        <v>19.94</v>
      </c>
      <c r="M156" s="1" t="inlineStr">
        <is>
          <t>-5.00%</t>
        </is>
      </c>
      <c r="N156" s="3" t="n">
        <v>-5</v>
      </c>
      <c r="O156" t="n">
        <v>4.7</v>
      </c>
      <c r="P156" t="n">
        <v>458</v>
      </c>
      <c r="R156" t="inlineStr">
        <is>
          <t>OutOfStock</t>
        </is>
      </c>
      <c r="S156" t="inlineStr">
        <is>
          <t>20.99</t>
        </is>
      </c>
      <c r="T156" t="inlineStr">
        <is>
          <t>7241906356412</t>
        </is>
      </c>
    </row>
    <row r="157" hidden="1" ht="15.75" customHeight="1">
      <c r="A157" s="2">
        <f>HYPERLINK("https://www.shelhealth.com/products/801541107612-organic-india-psyllium-organic-whole-husk-fiber-12-oz", "https://www.shelhealth.com/products/801541107612-organic-india-psyllium-organic-whole-husk-fiber-12-oz")</f>
        <v/>
      </c>
      <c r="B157" s="2">
        <f>HYPERLINK("https://www.shelhealth.com/products/801541107612-organic-india-psyllium-organic-whole-husk-fiber-12-oz", "https://www.shelhealth.com/products/801541107612-organic-india-psyllium-organic-whole-husk-fiber-12-oz")</f>
        <v/>
      </c>
      <c r="C157" t="inlineStr">
        <is>
          <t>Organic India Psyllium Organic Whole Husk Fiber, 12 Oz</t>
        </is>
      </c>
      <c r="D157" t="inlineStr">
        <is>
          <t>Organic India Psyllium Herbal Powder - Whole Husk Fiber, Healthy Elimination, Keto Friendly, Vegan, Gluten-Free, USDA Certified Organic, Non-GMO, Soluble &amp; Insoluble Fiber Source - 12 Oz Canister (Pack of 1)</t>
        </is>
      </c>
      <c r="E157" s="2">
        <f>HYPERLINK("https://www.amazon.com/Organic-India-Psyllium-Herbal-Powder/dp/B0016AXN7A/ref=sr_1_1?keywords=Organic+India+Psyllium+Organic+Whole+Husk+Fiber%2C+12+Oz&amp;qid=1695169843&amp;sr=8-1", "https://www.amazon.com/Organic-India-Psyllium-Herbal-Powder/dp/B0016AXN7A/ref=sr_1_1?keywords=Organic+India+Psyllium+Organic+Whole+Husk+Fiber%2C+12+Oz&amp;qid=1695169843&amp;sr=8-1")</f>
        <v/>
      </c>
      <c r="F157" t="inlineStr">
        <is>
          <t>B0016AXN7A</t>
        </is>
      </c>
      <c r="G157">
        <f>_xludf.IMAGE("https://www.shelhealth.com/cdn/shop/files/organic-india-psyllium-whole-husk-fiber-12-oz-vitamins-supplements-shelhealth-515.jpg?v=1693360502&amp;width=1946")</f>
        <v/>
      </c>
      <c r="H157">
        <f>_xludf.IMAGE("https://m.media-amazon.com/images/I/510FwbHG69L._AC_UL320_.jpg")</f>
        <v/>
      </c>
      <c r="K157" t="inlineStr">
        <is>
          <t>20.99</t>
        </is>
      </c>
      <c r="L157" t="n">
        <v>19.78</v>
      </c>
      <c r="M157" s="1" t="inlineStr">
        <is>
          <t>-5.76%</t>
        </is>
      </c>
      <c r="N157" s="3" t="n">
        <v>-5.76</v>
      </c>
      <c r="O157" t="n">
        <v>4.5</v>
      </c>
      <c r="P157" t="n">
        <v>4861</v>
      </c>
      <c r="R157" t="inlineStr">
        <is>
          <t>OutOfStock</t>
        </is>
      </c>
      <c r="S157" t="inlineStr">
        <is>
          <t>20.99</t>
        </is>
      </c>
      <c r="T157" t="inlineStr">
        <is>
          <t>7241906356412</t>
        </is>
      </c>
    </row>
    <row r="158" hidden="1" ht="15.75" customHeight="1">
      <c r="A158" s="2">
        <f>HYPERLINK("https://www.shelhealth.com/products/850021635060-organic-india-organic-psyllium-fiber-180-vc", "https://www.shelhealth.com/products/850021635060-organic-india-organic-psyllium-fiber-180-vc")</f>
        <v/>
      </c>
      <c r="B158" s="2">
        <f>HYPERLINK("https://www.shelhealth.com/products/850021635060-organic-india-organic-psyllium-fiber-180-vc", "https://www.shelhealth.com/products/850021635060-organic-india-organic-psyllium-fiber-180-vc")</f>
        <v/>
      </c>
      <c r="C158" t="inlineStr">
        <is>
          <t>ORGANIC INDIA Organic Psyllium Fiber, 180 vc</t>
        </is>
      </c>
      <c r="D158" t="inlineStr">
        <is>
          <t>ORGANIC INDIA Psyllium Herbal Powder - Whole Husk Fiber, Healthy Elimination, Keto Friendly, Vegan, Gluten-Free, USDA Certified Organic, Non-GMO, Soluble &amp; Insoluble Fiber Source - 180 Capsules</t>
        </is>
      </c>
      <c r="E158" s="2">
        <f>HYPERLINK("https://www.amazon.com/Organic-India-Psyllium-Herbal-Powder/dp/B09D5JNH87/ref=sr_1_1?keywords=ORGANIC+INDIA+Organic+Psyllium+Fiber%2C+180+vc&amp;qid=1695169846&amp;sr=8-1", "https://www.amazon.com/Organic-India-Psyllium-Herbal-Powder/dp/B09D5JNH87/ref=sr_1_1?keywords=ORGANIC+INDIA+Organic+Psyllium+Fiber%2C+180+vc&amp;qid=1695169846&amp;sr=8-1")</f>
        <v/>
      </c>
      <c r="F158" t="inlineStr">
        <is>
          <t>B09D5JNH87</t>
        </is>
      </c>
      <c r="G158">
        <f>_xludf.IMAGE("https://www.shelhealth.com/cdn/shop/files/organic-india-psyllium-fiber-180-vc-vitamins-supplements-shelhealth-258.jpg?v=1688713495&amp;width=1946")</f>
        <v/>
      </c>
      <c r="H158">
        <f>_xludf.IMAGE("https://m.media-amazon.com/images/I/61mhvagIsXL._AC_UL320_.jpg")</f>
        <v/>
      </c>
      <c r="K158" t="inlineStr">
        <is>
          <t>16.99</t>
        </is>
      </c>
      <c r="L158" t="n">
        <v>15.99</v>
      </c>
      <c r="M158" s="1" t="inlineStr">
        <is>
          <t>-5.89%</t>
        </is>
      </c>
      <c r="N158" s="3" t="n">
        <v>-5.89</v>
      </c>
      <c r="O158" t="n">
        <v>4.3</v>
      </c>
      <c r="P158" t="n">
        <v>387</v>
      </c>
      <c r="R158" t="inlineStr">
        <is>
          <t>InStock</t>
        </is>
      </c>
      <c r="S158" t="inlineStr">
        <is>
          <t>16.99</t>
        </is>
      </c>
      <c r="T158" t="inlineStr">
        <is>
          <t>7574241837288</t>
        </is>
      </c>
    </row>
    <row r="159" hidden="1" ht="15.75" customHeight="1">
      <c r="A159" s="2">
        <f>HYPERLINK("https://www.shelhealth.com/products/76630300568-american-health-probiotic-chew-grape-30-tb", "https://www.shelhealth.com/products/76630300568-american-health-probiotic-chew-grape-30-tb")</f>
        <v/>
      </c>
      <c r="B159" s="2">
        <f>HYPERLINK("https://www.shelhealth.com/products/76630300568-american-health-probiotic-chew-grape-30-tb", "https://www.shelhealth.com/products/76630300568-american-health-probiotic-chew-grape-30-tb")</f>
        <v/>
      </c>
      <c r="C159" t="inlineStr">
        <is>
          <t>American Health Probiotic Chew Grape, 30 Tb</t>
        </is>
      </c>
      <c r="D159" t="inlineStr">
        <is>
          <t>AMERICAN HEALTH Probiotic Kid Chewables, 30 Count</t>
        </is>
      </c>
      <c r="E159" s="2">
        <f>HYPERLINK("https://www.amazon.com/AMERICAN-HEALTH-Probiotic-Chewables-Count/dp/B08LZX1LVF/ref=sr_1_2?keywords=American+Health+Probiotic+Chew+Grape%2C+30+Tb&amp;qid=1695169835&amp;sr=8-2", "https://www.amazon.com/AMERICAN-HEALTH-Probiotic-Chewables-Count/dp/B08LZX1LVF/ref=sr_1_2?keywords=American+Health+Probiotic+Chew+Grape%2C+30+Tb&amp;qid=1695169835&amp;sr=8-2")</f>
        <v/>
      </c>
      <c r="F159" t="inlineStr">
        <is>
          <t>B08LZX1LVF</t>
        </is>
      </c>
      <c r="G159">
        <f>_xludf.IMAGE("https://www.shelhealth.com/cdn/shop/files/american-health-probiotic-chew-grape-30-tb-vitamins-supplements-shelhealth-169.jpg?v=1693335575&amp;width=1946")</f>
        <v/>
      </c>
      <c r="H159">
        <f>_xludf.IMAGE("https://m.media-amazon.com/images/I/71ycwWp-qtL._AC_UL320_.jpg")</f>
        <v/>
      </c>
      <c r="K159" t="inlineStr">
        <is>
          <t>14.99</t>
        </is>
      </c>
      <c r="L159" t="n">
        <v>13.98</v>
      </c>
      <c r="M159" s="1" t="inlineStr">
        <is>
          <t>-6.74%</t>
        </is>
      </c>
      <c r="N159" s="3" t="n">
        <v>-6.74</v>
      </c>
      <c r="O159" t="n">
        <v>3.9</v>
      </c>
      <c r="P159" t="n">
        <v>20</v>
      </c>
      <c r="R159" t="inlineStr">
        <is>
          <t>OutOfStock</t>
        </is>
      </c>
      <c r="S159" t="inlineStr">
        <is>
          <t>14.99</t>
        </is>
      </c>
      <c r="T159" t="inlineStr">
        <is>
          <t>7241441509564</t>
        </is>
      </c>
    </row>
    <row r="160" hidden="1" ht="15.75" customHeight="1">
      <c r="A160" s="2">
        <f>HYPERLINK("https://www.shelhealth.com/products/76630303019-american-health-probiotic-kid-grape-chew-30-ea", "https://www.shelhealth.com/products/76630303019-american-health-probiotic-kid-grape-chew-30-ea")</f>
        <v/>
      </c>
      <c r="B160" s="2">
        <f>HYPERLINK("https://www.shelhealth.com/products/76630303019-american-health-probiotic-kid-grape-chew-30-ea", "https://www.shelhealth.com/products/76630303019-american-health-probiotic-kid-grape-chew-30-ea")</f>
        <v/>
      </c>
      <c r="C160" t="inlineStr">
        <is>
          <t>American Health Probiotic Kid Grape Chew, 30 Ea</t>
        </is>
      </c>
      <c r="D160" t="inlineStr">
        <is>
          <t>AMERICAN HEALTH Probiotic Kid Chewables, 30 Count</t>
        </is>
      </c>
      <c r="E160" s="2">
        <f>HYPERLINK("https://www.amazon.com/American-Health-Probiotic-KidChewables-Natural/dp/B08LZVJVJ2/ref=sr_1_1?keywords=American+Health+Probiotic+Kid+Grape+Chew%2C+30+Ea&amp;qid=1695169842&amp;sr=8-1", "https://www.amazon.com/American-Health-Probiotic-KidChewables-Natural/dp/B08LZVJVJ2/ref=sr_1_1?keywords=American+Health+Probiotic+Kid+Grape+Chew%2C+30+Ea&amp;qid=1695169842&amp;sr=8-1")</f>
        <v/>
      </c>
      <c r="F160" t="inlineStr">
        <is>
          <t>B08LZVJVJ2</t>
        </is>
      </c>
      <c r="G160">
        <f>_xludf.IMAGE("https://www.shelhealth.com/cdn/shop/files/american-health-probiotic-kid-grape-chew-30-ea-vitamins-supplements-shelhealth-328.jpg?v=1693335543&amp;width=1946")</f>
        <v/>
      </c>
      <c r="H160">
        <f>_xludf.IMAGE("https://m.media-amazon.com/images/I/71GC3mC8GLL._AC_UL320_.jpg")</f>
        <v/>
      </c>
      <c r="K160" t="inlineStr">
        <is>
          <t>16.99</t>
        </is>
      </c>
      <c r="L160" t="n">
        <v>15.8</v>
      </c>
      <c r="M160" s="1" t="inlineStr">
        <is>
          <t>-7.00%</t>
        </is>
      </c>
      <c r="N160" s="3" t="n">
        <v>-7</v>
      </c>
      <c r="O160" t="n">
        <v>4.7</v>
      </c>
      <c r="P160" t="n">
        <v>20</v>
      </c>
      <c r="R160" t="inlineStr">
        <is>
          <t>OutOfStock</t>
        </is>
      </c>
      <c r="S160" t="inlineStr">
        <is>
          <t>16.99</t>
        </is>
      </c>
      <c r="T160" t="inlineStr">
        <is>
          <t>7241442263228</t>
        </is>
      </c>
    </row>
    <row r="161" hidden="1" ht="15.75" customHeight="1">
      <c r="A161" s="2">
        <f>HYPERLINK("https://www.shelhealth.com/products/76630300551-american-health-probiotic-chew-strawberr-30-tb", "https://www.shelhealth.com/products/76630300551-american-health-probiotic-chew-strawberr-30-tb")</f>
        <v/>
      </c>
      <c r="B161" s="2">
        <f>HYPERLINK("https://www.shelhealth.com/products/76630300551-american-health-probiotic-chew-strawberr-30-tb", "https://www.shelhealth.com/products/76630300551-american-health-probiotic-chew-strawberr-30-tb")</f>
        <v/>
      </c>
      <c r="C161" t="inlineStr">
        <is>
          <t>American Health Probiotic Chew Strawberr, 30 Tb</t>
        </is>
      </c>
      <c r="D161" t="inlineStr">
        <is>
          <t>AMERICAN HEALTH Probiotic Kid Chewables, 30 Count</t>
        </is>
      </c>
      <c r="E161" s="2">
        <f>HYPERLINK("https://www.amazon.com/AMERICAN-HEALTH-Probiotic-Chewables-Count/dp/B08LZX1LVF/ref=sr_1_2?keywords=American+Health+Probiotic+Chew+Strawberr%2C+30+Tb&amp;qid=1695169842&amp;sr=8-2", "https://www.amazon.com/AMERICAN-HEALTH-Probiotic-Chewables-Count/dp/B08LZX1LVF/ref=sr_1_2?keywords=American+Health+Probiotic+Chew+Strawberr%2C+30+Tb&amp;qid=1695169842&amp;sr=8-2")</f>
        <v/>
      </c>
      <c r="F161" t="inlineStr">
        <is>
          <t>B08LZX1LVF</t>
        </is>
      </c>
      <c r="G161">
        <f>_xludf.IMAGE("https://www.shelhealth.com/cdn/shop/files/american-health-probiotic-chew-strawberr-30-tb-vitamins-supplements-shelhealth-542.jpg?v=1686192502&amp;width=1946")</f>
        <v/>
      </c>
      <c r="H161">
        <f>_xludf.IMAGE("https://m.media-amazon.com/images/I/71ycwWp-qtL._AC_UL320_.jpg")</f>
        <v/>
      </c>
      <c r="K161" t="inlineStr">
        <is>
          <t>14.99</t>
        </is>
      </c>
      <c r="L161" t="n">
        <v>13.93</v>
      </c>
      <c r="M161" s="1" t="inlineStr">
        <is>
          <t>-7.07%</t>
        </is>
      </c>
      <c r="N161" s="3" t="n">
        <v>-7.07</v>
      </c>
      <c r="O161" t="n">
        <v>3.9</v>
      </c>
      <c r="P161" t="n">
        <v>20</v>
      </c>
      <c r="R161" t="inlineStr">
        <is>
          <t>OutOfStock</t>
        </is>
      </c>
      <c r="S161" t="inlineStr">
        <is>
          <t>14.99</t>
        </is>
      </c>
      <c r="T161" t="inlineStr">
        <is>
          <t>7241441706172</t>
        </is>
      </c>
    </row>
    <row r="162" hidden="1" ht="15.75" customHeight="1">
      <c r="A162" s="2">
        <f>HYPERLINK("https://www.shelhealth.com/products/berkley-jensen-dairy-digestive-supplement-180-ct", "https://www.shelhealth.com/products/berkley-jensen-dairy-digestive-supplement-180-ct")</f>
        <v/>
      </c>
      <c r="B162" s="2">
        <f>HYPERLINK("https://www.shelhealth.com/products/berkley-jensen-dairy-digestive-supplement-180-ct", "https://www.shelhealth.com/products/berkley-jensen-dairy-digestive-supplement-180-ct")</f>
        <v/>
      </c>
      <c r="C162" t="inlineStr">
        <is>
          <t>Berkley Jensen Dairy Digestive Supplement, 180 ct.</t>
        </is>
      </c>
      <c r="D162" t="inlineStr">
        <is>
          <t>Berkley Jensen Dairy Digestive Supplement, 180 ct.</t>
        </is>
      </c>
      <c r="E162" s="2">
        <f>HYPERLINK("https://www.amazon.com/Berkley-Jensen-Dairy-Digestive-Supplement/dp/B07FZB1CF8/ref=sr_1_1?keywords=Berkley+Jensen+Dairy+Digestive+Supplement%2C+180+ct.&amp;qid=1695169843&amp;sr=8-1", "https://www.amazon.com/Berkley-Jensen-Dairy-Digestive-Supplement/dp/B07FZB1CF8/ref=sr_1_1?keywords=Berkley+Jensen+Dairy+Digestive+Supplement%2C+180+ct.&amp;qid=1695169843&amp;sr=8-1")</f>
        <v/>
      </c>
      <c r="F162" t="inlineStr">
        <is>
          <t>B07FZB1CF8</t>
        </is>
      </c>
      <c r="G162">
        <f>_xludf.IMAGE("https://www.shelhealth.com/cdn/shop/files/berkley-jensen-dairy-digestive-supplement-180-ct-health-beautyvitamins-supplements-shelhealth-549.jpg?v=1686282576&amp;width=1946")</f>
        <v/>
      </c>
      <c r="H162">
        <f>_xludf.IMAGE("https://m.media-amazon.com/images/I/817T2ivP8YL._AC_UL320_.jpg")</f>
        <v/>
      </c>
      <c r="K162" t="inlineStr">
        <is>
          <t>25.99</t>
        </is>
      </c>
      <c r="L162" t="n">
        <v>22.95</v>
      </c>
      <c r="M162" s="1" t="inlineStr">
        <is>
          <t>-11.70%</t>
        </is>
      </c>
      <c r="N162" s="3" t="n">
        <v>-11.7</v>
      </c>
      <c r="O162" t="n">
        <v>5</v>
      </c>
      <c r="P162" t="n">
        <v>12</v>
      </c>
      <c r="R162" t="inlineStr">
        <is>
          <t>InStock</t>
        </is>
      </c>
      <c r="S162" t="inlineStr">
        <is>
          <t>25.99</t>
        </is>
      </c>
      <c r="T162" t="inlineStr">
        <is>
          <t>4158728568884</t>
        </is>
      </c>
    </row>
    <row r="163" hidden="1" ht="15.75" customHeight="1">
      <c r="A163" s="2">
        <f>HYPERLINK("https://www.shelhealth.com/products/berkley-jensen-dairy-digestive-supplement-180-ct-1", "https://www.shelhealth.com/products/berkley-jensen-dairy-digestive-supplement-180-ct-1")</f>
        <v/>
      </c>
      <c r="B163" s="2">
        <f>HYPERLINK("https://www.shelhealth.com/products/berkley-jensen-dairy-digestive-supplement-180-ct-1", "https://www.shelhealth.com/products/berkley-jensen-dairy-digestive-supplement-180-ct-1")</f>
        <v/>
      </c>
      <c r="C163" t="inlineStr">
        <is>
          <t>Berkley Jensen Dairy Digestive Supplement, 180 ct.</t>
        </is>
      </c>
      <c r="D163" t="inlineStr">
        <is>
          <t>Berkley Jensen Dairy Digestive Supplement, 180 ct.</t>
        </is>
      </c>
      <c r="E163" s="2">
        <f>HYPERLINK("https://www.amazon.com/Berkley-Jensen-Dairy-Digestive-Supplement/dp/B07FZB1CF8/ref=sr_1_1?keywords=Berkley+Jensen+Dairy+Digestive+Supplement%2C+180+ct.&amp;qid=1695169856&amp;sr=8-1", "https://www.amazon.com/Berkley-Jensen-Dairy-Digestive-Supplement/dp/B07FZB1CF8/ref=sr_1_1?keywords=Berkley+Jensen+Dairy+Digestive+Supplement%2C+180+ct.&amp;qid=1695169856&amp;sr=8-1")</f>
        <v/>
      </c>
      <c r="F163" t="inlineStr">
        <is>
          <t>B07FZB1CF8</t>
        </is>
      </c>
      <c r="G163">
        <f>_xludf.IMAGE("https://www.shelhealth.com/cdn/shop/products/berkley-jensen-dairy-digestive-supplement-180-ct-shelhealth-579.jpg?v=1663372545&amp;width=1946")</f>
        <v/>
      </c>
      <c r="H163">
        <f>_xludf.IMAGE("https://m.media-amazon.com/images/I/817T2ivP8YL._AC_UL320_.jpg")</f>
        <v/>
      </c>
      <c r="K163" t="inlineStr">
        <is>
          <t>25.99</t>
        </is>
      </c>
      <c r="L163" t="n">
        <v>22.95</v>
      </c>
      <c r="M163" s="1" t="inlineStr">
        <is>
          <t>-11.70%</t>
        </is>
      </c>
      <c r="N163" s="3" t="n">
        <v>-11.7</v>
      </c>
      <c r="O163" t="n">
        <v>5</v>
      </c>
      <c r="P163" t="n">
        <v>12</v>
      </c>
      <c r="R163" t="inlineStr">
        <is>
          <t>InStock</t>
        </is>
      </c>
      <c r="S163" t="inlineStr">
        <is>
          <t>25.99</t>
        </is>
      </c>
      <c r="T163" t="inlineStr">
        <is>
          <t>4692427014233</t>
        </is>
      </c>
    </row>
    <row r="164" hidden="1" ht="15.75" customHeight="1">
      <c r="A164" s="2">
        <f>HYPERLINK("https://www.shelhealth.com/products/811961022501-navitas-organic-superfood-greens-blend-6-3-oz", "https://www.shelhealth.com/products/811961022501-navitas-organic-superfood-greens-blend-6-3-oz")</f>
        <v/>
      </c>
      <c r="B164" s="2">
        <f>HYPERLINK("https://www.shelhealth.com/products/811961022501-navitas-organic-superfood-greens-blend-6-3-oz", "https://www.shelhealth.com/products/811961022501-navitas-organic-superfood-greens-blend-6-3-oz")</f>
        <v/>
      </c>
      <c r="C164" t="inlineStr">
        <is>
          <t>Navitas Organic Superfood Greens Blend, 6.3 Oz</t>
        </is>
      </c>
      <c r="D164" t="inlineStr">
        <is>
          <t>Navitas Organics Superfood+ Greens Blend for Detox Support (Moringa + Kale + Wheatgrass), 6.3oz Bag, 30 Servings — Organic, Non-GMO, Vegan, Gluten-Free, Keto &amp; Paleo.</t>
        </is>
      </c>
      <c r="E164" s="2">
        <f>HYPERLINK("https://www.amazon.com/Navitas-Organics-Superfood-Support-Wheatgrass/dp/B0823D6SNB/ref=sr_1_1?keywords=Navitas+Organic+Superfood+Greens+Blend%2C+6.3+Oz&amp;qid=1695169839&amp;sr=8-1", "https://www.amazon.com/Navitas-Organics-Superfood-Support-Wheatgrass/dp/B0823D6SNB/ref=sr_1_1?keywords=Navitas+Organic+Superfood+Greens+Blend%2C+6.3+Oz&amp;qid=1695169839&amp;sr=8-1")</f>
        <v/>
      </c>
      <c r="F164" t="inlineStr">
        <is>
          <t>B0823D6SNB</t>
        </is>
      </c>
      <c r="G164">
        <f>_xludf.IMAGE("https://www.shelhealth.com/cdn/shop/files/navitas-organic-superfood-greens-blend-6-3-oz-health-shelhealth-773.jpg?v=1686533122&amp;width=1946")</f>
        <v/>
      </c>
      <c r="H164">
        <f>_xludf.IMAGE("https://m.media-amazon.com/images/I/71yUldL+svL._AC_UL320_.jpg")</f>
        <v/>
      </c>
      <c r="K164" t="inlineStr">
        <is>
          <t>16.99</t>
        </is>
      </c>
      <c r="L164" t="n">
        <v>14.99</v>
      </c>
      <c r="M164" s="1" t="inlineStr">
        <is>
          <t>-11.77%</t>
        </is>
      </c>
      <c r="N164" s="3" t="n">
        <v>-11.77</v>
      </c>
      <c r="O164" t="n">
        <v>4.3</v>
      </c>
      <c r="P164" t="n">
        <v>1086</v>
      </c>
      <c r="R164" t="inlineStr">
        <is>
          <t>InStock</t>
        </is>
      </c>
      <c r="S164" t="inlineStr">
        <is>
          <t>16.99</t>
        </is>
      </c>
      <c r="T164" t="inlineStr">
        <is>
          <t>7241869459644</t>
        </is>
      </c>
    </row>
    <row r="165" hidden="1" ht="15.75" customHeight="1">
      <c r="A165" s="2">
        <f>HYPERLINK("https://www.shelhealth.com/products/811961022518-navitas-organic-superfood-berry-blend-5-3-oz", "https://www.shelhealth.com/products/811961022518-navitas-organic-superfood-berry-blend-5-3-oz")</f>
        <v/>
      </c>
      <c r="B165" s="2">
        <f>HYPERLINK("https://www.shelhealth.com/products/811961022518-navitas-organic-superfood-berry-blend-5-3-oz", "https://www.shelhealth.com/products/811961022518-navitas-organic-superfood-berry-blend-5-3-oz")</f>
        <v/>
      </c>
      <c r="C165" t="inlineStr">
        <is>
          <t>Navitas Organic Superfood Berry Blend, 5.3 Oz</t>
        </is>
      </c>
      <c r="D165" t="inlineStr">
        <is>
          <t>Navitas Organics, Superfood Power Snacks 12x1.05 oz. Packet Servings — Organic NonGMO GlutenFree Vegan, Blueberry Hemp, 12.6 Ounce</t>
        </is>
      </c>
      <c r="E165" s="2">
        <f>HYPERLINK("https://www.amazon.com/Navitas-Organics-Superfood-Blueberry-Servings/dp/B086RN7P2V/ref=sr_1_9?keywords=Navitas+Organic+Superfood+Berry+Blend%2C+5.3+Oz&amp;qid=1695169830&amp;sr=8-9", "https://www.amazon.com/Navitas-Organics-Superfood-Blueberry-Servings/dp/B086RN7P2V/ref=sr_1_9?keywords=Navitas+Organic+Superfood+Berry+Blend%2C+5.3+Oz&amp;qid=1695169830&amp;sr=8-9")</f>
        <v/>
      </c>
      <c r="F165" t="inlineStr">
        <is>
          <t>B086RN7P2V</t>
        </is>
      </c>
      <c r="G165">
        <f>_xludf.IMAGE("https://www.shelhealth.com/cdn/shop/files/navitas-organic-superfood-berry-blend-5-3-oz-health-shelhealth-188.jpg?v=1686533252&amp;width=1946")</f>
        <v/>
      </c>
      <c r="H165">
        <f>_xludf.IMAGE("https://m.media-amazon.com/images/I/71MGhZjo5VL._AC_UL320_.jpg")</f>
        <v/>
      </c>
      <c r="K165" t="inlineStr">
        <is>
          <t>16.99</t>
        </is>
      </c>
      <c r="L165" t="n">
        <v>14.99</v>
      </c>
      <c r="M165" s="1" t="inlineStr">
        <is>
          <t>-11.77%</t>
        </is>
      </c>
      <c r="N165" s="3" t="n">
        <v>-11.77</v>
      </c>
      <c r="O165" t="n">
        <v>4.4</v>
      </c>
      <c r="P165" t="n">
        <v>5996</v>
      </c>
      <c r="R165" t="inlineStr">
        <is>
          <t>InStock</t>
        </is>
      </c>
      <c r="S165" t="inlineStr">
        <is>
          <t>16.99</t>
        </is>
      </c>
      <c r="T165" t="inlineStr">
        <is>
          <t>7241869295804</t>
        </is>
      </c>
    </row>
    <row r="166" hidden="1" ht="15.75" customHeight="1">
      <c r="A166" s="2">
        <f>HYPERLINK("https://www.shelhealth.com/products/76630303019-american-health-probiotic-kid-grape-chew-30-ea", "https://www.shelhealth.com/products/76630303019-american-health-probiotic-kid-grape-chew-30-ea")</f>
        <v/>
      </c>
      <c r="B166" s="2">
        <f>HYPERLINK("https://www.shelhealth.com/products/76630303019-american-health-probiotic-kid-grape-chew-30-ea", "https://www.shelhealth.com/products/76630303019-american-health-probiotic-kid-grape-chew-30-ea")</f>
        <v/>
      </c>
      <c r="C166" t="inlineStr">
        <is>
          <t>American Health Probiotic Kid Grape Chew, 30 Ea</t>
        </is>
      </c>
      <c r="D166" t="inlineStr">
        <is>
          <t>AMERICAN HEALTH Probiotic Kid Chewables, 30 Count</t>
        </is>
      </c>
      <c r="E166" s="2">
        <f>HYPERLINK("https://www.amazon.com/AMERICAN-HEALTH-Probiotic-Chewables-Count/dp/B08LZX1LVF/ref=sr_1_2?keywords=American+Health+Probiotic+Kid+Grape+Chew%2C+30+Ea&amp;qid=1695169842&amp;sr=8-2", "https://www.amazon.com/AMERICAN-HEALTH-Probiotic-Chewables-Count/dp/B08LZX1LVF/ref=sr_1_2?keywords=American+Health+Probiotic+Kid+Grape+Chew%2C+30+Ea&amp;qid=1695169842&amp;sr=8-2")</f>
        <v/>
      </c>
      <c r="F166" t="inlineStr">
        <is>
          <t>B08LZX1LVF</t>
        </is>
      </c>
      <c r="G166">
        <f>_xludf.IMAGE("https://www.shelhealth.com/cdn/shop/files/american-health-probiotic-kid-grape-chew-30-ea-vitamins-supplements-shelhealth-328.jpg?v=1693335543&amp;width=1946")</f>
        <v/>
      </c>
      <c r="H166">
        <f>_xludf.IMAGE("https://m.media-amazon.com/images/I/71ycwWp-qtL._AC_UL320_.jpg")</f>
        <v/>
      </c>
      <c r="K166" t="inlineStr">
        <is>
          <t>16.99</t>
        </is>
      </c>
      <c r="L166" t="n">
        <v>13.98</v>
      </c>
      <c r="M166" s="1" t="inlineStr">
        <is>
          <t>-17.72%</t>
        </is>
      </c>
      <c r="N166" s="3" t="n">
        <v>-17.72</v>
      </c>
      <c r="O166" t="n">
        <v>3.9</v>
      </c>
      <c r="P166" t="n">
        <v>20</v>
      </c>
      <c r="R166" t="inlineStr">
        <is>
          <t>OutOfStock</t>
        </is>
      </c>
      <c r="S166" t="inlineStr">
        <is>
          <t>16.99</t>
        </is>
      </c>
      <c r="T166" t="inlineStr">
        <is>
          <t>7241442263228</t>
        </is>
      </c>
    </row>
    <row r="167" hidden="1" ht="15.75" customHeight="1">
      <c r="A167" s="2">
        <f>HYPERLINK("https://www.shelhealth.com/products/schiff-digestive-advantage-daily-probiotic-80-capsules", "https://www.shelhealth.com/products/schiff-digestive-advantage-daily-probiotic-80-capsules")</f>
        <v/>
      </c>
      <c r="B167" s="2">
        <f>HYPERLINK("https://www.shelhealth.com/products/schiff-digestive-advantage-daily-probiotic-80-capsules", "https://www.shelhealth.com/products/schiff-digestive-advantage-daily-probiotic-80-capsules")</f>
        <v/>
      </c>
      <c r="C167" t="inlineStr">
        <is>
          <t>Schiff Digestive Advantage Daily Probiotic, 80 Capsules</t>
        </is>
      </c>
      <c r="D167" t="inlineStr">
        <is>
          <t>Digestive Advantage Daily Probiotic, 30 Capsules (Pack of 2)</t>
        </is>
      </c>
      <c r="E167" s="2">
        <f>HYPERLINK("https://www.amazon.com/Digestive-Advantage-Daily-Probiotic-Capsules/dp/B000V5PJ1Y/ref=sr_1_2?keywords=Schiff+Digestive+Advantage+Daily+Probiotic%2C+80+Capsules&amp;qid=1695169826&amp;sr=8-2", "https://www.amazon.com/Digestive-Advantage-Daily-Probiotic-Capsules/dp/B000V5PJ1Y/ref=sr_1_2?keywords=Schiff+Digestive+Advantage+Daily+Probiotic%2C+80+Capsules&amp;qid=1695169826&amp;sr=8-2")</f>
        <v/>
      </c>
      <c r="F167" t="inlineStr">
        <is>
          <t>B000V5PJ1Y</t>
        </is>
      </c>
      <c r="G167">
        <f>_xludf.IMAGE("https://www.shelhealth.com/cdn/shop/products/schiff-digestive-advantage-daily-probiotic-80-capsules-shelhealth-489.jpg?v=1663353757&amp;width=1946")</f>
        <v/>
      </c>
      <c r="H167">
        <f>_xludf.IMAGE("https://m.media-amazon.com/images/I/71hYFk1uViL._AC_UL320_.jpg")</f>
        <v/>
      </c>
      <c r="K167" t="inlineStr">
        <is>
          <t>30.99</t>
        </is>
      </c>
      <c r="L167" t="n">
        <v>24.99</v>
      </c>
      <c r="M167" s="1" t="inlineStr">
        <is>
          <t>-19.36%</t>
        </is>
      </c>
      <c r="N167" s="3" t="n">
        <v>-19.36</v>
      </c>
      <c r="O167" t="n">
        <v>4</v>
      </c>
      <c r="P167" t="n">
        <v>25</v>
      </c>
      <c r="R167" t="inlineStr">
        <is>
          <t>InStock</t>
        </is>
      </c>
      <c r="S167" t="inlineStr">
        <is>
          <t>30.99</t>
        </is>
      </c>
      <c r="T167" t="inlineStr">
        <is>
          <t>4163674669108</t>
        </is>
      </c>
    </row>
    <row r="168" hidden="1" ht="15.75" customHeight="1">
      <c r="A168" s="2">
        <f>HYPERLINK("https://www.shelhealth.com/products/657520094011-health-logics-black-cumin-seed-oil-100-softgels", "https://www.shelhealth.com/products/657520094011-health-logics-black-cumin-seed-oil-100-softgels")</f>
        <v/>
      </c>
      <c r="B168" s="2">
        <f>HYPERLINK("https://www.shelhealth.com/products/657520094011-health-logics-black-cumin-seed-oil-100-softgels", "https://www.shelhealth.com/products/657520094011-health-logics-black-cumin-seed-oil-100-softgels")</f>
        <v/>
      </c>
      <c r="C168" t="inlineStr">
        <is>
          <t>Health Logics Black Cumin Seed Oil, 100 Softgels</t>
        </is>
      </c>
      <c r="D168" t="inlineStr">
        <is>
          <t>Health Logics Black Seed Oil, Cold Pressed, Rich Source of Omega 6 &amp; 9 Essential Fatty Acids, from Nigella Sativa (100 Soft Gel Capsules)</t>
        </is>
      </c>
      <c r="E168" s="2">
        <f>HYPERLINK("https://www.amazon.com/Health-Logics-Pressed-Essential-Softgels/dp/B00IPMSQEW/ref=sr_1_2?keywords=Health+Logics+Black+Cumin+Seed+Oil%2C+100+Softgels&amp;qid=1695169825&amp;sr=8-2", "https://www.amazon.com/Health-Logics-Pressed-Essential-Softgels/dp/B00IPMSQEW/ref=sr_1_2?keywords=Health+Logics+Black+Cumin+Seed+Oil%2C+100+Softgels&amp;qid=1695169825&amp;sr=8-2")</f>
        <v/>
      </c>
      <c r="F168" t="inlineStr">
        <is>
          <t>B00IPMSQEW</t>
        </is>
      </c>
      <c r="G168">
        <f>_xludf.IMAGE("https://www.shelhealth.com/cdn/shop/files/health-logics-black-cumin-seed-oil-100-softgels-vitamins-supplements-shelhealth-570.jpg?v=1686527917&amp;width=1946")</f>
        <v/>
      </c>
      <c r="H168">
        <f>_xludf.IMAGE("https://m.media-amazon.com/images/I/71yx7CWzewL._AC_UL320_.jpg")</f>
        <v/>
      </c>
      <c r="K168" t="inlineStr">
        <is>
          <t>18.99</t>
        </is>
      </c>
      <c r="L168" t="n">
        <v>15.25</v>
      </c>
      <c r="M168" s="1" t="inlineStr">
        <is>
          <t>-19.69%</t>
        </is>
      </c>
      <c r="N168" s="3" t="n">
        <v>-19.69</v>
      </c>
      <c r="O168" t="n">
        <v>4.5</v>
      </c>
      <c r="P168" t="n">
        <v>1593</v>
      </c>
      <c r="R168" t="inlineStr">
        <is>
          <t>InStock</t>
        </is>
      </c>
      <c r="S168" t="inlineStr">
        <is>
          <t>18.99</t>
        </is>
      </c>
      <c r="T168" t="inlineStr">
        <is>
          <t>7241690808508</t>
        </is>
      </c>
    </row>
    <row r="169" hidden="1" ht="15.75" customHeight="1">
      <c r="A169" s="2">
        <f>HYPERLINK("https://www.shelhealth.com/products/015794034926-country-life-activated-charcoal-260-mg-100-vc", "https://www.shelhealth.com/products/015794034926-country-life-activated-charcoal-260-mg-100-vc")</f>
        <v/>
      </c>
      <c r="B169" s="2">
        <f>HYPERLINK("https://www.shelhealth.com/products/015794034926-country-life-activated-charcoal-260-mg-100-vc", "https://www.shelhealth.com/products/015794034926-country-life-activated-charcoal-260-mg-100-vc")</f>
        <v/>
      </c>
      <c r="C169" t="inlineStr">
        <is>
          <t>COUNTRY LIFE Activated Charcoal 260 Mg, 100 vc</t>
        </is>
      </c>
      <c r="D169" t="inlineStr">
        <is>
          <t>Nature's Bounty Activated Charcoal 260 mg, 100 Capsules, Dietary Supplement to Support a Healthy Lifestyle</t>
        </is>
      </c>
      <c r="E169" s="2">
        <f>HYPERLINK("https://www.amazon.com/Natures-Bounty-Activated-Supplement-Lifestyle/dp/B07BHTVTJZ/ref=sr_1_3?keywords=COUNTRY+LIFE+Activated+Charcoal+260+Mg%2C+100+vc&amp;qid=1695169855&amp;rdc=1&amp;sr=8-3", "https://www.amazon.com/Natures-Bounty-Activated-Supplement-Lifestyle/dp/B07BHTVTJZ/ref=sr_1_3?keywords=COUNTRY+LIFE+Activated+Charcoal+260+Mg%2C+100+vc&amp;qid=1695169855&amp;rdc=1&amp;sr=8-3")</f>
        <v/>
      </c>
      <c r="F169" t="inlineStr">
        <is>
          <t>B07BHTVTJZ</t>
        </is>
      </c>
      <c r="G169">
        <f>_xludf.IMAGE("https://www.shelhealth.com/cdn/shop/files/country-life-activated-charcoal-260-mg-100-vc-vitamins-supplements-shelhealth-403.jpg?v=1693228091&amp;width=1946")</f>
        <v/>
      </c>
      <c r="H169">
        <f>_xludf.IMAGE("https://m.media-amazon.com/images/I/717YkWgKzWL._AC_UL320_.jpg")</f>
        <v/>
      </c>
      <c r="K169" t="inlineStr">
        <is>
          <t>13.99</t>
        </is>
      </c>
      <c r="L169" t="n">
        <v>11.09</v>
      </c>
      <c r="M169" s="1" t="inlineStr">
        <is>
          <t>-20.73%</t>
        </is>
      </c>
      <c r="N169" s="3" t="n">
        <v>-20.73</v>
      </c>
      <c r="O169" t="n">
        <v>4.7</v>
      </c>
      <c r="P169" t="n">
        <v>6570</v>
      </c>
      <c r="R169" t="inlineStr">
        <is>
          <t>OutOfStock</t>
        </is>
      </c>
      <c r="S169" t="inlineStr">
        <is>
          <t>13.99</t>
        </is>
      </c>
      <c r="T169" t="inlineStr">
        <is>
          <t>7574024290536</t>
        </is>
      </c>
    </row>
    <row r="170" hidden="1" ht="15.75" customHeight="1">
      <c r="A170" s="2">
        <f>HYPERLINK("https://www.shelhealth.com/products/schiff-digestive-advantage-daily-probiotic-80-capsules", "https://www.shelhealth.com/products/schiff-digestive-advantage-daily-probiotic-80-capsules")</f>
        <v/>
      </c>
      <c r="B170" s="2">
        <f>HYPERLINK("https://www.shelhealth.com/products/schiff-digestive-advantage-daily-probiotic-80-capsules", "https://www.shelhealth.com/products/schiff-digestive-advantage-daily-probiotic-80-capsules")</f>
        <v/>
      </c>
      <c r="C170" t="inlineStr">
        <is>
          <t>Schiff Digestive Advantage Daily Probiotic, 80 Capsules</t>
        </is>
      </c>
      <c r="D170" t="inlineStr">
        <is>
          <t>Digestive Advantage Probiotics For Digestive Health, Daily Probiotics For Women &amp; Men, Support For Occasional Bloating, Minor Abdominal Discomfort &amp; Gut Health, 80ct Capsules</t>
        </is>
      </c>
      <c r="E170" s="2">
        <f>HYPERLINK("https://www.amazon.com/Digestive-Advantage-Daily-Probiotic-Capsules/dp/B01ND16K2I/ref=sr_1_1?keywords=Schiff+Digestive+Advantage+Daily+Probiotic%2C+80+Capsules&amp;qid=1695169826&amp;sr=8-1", "https://www.amazon.com/Digestive-Advantage-Daily-Probiotic-Capsules/dp/B01ND16K2I/ref=sr_1_1?keywords=Schiff+Digestive+Advantage+Daily+Probiotic%2C+80+Capsules&amp;qid=1695169826&amp;sr=8-1")</f>
        <v/>
      </c>
      <c r="F170" t="inlineStr">
        <is>
          <t>B01ND16K2I</t>
        </is>
      </c>
      <c r="G170">
        <f>_xludf.IMAGE("https://www.shelhealth.com/cdn/shop/products/schiff-digestive-advantage-daily-probiotic-80-capsules-shelhealth-489.jpg?v=1663353757&amp;width=1946")</f>
        <v/>
      </c>
      <c r="H170">
        <f>_xludf.IMAGE("https://m.media-amazon.com/images/I/81yyn3eL6+L._AC_UL320_.jpg")</f>
        <v/>
      </c>
      <c r="K170" t="inlineStr">
        <is>
          <t>30.99</t>
        </is>
      </c>
      <c r="L170" t="n">
        <v>24</v>
      </c>
      <c r="M170" s="1" t="inlineStr">
        <is>
          <t>-22.56%</t>
        </is>
      </c>
      <c r="N170" s="3" t="n">
        <v>-22.56</v>
      </c>
      <c r="O170" t="n">
        <v>4.7</v>
      </c>
      <c r="P170" t="n">
        <v>5853</v>
      </c>
      <c r="R170" t="inlineStr">
        <is>
          <t>InStock</t>
        </is>
      </c>
      <c r="S170" t="inlineStr">
        <is>
          <t>30.99</t>
        </is>
      </c>
      <c r="T170" t="inlineStr">
        <is>
          <t>4163674669108</t>
        </is>
      </c>
    </row>
    <row r="171" hidden="1" ht="15.75" customHeight="1">
      <c r="A171" s="2">
        <f>HYPERLINK("https://www.shelhealth.com/products/76630300841-american-health-probiotic-enzyme-complex-30-cp", "https://www.shelhealth.com/products/76630300841-american-health-probiotic-enzyme-complex-30-cp")</f>
        <v/>
      </c>
      <c r="B171" s="2">
        <f>HYPERLINK("https://www.shelhealth.com/products/76630300841-american-health-probiotic-enzyme-complex-30-cp", "https://www.shelhealth.com/products/76630300841-american-health-probiotic-enzyme-complex-30-cp")</f>
        <v/>
      </c>
      <c r="C171" t="inlineStr">
        <is>
          <t>American Health Probiotic Enzyme Complex, 30 Cp</t>
        </is>
      </c>
      <c r="D171" t="inlineStr">
        <is>
          <t>AMERICAN HEALTH Enzyme Probiotic Complex Plus, 20 Billion Microorganisms - Clinically Studied Strain - Advanced Support for Gas &amp; Bloating* - Non-GMO - 30 Capsules, 30 Total Servings</t>
        </is>
      </c>
      <c r="E171" s="2">
        <f>HYPERLINK("https://www.amazon.com/American-Health-Probiotic-Complex-Microorganisms/dp/B097F3WT7X/ref=sr_1_1?keywords=American+Health+Probiotic+Enzyme+Complex%2C+30+Cp&amp;qid=1695169834&amp;sr=8-1", "https://www.amazon.com/American-Health-Probiotic-Complex-Microorganisms/dp/B097F3WT7X/ref=sr_1_1?keywords=American+Health+Probiotic+Enzyme+Complex%2C+30+Cp&amp;qid=1695169834&amp;sr=8-1")</f>
        <v/>
      </c>
      <c r="F171" t="inlineStr">
        <is>
          <t>B097F3WT7X</t>
        </is>
      </c>
      <c r="G171">
        <f>_xludf.IMAGE("https://www.shelhealth.com/cdn/shop/files/american-health-probiotic-enzyme-complex-30-cp-vitamins-supplements-shelhealth-410.jpg?v=1686192409&amp;width=1946")</f>
        <v/>
      </c>
      <c r="H171">
        <f>_xludf.IMAGE("https://m.media-amazon.com/images/I/816fCGDUhjL._AC_UL320_.jpg")</f>
        <v/>
      </c>
      <c r="K171" t="inlineStr">
        <is>
          <t>28.99</t>
        </is>
      </c>
      <c r="L171" t="n">
        <v>22.39</v>
      </c>
      <c r="M171" s="1" t="inlineStr">
        <is>
          <t>-22.77%</t>
        </is>
      </c>
      <c r="N171" s="3" t="n">
        <v>-22.77</v>
      </c>
      <c r="O171" t="n">
        <v>4</v>
      </c>
      <c r="P171" t="n">
        <v>33</v>
      </c>
      <c r="R171" t="inlineStr">
        <is>
          <t>OutOfStock</t>
        </is>
      </c>
      <c r="S171" t="inlineStr">
        <is>
          <t>28.99</t>
        </is>
      </c>
      <c r="T171" t="inlineStr">
        <is>
          <t>7241442001084</t>
        </is>
      </c>
    </row>
    <row r="172" hidden="1" ht="15.75" customHeight="1">
      <c r="A172" s="2">
        <f>HYPERLINK("https://www.shelhealth.com/products/76630300858-american-health-enzyme-probiotic-complex-60-cp", "https://www.shelhealth.com/products/76630300858-american-health-enzyme-probiotic-complex-60-cp")</f>
        <v/>
      </c>
      <c r="B172" s="2">
        <f>HYPERLINK("https://www.shelhealth.com/products/76630300858-american-health-enzyme-probiotic-complex-60-cp", "https://www.shelhealth.com/products/76630300858-american-health-enzyme-probiotic-complex-60-cp")</f>
        <v/>
      </c>
      <c r="C172" t="inlineStr">
        <is>
          <t>American Health Enzyme Probiotic Complex, 60 Cp</t>
        </is>
      </c>
      <c r="D172" t="inlineStr">
        <is>
          <t>AMERICAN HEALTH Enzyme Probiotic Complex Plus, 20 Billion Microorganisms - Clinically Studied Strain - Advanced Support for Gas &amp; Bloating* - Non-GMO - 60 Capsules, 60 Total Servings</t>
        </is>
      </c>
      <c r="E172" s="2">
        <f>HYPERLINK("https://www.amazon.com/American-Health-Probiotic-Complex-Microorganisms/dp/B097F4WKLB/ref=sr_1_fkmr0_1?keywords=American+Health+Enzyme+Probiotic+Complex%2C+60+Cp&amp;qid=1695169834&amp;sr=8-1-fkmr0", "https://www.amazon.com/American-Health-Probiotic-Complex-Microorganisms/dp/B097F4WKLB/ref=sr_1_fkmr0_1?keywords=American+Health+Enzyme+Probiotic+Complex%2C+60+Cp&amp;qid=1695169834&amp;sr=8-1-fkmr0")</f>
        <v/>
      </c>
      <c r="F172" t="inlineStr">
        <is>
          <t>B097F4WKLB</t>
        </is>
      </c>
      <c r="G172">
        <f>_xludf.IMAGE("https://www.shelhealth.com/cdn/shop/files/american-health-enzyme-probiotic-complex-60-cp-vitamins-supplements-shelhealth-269.jpg?v=1686192045&amp;width=1946")</f>
        <v/>
      </c>
      <c r="H172">
        <f>_xludf.IMAGE("https://m.media-amazon.com/images/I/81QVmMtzrWS._AC_UL320_.jpg")</f>
        <v/>
      </c>
      <c r="K172" t="inlineStr">
        <is>
          <t>55.99</t>
        </is>
      </c>
      <c r="L172" t="n">
        <v>42.67</v>
      </c>
      <c r="M172" s="1" t="inlineStr">
        <is>
          <t>-23.79%</t>
        </is>
      </c>
      <c r="N172" s="3" t="n">
        <v>-23.79</v>
      </c>
      <c r="O172" t="n">
        <v>4.2</v>
      </c>
      <c r="P172" t="n">
        <v>29</v>
      </c>
      <c r="R172" t="inlineStr">
        <is>
          <t>OutOfStock</t>
        </is>
      </c>
      <c r="S172" t="inlineStr">
        <is>
          <t>55.99</t>
        </is>
      </c>
      <c r="T172" t="inlineStr">
        <is>
          <t>7241440886972</t>
        </is>
      </c>
    </row>
    <row r="173" hidden="1" ht="15.75" customHeight="1">
      <c r="A173" s="2">
        <f>HYPERLINK("https://www.shelhealth.com/products/801541107612-organic-india-psyllium-organic-whole-husk-fiber-12-oz", "https://www.shelhealth.com/products/801541107612-organic-india-psyllium-organic-whole-husk-fiber-12-oz")</f>
        <v/>
      </c>
      <c r="B173" s="2">
        <f>HYPERLINK("https://www.shelhealth.com/products/801541107612-organic-india-psyllium-organic-whole-husk-fiber-12-oz", "https://www.shelhealth.com/products/801541107612-organic-india-psyllium-organic-whole-husk-fiber-12-oz")</f>
        <v/>
      </c>
      <c r="C173" t="inlineStr">
        <is>
          <t>Organic India Psyllium Organic Whole Husk Fiber, 12 Oz</t>
        </is>
      </c>
      <c r="D173" t="inlineStr">
        <is>
          <t>ORGANIC INDIA Psyllium Herbal Powder - Whole Husk Fiber, Healthy Elimination, Keto Friendly, Vegan, Gluten-Free, USDA Certified Organic, Non-GMO, Soluble &amp; Insoluble Fiber Source - 180 Capsules</t>
        </is>
      </c>
      <c r="E173" s="2">
        <f>HYPERLINK("https://www.amazon.com/Organic-India-Psyllium-Herbal-Powder/dp/B09D5JNH87/ref=sr_1_6?keywords=Organic+India+Psyllium+Organic+Whole+Husk+Fiber%2C+12+Oz&amp;qid=1695169843&amp;sr=8-6", "https://www.amazon.com/Organic-India-Psyllium-Herbal-Powder/dp/B09D5JNH87/ref=sr_1_6?keywords=Organic+India+Psyllium+Organic+Whole+Husk+Fiber%2C+12+Oz&amp;qid=1695169843&amp;sr=8-6")</f>
        <v/>
      </c>
      <c r="F173" t="inlineStr">
        <is>
          <t>B09D5JNH87</t>
        </is>
      </c>
      <c r="G173">
        <f>_xludf.IMAGE("https://www.shelhealth.com/cdn/shop/files/organic-india-psyllium-whole-husk-fiber-12-oz-vitamins-supplements-shelhealth-515.jpg?v=1693360502&amp;width=1946")</f>
        <v/>
      </c>
      <c r="H173">
        <f>_xludf.IMAGE("https://m.media-amazon.com/images/I/61mhvagIsXL._AC_UL320_.jpg")</f>
        <v/>
      </c>
      <c r="K173" t="inlineStr">
        <is>
          <t>20.99</t>
        </is>
      </c>
      <c r="L173" t="n">
        <v>15.99</v>
      </c>
      <c r="M173" s="1" t="inlineStr">
        <is>
          <t>-23.82%</t>
        </is>
      </c>
      <c r="N173" s="3" t="n">
        <v>-23.82</v>
      </c>
      <c r="O173" t="n">
        <v>4.3</v>
      </c>
      <c r="P173" t="n">
        <v>387</v>
      </c>
      <c r="R173" t="inlineStr">
        <is>
          <t>OutOfStock</t>
        </is>
      </c>
      <c r="S173" t="inlineStr">
        <is>
          <t>20.99</t>
        </is>
      </c>
      <c r="T173" t="inlineStr">
        <is>
          <t>7241906356412</t>
        </is>
      </c>
    </row>
    <row r="174" hidden="1" ht="15.75" customHeight="1">
      <c r="A174" s="2">
        <f>HYPERLINK("https://www.shelhealth.com/products/850502007218-youtheory-powder-probiotic-spore-3-45-oz", "https://www.shelhealth.com/products/850502007218-youtheory-powder-probiotic-spore-3-45-oz")</f>
        <v/>
      </c>
      <c r="B174" s="2">
        <f>HYPERLINK("https://www.shelhealth.com/products/850502007218-youtheory-powder-probiotic-spore-3-45-oz", "https://www.shelhealth.com/products/850502007218-youtheory-powder-probiotic-spore-3-45-oz")</f>
        <v/>
      </c>
      <c r="C174" t="inlineStr">
        <is>
          <t>YOUTHEORY Powder Probiotic Spore, 3.45 oz</t>
        </is>
      </c>
      <c r="D174" t="inlineStr">
        <is>
          <t>Youtheory Spore Probiotic Powder Advanced 3.45 oz. (1 Bottle) No Refrigeration Required</t>
        </is>
      </c>
      <c r="E174" s="2">
        <f>HYPERLINK("https://www.amazon.com/Youtheory-Spore-Probiotic-Powder-Billion/dp/B07C8FRGCJ/ref=sr_1_1?keywords=YOUTHEORY+Powder+Probiotic+Spore%2C+3.45+oz&amp;qid=1695169845&amp;sr=8-1", "https://www.amazon.com/Youtheory-Spore-Probiotic-Powder-Billion/dp/B07C8FRGCJ/ref=sr_1_1?keywords=YOUTHEORY+Powder+Probiotic+Spore%2C+3.45+oz&amp;qid=1695169845&amp;sr=8-1")</f>
        <v/>
      </c>
      <c r="F174" t="inlineStr">
        <is>
          <t>B07C8FRGCJ</t>
        </is>
      </c>
      <c r="G174">
        <f>_xludf.IMAGE("https://www.shelhealth.com/cdn/shop/files/youtheory-powder-probiotic-spore-3-45-oz-vitamins-supplements-shelhealth-407.jpg?v=1686232098&amp;width=1946")</f>
        <v/>
      </c>
      <c r="H174">
        <f>_xludf.IMAGE("https://m.media-amazon.com/images/I/61a-VbIlDrL._AC_UL320_.jpg")</f>
        <v/>
      </c>
      <c r="K174" t="inlineStr">
        <is>
          <t>26.99</t>
        </is>
      </c>
      <c r="L174" t="n">
        <v>20.44</v>
      </c>
      <c r="M174" s="1" t="inlineStr">
        <is>
          <t>-24.27%</t>
        </is>
      </c>
      <c r="N174" s="3" t="n">
        <v>-24.27</v>
      </c>
      <c r="O174" t="n">
        <v>4.5</v>
      </c>
      <c r="P174" t="n">
        <v>878</v>
      </c>
      <c r="R174" t="inlineStr">
        <is>
          <t>InStock</t>
        </is>
      </c>
      <c r="S174" t="inlineStr">
        <is>
          <t>26.99</t>
        </is>
      </c>
      <c r="T174" t="inlineStr">
        <is>
          <t>7574361702632</t>
        </is>
      </c>
    </row>
    <row r="175" hidden="1" ht="15.75" customHeight="1">
      <c r="A175" s="2">
        <f>HYPERLINK("https://www.shelhealth.com/products/76630300834-american-health-probiotic-ext-care-comple-30-cp", "https://www.shelhealth.com/products/76630300834-american-health-probiotic-ext-care-comple-30-cp")</f>
        <v/>
      </c>
      <c r="B175" s="2">
        <f>HYPERLINK("https://www.shelhealth.com/products/76630300834-american-health-probiotic-ext-care-comple-30-cp", "https://www.shelhealth.com/products/76630300834-american-health-probiotic-ext-care-comple-30-cp")</f>
        <v/>
      </c>
      <c r="C175" t="inlineStr">
        <is>
          <t>American Health Probiotic Ext Care Comple, 30 Cp</t>
        </is>
      </c>
      <c r="D175" t="inlineStr">
        <is>
          <t>American Health Extra Care Probiotic Complex, 80 Billion Microorganisms - Beneficial Bacteria for The Digestive &amp; Immune Systems* - Non-GMO, Vegetarian - 30 Capsules, 30 Total Servings</t>
        </is>
      </c>
      <c r="E175" s="2">
        <f>HYPERLINK("https://www.amazon.com/American-Health-Probiotic-Complex-Microorganisms/dp/B097F38V4L/ref=sr_1_1?keywords=American+Health+Probiotic+Ext+Care+Comple%2C+30+Cp&amp;qid=1695169829&amp;sr=8-1", "https://www.amazon.com/American-Health-Probiotic-Complex-Microorganisms/dp/B097F38V4L/ref=sr_1_1?keywords=American+Health+Probiotic+Ext+Care+Comple%2C+30+Cp&amp;qid=1695169829&amp;sr=8-1")</f>
        <v/>
      </c>
      <c r="F175" t="inlineStr">
        <is>
          <t>B097F38V4L</t>
        </is>
      </c>
      <c r="G175">
        <f>_xludf.IMAGE("https://www.shelhealth.com/cdn/shop/files/american-health-probiotic-ext-care-comple-30-cp-vitamins-supplements-shelhealth-960.jpg?v=1686192407&amp;width=1946")</f>
        <v/>
      </c>
      <c r="H175">
        <f>_xludf.IMAGE("https://m.media-amazon.com/images/I/812Y5-SJzIL._AC_UL320_.jpg")</f>
        <v/>
      </c>
      <c r="K175" t="inlineStr">
        <is>
          <t>37.99</t>
        </is>
      </c>
      <c r="L175" t="n">
        <v>28.55</v>
      </c>
      <c r="M175" s="1" t="inlineStr">
        <is>
          <t>-24.85%</t>
        </is>
      </c>
      <c r="N175" s="3" t="n">
        <v>-24.85</v>
      </c>
      <c r="O175" t="n">
        <v>4.2</v>
      </c>
      <c r="P175" t="n">
        <v>37</v>
      </c>
      <c r="R175" t="inlineStr">
        <is>
          <t>OutOfStock</t>
        </is>
      </c>
      <c r="S175" t="inlineStr">
        <is>
          <t>37.99</t>
        </is>
      </c>
      <c r="T175" t="inlineStr">
        <is>
          <t>7241442099388</t>
        </is>
      </c>
    </row>
    <row r="176" hidden="1" ht="15.75" customHeight="1">
      <c r="A176" s="2">
        <f>HYPERLINK("https://www.shelhealth.com/products/align-daily-probiotic-supplement-capsules-84-count", "https://www.shelhealth.com/products/align-daily-probiotic-supplement-capsules-84-count")</f>
        <v/>
      </c>
      <c r="B176" s="2">
        <f>HYPERLINK("https://www.shelhealth.com/products/align-daily-probiotic-supplement-capsules-84-count", "https://www.shelhealth.com/products/align-daily-probiotic-supplement-capsules-84-count")</f>
        <v/>
      </c>
      <c r="C176" t="inlineStr">
        <is>
          <t>Align Daily Probiotic Supplement Capsules, 84 Count</t>
        </is>
      </c>
      <c r="D176" t="inlineStr">
        <is>
          <t>Align Digestive Care Probiotic Supplement, 84 Count</t>
        </is>
      </c>
      <c r="E176" s="2">
        <f>HYPERLINK("https://www.amazon.com/Align-Digestive-Probiotic-Supplement-Count/dp/B00HX5OQ5U/ref=sr_1_3?keywords=Align+Daily+Probiotic+Supplement+Capsules%2C+84+Count&amp;qid=1695169825&amp;sr=8-3", "https://www.amazon.com/Align-Digestive-Probiotic-Supplement-Count/dp/B00HX5OQ5U/ref=sr_1_3?keywords=Align+Daily+Probiotic+Supplement+Capsules%2C+84+Count&amp;qid=1695169825&amp;sr=8-3")</f>
        <v/>
      </c>
      <c r="F176" t="inlineStr">
        <is>
          <t>B00HX5OQ5U</t>
        </is>
      </c>
      <c r="G176">
        <f>_xludf.IMAGE("https://www.shelhealth.com/cdn/shop/products/align-daily-probiotic-supplement-capsules-84-count-shelhealth-463.jpg?v=1663337932&amp;width=1946")</f>
        <v/>
      </c>
      <c r="H176">
        <f>_xludf.IMAGE("https://m.media-amazon.com/images/I/71kIn-X9SLL._AC_UL320_.jpg")</f>
        <v/>
      </c>
      <c r="K176" t="inlineStr">
        <is>
          <t>77.99</t>
        </is>
      </c>
      <c r="L176" t="n">
        <v>58.49</v>
      </c>
      <c r="M176" s="1" t="inlineStr">
        <is>
          <t>-25.00%</t>
        </is>
      </c>
      <c r="N176" s="3" t="n">
        <v>-25</v>
      </c>
      <c r="O176" t="n">
        <v>4.7</v>
      </c>
      <c r="P176" t="n">
        <v>17767</v>
      </c>
      <c r="R176" t="inlineStr">
        <is>
          <t>InStock</t>
        </is>
      </c>
      <c r="S176" t="inlineStr">
        <is>
          <t>77.99</t>
        </is>
      </c>
      <c r="T176" t="inlineStr">
        <is>
          <t>3781952012340</t>
        </is>
      </c>
    </row>
    <row r="177" hidden="1" ht="15.75" customHeight="1">
      <c r="A177" s="2">
        <f>HYPERLINK("https://www.shelhealth.com/products/citrucel-methylcellulose-fiber-therapy-for-irregularity-240-caplets", "https://www.shelhealth.com/products/citrucel-methylcellulose-fiber-therapy-for-irregularity-240-caplets")</f>
        <v/>
      </c>
      <c r="B177" s="2">
        <f>HYPERLINK("https://www.shelhealth.com/products/citrucel-methylcellulose-fiber-therapy-for-irregularity-240-caplets", "https://www.shelhealth.com/products/citrucel-methylcellulose-fiber-therapy-for-irregularity-240-caplets")</f>
        <v/>
      </c>
      <c r="C177" t="inlineStr">
        <is>
          <t>Citrucel Methylcellulose Fiber Therapy For Irregularity - 240 Caplets</t>
        </is>
      </c>
      <c r="D177" t="inlineStr">
        <is>
          <t>Citrucel Fiber Therapy Caplets for Irregularity, Easy to Swallow Methylcellulose , 180 Count</t>
        </is>
      </c>
      <c r="E177" s="2">
        <f>HYPERLINK("https://www.amazon.com/Citrucel-Caplets-Therapy-Occasional-Constipation/dp/B004RFF630/ref=sr_1_1?keywords=Citrucel+Methylcellulose+Fiber+Therapy+For+Irregularity+-+240+Caplets&amp;qid=1695169837&amp;rdc=1&amp;sr=8-1", "https://www.amazon.com/Citrucel-Caplets-Therapy-Occasional-Constipation/dp/B004RFF630/ref=sr_1_1?keywords=Citrucel+Methylcellulose+Fiber+Therapy+For+Irregularity+-+240+Caplets&amp;qid=1695169837&amp;rdc=1&amp;sr=8-1")</f>
        <v/>
      </c>
      <c r="F177" t="inlineStr">
        <is>
          <t>B004RFF630</t>
        </is>
      </c>
      <c r="G177">
        <f>_xludf.IMAGE("https://www.shelhealth.com/cdn/shop/products/citrucel-methylcellulose-fiber-therapy-for-irregularity-240-caplets-shelhealth-540.jpg?v=1663337596&amp;width=1946")</f>
        <v/>
      </c>
      <c r="H177">
        <f>_xludf.IMAGE("https://m.media-amazon.com/images/I/71uZqXpEIrL._AC_UL320_.jpg")</f>
        <v/>
      </c>
      <c r="K177" t="inlineStr">
        <is>
          <t>36.99</t>
        </is>
      </c>
      <c r="L177" t="n">
        <v>27.5</v>
      </c>
      <c r="M177" s="1" t="inlineStr">
        <is>
          <t>-25.66%</t>
        </is>
      </c>
      <c r="N177" s="3" t="n">
        <v>-25.66</v>
      </c>
      <c r="O177" t="n">
        <v>4.6</v>
      </c>
      <c r="P177" t="n">
        <v>7407</v>
      </c>
      <c r="R177" t="inlineStr">
        <is>
          <t>InStock</t>
        </is>
      </c>
      <c r="S177" t="inlineStr">
        <is>
          <t>36.99</t>
        </is>
      </c>
      <c r="T177" t="inlineStr">
        <is>
          <t>3776724992052</t>
        </is>
      </c>
    </row>
    <row r="178" hidden="1" ht="15.75" customHeight="1">
      <c r="A178" s="2">
        <f>HYPERLINK("https://www.shelhealth.com/products/692752109478-nutiva-mct-powder-10-6-oz", "https://www.shelhealth.com/products/692752109478-nutiva-mct-powder-10-6-oz")</f>
        <v/>
      </c>
      <c r="B178" s="2">
        <f>HYPERLINK("https://www.shelhealth.com/products/692752109478-nutiva-mct-powder-10-6-oz", "https://www.shelhealth.com/products/692752109478-nutiva-mct-powder-10-6-oz")</f>
        <v/>
      </c>
      <c r="C178" t="inlineStr">
        <is>
          <t>Nutiva Mct Powder, 10.6 Oz</t>
        </is>
      </c>
      <c r="D178" t="inlineStr">
        <is>
          <t>Nutiva Organic MCT Powder with Prebiotic Acacia Fiber, Classic, 10.6 Oz, USDA Organic, Non-GMO, Non-BPA, Vegan, Gluten-Free, Keto &amp; Paleo, Instant Beverage or Boost to Coffee &amp; Smoothies</t>
        </is>
      </c>
      <c r="E178" s="2">
        <f>HYPERLINK("https://www.amazon.com/Nutiva-Certified-Prebiotic-Caprylic-10-6-ounce/dp/B07CW2V84C/ref=sr_1_1?keywords=Nutiva+Mct+Powder%2C+10.6+Oz&amp;qid=1695169834&amp;sr=8-1", "https://www.amazon.com/Nutiva-Certified-Prebiotic-Caprylic-10-6-ounce/dp/B07CW2V84C/ref=sr_1_1?keywords=Nutiva+Mct+Powder%2C+10.6+Oz&amp;qid=1695169834&amp;sr=8-1")</f>
        <v/>
      </c>
      <c r="F178" t="inlineStr">
        <is>
          <t>B07CW2V84C</t>
        </is>
      </c>
      <c r="G178">
        <f>_xludf.IMAGE("https://www.shelhealth.com/cdn/shop/files/nutiva-mct-powder-10-6-oz-vitamins-supplements-shelhealth-622.jpg?v=1686200291&amp;width=1946")</f>
        <v/>
      </c>
      <c r="H178">
        <f>_xludf.IMAGE("https://m.media-amazon.com/images/I/61kbcHJYZJL._AC_UL320_.jpg")</f>
        <v/>
      </c>
      <c r="K178" t="inlineStr">
        <is>
          <t>33.99</t>
        </is>
      </c>
      <c r="L178" t="n">
        <v>24.62</v>
      </c>
      <c r="M178" s="1" t="inlineStr">
        <is>
          <t>-27.57%</t>
        </is>
      </c>
      <c r="N178" s="3" t="n">
        <v>-27.57</v>
      </c>
      <c r="O178" t="n">
        <v>4.5</v>
      </c>
      <c r="P178" t="n">
        <v>789</v>
      </c>
      <c r="R178" t="inlineStr">
        <is>
          <t>OutOfStock</t>
        </is>
      </c>
      <c r="S178" t="inlineStr">
        <is>
          <t>33.99</t>
        </is>
      </c>
      <c r="T178" t="inlineStr">
        <is>
          <t>7241887318204</t>
        </is>
      </c>
    </row>
    <row r="179" hidden="1" ht="15.75" customHeight="1">
      <c r="A179" s="2">
        <f>HYPERLINK("https://www.shelhealth.com/products/culturelle-digestive-health-probiotic-80-capsules", "https://www.shelhealth.com/products/culturelle-digestive-health-probiotic-80-capsules")</f>
        <v/>
      </c>
      <c r="B179" s="2">
        <f>HYPERLINK("https://www.shelhealth.com/products/culturelle-digestive-health-probiotic-80-capsules", "https://www.shelhealth.com/products/culturelle-digestive-health-probiotic-80-capsules")</f>
        <v/>
      </c>
      <c r="C179" t="inlineStr">
        <is>
          <t>Culturelle Digestive Health Probiotic, 80 Capsules</t>
        </is>
      </c>
      <c r="D179" t="inlineStr">
        <is>
          <t>Culturelle Pro Strength Daily Probiotic, Digestive Health Capsules, Supports Occasional Diarrhea, Gas &amp; Bloating, Gluten and Soy Free, 60 Count</t>
        </is>
      </c>
      <c r="E179" s="2">
        <f>HYPERLINK("https://www.amazon.com/Culturelle-Strength-Probiotic-Digestive-Naturally/dp/B08Y66H6B7/ref=sr_1_3?keywords=Culturelle+Digestive+Health+Probiotic%2C+80+Capsules&amp;qid=1695169825&amp;sr=8-3", "https://www.amazon.com/Culturelle-Strength-Probiotic-Digestive-Naturally/dp/B08Y66H6B7/ref=sr_1_3?keywords=Culturelle+Digestive+Health+Probiotic%2C+80+Capsules&amp;qid=1695169825&amp;sr=8-3")</f>
        <v/>
      </c>
      <c r="F179" t="inlineStr">
        <is>
          <t>B08Y66H6B7</t>
        </is>
      </c>
      <c r="G179">
        <f>_xludf.IMAGE("https://www.shelhealth.com/cdn/shop/products/culturelle-digestive-health-probiotic-80-capsules-shelhealth-282.jpg?v=1663337676&amp;width=1946")</f>
        <v/>
      </c>
      <c r="H179">
        <f>_xludf.IMAGE("https://m.media-amazon.com/images/I/71EPvEtquhL._AC_UL320_.jpg")</f>
        <v/>
      </c>
      <c r="K179" t="inlineStr">
        <is>
          <t>43.99</t>
        </is>
      </c>
      <c r="L179" t="n">
        <v>31.49</v>
      </c>
      <c r="M179" s="1" t="inlineStr">
        <is>
          <t>-28.42%</t>
        </is>
      </c>
      <c r="N179" s="3" t="n">
        <v>-28.42</v>
      </c>
      <c r="O179" t="n">
        <v>4.7</v>
      </c>
      <c r="P179" t="n">
        <v>10211</v>
      </c>
      <c r="R179" t="inlineStr">
        <is>
          <t>InStock</t>
        </is>
      </c>
      <c r="S179" t="inlineStr">
        <is>
          <t>43.99</t>
        </is>
      </c>
      <c r="T179" t="inlineStr">
        <is>
          <t>3777135280180</t>
        </is>
      </c>
    </row>
    <row r="180" hidden="1" ht="15.75" customHeight="1">
      <c r="A180" s="2">
        <f>HYPERLINK("https://www.shelhealth.com/products/berkley-jensen-natural-fiber-capsules-600-ct", "https://www.shelhealth.com/products/berkley-jensen-natural-fiber-capsules-600-ct")</f>
        <v/>
      </c>
      <c r="B180" s="2">
        <f>HYPERLINK("https://www.shelhealth.com/products/berkley-jensen-natural-fiber-capsules-600-ct", "https://www.shelhealth.com/products/berkley-jensen-natural-fiber-capsules-600-ct")</f>
        <v/>
      </c>
      <c r="C180" t="inlineStr">
        <is>
          <t>Berkley Jensen Natural Fiber Capsules, 600 ct.</t>
        </is>
      </c>
      <c r="D180" t="inlineStr">
        <is>
          <t>Berkley and Jensen BJ's Natural Fiber Capsules 600 ct,100% Natural Psyllium Husk</t>
        </is>
      </c>
      <c r="E180" s="2">
        <f>HYPERLINK("https://www.amazon.com/Natural-Fiber-Capsules-100-Psyllium/dp/B07RNP3YX7/ref=sr_1_1?keywords=Berkley+Jensen+Natural+Fiber+Capsules%2C+600+ct.&amp;qid=1695169825&amp;sr=8-1", "https://www.amazon.com/Natural-Fiber-Capsules-100-Psyllium/dp/B07RNP3YX7/ref=sr_1_1?keywords=Berkley+Jensen+Natural+Fiber+Capsules%2C+600+ct.&amp;qid=1695169825&amp;sr=8-1")</f>
        <v/>
      </c>
      <c r="F180" t="inlineStr">
        <is>
          <t>B07RNP3YX7</t>
        </is>
      </c>
      <c r="G180">
        <f>_xludf.IMAGE("https://www.shelhealth.com/cdn/shop/files/berkley-jensen-natural-fiber-capsules-600-ct-health-beautymedicine-cabinet-shelhealth-824.jpg?v=1686282936&amp;width=1946")</f>
        <v/>
      </c>
      <c r="H180">
        <f>_xludf.IMAGE("https://m.media-amazon.com/images/I/41U2DiW853L._AC_UL320_.jpg")</f>
        <v/>
      </c>
      <c r="K180" t="inlineStr">
        <is>
          <t>27.99</t>
        </is>
      </c>
      <c r="L180" t="n">
        <v>19.85</v>
      </c>
      <c r="M180" s="1" t="inlineStr">
        <is>
          <t>-29.08%</t>
        </is>
      </c>
      <c r="N180" s="3" t="n">
        <v>-29.08</v>
      </c>
      <c r="O180" t="n">
        <v>4.6</v>
      </c>
      <c r="P180" t="n">
        <v>242</v>
      </c>
      <c r="R180" t="inlineStr">
        <is>
          <t>InStock</t>
        </is>
      </c>
      <c r="S180" t="inlineStr">
        <is>
          <t>27.99</t>
        </is>
      </c>
      <c r="T180" t="inlineStr">
        <is>
          <t>4115461570612</t>
        </is>
      </c>
    </row>
    <row r="181" hidden="1" ht="15.75" customHeight="1">
      <c r="A181" s="2">
        <f>HYPERLINK("https://www.shelhealth.com/products/align-daily-probiotic-supplement-capsules-84-count", "https://www.shelhealth.com/products/align-daily-probiotic-supplement-capsules-84-count")</f>
        <v/>
      </c>
      <c r="B181" s="2">
        <f>HYPERLINK("https://www.shelhealth.com/products/align-daily-probiotic-supplement-capsules-84-count", "https://www.shelhealth.com/products/align-daily-probiotic-supplement-capsules-84-count")</f>
        <v/>
      </c>
      <c r="C181" t="inlineStr">
        <is>
          <t>Align Daily Probiotic Supplement Capsules, 84 Count</t>
        </is>
      </c>
      <c r="D181" t="inlineStr">
        <is>
          <t>Align Daily Probiotic Supplement Capsules, White, 84 Count</t>
        </is>
      </c>
      <c r="E181" s="2">
        <f>HYPERLINK("https://www.amazon.com/Align-Daily-Probiotic-Supplement-Capsules/dp/B00Z1OTOLG/ref=sr_1_2?keywords=Align+Daily+Probiotic+Supplement+Capsules%2C+84+Count&amp;qid=1695169825&amp;sr=8-2", "https://www.amazon.com/Align-Daily-Probiotic-Supplement-Capsules/dp/B00Z1OTOLG/ref=sr_1_2?keywords=Align+Daily+Probiotic+Supplement+Capsules%2C+84+Count&amp;qid=1695169825&amp;sr=8-2")</f>
        <v/>
      </c>
      <c r="F181" t="inlineStr">
        <is>
          <t>B00Z1OTOLG</t>
        </is>
      </c>
      <c r="G181">
        <f>_xludf.IMAGE("https://www.shelhealth.com/cdn/shop/products/align-daily-probiotic-supplement-capsules-84-count-shelhealth-463.jpg?v=1663337932&amp;width=1946")</f>
        <v/>
      </c>
      <c r="H181">
        <f>_xludf.IMAGE("https://m.media-amazon.com/images/I/81jtrE2vuTL._AC_UL320_.jpg")</f>
        <v/>
      </c>
      <c r="K181" t="inlineStr">
        <is>
          <t>77.99</t>
        </is>
      </c>
      <c r="L181" t="n">
        <v>54.99</v>
      </c>
      <c r="M181" s="1" t="inlineStr">
        <is>
          <t>-29.49%</t>
        </is>
      </c>
      <c r="N181" s="3" t="n">
        <v>-29.49</v>
      </c>
      <c r="O181" t="n">
        <v>4.8</v>
      </c>
      <c r="P181" t="n">
        <v>1400</v>
      </c>
      <c r="R181" t="inlineStr">
        <is>
          <t>InStock</t>
        </is>
      </c>
      <c r="S181" t="inlineStr">
        <is>
          <t>77.99</t>
        </is>
      </c>
      <c r="T181" t="inlineStr">
        <is>
          <t>3781952012340</t>
        </is>
      </c>
    </row>
    <row r="182" hidden="1" ht="15.75" customHeight="1">
      <c r="A182" s="2">
        <f>HYPERLINK("https://www.shelhealth.com/products/berkley-jensen-natural-10-strain-probiotic-dietary-supplement-120-ct", "https://www.shelhealth.com/products/berkley-jensen-natural-10-strain-probiotic-dietary-supplement-120-ct")</f>
        <v/>
      </c>
      <c r="B182" s="2">
        <f>HYPERLINK("https://www.shelhealth.com/products/berkley-jensen-natural-10-strain-probiotic-dietary-supplement-120-ct", "https://www.shelhealth.com/products/berkley-jensen-natural-10-strain-probiotic-dietary-supplement-120-ct")</f>
        <v/>
      </c>
      <c r="C182" t="inlineStr">
        <is>
          <t>Berkley Jensen Natural 10-Strain Probiotic Dietary Supplement, 120 ct.</t>
        </is>
      </c>
      <c r="D182" t="inlineStr">
        <is>
          <t>Berkley Jensen Natural 10-Strain Probiotic Dietary Supplement,Capsule 120 ct.</t>
        </is>
      </c>
      <c r="E182" s="2">
        <f>HYPERLINK("https://www.amazon.com/Berkley-Jensen-10-Strain-Probiotic-Supplement/dp/B07FYQV8JG/ref=sr_1_1?keywords=Berkley+Jensen+Natural+10-Strain+Probiotic+Dietary+Supplement%2C+120+ct.&amp;qid=1695169825&amp;sr=8-1", "https://www.amazon.com/Berkley-Jensen-10-Strain-Probiotic-Supplement/dp/B07FYQV8JG/ref=sr_1_1?keywords=Berkley+Jensen+Natural+10-Strain+Probiotic+Dietary+Supplement%2C+120+ct.&amp;qid=1695169825&amp;sr=8-1")</f>
        <v/>
      </c>
      <c r="F182" t="inlineStr">
        <is>
          <t>B07FYQV8JG</t>
        </is>
      </c>
      <c r="G182">
        <f>_xludf.IMAGE("https://www.shelhealth.com/cdn/shop/files/berkley-jensen-natural-10-strain-probiotic-dietary-supplement-120-ct-health-beautyvitamins-supplements-shelhealth-546.jpg?v=1686282713&amp;width=1946")</f>
        <v/>
      </c>
      <c r="H182">
        <f>_xludf.IMAGE("https://m.media-amazon.com/images/I/71nNZTuDy2L._AC_UL320_.jpg")</f>
        <v/>
      </c>
      <c r="K182" t="inlineStr">
        <is>
          <t>41.99</t>
        </is>
      </c>
      <c r="L182" t="n">
        <v>28.99</v>
      </c>
      <c r="M182" s="1" t="inlineStr">
        <is>
          <t>-30.96%</t>
        </is>
      </c>
      <c r="N182" s="3" t="n">
        <v>-30.96</v>
      </c>
      <c r="O182" t="n">
        <v>4.6</v>
      </c>
      <c r="P182" t="n">
        <v>568</v>
      </c>
      <c r="R182" t="inlineStr">
        <is>
          <t>InStock</t>
        </is>
      </c>
      <c r="S182" t="inlineStr">
        <is>
          <t>41.99</t>
        </is>
      </c>
      <c r="T182" t="inlineStr">
        <is>
          <t>4158660476980</t>
        </is>
      </c>
    </row>
    <row r="183" hidden="1" ht="15.75" customHeight="1">
      <c r="A183" s="2">
        <f>HYPERLINK("https://www.shelhealth.com/products/align-digestive-health-prebiotic-and-probiotic-supplement-gummies-in-natural-fruit-flavors-90-ct", "https://www.shelhealth.com/products/align-digestive-health-prebiotic-and-probiotic-supplement-gummies-in-natural-fruit-flavors-90-ct")</f>
        <v/>
      </c>
      <c r="B183" s="2">
        <f>HYPERLINK("https://www.shelhealth.com/products/align-digestive-health-prebiotic-and-probiotic-supplement-gummies-in-natural-fruit-flavors-90-ct", "https://www.shelhealth.com/products/align-digestive-health-prebiotic-and-probiotic-supplement-gummies-in-natural-fruit-flavors-90-ct")</f>
        <v/>
      </c>
      <c r="C183" t="inlineStr">
        <is>
          <t>Align Digestive Health Prebiotic and Probiotic Supplement Gummies in Natural Fruit Flavors, 90 ct.</t>
        </is>
      </c>
      <c r="D183" t="inlineStr">
        <is>
          <t>Align DualBiotic, Prebiotic + Probiotic for Women and Men, Help Nourish and Add Good Bacteria for Digestive Support, Natural Fruit Flavors, 90 Gummies</t>
        </is>
      </c>
      <c r="E183" s="2">
        <f>HYPERLINK("https://www.amazon.com/Align-DualBiotic-Prebiotic-Probiotic-Digestive/dp/B09L5C5KJC/ref=sr_1_1?keywords=Align+Digestive+Health+Prebiotic+and+Probiotic+Supplement+Gummies+in+Natural+Fruit+Flavors%2C+90+ct.&amp;qid=1695169845&amp;sr=8-1", "https://www.amazon.com/Align-DualBiotic-Prebiotic-Probiotic-Digestive/dp/B09L5C5KJC/ref=sr_1_1?keywords=Align+Digestive+Health+Prebiotic+and+Probiotic+Supplement+Gummies+in+Natural+Fruit+Flavors%2C+90+ct.&amp;qid=1695169845&amp;sr=8-1")</f>
        <v/>
      </c>
      <c r="F183" t="inlineStr">
        <is>
          <t>B09L5C5KJC</t>
        </is>
      </c>
      <c r="G183">
        <f>_xludf.IMAGE("https://www.shelhealth.com/cdn/shop/products/align-digestive-health-prebiotic-and-probiotic-supplement-gummies-in-natural-fruit-flavors-90-ct-shelhealth-548.jpg?v=1663357685&amp;width=1946")</f>
        <v/>
      </c>
      <c r="H183">
        <f>_xludf.IMAGE("https://m.media-amazon.com/images/I/61o3QTNz01L._AC_UL320_.jpg")</f>
        <v/>
      </c>
      <c r="K183" t="inlineStr">
        <is>
          <t>43.99</t>
        </is>
      </c>
      <c r="L183" t="n">
        <v>29.98</v>
      </c>
      <c r="M183" s="1" t="inlineStr">
        <is>
          <t>-31.85%</t>
        </is>
      </c>
      <c r="N183" s="3" t="n">
        <v>-31.85</v>
      </c>
      <c r="O183" t="n">
        <v>4.7</v>
      </c>
      <c r="P183" t="n">
        <v>1658</v>
      </c>
      <c r="R183" t="inlineStr">
        <is>
          <t>OutOfStock</t>
        </is>
      </c>
      <c r="S183" t="inlineStr">
        <is>
          <t>43.99</t>
        </is>
      </c>
      <c r="T183" t="inlineStr">
        <is>
          <t>4251384348724</t>
        </is>
      </c>
    </row>
    <row r="184" hidden="1" ht="15.75" customHeight="1">
      <c r="A184" s="2">
        <f>HYPERLINK("https://www.shelhealth.com/products/lactaid-fast-act-lactose-intolerance-caplets-2-pk-60-ct", "https://www.shelhealth.com/products/lactaid-fast-act-lactose-intolerance-caplets-2-pk-60-ct")</f>
        <v/>
      </c>
      <c r="B184" s="2">
        <f>HYPERLINK("https://www.shelhealth.com/products/lactaid-fast-act-lactose-intolerance-caplets-2-pk-60-ct", "https://www.shelhealth.com/products/lactaid-fast-act-lactose-intolerance-caplets-2-pk-60-ct")</f>
        <v/>
      </c>
      <c r="C184" t="inlineStr">
        <is>
          <t>Lactaid Fast Act Lactose Intolerance Caplets, 2 pk./60 ct.</t>
        </is>
      </c>
      <c r="D184" t="inlineStr">
        <is>
          <t>ValuMeds Fast Acting Dairy Relief Lactose Enzymes, 120 Softgels, Help Prevent Gas, Bloating, Diarrhea, Intolerance, or Sensitivity, Comparable to Lactaid</t>
        </is>
      </c>
      <c r="E184" s="2">
        <f>HYPERLINK("https://www.amazon.com/ValuMeds-Softgels-Intolerance-Sensitivity-Comparable/dp/B07W6KL3G5/ref=sr_1_5?keywords=Lactaid+Fast+Act+Lactose+Intolerance+Caplets%2C+2+pk.%2F60+ct.&amp;qid=1695169826&amp;sr=8-5", "https://www.amazon.com/ValuMeds-Softgels-Intolerance-Sensitivity-Comparable/dp/B07W6KL3G5/ref=sr_1_5?keywords=Lactaid+Fast+Act+Lactose+Intolerance+Caplets%2C+2+pk.%2F60+ct.&amp;qid=1695169826&amp;sr=8-5")</f>
        <v/>
      </c>
      <c r="F184" t="inlineStr">
        <is>
          <t>B07W6KL3G5</t>
        </is>
      </c>
      <c r="G184">
        <f>_xludf.IMAGE("https://www.shelhealth.com/cdn/shop/files/lactaid-fast-act-lactose-intolerance-caplets-2-pk-60-ct-health-beautymedicine-cabinet-shelhealth-719.jpg?v=1686282690&amp;width=1946")</f>
        <v/>
      </c>
      <c r="H184">
        <f>_xludf.IMAGE("https://m.media-amazon.com/images/I/61GDje+ghrL._AC_UL320_.jpg")</f>
        <v/>
      </c>
      <c r="K184" t="inlineStr">
        <is>
          <t>32.99</t>
        </is>
      </c>
      <c r="L184" t="n">
        <v>21.99</v>
      </c>
      <c r="M184" s="1" t="inlineStr">
        <is>
          <t>-33.34%</t>
        </is>
      </c>
      <c r="N184" s="3" t="n">
        <v>-33.34</v>
      </c>
      <c r="O184" t="n">
        <v>4.4</v>
      </c>
      <c r="P184" t="n">
        <v>972</v>
      </c>
      <c r="R184" t="inlineStr">
        <is>
          <t>InStock</t>
        </is>
      </c>
      <c r="S184" t="inlineStr">
        <is>
          <t>32.99</t>
        </is>
      </c>
      <c r="T184" t="inlineStr">
        <is>
          <t>4158679351348</t>
        </is>
      </c>
    </row>
    <row r="185" hidden="1" ht="15.75" customHeight="1">
      <c r="A185" s="2">
        <f>HYPERLINK("https://www.shelhealth.com/products/natures-bounty-ultra-strength-probiotic-10-140-capsules", "https://www.shelhealth.com/products/natures-bounty-ultra-strength-probiotic-10-140-capsules")</f>
        <v/>
      </c>
      <c r="B185" s="2">
        <f>HYPERLINK("https://www.shelhealth.com/products/natures-bounty-ultra-strength-probiotic-10-140-capsules", "https://www.shelhealth.com/products/natures-bounty-ultra-strength-probiotic-10-140-capsules")</f>
        <v/>
      </c>
      <c r="C185" t="inlineStr">
        <is>
          <t>Nature's Bounty Probiotic, Ultra Strength 10 70 Capsules</t>
        </is>
      </c>
      <c r="D185" t="inlineStr">
        <is>
          <t>Probiotics by Nature's Bounty, Ultra Strength Probiotic 10, Immune Health &amp; Digestive Balance, 60 Capsules</t>
        </is>
      </c>
      <c r="E185" s="2">
        <f>HYPERLINK("https://www.amazon.com/Natures-Bounty-Probiotics-Supplement-Intestinal/dp/B0072F88WS/ref=sr_1_5?keywords=Nature%27s+Bounty+Probiotic%2C+Ultra+Strength+10+70+Capsules&amp;qid=1695169825&amp;sr=8-5", "https://www.amazon.com/Natures-Bounty-Probiotics-Supplement-Intestinal/dp/B0072F88WS/ref=sr_1_5?keywords=Nature%27s+Bounty+Probiotic%2C+Ultra+Strength+10+70+Capsules&amp;qid=1695169825&amp;sr=8-5")</f>
        <v/>
      </c>
      <c r="F185" t="inlineStr">
        <is>
          <t>B0072F88WS</t>
        </is>
      </c>
      <c r="G185">
        <f>_xludf.IMAGE("https://www.shelhealth.com/cdn/shop/products/natures-bounty-probiotic-ultra-strength-10-70-capsules-shelhealth-589.jpg?v=1663337903&amp;width=1946")</f>
        <v/>
      </c>
      <c r="H185">
        <f>_xludf.IMAGE("https://m.media-amazon.com/images/I/81VqtLs3SqL._AC_UL320_.jpg")</f>
        <v/>
      </c>
      <c r="K185" t="inlineStr">
        <is>
          <t>41.99</t>
        </is>
      </c>
      <c r="L185" t="n">
        <v>26.98</v>
      </c>
      <c r="M185" s="1" t="inlineStr">
        <is>
          <t>-35.75%</t>
        </is>
      </c>
      <c r="N185" s="3" t="n">
        <v>-35.75</v>
      </c>
      <c r="O185" t="n">
        <v>4.7</v>
      </c>
      <c r="P185" t="n">
        <v>6525</v>
      </c>
      <c r="R185" t="inlineStr">
        <is>
          <t>InStock</t>
        </is>
      </c>
      <c r="S185" t="inlineStr">
        <is>
          <t>41.99</t>
        </is>
      </c>
      <c r="T185" t="inlineStr">
        <is>
          <t>3781928648756</t>
        </is>
      </c>
    </row>
    <row r="186" hidden="1" ht="15.75" customHeight="1">
      <c r="A186" s="2">
        <f>HYPERLINK("https://www.shelhealth.com/products/metamucil-fiber-3-in-1-psyllium-husk-capsules-supplement-650-count", "https://www.shelhealth.com/products/metamucil-fiber-3-in-1-psyllium-husk-capsules-supplement-650-count")</f>
        <v/>
      </c>
      <c r="B186" s="2">
        <f>HYPERLINK("https://www.shelhealth.com/products/metamucil-fiber-3-in-1-psyllium-husk-capsules-supplement-650-count", "https://www.shelhealth.com/products/metamucil-fiber-3-in-1-psyllium-husk-capsules-supplement-650-count")</f>
        <v/>
      </c>
      <c r="C186" t="inlineStr">
        <is>
          <t>Metamucil Fiber, 3-in-1 Psyllium Husk Capsules Supplement, 650 Count</t>
        </is>
      </c>
      <c r="D186" t="inlineStr">
        <is>
          <t>Metamucil, Daily Psyllium Husk Powder Supplement, 3-in-1 Fiber for Digestive Health, Plant Based Fiber, 300ct Capsules</t>
        </is>
      </c>
      <c r="E186" s="2">
        <f>HYPERLINK("https://www.amazon.com/Metamucil-Multi-Health-Psyllium-Supplement-Capsules/dp/B001TH7K0G/ref=sr_1_1?keywords=Metamucil+Fiber%2C+3-in-1+Psyllium+Husk+Capsules+Supplement%2C+650+Count&amp;qid=1695169840&amp;sr=8-1", "https://www.amazon.com/Metamucil-Multi-Health-Psyllium-Supplement-Capsules/dp/B001TH7K0G/ref=sr_1_1?keywords=Metamucil+Fiber%2C+3-in-1+Psyllium+Husk+Capsules+Supplement%2C+650+Count&amp;qid=1695169840&amp;sr=8-1")</f>
        <v/>
      </c>
      <c r="F186" t="inlineStr">
        <is>
          <t>B001TH7K0G</t>
        </is>
      </c>
      <c r="G186">
        <f>_xludf.IMAGE("https://www.shelhealth.com/cdn/shop/products/metamucil-fiber-3-in-1-psyllium-husk-capsules-supplement-650-count-shelhealth-790.jpg?v=1663369993&amp;width=1946")</f>
        <v/>
      </c>
      <c r="H186">
        <f>_xludf.IMAGE("https://m.media-amazon.com/images/I/71N4KfRYy2L._AC_UL320_.jpg")</f>
        <v/>
      </c>
      <c r="K186" t="inlineStr">
        <is>
          <t>46.99</t>
        </is>
      </c>
      <c r="L186" t="n">
        <v>28.75</v>
      </c>
      <c r="M186" s="1" t="inlineStr">
        <is>
          <t>-38.82%</t>
        </is>
      </c>
      <c r="N186" s="3" t="n">
        <v>-38.82</v>
      </c>
      <c r="O186" t="n">
        <v>4.6</v>
      </c>
      <c r="P186" t="n">
        <v>19350</v>
      </c>
      <c r="R186" t="inlineStr">
        <is>
          <t>OutOfStock</t>
        </is>
      </c>
      <c r="S186" t="inlineStr">
        <is>
          <t>46.99</t>
        </is>
      </c>
      <c r="T186" t="inlineStr">
        <is>
          <t>4657563304025</t>
        </is>
      </c>
    </row>
    <row r="187" hidden="1" ht="15.75" customHeight="1">
      <c r="A187" s="2">
        <f>HYPERLINK("https://www.shelhealth.com/products/nature-made-digestive-health-probiotic-90-ct", "https://www.shelhealth.com/products/nature-made-digestive-health-probiotic-90-ct")</f>
        <v/>
      </c>
      <c r="B187" s="2">
        <f>HYPERLINK("https://www.shelhealth.com/products/nature-made-digestive-health-probiotic-90-ct", "https://www.shelhealth.com/products/nature-made-digestive-health-probiotic-90-ct")</f>
        <v/>
      </c>
      <c r="C187" t="inlineStr">
        <is>
          <t>Nature Made Digestive Health Probiotic, 90 ct.</t>
        </is>
      </c>
      <c r="D187" t="inlineStr">
        <is>
          <t>Nature's Way Probiotic Pearls Acidophilus, Digestive and Immune Health Support for Women and Men*, Protects Against Occasional Constipation and Bloating*, 90 Softgels</t>
        </is>
      </c>
      <c r="E187" s="2">
        <f>HYPERLINK("https://www.amazon.com/Probiotic-Acidophilus-Supplement-Refrigeration-Packaging/dp/B000BQ8ATQ/ref=sr_1_6?keywords=Nature+Made+Digestive+Health+Probiotic%2C+90+ct.&amp;qid=1695169825&amp;sr=8-6", "https://www.amazon.com/Probiotic-Acidophilus-Supplement-Refrigeration-Packaging/dp/B000BQ8ATQ/ref=sr_1_6?keywords=Nature+Made+Digestive+Health+Probiotic%2C+90+ct.&amp;qid=1695169825&amp;sr=8-6")</f>
        <v/>
      </c>
      <c r="F187" t="inlineStr">
        <is>
          <t>B000BQ8ATQ</t>
        </is>
      </c>
      <c r="G187">
        <f>_xludf.IMAGE("https://www.shelhealth.com/cdn/shop/products/nature-made-digestive-health-probiotic-90-ct-shelhealth-382.jpg?v=1663351600&amp;width=1946")</f>
        <v/>
      </c>
      <c r="H187">
        <f>_xludf.IMAGE("https://m.media-amazon.com/images/I/71DuXHXqe8L._AC_UL320_.jpg")</f>
        <v/>
      </c>
      <c r="K187" t="inlineStr">
        <is>
          <t>49.99</t>
        </is>
      </c>
      <c r="L187" t="n">
        <v>29.99</v>
      </c>
      <c r="M187" s="1" t="inlineStr">
        <is>
          <t>-40.01%</t>
        </is>
      </c>
      <c r="N187" s="3" t="n">
        <v>-40.01</v>
      </c>
      <c r="O187" t="n">
        <v>4.7</v>
      </c>
      <c r="P187" t="n">
        <v>6658</v>
      </c>
      <c r="R187" t="inlineStr">
        <is>
          <t>OutOfStock</t>
        </is>
      </c>
      <c r="S187" t="inlineStr">
        <is>
          <t>49.99</t>
        </is>
      </c>
      <c r="T187" t="inlineStr">
        <is>
          <t>4111916040244</t>
        </is>
      </c>
    </row>
    <row r="188" hidden="1" ht="15.75" customHeight="1">
      <c r="A188" s="2">
        <f>HYPERLINK("https://www.shelhealth.com/products/lactaid-fast-act-lactose-intolerance-caplets-2-pk-60-ct", "https://www.shelhealth.com/products/lactaid-fast-act-lactose-intolerance-caplets-2-pk-60-ct")</f>
        <v/>
      </c>
      <c r="B188" s="2">
        <f>HYPERLINK("https://www.shelhealth.com/products/lactaid-fast-act-lactose-intolerance-caplets-2-pk-60-ct", "https://www.shelhealth.com/products/lactaid-fast-act-lactose-intolerance-caplets-2-pk-60-ct")</f>
        <v/>
      </c>
      <c r="C188" t="inlineStr">
        <is>
          <t>Lactaid Fast Act Lactose Intolerance Caplets, 2 pk./60 ct.</t>
        </is>
      </c>
      <c r="D188" t="inlineStr">
        <is>
          <t>Lactaid Fast Act Lactose Intolerance Chewables with Lactase Enzymes, Vanilla, 60 Count (Pack of 1)</t>
        </is>
      </c>
      <c r="E188" s="2">
        <f>HYPERLINK("https://www.amazon.com/Lactaid-Intolerance-Chewables-Flavored-Single-Dose/dp/B0009RF9KK/ref=sr_1_2?keywords=Lactaid+Fast+Act+Lactose+Intolerance+Caplets%2C+2+pk.%2F60+ct.&amp;qid=1695169826&amp;rdc=1&amp;sr=8-2", "https://www.amazon.com/Lactaid-Intolerance-Chewables-Flavored-Single-Dose/dp/B0009RF9KK/ref=sr_1_2?keywords=Lactaid+Fast+Act+Lactose+Intolerance+Caplets%2C+2+pk.%2F60+ct.&amp;qid=1695169826&amp;rdc=1&amp;sr=8-2")</f>
        <v/>
      </c>
      <c r="F188" t="inlineStr">
        <is>
          <t>B0009RF9KK</t>
        </is>
      </c>
      <c r="G188">
        <f>_xludf.IMAGE("https://www.shelhealth.com/cdn/shop/files/lactaid-fast-act-lactose-intolerance-caplets-2-pk-60-ct-health-beautymedicine-cabinet-shelhealth-719.jpg?v=1686282690&amp;width=1946")</f>
        <v/>
      </c>
      <c r="H188">
        <f>_xludf.IMAGE("https://m.media-amazon.com/images/I/81eazvX1kBL._AC_UL320_.jpg")</f>
        <v/>
      </c>
      <c r="K188" t="inlineStr">
        <is>
          <t>32.99</t>
        </is>
      </c>
      <c r="L188" t="n">
        <v>18.81</v>
      </c>
      <c r="M188" s="1" t="inlineStr">
        <is>
          <t>-42.98%</t>
        </is>
      </c>
      <c r="N188" s="3" t="n">
        <v>-42.98</v>
      </c>
      <c r="O188" t="n">
        <v>4.8</v>
      </c>
      <c r="P188" t="n">
        <v>10527</v>
      </c>
      <c r="R188" t="inlineStr">
        <is>
          <t>InStock</t>
        </is>
      </c>
      <c r="S188" t="inlineStr">
        <is>
          <t>32.99</t>
        </is>
      </c>
      <c r="T188" t="inlineStr">
        <is>
          <t>4158679351348</t>
        </is>
      </c>
    </row>
    <row r="189" hidden="1" ht="15.75" customHeight="1">
      <c r="A189" s="2">
        <f>HYPERLINK("https://www.shelhealth.com/products/811961022518-navitas-organic-superfood-berry-blend-5-3-oz", "https://www.shelhealth.com/products/811961022518-navitas-organic-superfood-berry-blend-5-3-oz")</f>
        <v/>
      </c>
      <c r="B189" s="2">
        <f>HYPERLINK("https://www.shelhealth.com/products/811961022518-navitas-organic-superfood-berry-blend-5-3-oz", "https://www.shelhealth.com/products/811961022518-navitas-organic-superfood-berry-blend-5-3-oz")</f>
        <v/>
      </c>
      <c r="C189" t="inlineStr">
        <is>
          <t>Navitas Organic Superfood Berry Blend, 5.3 Oz</t>
        </is>
      </c>
      <c r="D189" t="inlineStr">
        <is>
          <t>Navitas Organics Blueberry Hemp Superfood Power Snack, 8 oz. Bag, 11 Servings</t>
        </is>
      </c>
      <c r="E189" s="2">
        <f>HYPERLINK("https://www.amazon.com/Navitas-Organics-Blueberry-Superfood-Power/dp/B00MIJYLKG/ref=sr_1_7?keywords=Navitas+Organic+Superfood+Berry+Blend%2C+5.3+Oz&amp;qid=1695169830&amp;sr=8-7", "https://www.amazon.com/Navitas-Organics-Blueberry-Superfood-Power/dp/B00MIJYLKG/ref=sr_1_7?keywords=Navitas+Organic+Superfood+Berry+Blend%2C+5.3+Oz&amp;qid=1695169830&amp;sr=8-7")</f>
        <v/>
      </c>
      <c r="F189" t="inlineStr">
        <is>
          <t>B00MIJYLKG</t>
        </is>
      </c>
      <c r="G189">
        <f>_xludf.IMAGE("https://www.shelhealth.com/cdn/shop/files/navitas-organic-superfood-berry-blend-5-3-oz-health-shelhealth-188.jpg?v=1686533252&amp;width=1946")</f>
        <v/>
      </c>
      <c r="H189">
        <f>_xludf.IMAGE("https://m.media-amazon.com/images/I/71k9jPnDYRL._AC_UL320_.jpg")</f>
        <v/>
      </c>
      <c r="K189" t="inlineStr">
        <is>
          <t>16.99</t>
        </is>
      </c>
      <c r="L189" t="n">
        <v>9.289999999999999</v>
      </c>
      <c r="M189" s="1" t="inlineStr">
        <is>
          <t>-45.32%</t>
        </is>
      </c>
      <c r="N189" s="3" t="n">
        <v>-45.32</v>
      </c>
      <c r="O189" t="n">
        <v>4.3</v>
      </c>
      <c r="P189" t="n">
        <v>375</v>
      </c>
      <c r="R189" t="inlineStr">
        <is>
          <t>InStock</t>
        </is>
      </c>
      <c r="S189" t="inlineStr">
        <is>
          <t>16.99</t>
        </is>
      </c>
      <c r="T189" t="inlineStr">
        <is>
          <t>7241869295804</t>
        </is>
      </c>
    </row>
    <row r="190" hidden="1" ht="15.75" customHeight="1">
      <c r="A190" s="2">
        <f>HYPERLINK("https://www.shelhealth.com/products/align-digestive-health-prebiotic-and-probiotic-supplement-gummies-in-natural-fruit-flavors-90-ct", "https://www.shelhealth.com/products/align-digestive-health-prebiotic-and-probiotic-supplement-gummies-in-natural-fruit-flavors-90-ct")</f>
        <v/>
      </c>
      <c r="B190" s="2">
        <f>HYPERLINK("https://www.shelhealth.com/products/align-digestive-health-prebiotic-and-probiotic-supplement-gummies-in-natural-fruit-flavors-90-ct", "https://www.shelhealth.com/products/align-digestive-health-prebiotic-and-probiotic-supplement-gummies-in-natural-fruit-flavors-90-ct")</f>
        <v/>
      </c>
      <c r="C190" t="inlineStr">
        <is>
          <t>Align Digestive Health Prebiotic and Probiotic Supplement Gummies in Natural Fruit Flavors, 90 ct.</t>
        </is>
      </c>
      <c r="D190" t="inlineStr">
        <is>
          <t>Align DualBiotic, Prebiotic + Probiotic for Women and Men, Help Nourish and Add Good Bacteria for Digestive Support, Natural Fruit Flavors, 60 Gummies</t>
        </is>
      </c>
      <c r="E190" s="2">
        <f>HYPERLINK("https://www.amazon.com/Align-Prebiotic-Probiotic-Supplement-Recommended/dp/B079PWNBZW/ref=sr_1_2?keywords=Align+Digestive+Health+Prebiotic+and+Probiotic+Supplement+Gummies+in+Natural+Fruit+Flavors%2C+90+ct.&amp;qid=1695169845&amp;sr=8-2", "https://www.amazon.com/Align-Prebiotic-Probiotic-Supplement-Recommended/dp/B079PWNBZW/ref=sr_1_2?keywords=Align+Digestive+Health+Prebiotic+and+Probiotic+Supplement+Gummies+in+Natural+Fruit+Flavors%2C+90+ct.&amp;qid=1695169845&amp;sr=8-2")</f>
        <v/>
      </c>
      <c r="F190" t="inlineStr">
        <is>
          <t>B079PWNBZW</t>
        </is>
      </c>
      <c r="G190">
        <f>_xludf.IMAGE("https://www.shelhealth.com/cdn/shop/products/align-digestive-health-prebiotic-and-probiotic-supplement-gummies-in-natural-fruit-flavors-90-ct-shelhealth-548.jpg?v=1663357685&amp;width=1946")</f>
        <v/>
      </c>
      <c r="H190">
        <f>_xludf.IMAGE("https://m.media-amazon.com/images/I/81ysurXhlgL._AC_UL320_.jpg")</f>
        <v/>
      </c>
      <c r="K190" t="inlineStr">
        <is>
          <t>43.99</t>
        </is>
      </c>
      <c r="L190" t="n">
        <v>21.99</v>
      </c>
      <c r="M190" s="1" t="inlineStr">
        <is>
          <t>-50.01%</t>
        </is>
      </c>
      <c r="N190" s="3" t="n">
        <v>-50.01</v>
      </c>
      <c r="O190" t="n">
        <v>4.6</v>
      </c>
      <c r="P190" t="n">
        <v>15232</v>
      </c>
      <c r="R190" t="inlineStr">
        <is>
          <t>OutOfStock</t>
        </is>
      </c>
      <c r="S190" t="inlineStr">
        <is>
          <t>43.99</t>
        </is>
      </c>
      <c r="T190" t="inlineStr">
        <is>
          <t>4251384348724</t>
        </is>
      </c>
    </row>
    <row r="191" hidden="1" ht="15.75" customHeight="1">
      <c r="A191" s="2">
        <f>HYPERLINK("https://www.shelhealth.com/products/country-farms-fiber-care-fiber-gummies-240-gummies", "https://www.shelhealth.com/products/country-farms-fiber-care-fiber-gummies-240-gummies")</f>
        <v/>
      </c>
      <c r="B191" s="2">
        <f>HYPERLINK("https://www.shelhealth.com/products/country-farms-fiber-care-fiber-gummies-240-gummies", "https://www.shelhealth.com/products/country-farms-fiber-care-fiber-gummies-240-gummies")</f>
        <v/>
      </c>
      <c r="C191" t="inlineStr">
        <is>
          <t>Country Farms Fiber Care - Fiber Gummies, 240 Gummies</t>
        </is>
      </c>
      <c r="D191" t="inlineStr">
        <is>
          <t>Country Farms Fiber Care Prebiotic Gummies, 6g of Fiber Per Serving, FOS from Beets, Digestive Health, Supports Regularity, Mixed Fruit Flavor, 120 Gummies, 40 Servings, Multi</t>
        </is>
      </c>
      <c r="E191" s="2">
        <f>HYPERLINK("https://www.amazon.com/COUNTRY-FARMS-Prebiotic-Digestive-Regularity/dp/B0BB3FCFNT/ref=sr_1_1?keywords=Country+Farms+Fiber+Care+-+Fiber+Gummies%2C+240+Gummies&amp;qid=1695169825&amp;sr=8-1", "https://www.amazon.com/COUNTRY-FARMS-Prebiotic-Digestive-Regularity/dp/B0BB3FCFNT/ref=sr_1_1?keywords=Country+Farms+Fiber+Care+-+Fiber+Gummies%2C+240+Gummies&amp;qid=1695169825&amp;sr=8-1")</f>
        <v/>
      </c>
      <c r="F191" t="inlineStr">
        <is>
          <t>B0BB3FCFNT</t>
        </is>
      </c>
      <c r="G191">
        <f>_xludf.IMAGE("https://www.shelhealth.com/cdn/shop/files/country-farms-fiber-care-gummies-240-shelhealth-669.jpg?v=1685203967&amp;width=1946")</f>
        <v/>
      </c>
      <c r="H191">
        <f>_xludf.IMAGE("https://m.media-amazon.com/images/I/71Hb+TyhZ9L._AC_UL320_.jpg")</f>
        <v/>
      </c>
      <c r="K191" t="inlineStr">
        <is>
          <t>29.99</t>
        </is>
      </c>
      <c r="L191" t="n">
        <v>14.99</v>
      </c>
      <c r="M191" s="1" t="inlineStr">
        <is>
          <t>-50.02%</t>
        </is>
      </c>
      <c r="N191" s="3" t="n">
        <v>-50.02</v>
      </c>
      <c r="O191" t="n">
        <v>3.7</v>
      </c>
      <c r="P191" t="n">
        <v>78</v>
      </c>
      <c r="R191" t="inlineStr">
        <is>
          <t>OutOfStock</t>
        </is>
      </c>
      <c r="S191" t="inlineStr">
        <is>
          <t>29.99</t>
        </is>
      </c>
      <c r="T191" t="inlineStr">
        <is>
          <t>8157235380456</t>
        </is>
      </c>
    </row>
    <row r="192" hidden="1" ht="15.75" customHeight="1">
      <c r="A192" s="2">
        <f>HYPERLINK("https://www.shelhealth.com/products/lactaid-fast-act-lactose-intolerance-caplets-2-pk-60-ct", "https://www.shelhealth.com/products/lactaid-fast-act-lactose-intolerance-caplets-2-pk-60-ct")</f>
        <v/>
      </c>
      <c r="B192" s="2">
        <f>HYPERLINK("https://www.shelhealth.com/products/lactaid-fast-act-lactose-intolerance-caplets-2-pk-60-ct", "https://www.shelhealth.com/products/lactaid-fast-act-lactose-intolerance-caplets-2-pk-60-ct")</f>
        <v/>
      </c>
      <c r="C192" t="inlineStr">
        <is>
          <t>Lactaid Fast Act Lactose Intolerance Caplets, 2 pk./60 ct.</t>
        </is>
      </c>
      <c r="D192" t="inlineStr">
        <is>
          <t>Lactaid Fast Act Lactose Intolerance Relief Caplets, Lactase Enzyme to Prevent Gas, Bloating &amp; Diarrhea Due to Lactose Sensitivity, Supplements for Travel &amp; On-The-Go, 60 Packs of 1-ct.</t>
        </is>
      </c>
      <c r="E192" s="2">
        <f>HYPERLINK("https://www.amazon.com/Lactaid-Lactose-Intolerance-single-dose-pouches/dp/B0009RF9K0/ref=sr_1_3?keywords=Lactaid+Fast+Act+Lactose+Intolerance+Caplets%2C+2+pk.%2F60+ct.&amp;qid=1695169826&amp;sr=8-3", "https://www.amazon.com/Lactaid-Lactose-Intolerance-single-dose-pouches/dp/B0009RF9K0/ref=sr_1_3?keywords=Lactaid+Fast+Act+Lactose+Intolerance+Caplets%2C+2+pk.%2F60+ct.&amp;qid=1695169826&amp;sr=8-3")</f>
        <v/>
      </c>
      <c r="F192" t="inlineStr">
        <is>
          <t>B0009RF9K0</t>
        </is>
      </c>
      <c r="G192">
        <f>_xludf.IMAGE("https://www.shelhealth.com/cdn/shop/files/lactaid-fast-act-lactose-intolerance-caplets-2-pk-60-ct-health-beautymedicine-cabinet-shelhealth-719.jpg?v=1686282690&amp;width=1946")</f>
        <v/>
      </c>
      <c r="H192">
        <f>_xludf.IMAGE("https://m.media-amazon.com/images/I/71AD7620eoL._AC_UL320_.jpg")</f>
        <v/>
      </c>
      <c r="K192" t="inlineStr">
        <is>
          <t>32.99</t>
        </is>
      </c>
      <c r="L192" t="n">
        <v>14.12</v>
      </c>
      <c r="M192" s="1" t="inlineStr">
        <is>
          <t>-57.20%</t>
        </is>
      </c>
      <c r="N192" s="3" t="n">
        <v>-57.2</v>
      </c>
      <c r="O192" t="n">
        <v>4.8</v>
      </c>
      <c r="P192" t="n">
        <v>15494</v>
      </c>
      <c r="R192" t="inlineStr">
        <is>
          <t>InStock</t>
        </is>
      </c>
      <c r="S192" t="inlineStr">
        <is>
          <t>32.99</t>
        </is>
      </c>
      <c r="T192" t="inlineStr">
        <is>
          <t>4158679351348</t>
        </is>
      </c>
    </row>
    <row r="193" hidden="1" ht="15.75" customHeight="1">
      <c r="A193" s="2">
        <f>HYPERLINK("https://www.shelhealth.com/products/metamucil-fiber-3-in-1-psyllium-husk-capsules-supplement-650-count", "https://www.shelhealth.com/products/metamucil-fiber-3-in-1-psyllium-husk-capsules-supplement-650-count")</f>
        <v/>
      </c>
      <c r="B193" s="2">
        <f>HYPERLINK("https://www.shelhealth.com/products/metamucil-fiber-3-in-1-psyllium-husk-capsules-supplement-650-count", "https://www.shelhealth.com/products/metamucil-fiber-3-in-1-psyllium-husk-capsules-supplement-650-count")</f>
        <v/>
      </c>
      <c r="C193" t="inlineStr">
        <is>
          <t>Metamucil Fiber, 3-in-1 Psyllium Husk Capsules Supplement, 650 Count</t>
        </is>
      </c>
      <c r="D193" t="inlineStr">
        <is>
          <t>NatureBell Psyllium Husk Capsules 1500mg Per Serving, 360 Count, 3 in 1 Fiber with Inulin &amp; Chia Seed – Daily Soluble Fiber for Gut Health – Plant Based Herbal Fiber Supplement, Non-GMO, Gluten Free</t>
        </is>
      </c>
      <c r="E193" s="2">
        <f>HYPERLINK("https://www.amazon.com/NatureBell-Psyllium-Capsules-1500mg-Serving/dp/B0BKR53C6Z/ref=sr_1_3?keywords=Metamucil+Fiber%2C+3-in-1+Psyllium+Husk+Capsules+Supplement%2C+650+Count&amp;qid=1695169840&amp;sr=8-3", "https://www.amazon.com/NatureBell-Psyllium-Capsules-1500mg-Serving/dp/B0BKR53C6Z/ref=sr_1_3?keywords=Metamucil+Fiber%2C+3-in-1+Psyllium+Husk+Capsules+Supplement%2C+650+Count&amp;qid=1695169840&amp;sr=8-3")</f>
        <v/>
      </c>
      <c r="F193" t="inlineStr">
        <is>
          <t>B0BKR53C6Z</t>
        </is>
      </c>
      <c r="G193">
        <f>_xludf.IMAGE("https://www.shelhealth.com/cdn/shop/products/metamucil-fiber-3-in-1-psyllium-husk-capsules-supplement-650-count-shelhealth-790.jpg?v=1663369993&amp;width=1946")</f>
        <v/>
      </c>
      <c r="H193">
        <f>_xludf.IMAGE("https://m.media-amazon.com/images/I/81UrjXzQxfL._AC_UL320_.jpg")</f>
        <v/>
      </c>
      <c r="K193" t="inlineStr">
        <is>
          <t>46.99</t>
        </is>
      </c>
      <c r="L193" t="n">
        <v>18.95</v>
      </c>
      <c r="M193" s="1" t="inlineStr">
        <is>
          <t>-59.67%</t>
        </is>
      </c>
      <c r="N193" s="3" t="n">
        <v>-59.67</v>
      </c>
      <c r="O193" t="n">
        <v>4.5</v>
      </c>
      <c r="P193" t="n">
        <v>458</v>
      </c>
      <c r="R193" t="inlineStr">
        <is>
          <t>OutOfStock</t>
        </is>
      </c>
      <c r="S193" t="inlineStr">
        <is>
          <t>46.99</t>
        </is>
      </c>
      <c r="T193" t="inlineStr">
        <is>
          <t>4657563304025</t>
        </is>
      </c>
    </row>
    <row r="194" hidden="1" ht="15.75" customHeight="1">
      <c r="A194" s="2">
        <f>HYPERLINK("https://www.shelhealth.com/products/align-daily-probiotic-supplement-capsules-84-count", "https://www.shelhealth.com/products/align-daily-probiotic-supplement-capsules-84-count")</f>
        <v/>
      </c>
      <c r="B194" s="2">
        <f>HYPERLINK("https://www.shelhealth.com/products/align-daily-probiotic-supplement-capsules-84-count", "https://www.shelhealth.com/products/align-daily-probiotic-supplement-capsules-84-count")</f>
        <v/>
      </c>
      <c r="C194" t="inlineStr">
        <is>
          <t>Align Daily Probiotic Supplement Capsules, 84 Count</t>
        </is>
      </c>
      <c r="D194" t="inlineStr">
        <is>
          <t>Align Probiotics, Probiotic Supplement for Daily Digestive Health, 28 capsules, #1 Recommended Probiotic by Gastroenterologists (Packaging May Vary)</t>
        </is>
      </c>
      <c r="E194" s="2">
        <f>HYPERLINK("https://www.amazon.com/Align-Probiotic-Supplement-count-Packaging/dp/B00I3MTF9E/ref=sr_1_7?keywords=Align+Daily+Probiotic+Supplement+Capsules%2C+84+Count&amp;qid=1695169825&amp;sr=8-7", "https://www.amazon.com/Align-Probiotic-Supplement-count-Packaging/dp/B00I3MTF9E/ref=sr_1_7?keywords=Align+Daily+Probiotic+Supplement+Capsules%2C+84+Count&amp;qid=1695169825&amp;sr=8-7")</f>
        <v/>
      </c>
      <c r="F194" t="inlineStr">
        <is>
          <t>B00I3MTF9E</t>
        </is>
      </c>
      <c r="G194">
        <f>_xludf.IMAGE("https://www.shelhealth.com/cdn/shop/products/align-daily-probiotic-supplement-capsules-84-count-shelhealth-463.jpg?v=1663337932&amp;width=1946")</f>
        <v/>
      </c>
      <c r="H194">
        <f>_xludf.IMAGE("https://m.media-amazon.com/images/I/61oBMtUAYhL._AC_UL320_.jpg")</f>
        <v/>
      </c>
      <c r="K194" t="inlineStr">
        <is>
          <t>77.99</t>
        </is>
      </c>
      <c r="L194" t="n">
        <v>25.99</v>
      </c>
      <c r="M194" s="1" t="inlineStr">
        <is>
          <t>-66.68%</t>
        </is>
      </c>
      <c r="N194" s="3" t="n">
        <v>-66.68000000000001</v>
      </c>
      <c r="O194" t="n">
        <v>4.7</v>
      </c>
      <c r="P194" t="n">
        <v>17767</v>
      </c>
      <c r="R194" t="inlineStr">
        <is>
          <t>InStock</t>
        </is>
      </c>
      <c r="S194" t="inlineStr">
        <is>
          <t>77.99</t>
        </is>
      </c>
      <c r="T194" t="inlineStr">
        <is>
          <t>3781952012340</t>
        </is>
      </c>
    </row>
    <row r="195" hidden="1" ht="15.75" customHeight="1">
      <c r="A195" s="2">
        <f>HYPERLINK("https://www.shelhealth.com/products/beano-food-enzyme-dietary-supplement-help-digest-gas-causing-foods-150-tablets", "https://www.shelhealth.com/products/beano-food-enzyme-dietary-supplement-help-digest-gas-causing-foods-150-tablets")</f>
        <v/>
      </c>
      <c r="B195" s="2">
        <f>HYPERLINK("https://www.shelhealth.com/products/beano-food-enzyme-dietary-supplement-help-digest-gas-causing-foods-150-tablets", "https://www.shelhealth.com/products/beano-food-enzyme-dietary-supplement-help-digest-gas-causing-foods-150-tablets")</f>
        <v/>
      </c>
      <c r="C195" t="inlineStr">
        <is>
          <t>Beano Food Enzyme Dietary Supplement | Help Digest Gas-Causing Foods | 150 Tablets</t>
        </is>
      </c>
      <c r="D195" t="inlineStr">
        <is>
          <t>beano To Go Gas Prevention, Food Enzyme Dietary Supplement, Help Digest Gas-Causing Foods, 12 Tablets</t>
        </is>
      </c>
      <c r="E195" s="2">
        <f>HYPERLINK("https://www.amazon.com/Prevention-Dietary-Supplement-Gas-Causing-Tablets/dp/B00I7L4WIA/ref=sr_1_4?keywords=Beano+Food+Enzyme+Dietary+Supplement+%7C+Help+Digest+Gas-Causing+Foods+%7C+150+Tablets&amp;qid=1695169830&amp;rdc=1&amp;sr=8-4", "https://www.amazon.com/Prevention-Dietary-Supplement-Gas-Causing-Tablets/dp/B00I7L4WIA/ref=sr_1_4?keywords=Beano+Food+Enzyme+Dietary+Supplement+%7C+Help+Digest+Gas-Causing+Foods+%7C+150+Tablets&amp;qid=1695169830&amp;rdc=1&amp;sr=8-4")</f>
        <v/>
      </c>
      <c r="F195" t="inlineStr">
        <is>
          <t>B00I7L4WIA</t>
        </is>
      </c>
      <c r="G195">
        <f>_xludf.IMAGE("https://www.shelhealth.com/cdn/shop/products/beano-food-enzyme-dietary-supplement-help-digest-gas-causing-foods-150-tablets-shelhealth-900.jpg?v=1663353738&amp;width=1946")</f>
        <v/>
      </c>
      <c r="H195">
        <f>_xludf.IMAGE("https://m.media-amazon.com/images/I/612rnt16MIL._AC_UL320_.jpg")</f>
        <v/>
      </c>
      <c r="K195" t="inlineStr">
        <is>
          <t>20.99</t>
        </is>
      </c>
      <c r="L195" t="n">
        <v>6.49</v>
      </c>
      <c r="M195" s="1" t="inlineStr">
        <is>
          <t>-69.08%</t>
        </is>
      </c>
      <c r="N195" s="3" t="n">
        <v>-69.08</v>
      </c>
      <c r="O195" t="n">
        <v>4.5</v>
      </c>
      <c r="P195" t="n">
        <v>1734</v>
      </c>
      <c r="R195" t="inlineStr">
        <is>
          <t>InStock</t>
        </is>
      </c>
      <c r="S195" t="inlineStr">
        <is>
          <t>20.99</t>
        </is>
      </c>
      <c r="T195" t="inlineStr">
        <is>
          <t>4163590684724</t>
        </is>
      </c>
    </row>
    <row r="196" hidden="1" ht="15.75" customHeight="1">
      <c r="A196" s="2">
        <f>HYPERLINK("https://www.shelhealth.com/products/lactaid-fast-act-lactose-intolerance-caplets-2-pk-60-ct", "https://www.shelhealth.com/products/lactaid-fast-act-lactose-intolerance-caplets-2-pk-60-ct")</f>
        <v/>
      </c>
      <c r="B196" s="2">
        <f>HYPERLINK("https://www.shelhealth.com/products/lactaid-fast-act-lactose-intolerance-caplets-2-pk-60-ct", "https://www.shelhealth.com/products/lactaid-fast-act-lactose-intolerance-caplets-2-pk-60-ct")</f>
        <v/>
      </c>
      <c r="C196" t="inlineStr">
        <is>
          <t>Lactaid Fast Act Lactose Intolerance Caplets, 2 pk./60 ct.</t>
        </is>
      </c>
      <c r="D196" t="inlineStr">
        <is>
          <t>Lactaid Fast Act Lactose Intolerance Relief Caplets with Lactase Enzyme, 32 Travel Packs of 1-ct.</t>
        </is>
      </c>
      <c r="E196" s="2">
        <f>HYPERLINK("https://www.amazon.com/Lactaid-Lactose-Intolerance-Lactase-single-dose/dp/B001B24ZN4/ref=sr_1_1?keywords=Lactaid+Fast+Act+Lactose+Intolerance+Caplets%2C+2+pk.%2F60+ct.&amp;qid=1695169826&amp;rdc=1&amp;sr=8-1", "https://www.amazon.com/Lactaid-Lactose-Intolerance-Lactase-single-dose/dp/B001B24ZN4/ref=sr_1_1?keywords=Lactaid+Fast+Act+Lactose+Intolerance+Caplets%2C+2+pk.%2F60+ct.&amp;qid=1695169826&amp;rdc=1&amp;sr=8-1")</f>
        <v/>
      </c>
      <c r="F196" t="inlineStr">
        <is>
          <t>B001B24ZN4</t>
        </is>
      </c>
      <c r="G196">
        <f>_xludf.IMAGE("https://www.shelhealth.com/cdn/shop/files/lactaid-fast-act-lactose-intolerance-caplets-2-pk-60-ct-health-beautymedicine-cabinet-shelhealth-719.jpg?v=1686282690&amp;width=1946")</f>
        <v/>
      </c>
      <c r="H196">
        <f>_xludf.IMAGE("https://m.media-amazon.com/images/I/81cEHaB5aJL._AC_UL320_.jpg")</f>
        <v/>
      </c>
      <c r="K196" t="inlineStr">
        <is>
          <t>32.99</t>
        </is>
      </c>
      <c r="L196" t="n">
        <v>10.18</v>
      </c>
      <c r="M196" s="1" t="inlineStr">
        <is>
          <t>-69.14%</t>
        </is>
      </c>
      <c r="N196" s="3" t="n">
        <v>-69.14</v>
      </c>
      <c r="O196" t="n">
        <v>4.7</v>
      </c>
      <c r="P196" t="n">
        <v>3692</v>
      </c>
      <c r="R196" t="inlineStr">
        <is>
          <t>InStock</t>
        </is>
      </c>
      <c r="S196" t="inlineStr">
        <is>
          <t>32.99</t>
        </is>
      </c>
      <c r="T196" t="inlineStr">
        <is>
          <t>4158679351348</t>
        </is>
      </c>
    </row>
    <row r="197" hidden="1" ht="15.75" customHeight="1">
      <c r="A197" s="2">
        <f>HYPERLINK("https://www.shelhealth.com/products/beano-food-enzyme-dietary-supplement-help-digest-gas-causing-foods-150-tablets", "https://www.shelhealth.com/products/beano-food-enzyme-dietary-supplement-help-digest-gas-causing-foods-150-tablets")</f>
        <v/>
      </c>
      <c r="B197" s="2">
        <f>HYPERLINK("https://www.shelhealth.com/products/beano-food-enzyme-dietary-supplement-help-digest-gas-causing-foods-150-tablets", "https://www.shelhealth.com/products/beano-food-enzyme-dietary-supplement-help-digest-gas-causing-foods-150-tablets")</f>
        <v/>
      </c>
      <c r="C197" t="inlineStr">
        <is>
          <t>Beano Food Enzyme Dietary Supplement | Help Digest Gas-Causing Foods | 150 Tablets</t>
        </is>
      </c>
      <c r="D197" t="inlineStr">
        <is>
          <t>beano Ultra 800 Gas Prevention, Food Enzyme Dietary Supplement, Help Digest Gas-Causing Foods, 30 Tablets</t>
        </is>
      </c>
      <c r="E197" s="2">
        <f>HYPERLINK("https://www.amazon.com/Prevention-Bloating-Relief-Tablets-Packaging/dp/B00ANL4WDC/ref=sr_1_1?keywords=Beano+Food+Enzyme+Dietary+Supplement+%7C+Help+Digest+Gas-Causing+Foods+%7C+150+Tablets&amp;qid=1695169830&amp;sr=8-1", "https://www.amazon.com/Prevention-Bloating-Relief-Tablets-Packaging/dp/B00ANL4WDC/ref=sr_1_1?keywords=Beano+Food+Enzyme+Dietary+Supplement+%7C+Help+Digest+Gas-Causing+Foods+%7C+150+Tablets&amp;qid=1695169830&amp;sr=8-1")</f>
        <v/>
      </c>
      <c r="F197" t="inlineStr">
        <is>
          <t>B00ANL4WDC</t>
        </is>
      </c>
      <c r="G197">
        <f>_xludf.IMAGE("https://www.shelhealth.com/cdn/shop/products/beano-food-enzyme-dietary-supplement-help-digest-gas-causing-foods-150-tablets-shelhealth-900.jpg?v=1663353738&amp;width=1946")</f>
        <v/>
      </c>
      <c r="H197">
        <f>_xludf.IMAGE("https://m.media-amazon.com/images/I/712nAagq9HL._AC_UL320_.jpg")</f>
        <v/>
      </c>
      <c r="K197" t="inlineStr">
        <is>
          <t>20.99</t>
        </is>
      </c>
      <c r="L197" t="n">
        <v>5.28</v>
      </c>
      <c r="M197" s="1" t="inlineStr">
        <is>
          <t>-74.85%</t>
        </is>
      </c>
      <c r="N197" s="3" t="n">
        <v>-74.84999999999999</v>
      </c>
      <c r="O197" t="n">
        <v>4.6</v>
      </c>
      <c r="P197" t="n">
        <v>15485</v>
      </c>
      <c r="R197" t="inlineStr">
        <is>
          <t>InStock</t>
        </is>
      </c>
      <c r="S197" t="inlineStr">
        <is>
          <t>20.99</t>
        </is>
      </c>
      <c r="T197" t="inlineStr">
        <is>
          <t>4163590684724</t>
        </is>
      </c>
    </row>
    <row r="198" ht="75" customHeight="1">
      <c r="A198" s="2">
        <f>HYPERLINK("https://www.shelhealth.com/products/801541107612-organic-india-psyllium-organic-whole-husk-fiber-12-oz", "https://www.shelhealth.com/products/801541107612-organic-india-psyllium-organic-whole-husk-fiber-12-oz")</f>
        <v/>
      </c>
      <c r="B198" s="2">
        <f>HYPERLINK("https://www.shelhealth.com/products/801541107612-organic-india-psyllium-organic-whole-husk-fiber-12-oz", "https://www.shelhealth.com/products/801541107612-organic-india-psyllium-organic-whole-husk-fiber-12-oz")</f>
        <v/>
      </c>
      <c r="C198" t="inlineStr">
        <is>
          <t>Organic India Psyllium Organic Whole Husk Fiber, 12 Oz</t>
        </is>
      </c>
      <c r="D198" t="inlineStr">
        <is>
          <t>ORGANIC INDIA Psyllium Herbal Powder - Whole Husk Fiber, Healthy Elimination, Keto Friendly, Vegan, Gluten-Free, USDA Certified Organic, Non-GMO, Soluble &amp; Insoluble Fiber - 12 oz Canister, 6 Pack</t>
        </is>
      </c>
      <c r="E198" s="2">
        <f>HYPERLINK("https://www.amazon.com/Fiber-Harmony-Organic-Psyllium-Whole/dp/B001E0VJ7S/ref=sr_1_4?keywords=Organic+India+Psyllium+Organic+Whole+Husk+Fiber%2C+12+Oz&amp;qid=1695169876&amp;sr=8-4", "https://www.amazon.com/Fiber-Harmony-Organic-Psyllium-Whole/dp/B001E0VJ7S/ref=sr_1_4?keywords=Organic+India+Psyllium+Organic+Whole+Husk+Fiber%2C+12+Oz&amp;qid=1695169876&amp;sr=8-4")</f>
        <v/>
      </c>
      <c r="F198" t="inlineStr">
        <is>
          <t>B001E0VJ7S</t>
        </is>
      </c>
      <c r="G198">
        <f>_xlfn.IMAGE("https://www.shelhealth.com/cdn/shop/files/organic-india-psyllium-whole-husk-fiber-12-oz-vitamins-supplements-shelhealth-515.jpg?v=1693360502&amp;width=1946")</f>
        <v/>
      </c>
      <c r="H198">
        <f>_xlfn.IMAGE("https://m.media-amazon.com/images/I/81e4WpohHhL._AC_UL320_.jpg")</f>
        <v/>
      </c>
      <c r="K198" t="inlineStr">
        <is>
          <t>20.99</t>
        </is>
      </c>
      <c r="L198" t="n">
        <v>119.94</v>
      </c>
      <c r="M198" s="1" t="inlineStr">
        <is>
          <t>471.41%</t>
        </is>
      </c>
      <c r="N198" s="3" t="n">
        <v>471.41</v>
      </c>
      <c r="O198" t="n">
        <v>4.6</v>
      </c>
      <c r="P198" t="n">
        <v>972</v>
      </c>
      <c r="R198" t="inlineStr">
        <is>
          <t>OutOfStock</t>
        </is>
      </c>
      <c r="S198" t="inlineStr">
        <is>
          <t>20.99</t>
        </is>
      </c>
      <c r="T198" t="inlineStr">
        <is>
          <t>7241906356412</t>
        </is>
      </c>
    </row>
    <row r="199" ht="75" customHeight="1">
      <c r="A199" s="2">
        <f>HYPERLINK("https://www.shelhealth.com/products/850021635060-organic-india-organic-psyllium-fiber-180-vc", "https://www.shelhealth.com/products/850021635060-organic-india-organic-psyllium-fiber-180-vc")</f>
        <v/>
      </c>
      <c r="B199" s="2">
        <f>HYPERLINK("https://www.shelhealth.com/products/850021635060-organic-india-organic-psyllium-fiber-180-vc", "https://www.shelhealth.com/products/850021635060-organic-india-organic-psyllium-fiber-180-vc")</f>
        <v/>
      </c>
      <c r="C199" t="inlineStr">
        <is>
          <t>ORGANIC INDIA Organic Psyllium Fiber, 180 vc</t>
        </is>
      </c>
      <c r="D199" t="inlineStr">
        <is>
          <t>Organic India Psyllium Herbal Powder - Whole Husk Fiber, Healthy Elimination, Keto Friendly, Vegan, Gluten-Free, USDA Certified Organic, Non-GMO, Soluble &amp; Insoluble Fiber Source - 12 Oz Canister (Pack of 2)</t>
        </is>
      </c>
      <c r="E199" s="2">
        <f>HYPERLINK("https://www.amazon.com/Organic-India-Whole-Psyllium-12-Ounce/dp/B00JDOAKRM/ref=sr_1_6?keywords=ORGANIC+INDIA+Organic+Psyllium+Fiber%2C+180+vc&amp;qid=1695169873&amp;sr=8-6", "https://www.amazon.com/Organic-India-Whole-Psyllium-12-Ounce/dp/B00JDOAKRM/ref=sr_1_6?keywords=ORGANIC+INDIA+Organic+Psyllium+Fiber%2C+180+vc&amp;qid=1695169873&amp;sr=8-6")</f>
        <v/>
      </c>
      <c r="F199" t="inlineStr">
        <is>
          <t>B00JDOAKRM</t>
        </is>
      </c>
      <c r="G199">
        <f>_xlfn.IMAGE("https://www.shelhealth.com/cdn/shop/files/organic-india-psyllium-fiber-180-vc-vitamins-supplements-shelhealth-258.jpg?v=1688713495&amp;width=1946")</f>
        <v/>
      </c>
      <c r="H199">
        <f>_xlfn.IMAGE("https://m.media-amazon.com/images/I/71mleGyTIdL._AC_UL320_.jpg")</f>
        <v/>
      </c>
      <c r="K199" t="inlineStr">
        <is>
          <t>16.99</t>
        </is>
      </c>
      <c r="L199" t="n">
        <v>64.5</v>
      </c>
      <c r="M199" s="1" t="inlineStr">
        <is>
          <t>279.64%</t>
        </is>
      </c>
      <c r="N199" s="3" t="n">
        <v>279.64</v>
      </c>
      <c r="O199" t="n">
        <v>4.6</v>
      </c>
      <c r="P199" t="n">
        <v>2408</v>
      </c>
      <c r="R199" t="inlineStr">
        <is>
          <t>InStock</t>
        </is>
      </c>
      <c r="S199" t="inlineStr">
        <is>
          <t>16.99</t>
        </is>
      </c>
      <c r="T199" t="inlineStr">
        <is>
          <t>7574241837288</t>
        </is>
      </c>
    </row>
    <row r="200" ht="75" customHeight="1">
      <c r="A200" s="2">
        <f>HYPERLINK("https://www.shelhealth.com/products/kirkland-signature-stool-softener-100-mg-400-softgels", "https://www.shelhealth.com/products/kirkland-signature-stool-softener-100-mg-400-softgels")</f>
        <v/>
      </c>
      <c r="B200" s="2">
        <f>HYPERLINK("https://www.shelhealth.com/products/kirkland-signature-stool-softener-100-mg-400-softgels", "https://www.shelhealth.com/products/kirkland-signature-stool-softener-100-mg-400-softgels")</f>
        <v/>
      </c>
      <c r="C200" t="inlineStr">
        <is>
          <t>Kirkland Signature Stool Softener 100 mg, 400 Softgels</t>
        </is>
      </c>
      <c r="D200" t="inlineStr">
        <is>
          <t>Kirkland Signature Stool Softener Docusate Sodium 100 Mg 400 SoftGels (Pack of 3)</t>
        </is>
      </c>
      <c r="E200" s="2">
        <f>HYPERLINK("https://www.amazon.com/Kirkland-Signature-Softener-Docusate-SoftGels/dp/B00POFYH64/ref=sr_1_10?keywords=Kirkland+Signature+Stool+Softener+100+mg%2C+400+Softgels&amp;qid=1695169865&amp;sr=8-10", "https://www.amazon.com/Kirkland-Signature-Softener-Docusate-SoftGels/dp/B00POFYH64/ref=sr_1_10?keywords=Kirkland+Signature+Stool+Softener+100+mg%2C+400+Softgels&amp;qid=1695169865&amp;sr=8-10")</f>
        <v/>
      </c>
      <c r="F200" t="inlineStr">
        <is>
          <t>B00POFYH64</t>
        </is>
      </c>
      <c r="G200">
        <f>_xlfn.IMAGE("https://www.shelhealth.com/cdn/shop/products/kirkland-signature-stool-softener-100-mg-400-softgels-shelhealth-672.jpg?v=1663337437&amp;width=1946")</f>
        <v/>
      </c>
      <c r="H200">
        <f>_xlfn.IMAGE("https://m.media-amazon.com/images/I/71xpKG5IXYL._AC_UL320_.jpg")</f>
        <v/>
      </c>
      <c r="K200" t="inlineStr">
        <is>
          <t>9.99</t>
        </is>
      </c>
      <c r="L200" t="n">
        <v>32.1</v>
      </c>
      <c r="M200" s="1" t="inlineStr">
        <is>
          <t>221.32%</t>
        </is>
      </c>
      <c r="N200" s="3" t="n">
        <v>221.32</v>
      </c>
      <c r="O200" t="n">
        <v>4</v>
      </c>
      <c r="P200" t="n">
        <v>2</v>
      </c>
      <c r="R200" t="inlineStr">
        <is>
          <t>InStock</t>
        </is>
      </c>
      <c r="S200" t="inlineStr">
        <is>
          <t>9.99</t>
        </is>
      </c>
      <c r="T200" t="inlineStr">
        <is>
          <t>3773403037748</t>
        </is>
      </c>
    </row>
    <row r="201" ht="75" customHeight="1">
      <c r="A201" s="2">
        <f>HYPERLINK("https://www.shelhealth.com/products/801541107612-organic-india-psyllium-organic-whole-husk-fiber-12-oz", "https://www.shelhealth.com/products/801541107612-organic-india-psyllium-organic-whole-husk-fiber-12-oz")</f>
        <v/>
      </c>
      <c r="B201" s="2">
        <f>HYPERLINK("https://www.shelhealth.com/products/801541107612-organic-india-psyllium-organic-whole-husk-fiber-12-oz", "https://www.shelhealth.com/products/801541107612-organic-india-psyllium-organic-whole-husk-fiber-12-oz")</f>
        <v/>
      </c>
      <c r="C201" t="inlineStr">
        <is>
          <t>Organic India Psyllium Organic Whole Husk Fiber, 12 Oz</t>
        </is>
      </c>
      <c r="D201" t="inlineStr">
        <is>
          <t>Organic India Psyllium Herbal Powder - Whole Husk Fiber, Healthy Elimination, Keto Friendly, Vegan, Gluten-Free, USDA Certified Organic, Non-GMO, Soluble &amp; Insoluble Fiber Source - 12 Oz Canister (Pack of 2)</t>
        </is>
      </c>
      <c r="E201" s="2">
        <f>HYPERLINK("https://www.amazon.com/Organic-India-Whole-Psyllium-12-Ounce/dp/B00JDOAKRM/ref=sr_1_3?keywords=Organic+India+Psyllium+Organic+Whole+Husk+Fiber%2C+12+Oz&amp;qid=1695169876&amp;sr=8-3", "https://www.amazon.com/Organic-India-Whole-Psyllium-12-Ounce/dp/B00JDOAKRM/ref=sr_1_3?keywords=Organic+India+Psyllium+Organic+Whole+Husk+Fiber%2C+12+Oz&amp;qid=1695169876&amp;sr=8-3")</f>
        <v/>
      </c>
      <c r="F201" t="inlineStr">
        <is>
          <t>B00JDOAKRM</t>
        </is>
      </c>
      <c r="G201">
        <f>_xlfn.IMAGE("https://www.shelhealth.com/cdn/shop/files/organic-india-psyllium-whole-husk-fiber-12-oz-vitamins-supplements-shelhealth-515.jpg?v=1693360502&amp;width=1946")</f>
        <v/>
      </c>
      <c r="H201">
        <f>_xlfn.IMAGE("https://m.media-amazon.com/images/I/71mleGyTIdL._AC_UL320_.jpg")</f>
        <v/>
      </c>
      <c r="K201" t="inlineStr">
        <is>
          <t>20.99</t>
        </is>
      </c>
      <c r="L201" t="n">
        <v>64.5</v>
      </c>
      <c r="M201" s="1" t="inlineStr">
        <is>
          <t>207.29%</t>
        </is>
      </c>
      <c r="N201" s="3" t="n">
        <v>207.29</v>
      </c>
      <c r="O201" t="n">
        <v>4.6</v>
      </c>
      <c r="P201" t="n">
        <v>2408</v>
      </c>
      <c r="R201" t="inlineStr">
        <is>
          <t>OutOfStock</t>
        </is>
      </c>
      <c r="S201" t="inlineStr">
        <is>
          <t>20.99</t>
        </is>
      </c>
      <c r="T201" t="inlineStr">
        <is>
          <t>7241906356412</t>
        </is>
      </c>
    </row>
    <row r="202" ht="75" customHeight="1">
      <c r="A202" s="2">
        <f>HYPERLINK("https://www.shelhealth.com/products/kirkland-signature-stool-softener-100-mg-400-softgels", "https://www.shelhealth.com/products/kirkland-signature-stool-softener-100-mg-400-softgels")</f>
        <v/>
      </c>
      <c r="B202" s="2">
        <f>HYPERLINK("https://www.shelhealth.com/products/kirkland-signature-stool-softener-100-mg-400-softgels", "https://www.shelhealth.com/products/kirkland-signature-stool-softener-100-mg-400-softgels")</f>
        <v/>
      </c>
      <c r="C202" t="inlineStr">
        <is>
          <t>Kirkland Signature Stool Softener 100 mg, 400 Softgels</t>
        </is>
      </c>
      <c r="D202" t="inlineStr">
        <is>
          <t>Kirkland Signature 100 Mg Stool Softener, 400 Softgels (Pack of 3)</t>
        </is>
      </c>
      <c r="E202" s="2">
        <f>HYPERLINK("https://www.amazon.com/Kirkland-Signature-Stool-Softener-Softgels/dp/B01IROP25I/ref=sr_1_2?keywords=Kirkland+Signature+Stool+Softener+100+mg%2C+400+Softgels&amp;qid=1695169865&amp;sr=8-2", "https://www.amazon.com/Kirkland-Signature-Stool-Softener-Softgels/dp/B01IROP25I/ref=sr_1_2?keywords=Kirkland+Signature+Stool+Softener+100+mg%2C+400+Softgels&amp;qid=1695169865&amp;sr=8-2")</f>
        <v/>
      </c>
      <c r="F202" t="inlineStr">
        <is>
          <t>B01IROP25I</t>
        </is>
      </c>
      <c r="G202">
        <f>_xlfn.IMAGE("https://www.shelhealth.com/cdn/shop/products/kirkland-signature-stool-softener-100-mg-400-softgels-shelhealth-672.jpg?v=1663337437&amp;width=1946")</f>
        <v/>
      </c>
      <c r="H202">
        <f>_xlfn.IMAGE("https://m.media-amazon.com/images/I/71716NgBT3L._AC_UL320_.jpg")</f>
        <v/>
      </c>
      <c r="K202" t="inlineStr">
        <is>
          <t>9.99</t>
        </is>
      </c>
      <c r="L202" t="n">
        <v>28.1</v>
      </c>
      <c r="M202" s="1" t="inlineStr">
        <is>
          <t>181.28%</t>
        </is>
      </c>
      <c r="N202" s="3" t="n">
        <v>181.28</v>
      </c>
      <c r="O202" t="n">
        <v>4.7</v>
      </c>
      <c r="P202" t="n">
        <v>406</v>
      </c>
      <c r="R202" t="inlineStr">
        <is>
          <t>InStock</t>
        </is>
      </c>
      <c r="S202" t="inlineStr">
        <is>
          <t>9.99</t>
        </is>
      </c>
      <c r="T202" t="inlineStr">
        <is>
          <t>3773403037748</t>
        </is>
      </c>
    </row>
    <row r="203" ht="75" customHeight="1">
      <c r="A203" s="2">
        <f>HYPERLINK("https://www.shelhealth.com/products/kirkland-signature-fast-acting-lactase-180-caplets", "https://www.shelhealth.com/products/kirkland-signature-fast-acting-lactase-180-caplets")</f>
        <v/>
      </c>
      <c r="B203" s="2">
        <f>HYPERLINK("https://www.shelhealth.com/products/kirkland-signature-fast-acting-lactase-180-caplets", "https://www.shelhealth.com/products/kirkland-signature-fast-acting-lactase-180-caplets")</f>
        <v/>
      </c>
      <c r="C203" t="inlineStr">
        <is>
          <t>Kirkland Signature Fast Acting Lactase, 180 Caplets</t>
        </is>
      </c>
      <c r="D203" t="inlineStr">
        <is>
          <t>Kirkland Signature Fast Acting Lactase, Compare to Lactaid Fast Act (4 Pack) 720 Caplets</t>
        </is>
      </c>
      <c r="E203" s="2">
        <f>HYPERLINK("https://www.amazon.com/Kirkland-Signature-Lactase-Compare-Lactaid/dp/B0016JDZMO/ref=sr_1_6?keywords=Kirkland+Signature+Fast+Acting+Lactase%2C+180+Caplets&amp;qid=1695169867&amp;sr=8-6", "https://www.amazon.com/Kirkland-Signature-Lactase-Compare-Lactaid/dp/B0016JDZMO/ref=sr_1_6?keywords=Kirkland+Signature+Fast+Acting+Lactase%2C+180+Caplets&amp;qid=1695169867&amp;sr=8-6")</f>
        <v/>
      </c>
      <c r="F203" t="inlineStr">
        <is>
          <t>B0016JDZMO</t>
        </is>
      </c>
      <c r="G203">
        <f>_xlfn.IMAGE("https://www.shelhealth.com/cdn/shop/files/kirkland-signature-fast-acting-lactase-180-caplets-fiber-laxatives-shelhealth-157.jpg?v=1689975162&amp;width=1946")</f>
        <v/>
      </c>
      <c r="H203">
        <f>_xlfn.IMAGE("https://m.media-amazon.com/images/I/61NZmI+lPvL._AC_UL320_.jpg")</f>
        <v/>
      </c>
      <c r="K203" t="inlineStr">
        <is>
          <t>33.99</t>
        </is>
      </c>
      <c r="L203" t="n">
        <v>88.09999999999999</v>
      </c>
      <c r="M203" s="1" t="inlineStr">
        <is>
          <t>159.19%</t>
        </is>
      </c>
      <c r="N203" s="3" t="n">
        <v>159.19</v>
      </c>
      <c r="O203" t="n">
        <v>4.8</v>
      </c>
      <c r="P203" t="n">
        <v>52</v>
      </c>
      <c r="R203" t="inlineStr">
        <is>
          <t>InStock</t>
        </is>
      </c>
      <c r="S203" t="inlineStr">
        <is>
          <t>33.99</t>
        </is>
      </c>
      <c r="T203" t="inlineStr">
        <is>
          <t>3699421118516</t>
        </is>
      </c>
    </row>
    <row r="204" ht="75" customHeight="1">
      <c r="A204" s="2">
        <f>HYPERLINK("https://www.shelhealth.com/products/kirkland-signature-stool-softener-100-mg-400-softgels", "https://www.shelhealth.com/products/kirkland-signature-stool-softener-100-mg-400-softgels")</f>
        <v/>
      </c>
      <c r="B204" s="2">
        <f>HYPERLINK("https://www.shelhealth.com/products/kirkland-signature-stool-softener-100-mg-400-softgels", "https://www.shelhealth.com/products/kirkland-signature-stool-softener-100-mg-400-softgels")</f>
        <v/>
      </c>
      <c r="C204" t="inlineStr">
        <is>
          <t>Kirkland Signature Stool Softener 100 mg, 400 Softgels</t>
        </is>
      </c>
      <c r="D204" t="inlineStr">
        <is>
          <t>Kirkland Signature 100 Mg Stool Softener, 400 Softgels, 2 Pack</t>
        </is>
      </c>
      <c r="E204" s="2">
        <f>HYPERLINK("https://www.amazon.com/Kirkland-Signature-Stool-Softener-Softgels/dp/B079J15D1Z/ref=sr_1_7?keywords=Kirkland+Signature+Stool+Softener+100+mg%2C+400+Softgels&amp;qid=1695169865&amp;sr=8-7", "https://www.amazon.com/Kirkland-Signature-Stool-Softener-Softgels/dp/B079J15D1Z/ref=sr_1_7?keywords=Kirkland+Signature+Stool+Softener+100+mg%2C+400+Softgels&amp;qid=1695169865&amp;sr=8-7")</f>
        <v/>
      </c>
      <c r="F204" t="inlineStr">
        <is>
          <t>B079J15D1Z</t>
        </is>
      </c>
      <c r="G204">
        <f>_xlfn.IMAGE("https://www.shelhealth.com/cdn/shop/products/kirkland-signature-stool-softener-100-mg-400-softgels-shelhealth-672.jpg?v=1663337437&amp;width=1946")</f>
        <v/>
      </c>
      <c r="H204">
        <f>_xlfn.IMAGE("https://m.media-amazon.com/images/I/71XNgL3eqCL._AC_UL320_.jpg")</f>
        <v/>
      </c>
      <c r="K204" t="inlineStr">
        <is>
          <t>9.99</t>
        </is>
      </c>
      <c r="L204" t="n">
        <v>24.42</v>
      </c>
      <c r="M204" s="1" t="inlineStr">
        <is>
          <t>144.44%</t>
        </is>
      </c>
      <c r="N204" s="3" t="n">
        <v>144.44</v>
      </c>
      <c r="O204" t="n">
        <v>5</v>
      </c>
      <c r="P204" t="n">
        <v>3</v>
      </c>
      <c r="R204" t="inlineStr">
        <is>
          <t>InStock</t>
        </is>
      </c>
      <c r="S204" t="inlineStr">
        <is>
          <t>9.99</t>
        </is>
      </c>
      <c r="T204" t="inlineStr">
        <is>
          <t>3773403037748</t>
        </is>
      </c>
    </row>
    <row r="205" ht="75" customHeight="1">
      <c r="A205" s="2">
        <f>HYPERLINK("https://www.shelhealth.com/products/kirkland-signature-stool-softener-100-mg-400-softgels", "https://www.shelhealth.com/products/kirkland-signature-stool-softener-100-mg-400-softgels")</f>
        <v/>
      </c>
      <c r="B205" s="2">
        <f>HYPERLINK("https://www.shelhealth.com/products/kirkland-signature-stool-softener-100-mg-400-softgels", "https://www.shelhealth.com/products/kirkland-signature-stool-softener-100-mg-400-softgels")</f>
        <v/>
      </c>
      <c r="C205" t="inlineStr">
        <is>
          <t>Kirkland Signature Stool Softener 100 mg, 400 Softgels</t>
        </is>
      </c>
      <c r="D205" t="inlineStr">
        <is>
          <t>Kirkland Signature JAKLAHQ Stool Softener, 400 Softgels, 2 Pack</t>
        </is>
      </c>
      <c r="E205" s="2">
        <f>HYPERLINK("https://www.amazon.com/Kirkland-Signature-JAKLAHQ-Softener-Softgels/dp/B07FLSWNT3/ref=sr_1_4?keywords=Kirkland+Signature+Stool+Softener+100+mg%2C+400+Softgels&amp;qid=1695169865&amp;sr=8-4", "https://www.amazon.com/Kirkland-Signature-JAKLAHQ-Softener-Softgels/dp/B07FLSWNT3/ref=sr_1_4?keywords=Kirkland+Signature+Stool+Softener+100+mg%2C+400+Softgels&amp;qid=1695169865&amp;sr=8-4")</f>
        <v/>
      </c>
      <c r="F205" t="inlineStr">
        <is>
          <t>B07FLSWNT3</t>
        </is>
      </c>
      <c r="G205">
        <f>_xlfn.IMAGE("https://www.shelhealth.com/cdn/shop/products/kirkland-signature-stool-softener-100-mg-400-softgels-shelhealth-672.jpg?v=1663337437&amp;width=1946")</f>
        <v/>
      </c>
      <c r="H205">
        <f>_xlfn.IMAGE("https://m.media-amazon.com/images/I/71mYwUglXeL._AC_UL320_.jpg")</f>
        <v/>
      </c>
      <c r="K205" t="inlineStr">
        <is>
          <t>9.99</t>
        </is>
      </c>
      <c r="L205" t="n">
        <v>21.81</v>
      </c>
      <c r="M205" s="1" t="inlineStr">
        <is>
          <t>118.32%</t>
        </is>
      </c>
      <c r="N205" s="3" t="n">
        <v>118.32</v>
      </c>
      <c r="O205" t="n">
        <v>4.8</v>
      </c>
      <c r="P205" t="n">
        <v>318</v>
      </c>
      <c r="R205" t="inlineStr">
        <is>
          <t>InStock</t>
        </is>
      </c>
      <c r="S205" t="inlineStr">
        <is>
          <t>9.99</t>
        </is>
      </c>
      <c r="T205" t="inlineStr">
        <is>
          <t>3773403037748</t>
        </is>
      </c>
    </row>
    <row r="206" ht="75" customHeight="1">
      <c r="A206" s="2">
        <f>HYPERLINK("https://www.shelhealth.com/products/kirkland-signature-stool-softener-100-mg-400-softgels", "https://www.shelhealth.com/products/kirkland-signature-stool-softener-100-mg-400-softgels")</f>
        <v/>
      </c>
      <c r="B206" s="2">
        <f>HYPERLINK("https://www.shelhealth.com/products/kirkland-signature-stool-softener-100-mg-400-softgels", "https://www.shelhealth.com/products/kirkland-signature-stool-softener-100-mg-400-softgels")</f>
        <v/>
      </c>
      <c r="C206" t="inlineStr">
        <is>
          <t>Kirkland Signature Stool Softener 100 mg, 400 Softgels</t>
        </is>
      </c>
      <c r="D206" t="inlineStr">
        <is>
          <t>Kirkland Signature Stool Softener Docusate Sodium 100 mg 400 Softgels (Pack of 2)</t>
        </is>
      </c>
      <c r="E206" s="2">
        <f>HYPERLINK("https://www.amazon.com/Kirkland-Signature-Softener-Docusate-Softgels/dp/B01FIARHN4/ref=sr_1_5?keywords=Kirkland+Signature+Stool+Softener+100+mg%2C+400+Softgels&amp;qid=1695169865&amp;sr=8-5", "https://www.amazon.com/Kirkland-Signature-Softener-Docusate-Softgels/dp/B01FIARHN4/ref=sr_1_5?keywords=Kirkland+Signature+Stool+Softener+100+mg%2C+400+Softgels&amp;qid=1695169865&amp;sr=8-5")</f>
        <v/>
      </c>
      <c r="F206" t="inlineStr">
        <is>
          <t>B01FIARHN4</t>
        </is>
      </c>
      <c r="G206">
        <f>_xlfn.IMAGE("https://www.shelhealth.com/cdn/shop/products/kirkland-signature-stool-softener-100-mg-400-softgels-shelhealth-672.jpg?v=1663337437&amp;width=1946")</f>
        <v/>
      </c>
      <c r="H206">
        <f>_xlfn.IMAGE("https://m.media-amazon.com/images/I/71xpKG5IXYL._AC_UL320_.jpg")</f>
        <v/>
      </c>
      <c r="K206" t="inlineStr">
        <is>
          <t>9.99</t>
        </is>
      </c>
      <c r="L206" t="n">
        <v>21.72</v>
      </c>
      <c r="M206" s="1" t="inlineStr">
        <is>
          <t>117.42%</t>
        </is>
      </c>
      <c r="N206" s="3" t="n">
        <v>117.42</v>
      </c>
      <c r="O206" t="n">
        <v>4.7</v>
      </c>
      <c r="P206" t="n">
        <v>30</v>
      </c>
      <c r="R206" t="inlineStr">
        <is>
          <t>InStock</t>
        </is>
      </c>
      <c r="S206" t="inlineStr">
        <is>
          <t>9.99</t>
        </is>
      </c>
      <c r="T206" t="inlineStr">
        <is>
          <t>3773403037748</t>
        </is>
      </c>
    </row>
    <row r="207" ht="75" customHeight="1">
      <c r="A207" s="2">
        <f>HYPERLINK("https://www.shelhealth.com/products/kirkland-signature-stool-softener-100-mg-400-softgels", "https://www.shelhealth.com/products/kirkland-signature-stool-softener-100-mg-400-softgels")</f>
        <v/>
      </c>
      <c r="B207" s="2">
        <f>HYPERLINK("https://www.shelhealth.com/products/kirkland-signature-stool-softener-100-mg-400-softgels", "https://www.shelhealth.com/products/kirkland-signature-stool-softener-100-mg-400-softgels")</f>
        <v/>
      </c>
      <c r="C207" t="inlineStr">
        <is>
          <t>Kirkland Signature Stool Softener 100 mg, 400 Softgels</t>
        </is>
      </c>
      <c r="D207" t="inlineStr">
        <is>
          <t>Kirkland Signature Stool Softener Docusate Sodium 100 Mg, 800 Softgels/2Bottle</t>
        </is>
      </c>
      <c r="E207" s="2">
        <f>HYPERLINK("https://www.amazon.com/Kirkland-Signature-Softener-Docusate-Softgels/dp/B01JUD2SNO/ref=sr_1_3?keywords=Kirkland+Signature+Stool+Softener+100+mg%2C+400+Softgels&amp;qid=1695169865&amp;sr=8-3", "https://www.amazon.com/Kirkland-Signature-Softener-Docusate-Softgels/dp/B01JUD2SNO/ref=sr_1_3?keywords=Kirkland+Signature+Stool+Softener+100+mg%2C+400+Softgels&amp;qid=1695169865&amp;sr=8-3")</f>
        <v/>
      </c>
      <c r="F207" t="inlineStr">
        <is>
          <t>B01JUD2SNO</t>
        </is>
      </c>
      <c r="G207">
        <f>_xlfn.IMAGE("https://www.shelhealth.com/cdn/shop/products/kirkland-signature-stool-softener-100-mg-400-softgels-shelhealth-672.jpg?v=1663337437&amp;width=1946")</f>
        <v/>
      </c>
      <c r="H207">
        <f>_xlfn.IMAGE("https://m.media-amazon.com/images/I/71xpKG5IXYL._AC_UL320_.jpg")</f>
        <v/>
      </c>
      <c r="K207" t="inlineStr">
        <is>
          <t>9.99</t>
        </is>
      </c>
      <c r="L207" t="n">
        <v>19.98</v>
      </c>
      <c r="M207" s="1" t="inlineStr">
        <is>
          <t>100.00%</t>
        </is>
      </c>
      <c r="N207" s="3" t="n">
        <v>100</v>
      </c>
      <c r="O207" t="n">
        <v>4.7</v>
      </c>
      <c r="P207" t="n">
        <v>1144</v>
      </c>
      <c r="R207" t="inlineStr">
        <is>
          <t>InStock</t>
        </is>
      </c>
      <c r="S207" t="inlineStr">
        <is>
          <t>9.99</t>
        </is>
      </c>
      <c r="T207" t="inlineStr">
        <is>
          <t>3773403037748</t>
        </is>
      </c>
    </row>
    <row r="208" ht="75" customHeight="1">
      <c r="A208" s="2">
        <f>HYPERLINK("https://www.shelhealth.com/products/alka-seltzer-original-antacid-and-analgesic-116-ct", "https://www.shelhealth.com/products/alka-seltzer-original-antacid-and-analgesic-116-ct")</f>
        <v/>
      </c>
      <c r="B208" s="2">
        <f>HYPERLINK("https://www.shelhealth.com/products/alka-seltzer-original-antacid-and-analgesic-116-ct", "https://www.shelhealth.com/products/alka-seltzer-original-antacid-and-analgesic-116-ct")</f>
        <v/>
      </c>
      <c r="C208" t="inlineStr">
        <is>
          <t>Alka-Seltzer Original Antacid and Analgesic - 116 ct.</t>
        </is>
      </c>
      <c r="D208" t="inlineStr">
        <is>
          <t>Alka-Seltzer Original Antacid and Analgesic (116 ct.) (Pack of 2)</t>
        </is>
      </c>
      <c r="E208" s="2">
        <f>HYPERLINK("https://www.amazon.com/Alka-Seltzer-Original-Antacid-Analgesic-pack/dp/B01LOXPLAA/ref=sr_1_1?keywords=Alka-Seltzer+Original+Antacid+and+Analgesic+-+116+ct.&amp;qid=1695169863&amp;sr=8-1", "https://www.amazon.com/Alka-Seltzer-Original-Antacid-Analgesic-pack/dp/B01LOXPLAA/ref=sr_1_1?keywords=Alka-Seltzer+Original+Antacid+and+Analgesic+-+116+ct.&amp;qid=1695169863&amp;sr=8-1")</f>
        <v/>
      </c>
      <c r="F208" t="inlineStr">
        <is>
          <t>B01LOXPLAA</t>
        </is>
      </c>
      <c r="G208">
        <f>_xlfn.IMAGE("https://www.shelhealth.com/cdn/shop/products/alka-seltzer-original-antacid-and-analgesic-116-ct-shelhealth-155.jpg?v=1663337946&amp;width=1946")</f>
        <v/>
      </c>
      <c r="H208">
        <f>_xlfn.IMAGE("https://m.media-amazon.com/images/I/71UgtTE8stL._AC_UL320_.jpg")</f>
        <v/>
      </c>
      <c r="K208" t="inlineStr">
        <is>
          <t>17.99</t>
        </is>
      </c>
      <c r="L208" t="n">
        <v>33.99</v>
      </c>
      <c r="M208" s="1" t="inlineStr">
        <is>
          <t>88.94%</t>
        </is>
      </c>
      <c r="N208" s="3" t="n">
        <v>88.94</v>
      </c>
      <c r="O208" t="n">
        <v>3.8</v>
      </c>
      <c r="P208" t="n">
        <v>36</v>
      </c>
      <c r="R208" t="inlineStr">
        <is>
          <t>InStock</t>
        </is>
      </c>
      <c r="S208" t="inlineStr">
        <is>
          <t>17.99</t>
        </is>
      </c>
      <c r="T208" t="inlineStr">
        <is>
          <t>3781954601012</t>
        </is>
      </c>
    </row>
    <row r="209" ht="75" customHeight="1">
      <c r="A209" s="2">
        <f>HYPERLINK("https://www.shelhealth.com/products/810048610327-yum-vs-prebiotic-fiber-zero-gummy-60-ea", "https://www.shelhealth.com/products/810048610327-yum-vs-prebiotic-fiber-zero-gummy-60-ea")</f>
        <v/>
      </c>
      <c r="B209" s="2">
        <f>HYPERLINK("https://www.shelhealth.com/products/810048610327-yum-vs-prebiotic-fiber-zero-gummy-60-ea", "https://www.shelhealth.com/products/810048610327-yum-vs-prebiotic-fiber-zero-gummy-60-ea")</f>
        <v/>
      </c>
      <c r="C209" t="inlineStr">
        <is>
          <t>Yum Vs Prebiotic Fiber Zero Gummy, 60 Ea</t>
        </is>
      </c>
      <c r="D209" t="inlineStr">
        <is>
          <t>Prebiotic Fiber Zero Gummies by YumVs | Keto Friendly Sugar Free Supplement for Women &amp; Men | 4 g Fiber for Digestive Support | Natural Berry Flavor Chewables-60 Count (Pack of 2)</t>
        </is>
      </c>
      <c r="E209" s="2">
        <f>HYPERLINK("https://www.amazon.com/Prebiotic-Friendly-Supplement-Digestive-Chewables-60/dp/B0BLPBCNQC/ref=sr_1_1?keywords=Yum+Vs+Prebiotic+Fiber+Zero+Gummy%2C+60+Ea&amp;qid=1695169872&amp;sr=8-1", "https://www.amazon.com/Prebiotic-Friendly-Supplement-Digestive-Chewables-60/dp/B0BLPBCNQC/ref=sr_1_1?keywords=Yum+Vs+Prebiotic+Fiber+Zero+Gummy%2C+60+Ea&amp;qid=1695169872&amp;sr=8-1")</f>
        <v/>
      </c>
      <c r="F209" t="inlineStr">
        <is>
          <t>B0BLPBCNQC</t>
        </is>
      </c>
      <c r="G209">
        <f>_xlfn.IMAGE("https://www.shelhealth.com/cdn/shop/files/yum-vs-prebiotic-fiber-zero-gummy-60-ea-vitamins-supplements-shelhealth-510.jpg?v=1693364858&amp;width=1946")</f>
        <v/>
      </c>
      <c r="H209">
        <f>_xlfn.IMAGE("https://m.media-amazon.com/images/I/71hT7uBHjcL._AC_UL320_.jpg")</f>
        <v/>
      </c>
      <c r="K209" t="inlineStr">
        <is>
          <t>14.99</t>
        </is>
      </c>
      <c r="L209" t="n">
        <v>24.99</v>
      </c>
      <c r="M209" s="1" t="inlineStr">
        <is>
          <t>66.71%</t>
        </is>
      </c>
      <c r="N209" s="3" t="n">
        <v>66.70999999999999</v>
      </c>
      <c r="O209" t="n">
        <v>4.5</v>
      </c>
      <c r="P209" t="n">
        <v>499</v>
      </c>
      <c r="R209" t="inlineStr">
        <is>
          <t>OutOfStock</t>
        </is>
      </c>
      <c r="S209" t="inlineStr">
        <is>
          <t>14.99</t>
        </is>
      </c>
      <c r="T209" t="inlineStr">
        <is>
          <t>7242086580412</t>
        </is>
      </c>
    </row>
    <row r="210" hidden="1" ht="15.75" customHeight="1">
      <c r="A210" s="2">
        <f>HYPERLINK("https://www.shelhealth.com/products/76630300827-american-health-probiotic-ex-care-complex-15-cp", "https://www.shelhealth.com/products/76630300827-american-health-probiotic-ex-care-complex-15-cp")</f>
        <v/>
      </c>
      <c r="B210" s="2">
        <f>HYPERLINK("https://www.shelhealth.com/products/76630300827-american-health-probiotic-ex-care-complex-15-cp", "https://www.shelhealth.com/products/76630300827-american-health-probiotic-ex-care-complex-15-cp")</f>
        <v/>
      </c>
      <c r="C210" t="inlineStr">
        <is>
          <t>American Health Probiotic Ex Care Complex, 15 Cp</t>
        </is>
      </c>
      <c r="D210" t="inlineStr">
        <is>
          <t>American Health Extra Care Probiotic Complex, 80 Billion Microorganisms - Beneficial Bacteria for The Digestive &amp; Immune Systems* - Non-GMO, Vegetarian - 30 Capsules, 30 Total Servings</t>
        </is>
      </c>
      <c r="E210" s="2">
        <f>HYPERLINK("https://www.amazon.com/American-Health-Probiotic-Complex-Microorganisms/dp/B097F38V4L/ref=sr_1_1?keywords=American+Health+Probiotic+Ex+Care+Complex%2C+15+Cp&amp;qid=1695169867&amp;sr=8-1", "https://www.amazon.com/American-Health-Probiotic-Complex-Microorganisms/dp/B097F38V4L/ref=sr_1_1?keywords=American+Health+Probiotic+Ex+Care+Complex%2C+15+Cp&amp;qid=1695169867&amp;sr=8-1")</f>
        <v/>
      </c>
      <c r="F210" t="inlineStr">
        <is>
          <t>B097F38V4L</t>
        </is>
      </c>
      <c r="G210">
        <f>_xludf.IMAGE("https://www.shelhealth.com/cdn/shop/files/american-health-probiotic-ex-care-complex-15-cp-vitamins-supplements-shelhealth-227.jpg?v=1686192408&amp;width=1946")</f>
        <v/>
      </c>
      <c r="H210">
        <f>_xludf.IMAGE("https://m.media-amazon.com/images/I/812Y5-SJzIL._AC_UL320_.jpg")</f>
        <v/>
      </c>
      <c r="K210" t="inlineStr">
        <is>
          <t>18.99</t>
        </is>
      </c>
      <c r="L210" t="n">
        <v>28.55</v>
      </c>
      <c r="M210" s="1" t="inlineStr">
        <is>
          <t>50.34%</t>
        </is>
      </c>
      <c r="N210" s="3" t="n">
        <v>50.34</v>
      </c>
      <c r="O210" t="n">
        <v>4.2</v>
      </c>
      <c r="P210" t="n">
        <v>37</v>
      </c>
      <c r="R210" t="inlineStr">
        <is>
          <t>OutOfStock</t>
        </is>
      </c>
      <c r="S210" t="inlineStr">
        <is>
          <t>18.99</t>
        </is>
      </c>
      <c r="T210" t="inlineStr">
        <is>
          <t>7241442066620</t>
        </is>
      </c>
    </row>
    <row r="211" hidden="1" ht="15.75" customHeight="1">
      <c r="A211" s="2">
        <f>HYPERLINK("https://www.shelhealth.com/products/kirkland-signature-stool-softener-100-mg-400-softgels", "https://www.shelhealth.com/products/kirkland-signature-stool-softener-100-mg-400-softgels")</f>
        <v/>
      </c>
      <c r="B211" s="2">
        <f>HYPERLINK("https://www.shelhealth.com/products/kirkland-signature-stool-softener-100-mg-400-softgels", "https://www.shelhealth.com/products/kirkland-signature-stool-softener-100-mg-400-softgels")</f>
        <v/>
      </c>
      <c r="C211" t="inlineStr">
        <is>
          <t>Kirkland Signature Stool Softener 100 mg, 400 Softgels</t>
        </is>
      </c>
      <c r="D211" t="inlineStr">
        <is>
          <t>Kirkland Signature Stool Softener 100mg (400 Softgels) with Olitec 4 Compartment Pill Organizer</t>
        </is>
      </c>
      <c r="E211" s="2">
        <f>HYPERLINK("https://www.amazon.com/Kirkland-Signature-Olitec-Compartment-Organizer/dp/B0B2TBJX35/ref=sr_1_6?keywords=Kirkland+Signature+Stool+Softener+100+mg%2C+400+Softgels&amp;qid=1695169865&amp;sr=8-6", "https://www.amazon.com/Kirkland-Signature-Olitec-Compartment-Organizer/dp/B0B2TBJX35/ref=sr_1_6?keywords=Kirkland+Signature+Stool+Softener+100+mg%2C+400+Softgels&amp;qid=1695169865&amp;sr=8-6")</f>
        <v/>
      </c>
      <c r="F211" t="inlineStr">
        <is>
          <t>B0B2TBJX35</t>
        </is>
      </c>
      <c r="G211">
        <f>_xludf.IMAGE("https://www.shelhealth.com/cdn/shop/products/kirkland-signature-stool-softener-100-mg-400-softgels-shelhealth-672.jpg?v=1663337437&amp;width=1946")</f>
        <v/>
      </c>
      <c r="H211">
        <f>_xludf.IMAGE("https://m.media-amazon.com/images/I/61K0l60a3OL._AC_UL320_.jpg")</f>
        <v/>
      </c>
      <c r="K211" t="inlineStr">
        <is>
          <t>9.99</t>
        </is>
      </c>
      <c r="L211" t="n">
        <v>14.99</v>
      </c>
      <c r="M211" s="1" t="inlineStr">
        <is>
          <t>50.05%</t>
        </is>
      </c>
      <c r="N211" s="3" t="n">
        <v>50.05</v>
      </c>
      <c r="O211" t="n">
        <v>4.3</v>
      </c>
      <c r="P211" t="n">
        <v>22</v>
      </c>
      <c r="R211" t="inlineStr">
        <is>
          <t>InStock</t>
        </is>
      </c>
      <c r="S211" t="inlineStr">
        <is>
          <t>9.99</t>
        </is>
      </c>
      <c r="T211" t="inlineStr">
        <is>
          <t>3773403037748</t>
        </is>
      </c>
    </row>
    <row r="212" hidden="1" ht="15.75" customHeight="1">
      <c r="A212" s="2">
        <f>HYPERLINK("https://www.shelhealth.com/products/berkley-jensen-extra-strength-gas-relief-softgels-120-ct", "https://www.shelhealth.com/products/berkley-jensen-extra-strength-gas-relief-softgels-120-ct")</f>
        <v/>
      </c>
      <c r="B212" s="2">
        <f>HYPERLINK("https://www.shelhealth.com/products/berkley-jensen-extra-strength-gas-relief-softgels-120-ct", "https://www.shelhealth.com/products/berkley-jensen-extra-strength-gas-relief-softgels-120-ct")</f>
        <v/>
      </c>
      <c r="C212" t="inlineStr">
        <is>
          <t>Berkley Jensen Extra Strength Gas Relief Softgels, 120 ct.</t>
        </is>
      </c>
      <c r="D212" t="inlineStr">
        <is>
          <t>Berkley and Jensen Easy to Swallow Softgels Gas Relief Simethicone Extra Strength 125 mg Each 120 Softgels Per Bottle</t>
        </is>
      </c>
      <c r="E212" s="2">
        <f>HYPERLINK("https://www.amazon.com/Berkley-Jensen-Softgels-Simethicone-Strength/dp/B004Y0JTCM/ref=sr_1_3?keywords=Berkley+Jensen+Extra+Strength+Gas+Relief+Softgels%2C+120+ct.&amp;qid=1695169873&amp;sr=8-3", "https://www.amazon.com/Berkley-Jensen-Softgels-Simethicone-Strength/dp/B004Y0JTCM/ref=sr_1_3?keywords=Berkley+Jensen+Extra+Strength+Gas+Relief+Softgels%2C+120+ct.&amp;qid=1695169873&amp;sr=8-3")</f>
        <v/>
      </c>
      <c r="F212" t="inlineStr">
        <is>
          <t>B004Y0JTCM</t>
        </is>
      </c>
      <c r="G212">
        <f>_xludf.IMAGE("https://www.shelhealth.com/cdn/shop/files/berkley-jensen-extra-strength-gas-relief-softgels-120-ct-health-beautymedicine-cabinet-shelhealth-841.jpg?v=1686282709&amp;width=1946")</f>
        <v/>
      </c>
      <c r="H212">
        <f>_xludf.IMAGE("https://m.media-amazon.com/images/I/71vXgk0y6yL._AC_UL320_.jpg")</f>
        <v/>
      </c>
      <c r="K212" t="inlineStr">
        <is>
          <t>9.99</t>
        </is>
      </c>
      <c r="L212" t="n">
        <v>14.99</v>
      </c>
      <c r="M212" s="1" t="inlineStr">
        <is>
          <t>50.05%</t>
        </is>
      </c>
      <c r="N212" s="3" t="n">
        <v>50.05</v>
      </c>
      <c r="O212" t="n">
        <v>4.4</v>
      </c>
      <c r="P212" t="n">
        <v>5</v>
      </c>
      <c r="R212" t="inlineStr">
        <is>
          <t>InStock</t>
        </is>
      </c>
      <c r="S212" t="inlineStr">
        <is>
          <t>9.99</t>
        </is>
      </c>
      <c r="T212" t="inlineStr">
        <is>
          <t>4158663196724</t>
        </is>
      </c>
    </row>
    <row r="213" hidden="1" ht="15.75" customHeight="1">
      <c r="A213" s="2">
        <f>HYPERLINK("https://www.shelhealth.com/products/prilosec-otc-acid-reducer-tablets-42-ct-box", "https://www.shelhealth.com/products/prilosec-otc-acid-reducer-tablets-42-ct-box")</f>
        <v/>
      </c>
      <c r="B213" s="2">
        <f>HYPERLINK("https://www.shelhealth.com/products/prilosec-otc-acid-reducer-tablets-42-ct-box", "https://www.shelhealth.com/products/prilosec-otc-acid-reducer-tablets-42-ct-box")</f>
        <v/>
      </c>
      <c r="C213" t="inlineStr">
        <is>
          <t>Prilosec OTC Acid Reducer Tablets 42 ct Box</t>
        </is>
      </c>
      <c r="D213" t="inlineStr">
        <is>
          <t>Prilosec OTC Frequent Heartburn Medicine &amp; Acid Reducer Tablets, 42 each (Value Pack of 2)</t>
        </is>
      </c>
      <c r="E213" s="2">
        <f>HYPERLINK("https://www.amazon.com/Prilosec-Frequent-Heartburn-Medicine-Reducer/dp/B01MY5FFT6/ref=sr_1_10?keywords=Prilosec+OTC+Acid+Reducer+Tablets+42+ct+Box&amp;qid=1695169868&amp;sr=8-10", "https://www.amazon.com/Prilosec-Frequent-Heartburn-Medicine-Reducer/dp/B01MY5FFT6/ref=sr_1_10?keywords=Prilosec+OTC+Acid+Reducer+Tablets+42+ct+Box&amp;qid=1695169868&amp;sr=8-10")</f>
        <v/>
      </c>
      <c r="F213" t="inlineStr">
        <is>
          <t>B01MY5FFT6</t>
        </is>
      </c>
      <c r="G213">
        <f>_xludf.IMAGE("https://www.shelhealth.com/cdn/shop/products/prilosec-otc-acid-reducer-tablets-42-ct-box-shelhealth-624.jpg?v=1663337235&amp;width=1946")</f>
        <v/>
      </c>
      <c r="H213">
        <f>_xludf.IMAGE("https://m.media-amazon.com/images/I/71ML8y6fWhL._AC_UL320_.jpg")</f>
        <v/>
      </c>
      <c r="K213" t="inlineStr">
        <is>
          <t>33.99</t>
        </is>
      </c>
      <c r="L213" t="n">
        <v>46.51</v>
      </c>
      <c r="M213" s="1" t="inlineStr">
        <is>
          <t>36.83%</t>
        </is>
      </c>
      <c r="N213" s="3" t="n">
        <v>36.83</v>
      </c>
      <c r="O213" t="n">
        <v>5</v>
      </c>
      <c r="P213" t="n">
        <v>3</v>
      </c>
      <c r="R213" t="inlineStr">
        <is>
          <t>InStock</t>
        </is>
      </c>
      <c r="S213" t="inlineStr">
        <is>
          <t>33.99</t>
        </is>
      </c>
      <c r="T213" t="inlineStr">
        <is>
          <t>3752458977332</t>
        </is>
      </c>
    </row>
    <row r="214" hidden="1" ht="15.75" customHeight="1">
      <c r="A214" s="2">
        <f>HYPERLINK("https://www.shelhealth.com/products/berkley-jensen-extra-strength-antacid-tablets-assorted-berry-flavors-2-pk-200-ct", "https://www.shelhealth.com/products/berkley-jensen-extra-strength-antacid-tablets-assorted-berry-flavors-2-pk-200-ct")</f>
        <v/>
      </c>
      <c r="B214" s="2">
        <f>HYPERLINK("https://www.shelhealth.com/products/berkley-jensen-extra-strength-antacid-tablets-assorted-berry-flavors-2-pk-200-ct", "https://www.shelhealth.com/products/berkley-jensen-extra-strength-antacid-tablets-assorted-berry-flavors-2-pk-200-ct")</f>
        <v/>
      </c>
      <c r="C214" t="inlineStr">
        <is>
          <t>Berkley Jensen Extra Strength Antacid Tablets, Assorted Berry Flavors, 2 pk./200 ct.</t>
        </is>
      </c>
      <c r="D214" t="inlineStr">
        <is>
          <t>Berkley Jensen Extra Strength Antacid Tablets, Assorted Berry Flavors, 2 pk./200 ct.</t>
        </is>
      </c>
      <c r="E214" s="2">
        <f>HYPERLINK("https://www.amazon.com/Berkley-Jensen-Strength-Antacid-Assorted/dp/B071433JF4/ref=sr_1_1?keywords=Berkley+Jensen+Extra+Strength+Antacid+Tablets%2C+Assorted+Berry+Flavors%2C+2+pk.%2F200+ct.&amp;qid=1695169877&amp;sr=8-1", "https://www.amazon.com/Berkley-Jensen-Strength-Antacid-Assorted/dp/B071433JF4/ref=sr_1_1?keywords=Berkley+Jensen+Extra+Strength+Antacid+Tablets%2C+Assorted+Berry+Flavors%2C+2+pk.%2F200+ct.&amp;qid=1695169877&amp;sr=8-1")</f>
        <v/>
      </c>
      <c r="F214" t="inlineStr">
        <is>
          <t>B071433JF4</t>
        </is>
      </c>
      <c r="G214">
        <f>_xludf.IMAGE("https://www.shelhealth.com/cdn/shop/files/berkley-jensen-extra-strength-antacid-tablets-assorted-berry-flavors-2-pk-200-ct-health-beautymedicine-cabinet-shelhealth-744.jpg?v=1686282568&amp;width=1946")</f>
        <v/>
      </c>
      <c r="H214">
        <f>_xludf.IMAGE("https://m.media-amazon.com/images/I/71AL5RZ0B-S._AC_UL320_.jpg")</f>
        <v/>
      </c>
      <c r="K214" t="inlineStr">
        <is>
          <t>14.99</t>
        </is>
      </c>
      <c r="L214" t="n">
        <v>20.16</v>
      </c>
      <c r="M214" s="1" t="inlineStr">
        <is>
          <t>34.49%</t>
        </is>
      </c>
      <c r="N214" s="3" t="n">
        <v>34.49</v>
      </c>
      <c r="O214" t="n">
        <v>4.8</v>
      </c>
      <c r="P214" t="n">
        <v>27</v>
      </c>
      <c r="R214" t="inlineStr">
        <is>
          <t>InStock</t>
        </is>
      </c>
      <c r="S214" t="inlineStr">
        <is>
          <t>14.99</t>
        </is>
      </c>
      <c r="T214" t="inlineStr">
        <is>
          <t>4158731485236</t>
        </is>
      </c>
    </row>
    <row r="215" hidden="1" ht="15.75" customHeight="1">
      <c r="A215" s="2">
        <f>HYPERLINK("https://www.shelhealth.com/products/berkley-jensen-stool-softener-softgels-400-ct", "https://www.shelhealth.com/products/berkley-jensen-stool-softener-softgels-400-ct")</f>
        <v/>
      </c>
      <c r="B215" s="2">
        <f>HYPERLINK("https://www.shelhealth.com/products/berkley-jensen-stool-softener-softgels-400-ct", "https://www.shelhealth.com/products/berkley-jensen-stool-softener-softgels-400-ct")</f>
        <v/>
      </c>
      <c r="C215" t="inlineStr">
        <is>
          <t>Berkley Jensen Stool Softener Softgels, 400 ct.</t>
        </is>
      </c>
      <c r="D215" t="inlineStr">
        <is>
          <t>Berkley Jensen Stool Softener Softgels, 400 ct.</t>
        </is>
      </c>
      <c r="E215" s="2">
        <f>HYPERLINK("https://www.amazon.com/Berkley-Jensen-Stool-Softener-Softgels/dp/B071NJXPD4/ref=sr_1_1?keywords=Berkley+Jensen+Stool+Softener+Softgels%2C+400+ct.&amp;qid=1695169863&amp;sr=8-1", "https://www.amazon.com/Berkley-Jensen-Stool-Softener-Softgels/dp/B071NJXPD4/ref=sr_1_1?keywords=Berkley+Jensen+Stool+Softener+Softgels%2C+400+ct.&amp;qid=1695169863&amp;sr=8-1")</f>
        <v/>
      </c>
      <c r="F215" t="inlineStr">
        <is>
          <t>B071NJXPD4</t>
        </is>
      </c>
      <c r="G215">
        <f>_xludf.IMAGE("https://www.shelhealth.com/cdn/shop/files/berkley-jensen-stool-softener-softgels-400-ct-health-beautymedicine-cabinet-shelhealth-259.jpg?v=1686282931&amp;width=1946")</f>
        <v/>
      </c>
      <c r="H215">
        <f>_xludf.IMAGE("https://m.media-amazon.com/images/I/517c+1x+3gL._AC_UL320_.jpg")</f>
        <v/>
      </c>
      <c r="K215" t="inlineStr">
        <is>
          <t>14.99</t>
        </is>
      </c>
      <c r="L215" t="n">
        <v>18.38</v>
      </c>
      <c r="M215" s="1" t="inlineStr">
        <is>
          <t>22.62%</t>
        </is>
      </c>
      <c r="N215" s="3" t="n">
        <v>22.62</v>
      </c>
      <c r="O215" t="n">
        <v>5</v>
      </c>
      <c r="P215" t="n">
        <v>5</v>
      </c>
      <c r="R215" t="inlineStr">
        <is>
          <t>InStock</t>
        </is>
      </c>
      <c r="S215" t="inlineStr">
        <is>
          <t>14.99</t>
        </is>
      </c>
      <c r="T215" t="inlineStr">
        <is>
          <t>4115485327412</t>
        </is>
      </c>
    </row>
    <row r="216" hidden="1" ht="15.75" customHeight="1">
      <c r="A216" s="2">
        <f>HYPERLINK("https://www.shelhealth.com/products/850021635060-organic-india-organic-psyllium-fiber-180-vc", "https://www.shelhealth.com/products/850021635060-organic-india-organic-psyllium-fiber-180-vc")</f>
        <v/>
      </c>
      <c r="B216" s="2">
        <f>HYPERLINK("https://www.shelhealth.com/products/850021635060-organic-india-organic-psyllium-fiber-180-vc", "https://www.shelhealth.com/products/850021635060-organic-india-organic-psyllium-fiber-180-vc")</f>
        <v/>
      </c>
      <c r="C216" t="inlineStr">
        <is>
          <t>ORGANIC INDIA Organic Psyllium Fiber, 180 vc</t>
        </is>
      </c>
      <c r="D216" t="inlineStr">
        <is>
          <t>Organic India Psyllium Herbal Powder - Whole Husk Fiber, Healthy Elimination, Keto Friendly, Vegan, Gluten-Free, USDA Certified Organic, Non-GMO, Soluble &amp; Insoluble Fiber Source - 12 Oz Canister (Pack of 1)</t>
        </is>
      </c>
      <c r="E216" s="2">
        <f>HYPERLINK("https://www.amazon.com/Organic-India-Psyllium-Herbal-Powder/dp/B0016AXN7A/ref=sr_1_4?keywords=ORGANIC+INDIA+Organic+Psyllium+Fiber%2C+180+vc&amp;qid=1695169873&amp;sr=8-4", "https://www.amazon.com/Organic-India-Psyllium-Herbal-Powder/dp/B0016AXN7A/ref=sr_1_4?keywords=ORGANIC+INDIA+Organic+Psyllium+Fiber%2C+180+vc&amp;qid=1695169873&amp;sr=8-4")</f>
        <v/>
      </c>
      <c r="F216" t="inlineStr">
        <is>
          <t>B0016AXN7A</t>
        </is>
      </c>
      <c r="G216">
        <f>_xludf.IMAGE("https://www.shelhealth.com/cdn/shop/files/organic-india-psyllium-fiber-180-vc-vitamins-supplements-shelhealth-258.jpg?v=1688713495&amp;width=1946")</f>
        <v/>
      </c>
      <c r="H216">
        <f>_xludf.IMAGE("https://m.media-amazon.com/images/I/510FwbHG69L._AC_UL320_.jpg")</f>
        <v/>
      </c>
      <c r="K216" t="inlineStr">
        <is>
          <t>16.99</t>
        </is>
      </c>
      <c r="L216" t="n">
        <v>19.78</v>
      </c>
      <c r="M216" s="1" t="inlineStr">
        <is>
          <t>16.42%</t>
        </is>
      </c>
      <c r="N216" s="3" t="n">
        <v>16.42</v>
      </c>
      <c r="O216" t="n">
        <v>4.5</v>
      </c>
      <c r="P216" t="n">
        <v>4861</v>
      </c>
      <c r="R216" t="inlineStr">
        <is>
          <t>InStock</t>
        </is>
      </c>
      <c r="S216" t="inlineStr">
        <is>
          <t>16.99</t>
        </is>
      </c>
      <c r="T216" t="inlineStr">
        <is>
          <t>7574241837288</t>
        </is>
      </c>
    </row>
    <row r="217" hidden="1" ht="15.75" customHeight="1">
      <c r="A217" s="2">
        <f>HYPERLINK("https://www.shelhealth.com/products/76630300551-american-health-probiotic-chew-strawberr-30-tb", "https://www.shelhealth.com/products/76630300551-american-health-probiotic-chew-strawberr-30-tb")</f>
        <v/>
      </c>
      <c r="B217" s="2">
        <f>HYPERLINK("https://www.shelhealth.com/products/76630300551-american-health-probiotic-chew-strawberr-30-tb", "https://www.shelhealth.com/products/76630300551-american-health-probiotic-chew-strawberr-30-tb")</f>
        <v/>
      </c>
      <c r="C217" t="inlineStr">
        <is>
          <t>American Health Probiotic Chew Strawberr, 30 Tb</t>
        </is>
      </c>
      <c r="D217" t="inlineStr">
        <is>
          <t>AMERICAN HEALTH Probiotic Kid Chewables, 30 Count</t>
        </is>
      </c>
      <c r="E217" s="2">
        <f>HYPERLINK("https://www.amazon.com/American-Health-Probiotic-KidChewables-Natural/dp/B08LZVJVJ2/ref=sr_1_3?keywords=American+Health+Probiotic+Chew+Strawberr%2C+30+Tb&amp;qid=1695169865&amp;sr=8-3", "https://www.amazon.com/American-Health-Probiotic-KidChewables-Natural/dp/B08LZVJVJ2/ref=sr_1_3?keywords=American+Health+Probiotic+Chew+Strawberr%2C+30+Tb&amp;qid=1695169865&amp;sr=8-3")</f>
        <v/>
      </c>
      <c r="F217" t="inlineStr">
        <is>
          <t>B08LZVJVJ2</t>
        </is>
      </c>
      <c r="G217">
        <f>_xludf.IMAGE("https://www.shelhealth.com/cdn/shop/files/american-health-probiotic-chew-strawberr-30-tb-vitamins-supplements-shelhealth-542.jpg?v=1686192502&amp;width=1946")</f>
        <v/>
      </c>
      <c r="H217">
        <f>_xludf.IMAGE("https://m.media-amazon.com/images/I/71GC3mC8GLL._AC_UL320_.jpg")</f>
        <v/>
      </c>
      <c r="K217" t="inlineStr">
        <is>
          <t>14.99</t>
        </is>
      </c>
      <c r="L217" t="n">
        <v>15.8</v>
      </c>
      <c r="M217" s="1" t="inlineStr">
        <is>
          <t>5.40%</t>
        </is>
      </c>
      <c r="N217" s="3" t="n">
        <v>5.4</v>
      </c>
      <c r="O217" t="n">
        <v>4.7</v>
      </c>
      <c r="P217" t="n">
        <v>20</v>
      </c>
      <c r="R217" t="inlineStr">
        <is>
          <t>OutOfStock</t>
        </is>
      </c>
      <c r="S217" t="inlineStr">
        <is>
          <t>14.99</t>
        </is>
      </c>
      <c r="T217" t="inlineStr">
        <is>
          <t>7241441706172</t>
        </is>
      </c>
    </row>
    <row r="218" hidden="1" ht="15.75" customHeight="1">
      <c r="A218" s="2">
        <f>HYPERLINK("https://www.shelhealth.com/products/76630300568-american-health-probiotic-chew-grape-30-tb", "https://www.shelhealth.com/products/76630300568-american-health-probiotic-chew-grape-30-tb")</f>
        <v/>
      </c>
      <c r="B218" s="2">
        <f>HYPERLINK("https://www.shelhealth.com/products/76630300568-american-health-probiotic-chew-grape-30-tb", "https://www.shelhealth.com/products/76630300568-american-health-probiotic-chew-grape-30-tb")</f>
        <v/>
      </c>
      <c r="C218" t="inlineStr">
        <is>
          <t>American Health Probiotic Chew Grape, 30 Tb</t>
        </is>
      </c>
      <c r="D218" t="inlineStr">
        <is>
          <t>AMERICAN HEALTH Probiotic Kid Chewables, 30 Count</t>
        </is>
      </c>
      <c r="E218" s="2">
        <f>HYPERLINK("https://www.amazon.com/American-Health-Probiotic-KidChewables-Natural/dp/B08LZVJVJ2/ref=sr_1_1?keywords=American+Health+Probiotic+Chew+Grape%2C+30+Tb&amp;qid=1695169870&amp;sr=8-1", "https://www.amazon.com/American-Health-Probiotic-KidChewables-Natural/dp/B08LZVJVJ2/ref=sr_1_1?keywords=American+Health+Probiotic+Chew+Grape%2C+30+Tb&amp;qid=1695169870&amp;sr=8-1")</f>
        <v/>
      </c>
      <c r="F218" t="inlineStr">
        <is>
          <t>B08LZVJVJ2</t>
        </is>
      </c>
      <c r="G218">
        <f>_xludf.IMAGE("https://www.shelhealth.com/cdn/shop/files/american-health-probiotic-chew-grape-30-tb-vitamins-supplements-shelhealth-169.jpg?v=1693335575&amp;width=1946")</f>
        <v/>
      </c>
      <c r="H218">
        <f>_xludf.IMAGE("https://m.media-amazon.com/images/I/71GC3mC8GLL._AC_UL320_.jpg")</f>
        <v/>
      </c>
      <c r="K218" t="inlineStr">
        <is>
          <t>14.99</t>
        </is>
      </c>
      <c r="L218" t="n">
        <v>15.8</v>
      </c>
      <c r="M218" s="1" t="inlineStr">
        <is>
          <t>5.40%</t>
        </is>
      </c>
      <c r="N218" s="3" t="n">
        <v>5.4</v>
      </c>
      <c r="O218" t="n">
        <v>4.7</v>
      </c>
      <c r="P218" t="n">
        <v>20</v>
      </c>
      <c r="R218" t="inlineStr">
        <is>
          <t>OutOfStock</t>
        </is>
      </c>
      <c r="S218" t="inlineStr">
        <is>
          <t>14.99</t>
        </is>
      </c>
      <c r="T218" t="inlineStr">
        <is>
          <t>7241441509564</t>
        </is>
      </c>
    </row>
    <row r="219" hidden="1" ht="15.75" customHeight="1">
      <c r="A219" s="2">
        <f>HYPERLINK("https://www.shelhealth.com/products/801541107612-organic-india-psyllium-organic-whole-husk-fiber-12-oz", "https://www.shelhealth.com/products/801541107612-organic-india-psyllium-organic-whole-husk-fiber-12-oz")</f>
        <v/>
      </c>
      <c r="B219" s="2">
        <f>HYPERLINK("https://www.shelhealth.com/products/801541107612-organic-india-psyllium-organic-whole-husk-fiber-12-oz", "https://www.shelhealth.com/products/801541107612-organic-india-psyllium-organic-whole-husk-fiber-12-oz")</f>
        <v/>
      </c>
      <c r="C219" t="inlineStr">
        <is>
          <t>Organic India Psyllium Organic Whole Husk Fiber, 12 Oz</t>
        </is>
      </c>
      <c r="D219" t="inlineStr">
        <is>
          <t>Yerba Prima Organic Psyllium Whole Husks 12 oz - Natural Dietary Fiber Supplement, Non GMO, Gluten Free, Keto and Vegan Friendly for Regularity Support, Unflavored</t>
        </is>
      </c>
      <c r="E219" s="2">
        <f>HYPERLINK("https://www.amazon.com/Yerba-Prima-Organic-Psyllium-Supplement/dp/B01FJFZZWI/ref=sr_1_2?keywords=Organic+India+Psyllium+Organic+Whole+Husk+Fiber%2C+12+Oz&amp;qid=1695169876&amp;sr=8-2", "https://www.amazon.com/Yerba-Prima-Organic-Psyllium-Supplement/dp/B01FJFZZWI/ref=sr_1_2?keywords=Organic+India+Psyllium+Organic+Whole+Husk+Fiber%2C+12+Oz&amp;qid=1695169876&amp;sr=8-2")</f>
        <v/>
      </c>
      <c r="F219" t="inlineStr">
        <is>
          <t>B01FJFZZWI</t>
        </is>
      </c>
      <c r="G219">
        <f>_xludf.IMAGE("https://www.shelhealth.com/cdn/shop/files/organic-india-psyllium-whole-husk-fiber-12-oz-vitamins-supplements-shelhealth-515.jpg?v=1693360502&amp;width=1946")</f>
        <v/>
      </c>
      <c r="H219">
        <f>_xludf.IMAGE("https://m.media-amazon.com/images/I/61dYkV6sJmL._AC_UL320_.jpg")</f>
        <v/>
      </c>
      <c r="K219" t="inlineStr">
        <is>
          <t>20.99</t>
        </is>
      </c>
      <c r="L219" t="n">
        <v>19.94</v>
      </c>
      <c r="M219" s="1" t="inlineStr">
        <is>
          <t>-5.00%</t>
        </is>
      </c>
      <c r="N219" s="3" t="n">
        <v>-5</v>
      </c>
      <c r="O219" t="n">
        <v>4.7</v>
      </c>
      <c r="P219" t="n">
        <v>458</v>
      </c>
      <c r="R219" t="inlineStr">
        <is>
          <t>OutOfStock</t>
        </is>
      </c>
      <c r="S219" t="inlineStr">
        <is>
          <t>20.99</t>
        </is>
      </c>
      <c r="T219" t="inlineStr">
        <is>
          <t>7241906356412</t>
        </is>
      </c>
    </row>
    <row r="220" hidden="1" ht="15.75" customHeight="1">
      <c r="A220" s="2">
        <f>HYPERLINK("https://www.shelhealth.com/products/801541107612-organic-india-psyllium-organic-whole-husk-fiber-12-oz", "https://www.shelhealth.com/products/801541107612-organic-india-psyllium-organic-whole-husk-fiber-12-oz")</f>
        <v/>
      </c>
      <c r="B220" s="2">
        <f>HYPERLINK("https://www.shelhealth.com/products/801541107612-organic-india-psyllium-organic-whole-husk-fiber-12-oz", "https://www.shelhealth.com/products/801541107612-organic-india-psyllium-organic-whole-husk-fiber-12-oz")</f>
        <v/>
      </c>
      <c r="C220" t="inlineStr">
        <is>
          <t>Organic India Psyllium Organic Whole Husk Fiber, 12 Oz</t>
        </is>
      </c>
      <c r="D220" t="inlineStr">
        <is>
          <t>Organic India Psyllium Herbal Powder - Whole Husk Fiber, Healthy Elimination, Keto Friendly, Vegan, Gluten-Free, USDA Certified Organic, Non-GMO, Soluble &amp; Insoluble Fiber Source - 12 Oz Canister (Pack of 1)</t>
        </is>
      </c>
      <c r="E220" s="2">
        <f>HYPERLINK("https://www.amazon.com/Organic-India-Psyllium-Herbal-Powder/dp/B0016AXN7A/ref=sr_1_1?keywords=Organic+India+Psyllium+Organic+Whole+Husk+Fiber%2C+12+Oz&amp;qid=1695169876&amp;sr=8-1", "https://www.amazon.com/Organic-India-Psyllium-Herbal-Powder/dp/B0016AXN7A/ref=sr_1_1?keywords=Organic+India+Psyllium+Organic+Whole+Husk+Fiber%2C+12+Oz&amp;qid=1695169876&amp;sr=8-1")</f>
        <v/>
      </c>
      <c r="F220" t="inlineStr">
        <is>
          <t>B0016AXN7A</t>
        </is>
      </c>
      <c r="G220">
        <f>_xludf.IMAGE("https://www.shelhealth.com/cdn/shop/files/organic-india-psyllium-whole-husk-fiber-12-oz-vitamins-supplements-shelhealth-515.jpg?v=1693360502&amp;width=1946")</f>
        <v/>
      </c>
      <c r="H220">
        <f>_xludf.IMAGE("https://m.media-amazon.com/images/I/510FwbHG69L._AC_UL320_.jpg")</f>
        <v/>
      </c>
      <c r="K220" t="inlineStr">
        <is>
          <t>20.99</t>
        </is>
      </c>
      <c r="L220" t="n">
        <v>19.78</v>
      </c>
      <c r="M220" s="1" t="inlineStr">
        <is>
          <t>-5.76%</t>
        </is>
      </c>
      <c r="N220" s="3" t="n">
        <v>-5.76</v>
      </c>
      <c r="O220" t="n">
        <v>4.5</v>
      </c>
      <c r="P220" t="n">
        <v>4861</v>
      </c>
      <c r="R220" t="inlineStr">
        <is>
          <t>OutOfStock</t>
        </is>
      </c>
      <c r="S220" t="inlineStr">
        <is>
          <t>20.99</t>
        </is>
      </c>
      <c r="T220" t="inlineStr">
        <is>
          <t>7241906356412</t>
        </is>
      </c>
    </row>
    <row r="221" hidden="1" ht="15.75" customHeight="1">
      <c r="A221" s="2">
        <f>HYPERLINK("https://www.shelhealth.com/products/850021635060-organic-india-organic-psyllium-fiber-180-vc", "https://www.shelhealth.com/products/850021635060-organic-india-organic-psyllium-fiber-180-vc")</f>
        <v/>
      </c>
      <c r="B221" s="2">
        <f>HYPERLINK("https://www.shelhealth.com/products/850021635060-organic-india-organic-psyllium-fiber-180-vc", "https://www.shelhealth.com/products/850021635060-organic-india-organic-psyllium-fiber-180-vc")</f>
        <v/>
      </c>
      <c r="C221" t="inlineStr">
        <is>
          <t>ORGANIC INDIA Organic Psyllium Fiber, 180 vc</t>
        </is>
      </c>
      <c r="D221" t="inlineStr">
        <is>
          <t>ORGANIC INDIA Psyllium Herbal Powder - Whole Husk Fiber, Healthy Elimination, Keto Friendly, Vegan, Gluten-Free, USDA Certified Organic, Non-GMO, Soluble &amp; Insoluble Fiber Source - 180 Capsules</t>
        </is>
      </c>
      <c r="E221" s="2">
        <f>HYPERLINK("https://www.amazon.com/Organic-India-Psyllium-Herbal-Powder/dp/B09D5JNH87/ref=sr_1_3?keywords=ORGANIC+INDIA+Organic+Psyllium+Fiber%2C+180+vc&amp;qid=1695169873&amp;sr=8-3", "https://www.amazon.com/Organic-India-Psyllium-Herbal-Powder/dp/B09D5JNH87/ref=sr_1_3?keywords=ORGANIC+INDIA+Organic+Psyllium+Fiber%2C+180+vc&amp;qid=1695169873&amp;sr=8-3")</f>
        <v/>
      </c>
      <c r="F221" t="inlineStr">
        <is>
          <t>B09D5JNH87</t>
        </is>
      </c>
      <c r="G221">
        <f>_xludf.IMAGE("https://www.shelhealth.com/cdn/shop/files/organic-india-psyllium-fiber-180-vc-vitamins-supplements-shelhealth-258.jpg?v=1688713495&amp;width=1946")</f>
        <v/>
      </c>
      <c r="H221">
        <f>_xludf.IMAGE("https://m.media-amazon.com/images/I/61mhvagIsXL._AC_UL320_.jpg")</f>
        <v/>
      </c>
      <c r="K221" t="inlineStr">
        <is>
          <t>16.99</t>
        </is>
      </c>
      <c r="L221" t="n">
        <v>15.99</v>
      </c>
      <c r="M221" s="1" t="inlineStr">
        <is>
          <t>-5.89%</t>
        </is>
      </c>
      <c r="N221" s="3" t="n">
        <v>-5.89</v>
      </c>
      <c r="O221" t="n">
        <v>4.3</v>
      </c>
      <c r="P221" t="n">
        <v>387</v>
      </c>
      <c r="R221" t="inlineStr">
        <is>
          <t>InStock</t>
        </is>
      </c>
      <c r="S221" t="inlineStr">
        <is>
          <t>16.99</t>
        </is>
      </c>
      <c r="T221" t="inlineStr">
        <is>
          <t>7574241837288</t>
        </is>
      </c>
    </row>
    <row r="222" hidden="1" ht="15.75" customHeight="1">
      <c r="A222" s="2">
        <f>HYPERLINK("https://www.shelhealth.com/products/76630300568-american-health-probiotic-chew-grape-30-tb", "https://www.shelhealth.com/products/76630300568-american-health-probiotic-chew-grape-30-tb")</f>
        <v/>
      </c>
      <c r="B222" s="2">
        <f>HYPERLINK("https://www.shelhealth.com/products/76630300568-american-health-probiotic-chew-grape-30-tb", "https://www.shelhealth.com/products/76630300568-american-health-probiotic-chew-grape-30-tb")</f>
        <v/>
      </c>
      <c r="C222" t="inlineStr">
        <is>
          <t>American Health Probiotic Chew Grape, 30 Tb</t>
        </is>
      </c>
      <c r="D222" t="inlineStr">
        <is>
          <t>AMERICAN HEALTH Probiotic Kid Chewables, 30 Count</t>
        </is>
      </c>
      <c r="E222" s="2">
        <f>HYPERLINK("https://www.amazon.com/AMERICAN-HEALTH-Probiotic-Chewables-Count/dp/B08LZX1LVF/ref=sr_1_2?keywords=American+Health+Probiotic+Chew+Grape%2C+30+Tb&amp;qid=1695169870&amp;sr=8-2", "https://www.amazon.com/AMERICAN-HEALTH-Probiotic-Chewables-Count/dp/B08LZX1LVF/ref=sr_1_2?keywords=American+Health+Probiotic+Chew+Grape%2C+30+Tb&amp;qid=1695169870&amp;sr=8-2")</f>
        <v/>
      </c>
      <c r="F222" t="inlineStr">
        <is>
          <t>B08LZX1LVF</t>
        </is>
      </c>
      <c r="G222">
        <f>_xludf.IMAGE("https://www.shelhealth.com/cdn/shop/files/american-health-probiotic-chew-grape-30-tb-vitamins-supplements-shelhealth-169.jpg?v=1693335575&amp;width=1946")</f>
        <v/>
      </c>
      <c r="H222">
        <f>_xludf.IMAGE("https://m.media-amazon.com/images/I/71ycwWp-qtL._AC_UL320_.jpg")</f>
        <v/>
      </c>
      <c r="K222" t="inlineStr">
        <is>
          <t>14.99</t>
        </is>
      </c>
      <c r="L222" t="n">
        <v>13.98</v>
      </c>
      <c r="M222" s="1" t="inlineStr">
        <is>
          <t>-6.74%</t>
        </is>
      </c>
      <c r="N222" s="3" t="n">
        <v>-6.74</v>
      </c>
      <c r="O222" t="n">
        <v>3.9</v>
      </c>
      <c r="P222" t="n">
        <v>20</v>
      </c>
      <c r="R222" t="inlineStr">
        <is>
          <t>OutOfStock</t>
        </is>
      </c>
      <c r="S222" t="inlineStr">
        <is>
          <t>14.99</t>
        </is>
      </c>
      <c r="T222" t="inlineStr">
        <is>
          <t>7241441509564</t>
        </is>
      </c>
    </row>
    <row r="223" hidden="1" ht="15.75" customHeight="1">
      <c r="A223" s="2">
        <f>HYPERLINK("https://www.shelhealth.com/products/76630300551-american-health-probiotic-chew-strawberr-30-tb", "https://www.shelhealth.com/products/76630300551-american-health-probiotic-chew-strawberr-30-tb")</f>
        <v/>
      </c>
      <c r="B223" s="2">
        <f>HYPERLINK("https://www.shelhealth.com/products/76630300551-american-health-probiotic-chew-strawberr-30-tb", "https://www.shelhealth.com/products/76630300551-american-health-probiotic-chew-strawberr-30-tb")</f>
        <v/>
      </c>
      <c r="C223" t="inlineStr">
        <is>
          <t>American Health Probiotic Chew Strawberr, 30 Tb</t>
        </is>
      </c>
      <c r="D223" t="inlineStr">
        <is>
          <t>AMERICAN HEALTH Probiotic Kid Chewables, 30 Count</t>
        </is>
      </c>
      <c r="E223" s="2">
        <f>HYPERLINK("https://www.amazon.com/AMERICAN-HEALTH-Probiotic-Chewables-Count/dp/B08LZX1LVF/ref=sr_1_2?keywords=American+Health+Probiotic+Chew+Strawberr%2C+30+Tb&amp;qid=1695169865&amp;sr=8-2", "https://www.amazon.com/AMERICAN-HEALTH-Probiotic-Chewables-Count/dp/B08LZX1LVF/ref=sr_1_2?keywords=American+Health+Probiotic+Chew+Strawberr%2C+30+Tb&amp;qid=1695169865&amp;sr=8-2")</f>
        <v/>
      </c>
      <c r="F223" t="inlineStr">
        <is>
          <t>B08LZX1LVF</t>
        </is>
      </c>
      <c r="G223">
        <f>_xludf.IMAGE("https://www.shelhealth.com/cdn/shop/files/american-health-probiotic-chew-strawberr-30-tb-vitamins-supplements-shelhealth-542.jpg?v=1686192502&amp;width=1946")</f>
        <v/>
      </c>
      <c r="H223">
        <f>_xludf.IMAGE("https://m.media-amazon.com/images/I/71ycwWp-qtL._AC_UL320_.jpg")</f>
        <v/>
      </c>
      <c r="K223" t="inlineStr">
        <is>
          <t>14.99</t>
        </is>
      </c>
      <c r="L223" t="n">
        <v>13.93</v>
      </c>
      <c r="M223" s="1" t="inlineStr">
        <is>
          <t>-7.07%</t>
        </is>
      </c>
      <c r="N223" s="3" t="n">
        <v>-7.07</v>
      </c>
      <c r="O223" t="n">
        <v>3.9</v>
      </c>
      <c r="P223" t="n">
        <v>20</v>
      </c>
      <c r="R223" t="inlineStr">
        <is>
          <t>OutOfStock</t>
        </is>
      </c>
      <c r="S223" t="inlineStr">
        <is>
          <t>14.99</t>
        </is>
      </c>
      <c r="T223" t="inlineStr">
        <is>
          <t>7241441706172</t>
        </is>
      </c>
    </row>
    <row r="224" hidden="1" ht="15.75" customHeight="1">
      <c r="A224" s="2">
        <f>HYPERLINK("https://www.shelhealth.com/products/76630303019-american-health-probiotic-kid-grape-chew-30-ea", "https://www.shelhealth.com/products/76630303019-american-health-probiotic-kid-grape-chew-30-ea")</f>
        <v/>
      </c>
      <c r="B224" s="2">
        <f>HYPERLINK("https://www.shelhealth.com/products/76630303019-american-health-probiotic-kid-grape-chew-30-ea", "https://www.shelhealth.com/products/76630303019-american-health-probiotic-kid-grape-chew-30-ea")</f>
        <v/>
      </c>
      <c r="C224" t="inlineStr">
        <is>
          <t>American Health Probiotic Kid Grape Chew, 30 Ea</t>
        </is>
      </c>
      <c r="D224" t="inlineStr">
        <is>
          <t>AMERICAN HEALTH Probiotic Kid Chewables, 30 Count</t>
        </is>
      </c>
      <c r="E224" s="2">
        <f>HYPERLINK("https://www.amazon.com/American-Health-Probiotic-KidChewables-Natural/dp/B08LZVJVJ2/ref=sr_1_1?keywords=American+Health+Probiotic+Kid+Grape+Chew%2C+30+Ea&amp;qid=1695169864&amp;sr=8-1", "https://www.amazon.com/American-Health-Probiotic-KidChewables-Natural/dp/B08LZVJVJ2/ref=sr_1_1?keywords=American+Health+Probiotic+Kid+Grape+Chew%2C+30+Ea&amp;qid=1695169864&amp;sr=8-1")</f>
        <v/>
      </c>
      <c r="F224" t="inlineStr">
        <is>
          <t>B08LZVJVJ2</t>
        </is>
      </c>
      <c r="G224">
        <f>_xludf.IMAGE("https://www.shelhealth.com/cdn/shop/files/american-health-probiotic-kid-grape-chew-30-ea-vitamins-supplements-shelhealth-328.jpg?v=1693335543&amp;width=1946")</f>
        <v/>
      </c>
      <c r="H224">
        <f>_xludf.IMAGE("https://m.media-amazon.com/images/I/71GC3mC8GLL._AC_UL320_.jpg")</f>
        <v/>
      </c>
      <c r="K224" t="inlineStr">
        <is>
          <t>16.99</t>
        </is>
      </c>
      <c r="L224" t="n">
        <v>15.42</v>
      </c>
      <c r="M224" s="1" t="inlineStr">
        <is>
          <t>-9.24%</t>
        </is>
      </c>
      <c r="N224" s="3" t="n">
        <v>-9.24</v>
      </c>
      <c r="O224" t="n">
        <v>4.7</v>
      </c>
      <c r="P224" t="n">
        <v>20</v>
      </c>
      <c r="R224" t="inlineStr">
        <is>
          <t>OutOfStock</t>
        </is>
      </c>
      <c r="S224" t="inlineStr">
        <is>
          <t>16.99</t>
        </is>
      </c>
      <c r="T224" t="inlineStr">
        <is>
          <t>7241442263228</t>
        </is>
      </c>
    </row>
    <row r="225" hidden="1" ht="15.75" customHeight="1">
      <c r="A225" s="2">
        <f>HYPERLINK("https://www.shelhealth.com/products/76630303019-american-health-probiotic-kid-grape-chew-30-ea", "https://www.shelhealth.com/products/76630303019-american-health-probiotic-kid-grape-chew-30-ea")</f>
        <v/>
      </c>
      <c r="B225" s="2">
        <f>HYPERLINK("https://www.shelhealth.com/products/76630303019-american-health-probiotic-kid-grape-chew-30-ea", "https://www.shelhealth.com/products/76630303019-american-health-probiotic-kid-grape-chew-30-ea")</f>
        <v/>
      </c>
      <c r="C225" t="inlineStr">
        <is>
          <t>American Health Probiotic Kid Grape Chew, 30 Ea</t>
        </is>
      </c>
      <c r="D225" t="inlineStr">
        <is>
          <t>AMERICAN HEALTH Probiotic Kid Chewables, 30 Count</t>
        </is>
      </c>
      <c r="E225" s="2">
        <f>HYPERLINK("https://www.amazon.com/AMERICAN-HEALTH-Probiotic-Chewables-Count/dp/B08LZX1LVF/ref=sr_1_2?keywords=American+Health+Probiotic+Kid+Grape+Chew%2C+30+Ea&amp;qid=1695169864&amp;sr=8-2", "https://www.amazon.com/AMERICAN-HEALTH-Probiotic-Chewables-Count/dp/B08LZX1LVF/ref=sr_1_2?keywords=American+Health+Probiotic+Kid+Grape+Chew%2C+30+Ea&amp;qid=1695169864&amp;sr=8-2")</f>
        <v/>
      </c>
      <c r="F225" t="inlineStr">
        <is>
          <t>B08LZX1LVF</t>
        </is>
      </c>
      <c r="G225">
        <f>_xludf.IMAGE("https://www.shelhealth.com/cdn/shop/files/american-health-probiotic-kid-grape-chew-30-ea-vitamins-supplements-shelhealth-328.jpg?v=1693335543&amp;width=1946")</f>
        <v/>
      </c>
      <c r="H225">
        <f>_xludf.IMAGE("https://m.media-amazon.com/images/I/71ycwWp-qtL._AC_UL320_.jpg")</f>
        <v/>
      </c>
      <c r="K225" t="inlineStr">
        <is>
          <t>16.99</t>
        </is>
      </c>
      <c r="L225" t="n">
        <v>13.98</v>
      </c>
      <c r="M225" s="1" t="inlineStr">
        <is>
          <t>-17.72%</t>
        </is>
      </c>
      <c r="N225" s="3" t="n">
        <v>-17.72</v>
      </c>
      <c r="O225" t="n">
        <v>3.9</v>
      </c>
      <c r="P225" t="n">
        <v>20</v>
      </c>
      <c r="R225" t="inlineStr">
        <is>
          <t>OutOfStock</t>
        </is>
      </c>
      <c r="S225" t="inlineStr">
        <is>
          <t>16.99</t>
        </is>
      </c>
      <c r="T225" t="inlineStr">
        <is>
          <t>7241442263228</t>
        </is>
      </c>
    </row>
    <row r="226" hidden="1" ht="15.75" customHeight="1">
      <c r="A226" s="2">
        <f>HYPERLINK("https://www.shelhealth.com/products/015794034926-country-life-activated-charcoal-260-mg-100-vc", "https://www.shelhealth.com/products/015794034926-country-life-activated-charcoal-260-mg-100-vc")</f>
        <v/>
      </c>
      <c r="B226" s="2">
        <f>HYPERLINK("https://www.shelhealth.com/products/015794034926-country-life-activated-charcoal-260-mg-100-vc", "https://www.shelhealth.com/products/015794034926-country-life-activated-charcoal-260-mg-100-vc")</f>
        <v/>
      </c>
      <c r="C226" t="inlineStr">
        <is>
          <t>COUNTRY LIFE Activated Charcoal 260 Mg, 100 vc</t>
        </is>
      </c>
      <c r="D226" t="inlineStr">
        <is>
          <t>Nature's Bounty Activated Charcoal 260 mg, 100 Capsules, Dietary Supplement to Support a Healthy Lifestyle</t>
        </is>
      </c>
      <c r="E226" s="2">
        <f>HYPERLINK("https://www.amazon.com/Natures-Bounty-Activated-Supplement-Lifestyle/dp/B07BHTVTJZ/ref=sr_1_3?keywords=COUNTRY+LIFE+Activated+Charcoal+260+Mg%2C+100+vc&amp;qid=1695169870&amp;rdc=1&amp;sr=8-3", "https://www.amazon.com/Natures-Bounty-Activated-Supplement-Lifestyle/dp/B07BHTVTJZ/ref=sr_1_3?keywords=COUNTRY+LIFE+Activated+Charcoal+260+Mg%2C+100+vc&amp;qid=1695169870&amp;rdc=1&amp;sr=8-3")</f>
        <v/>
      </c>
      <c r="F226" t="inlineStr">
        <is>
          <t>B07BHTVTJZ</t>
        </is>
      </c>
      <c r="G226">
        <f>_xludf.IMAGE("https://www.shelhealth.com/cdn/shop/files/country-life-activated-charcoal-260-mg-100-vc-vitamins-supplements-shelhealth-403.jpg?v=1693228091&amp;width=1946")</f>
        <v/>
      </c>
      <c r="H226">
        <f>_xludf.IMAGE("https://m.media-amazon.com/images/I/717YkWgKzWL._AC_UL320_.jpg")</f>
        <v/>
      </c>
      <c r="K226" t="inlineStr">
        <is>
          <t>13.99</t>
        </is>
      </c>
      <c r="L226" t="n">
        <v>11.09</v>
      </c>
      <c r="M226" s="1" t="inlineStr">
        <is>
          <t>-20.73%</t>
        </is>
      </c>
      <c r="N226" s="3" t="n">
        <v>-20.73</v>
      </c>
      <c r="O226" t="n">
        <v>4.7</v>
      </c>
      <c r="P226" t="n">
        <v>6570</v>
      </c>
      <c r="R226" t="inlineStr">
        <is>
          <t>OutOfStock</t>
        </is>
      </c>
      <c r="S226" t="inlineStr">
        <is>
          <t>13.99</t>
        </is>
      </c>
      <c r="T226" t="inlineStr">
        <is>
          <t>7574024290536</t>
        </is>
      </c>
    </row>
    <row r="227" hidden="1" ht="15.75" customHeight="1">
      <c r="A227" s="2">
        <f>HYPERLINK("https://www.shelhealth.com/products/pepcid-ac-acid-reducer-maximum-strength-tablets-100-count", "https://www.shelhealth.com/products/pepcid-ac-acid-reducer-maximum-strength-tablets-100-count")</f>
        <v/>
      </c>
      <c r="B227" s="2">
        <f>HYPERLINK("https://www.shelhealth.com/products/pepcid-ac-acid-reducer-maximum-strength-tablets-100-count", "https://www.shelhealth.com/products/pepcid-ac-acid-reducer-maximum-strength-tablets-100-count")</f>
        <v/>
      </c>
      <c r="C227" t="inlineStr">
        <is>
          <t>Pepcid AC Acid Reducer Maximum Strength Tablets, 100 Count</t>
        </is>
      </c>
      <c r="D227" t="inlineStr">
        <is>
          <t>CSC 24 - Convenient 2 Pack Pepcid AC Maximum Strength Acid Reducer Prevent Relieves Heartburn Famotidine Tablets 20mg - 2 Pack of 50 Tablets (100 Tablets Total)</t>
        </is>
      </c>
      <c r="E227" s="2">
        <f>HYPERLINK("https://www.amazon.com/CSC-24-Convenient-Heartburn-Famotidine/dp/B00FQJ1X2O/ref=sr_1_6?keywords=Pepcid+AC+Acid+Reducer+Maximum+Strength+Tablets%2C+100+Count&amp;qid=1695169868&amp;sr=8-6", "https://www.amazon.com/CSC-24-Convenient-Heartburn-Famotidine/dp/B00FQJ1X2O/ref=sr_1_6?keywords=Pepcid+AC+Acid+Reducer+Maximum+Strength+Tablets%2C+100+Count&amp;qid=1695169868&amp;sr=8-6")</f>
        <v/>
      </c>
      <c r="F227" t="inlineStr">
        <is>
          <t>B00FQJ1X2O</t>
        </is>
      </c>
      <c r="G227">
        <f>_xludf.IMAGE("https://www.shelhealth.com/cdn/shop/products/pepcid-ac-acid-reducer-maximum-strength-tablets-100-count-shelhealth-344.jpg?v=1663337683&amp;width=1946")</f>
        <v/>
      </c>
      <c r="H227">
        <f>_xludf.IMAGE("https://m.media-amazon.com/images/I/71ZZO1RTFlL._AC_UL320_.jpg")</f>
        <v/>
      </c>
      <c r="K227" t="inlineStr">
        <is>
          <t>46.99</t>
        </is>
      </c>
      <c r="L227" t="n">
        <v>36.77</v>
      </c>
      <c r="M227" s="1" t="inlineStr">
        <is>
          <t>-21.75%</t>
        </is>
      </c>
      <c r="N227" s="3" t="n">
        <v>-21.75</v>
      </c>
      <c r="O227" t="n">
        <v>4.8</v>
      </c>
      <c r="P227" t="n">
        <v>1519</v>
      </c>
      <c r="R227" t="inlineStr">
        <is>
          <t>InStock</t>
        </is>
      </c>
      <c r="S227" t="inlineStr">
        <is>
          <t>46.99</t>
        </is>
      </c>
      <c r="T227" t="inlineStr">
        <is>
          <t>3777137213492</t>
        </is>
      </c>
    </row>
    <row r="228" hidden="1" ht="15.75" customHeight="1">
      <c r="A228" s="2">
        <f>HYPERLINK("https://www.shelhealth.com/products/pepcid-ac-acid-reducer-maximum-strength-tablets-100-count", "https://www.shelhealth.com/products/pepcid-ac-acid-reducer-maximum-strength-tablets-100-count")</f>
        <v/>
      </c>
      <c r="B228" s="2">
        <f>HYPERLINK("https://www.shelhealth.com/products/pepcid-ac-acid-reducer-maximum-strength-tablets-100-count", "https://www.shelhealth.com/products/pepcid-ac-acid-reducer-maximum-strength-tablets-100-count")</f>
        <v/>
      </c>
      <c r="C228" t="inlineStr">
        <is>
          <t>Pepcid AC Acid Reducer Maximum Strength Tablets, 100 Count</t>
        </is>
      </c>
      <c r="D228" t="inlineStr">
        <is>
          <t>Pepcid AC Acid Reducer Maximum Strength Tablets, 2 Pack of 50 Count (100 Count Total)</t>
        </is>
      </c>
      <c r="E228" s="2">
        <f>HYPERLINK("https://www.amazon.com/Pepcid-Reducer-Maximum-Strength-Tablets/dp/B07B2W27JS/ref=sr_1_3?keywords=Pepcid+AC+Acid+Reducer+Maximum+Strength+Tablets%2C+100+Count&amp;qid=1695169868&amp;sr=8-3", "https://www.amazon.com/Pepcid-Reducer-Maximum-Strength-Tablets/dp/B07B2W27JS/ref=sr_1_3?keywords=Pepcid+AC+Acid+Reducer+Maximum+Strength+Tablets%2C+100+Count&amp;qid=1695169868&amp;sr=8-3")</f>
        <v/>
      </c>
      <c r="F228" t="inlineStr">
        <is>
          <t>B07B2W27JS</t>
        </is>
      </c>
      <c r="G228">
        <f>_xludf.IMAGE("https://www.shelhealth.com/cdn/shop/products/pepcid-ac-acid-reducer-maximum-strength-tablets-100-count-shelhealth-344.jpg?v=1663337683&amp;width=1946")</f>
        <v/>
      </c>
      <c r="H228">
        <f>_xludf.IMAGE("https://m.media-amazon.com/images/I/71ZZO1RTFlL._AC_UL320_.jpg")</f>
        <v/>
      </c>
      <c r="K228" t="inlineStr">
        <is>
          <t>46.99</t>
        </is>
      </c>
      <c r="L228" t="n">
        <v>36.3</v>
      </c>
      <c r="M228" s="1" t="inlineStr">
        <is>
          <t>-22.75%</t>
        </is>
      </c>
      <c r="N228" s="3" t="n">
        <v>-22.75</v>
      </c>
      <c r="O228" t="n">
        <v>4.8</v>
      </c>
      <c r="P228" t="n">
        <v>362</v>
      </c>
      <c r="R228" t="inlineStr">
        <is>
          <t>InStock</t>
        </is>
      </c>
      <c r="S228" t="inlineStr">
        <is>
          <t>46.99</t>
        </is>
      </c>
      <c r="T228" t="inlineStr">
        <is>
          <t>3777137213492</t>
        </is>
      </c>
    </row>
    <row r="229" hidden="1" ht="15.75" customHeight="1">
      <c r="A229" s="2">
        <f>HYPERLINK("https://www.shelhealth.com/products/76630300841-american-health-probiotic-enzyme-complex-30-cp", "https://www.shelhealth.com/products/76630300841-american-health-probiotic-enzyme-complex-30-cp")</f>
        <v/>
      </c>
      <c r="B229" s="2">
        <f>HYPERLINK("https://www.shelhealth.com/products/76630300841-american-health-probiotic-enzyme-complex-30-cp", "https://www.shelhealth.com/products/76630300841-american-health-probiotic-enzyme-complex-30-cp")</f>
        <v/>
      </c>
      <c r="C229" t="inlineStr">
        <is>
          <t>American Health Probiotic Enzyme Complex, 30 Cp</t>
        </is>
      </c>
      <c r="D229" t="inlineStr">
        <is>
          <t>AMERICAN HEALTH Enzyme Probiotic Complex Plus, 20 Billion Microorganisms - Clinically Studied Strain - Advanced Support for Gas &amp; Bloating* - Non-GMO - 30 Capsules, 30 Total Servings</t>
        </is>
      </c>
      <c r="E229" s="2">
        <f>HYPERLINK("https://www.amazon.com/American-Health-Probiotic-Complex-Microorganisms/dp/B097F3WT7X/ref=sr_1_1?keywords=American+Health+Probiotic+Enzyme+Complex%2C+30+Cp&amp;qid=1695169869&amp;sr=8-1", "https://www.amazon.com/American-Health-Probiotic-Complex-Microorganisms/dp/B097F3WT7X/ref=sr_1_1?keywords=American+Health+Probiotic+Enzyme+Complex%2C+30+Cp&amp;qid=1695169869&amp;sr=8-1")</f>
        <v/>
      </c>
      <c r="F229" t="inlineStr">
        <is>
          <t>B097F3WT7X</t>
        </is>
      </c>
      <c r="G229">
        <f>_xludf.IMAGE("https://www.shelhealth.com/cdn/shop/files/american-health-probiotic-enzyme-complex-30-cp-vitamins-supplements-shelhealth-410.jpg?v=1686192409&amp;width=1946")</f>
        <v/>
      </c>
      <c r="H229">
        <f>_xludf.IMAGE("https://m.media-amazon.com/images/I/816fCGDUhjL._AC_UL320_.jpg")</f>
        <v/>
      </c>
      <c r="K229" t="inlineStr">
        <is>
          <t>28.99</t>
        </is>
      </c>
      <c r="L229" t="n">
        <v>22.39</v>
      </c>
      <c r="M229" s="1" t="inlineStr">
        <is>
          <t>-22.77%</t>
        </is>
      </c>
      <c r="N229" s="3" t="n">
        <v>-22.77</v>
      </c>
      <c r="O229" t="n">
        <v>4</v>
      </c>
      <c r="P229" t="n">
        <v>33</v>
      </c>
      <c r="R229" t="inlineStr">
        <is>
          <t>OutOfStock</t>
        </is>
      </c>
      <c r="S229" t="inlineStr">
        <is>
          <t>28.99</t>
        </is>
      </c>
      <c r="T229" t="inlineStr">
        <is>
          <t>7241442001084</t>
        </is>
      </c>
    </row>
    <row r="230" hidden="1" ht="15.75" customHeight="1">
      <c r="A230" s="2">
        <f>HYPERLINK("https://www.shelhealth.com/products/76630300858-american-health-enzyme-probiotic-complex-60-cp", "https://www.shelhealth.com/products/76630300858-american-health-enzyme-probiotic-complex-60-cp")</f>
        <v/>
      </c>
      <c r="B230" s="2">
        <f>HYPERLINK("https://www.shelhealth.com/products/76630300858-american-health-enzyme-probiotic-complex-60-cp", "https://www.shelhealth.com/products/76630300858-american-health-enzyme-probiotic-complex-60-cp")</f>
        <v/>
      </c>
      <c r="C230" t="inlineStr">
        <is>
          <t>American Health Enzyme Probiotic Complex, 60 Cp</t>
        </is>
      </c>
      <c r="D230" t="inlineStr">
        <is>
          <t>AMERICAN HEALTH Enzyme Probiotic Complex Plus, 20 Billion Microorganisms - Clinically Studied Strain - Advanced Support for Gas &amp; Bloating* - Non-GMO - 60 Capsules, 60 Total Servings</t>
        </is>
      </c>
      <c r="E230" s="2">
        <f>HYPERLINK("https://www.amazon.com/American-Health-Probiotic-Complex-Microorganisms/dp/B097F4WKLB/ref=sr_1_fkmr0_1?keywords=American+Health+Enzyme+Probiotic+Complex%2C+60+Cp&amp;qid=1695169863&amp;sr=8-1-fkmr0", "https://www.amazon.com/American-Health-Probiotic-Complex-Microorganisms/dp/B097F4WKLB/ref=sr_1_fkmr0_1?keywords=American+Health+Enzyme+Probiotic+Complex%2C+60+Cp&amp;qid=1695169863&amp;sr=8-1-fkmr0")</f>
        <v/>
      </c>
      <c r="F230" t="inlineStr">
        <is>
          <t>B097F4WKLB</t>
        </is>
      </c>
      <c r="G230">
        <f>_xludf.IMAGE("https://www.shelhealth.com/cdn/shop/files/american-health-enzyme-probiotic-complex-60-cp-vitamins-supplements-shelhealth-269.jpg?v=1686192045&amp;width=1946")</f>
        <v/>
      </c>
      <c r="H230">
        <f>_xludf.IMAGE("https://m.media-amazon.com/images/I/81QVmMtzrWS._AC_UL320_.jpg")</f>
        <v/>
      </c>
      <c r="K230" t="inlineStr">
        <is>
          <t>55.99</t>
        </is>
      </c>
      <c r="L230" t="n">
        <v>42.67</v>
      </c>
      <c r="M230" s="1" t="inlineStr">
        <is>
          <t>-23.79%</t>
        </is>
      </c>
      <c r="N230" s="3" t="n">
        <v>-23.79</v>
      </c>
      <c r="O230" t="n">
        <v>4.2</v>
      </c>
      <c r="P230" t="n">
        <v>29</v>
      </c>
      <c r="R230" t="inlineStr">
        <is>
          <t>OutOfStock</t>
        </is>
      </c>
      <c r="S230" t="inlineStr">
        <is>
          <t>55.99</t>
        </is>
      </c>
      <c r="T230" t="inlineStr">
        <is>
          <t>7241440886972</t>
        </is>
      </c>
    </row>
    <row r="231" hidden="1" ht="15.75" customHeight="1">
      <c r="A231" s="2">
        <f>HYPERLINK("https://www.shelhealth.com/products/801541107612-organic-india-psyllium-organic-whole-husk-fiber-12-oz", "https://www.shelhealth.com/products/801541107612-organic-india-psyllium-organic-whole-husk-fiber-12-oz")</f>
        <v/>
      </c>
      <c r="B231" s="2">
        <f>HYPERLINK("https://www.shelhealth.com/products/801541107612-organic-india-psyllium-organic-whole-husk-fiber-12-oz", "https://www.shelhealth.com/products/801541107612-organic-india-psyllium-organic-whole-husk-fiber-12-oz")</f>
        <v/>
      </c>
      <c r="C231" t="inlineStr">
        <is>
          <t>Organic India Psyllium Organic Whole Husk Fiber, 12 Oz</t>
        </is>
      </c>
      <c r="D231" t="inlineStr">
        <is>
          <t>ORGANIC INDIA Psyllium Herbal Powder - Whole Husk Fiber, Healthy Elimination, Keto Friendly, Vegan, Gluten-Free, USDA Certified Organic, Non-GMO, Soluble &amp; Insoluble Fiber Source - 180 Capsules</t>
        </is>
      </c>
      <c r="E231" s="2">
        <f>HYPERLINK("https://www.amazon.com/Organic-India-Psyllium-Herbal-Powder/dp/B09D5JNH87/ref=sr_1_6?keywords=Organic+India+Psyllium+Organic+Whole+Husk+Fiber%2C+12+Oz&amp;qid=1695169876&amp;sr=8-6", "https://www.amazon.com/Organic-India-Psyllium-Herbal-Powder/dp/B09D5JNH87/ref=sr_1_6?keywords=Organic+India+Psyllium+Organic+Whole+Husk+Fiber%2C+12+Oz&amp;qid=1695169876&amp;sr=8-6")</f>
        <v/>
      </c>
      <c r="F231" t="inlineStr">
        <is>
          <t>B09D5JNH87</t>
        </is>
      </c>
      <c r="G231">
        <f>_xludf.IMAGE("https://www.shelhealth.com/cdn/shop/files/organic-india-psyllium-whole-husk-fiber-12-oz-vitamins-supplements-shelhealth-515.jpg?v=1693360502&amp;width=1946")</f>
        <v/>
      </c>
      <c r="H231">
        <f>_xludf.IMAGE("https://m.media-amazon.com/images/I/61mhvagIsXL._AC_UL320_.jpg")</f>
        <v/>
      </c>
      <c r="K231" t="inlineStr">
        <is>
          <t>20.99</t>
        </is>
      </c>
      <c r="L231" t="n">
        <v>15.99</v>
      </c>
      <c r="M231" s="1" t="inlineStr">
        <is>
          <t>-23.82%</t>
        </is>
      </c>
      <c r="N231" s="3" t="n">
        <v>-23.82</v>
      </c>
      <c r="O231" t="n">
        <v>4.3</v>
      </c>
      <c r="P231" t="n">
        <v>387</v>
      </c>
      <c r="R231" t="inlineStr">
        <is>
          <t>OutOfStock</t>
        </is>
      </c>
      <c r="S231" t="inlineStr">
        <is>
          <t>20.99</t>
        </is>
      </c>
      <c r="T231" t="inlineStr">
        <is>
          <t>7241906356412</t>
        </is>
      </c>
    </row>
    <row r="232" hidden="1" ht="15.75" customHeight="1">
      <c r="A232" s="2">
        <f>HYPERLINK("https://www.shelhealth.com/products/76630300834-american-health-probiotic-ext-care-comple-30-cp", "https://www.shelhealth.com/products/76630300834-american-health-probiotic-ext-care-comple-30-cp")</f>
        <v/>
      </c>
      <c r="B232" s="2">
        <f>HYPERLINK("https://www.shelhealth.com/products/76630300834-american-health-probiotic-ext-care-comple-30-cp", "https://www.shelhealth.com/products/76630300834-american-health-probiotic-ext-care-comple-30-cp")</f>
        <v/>
      </c>
      <c r="C232" t="inlineStr">
        <is>
          <t>American Health Probiotic Ext Care Comple, 30 Cp</t>
        </is>
      </c>
      <c r="D232" t="inlineStr">
        <is>
          <t>American Health Extra Care Probiotic Complex, 80 Billion Microorganisms - Beneficial Bacteria for The Digestive &amp; Immune Systems* - Non-GMO, Vegetarian - 30 Capsules, 30 Total Servings</t>
        </is>
      </c>
      <c r="E232" s="2">
        <f>HYPERLINK("https://www.amazon.com/American-Health-Probiotic-Complex-Microorganisms/dp/B097F38V4L/ref=sr_1_1?keywords=American+Health+Probiotic+Ext+Care+Comple%2C+30+Cp&amp;qid=1695169865&amp;sr=8-1", "https://www.amazon.com/American-Health-Probiotic-Complex-Microorganisms/dp/B097F38V4L/ref=sr_1_1?keywords=American+Health+Probiotic+Ext+Care+Comple%2C+30+Cp&amp;qid=1695169865&amp;sr=8-1")</f>
        <v/>
      </c>
      <c r="F232" t="inlineStr">
        <is>
          <t>B097F38V4L</t>
        </is>
      </c>
      <c r="G232">
        <f>_xludf.IMAGE("https://www.shelhealth.com/cdn/shop/files/american-health-probiotic-ext-care-comple-30-cp-vitamins-supplements-shelhealth-960.jpg?v=1686192407&amp;width=1946")</f>
        <v/>
      </c>
      <c r="H232">
        <f>_xludf.IMAGE("https://m.media-amazon.com/images/I/812Y5-SJzIL._AC_UL320_.jpg")</f>
        <v/>
      </c>
      <c r="K232" t="inlineStr">
        <is>
          <t>37.99</t>
        </is>
      </c>
      <c r="L232" t="n">
        <v>28.55</v>
      </c>
      <c r="M232" s="1" t="inlineStr">
        <is>
          <t>-24.85%</t>
        </is>
      </c>
      <c r="N232" s="3" t="n">
        <v>-24.85</v>
      </c>
      <c r="O232" t="n">
        <v>4.2</v>
      </c>
      <c r="P232" t="n">
        <v>37</v>
      </c>
      <c r="R232" t="inlineStr">
        <is>
          <t>OutOfStock</t>
        </is>
      </c>
      <c r="S232" t="inlineStr">
        <is>
          <t>37.99</t>
        </is>
      </c>
      <c r="T232" t="inlineStr">
        <is>
          <t>7241442099388</t>
        </is>
      </c>
    </row>
    <row r="233" hidden="1" ht="15.75" customHeight="1">
      <c r="A233" s="2">
        <f>HYPERLINK("https://www.shelhealth.com/products/berkley-jensen-extra-strength-gas-relief-softgels-120-ct", "https://www.shelhealth.com/products/berkley-jensen-extra-strength-gas-relief-softgels-120-ct")</f>
        <v/>
      </c>
      <c r="B233" s="2">
        <f>HYPERLINK("https://www.shelhealth.com/products/berkley-jensen-extra-strength-gas-relief-softgels-120-ct", "https://www.shelhealth.com/products/berkley-jensen-extra-strength-gas-relief-softgels-120-ct")</f>
        <v/>
      </c>
      <c r="C233" t="inlineStr">
        <is>
          <t>Berkley Jensen Extra Strength Gas Relief Softgels, 120 ct.</t>
        </is>
      </c>
      <c r="D233" t="inlineStr">
        <is>
          <t>Berkley Jensen Extra Strength Gas Relief Softgels, 120 ct.</t>
        </is>
      </c>
      <c r="E233" s="2">
        <f>HYPERLINK("https://www.amazon.com/Berkley-Jensen-Strength-Relief-Softgels/dp/B07JWNKTZZ/ref=sr_1_1?keywords=Berkley+Jensen+Extra+Strength+Gas+Relief+Softgels%2C+120+ct.&amp;qid=1695169873&amp;sr=8-1", "https://www.amazon.com/Berkley-Jensen-Strength-Relief-Softgels/dp/B07JWNKTZZ/ref=sr_1_1?keywords=Berkley+Jensen+Extra+Strength+Gas+Relief+Softgels%2C+120+ct.&amp;qid=1695169873&amp;sr=8-1")</f>
        <v/>
      </c>
      <c r="F233" t="inlineStr">
        <is>
          <t>B07JWNKTZZ</t>
        </is>
      </c>
      <c r="G233">
        <f>_xludf.IMAGE("https://www.shelhealth.com/cdn/shop/files/berkley-jensen-extra-strength-gas-relief-softgels-120-ct-health-beautymedicine-cabinet-shelhealth-841.jpg?v=1686282709&amp;width=1946")</f>
        <v/>
      </c>
      <c r="H233">
        <f>_xludf.IMAGE("https://m.media-amazon.com/images/I/71B3wAWTWCL._AC_UL320_.jpg")</f>
        <v/>
      </c>
      <c r="K233" t="inlineStr">
        <is>
          <t>9.99</t>
        </is>
      </c>
      <c r="L233" t="n">
        <v>7.45</v>
      </c>
      <c r="M233" s="1" t="inlineStr">
        <is>
          <t>-25.43%</t>
        </is>
      </c>
      <c r="N233" s="3" t="n">
        <v>-25.43</v>
      </c>
      <c r="O233" t="n">
        <v>4.6</v>
      </c>
      <c r="P233" t="n">
        <v>1000</v>
      </c>
      <c r="R233" t="inlineStr">
        <is>
          <t>InStock</t>
        </is>
      </c>
      <c r="S233" t="inlineStr">
        <is>
          <t>9.99</t>
        </is>
      </c>
      <c r="T233" t="inlineStr">
        <is>
          <t>4158663196724</t>
        </is>
      </c>
    </row>
    <row r="234" hidden="1" ht="15.75" customHeight="1">
      <c r="A234" s="2">
        <f>HYPERLINK("https://www.shelhealth.com/products/850502007218-youtheory-powder-probiotic-spore-3-45-oz", "https://www.shelhealth.com/products/850502007218-youtheory-powder-probiotic-spore-3-45-oz")</f>
        <v/>
      </c>
      <c r="B234" s="2">
        <f>HYPERLINK("https://www.shelhealth.com/products/850502007218-youtheory-powder-probiotic-spore-3-45-oz", "https://www.shelhealth.com/products/850502007218-youtheory-powder-probiotic-spore-3-45-oz")</f>
        <v/>
      </c>
      <c r="C234" t="inlineStr">
        <is>
          <t>YOUTHEORY Powder Probiotic Spore, 3.45 oz</t>
        </is>
      </c>
      <c r="D234" t="inlineStr">
        <is>
          <t>Youtheory Spore Probiotic Powder Advanced 3.45 oz. (1 Bottle) No Refrigeration Required</t>
        </is>
      </c>
      <c r="E234" s="2">
        <f>HYPERLINK("https://www.amazon.com/Youtheory-Spore-Probiotic-Powder-Billion/dp/B07C8FRGCJ/ref=sr_1_1?keywords=YOUTHEORY+Powder+Probiotic+Spore%2C+3.45+oz&amp;qid=1695169874&amp;sr=8-1", "https://www.amazon.com/Youtheory-Spore-Probiotic-Powder-Billion/dp/B07C8FRGCJ/ref=sr_1_1?keywords=YOUTHEORY+Powder+Probiotic+Spore%2C+3.45+oz&amp;qid=1695169874&amp;sr=8-1")</f>
        <v/>
      </c>
      <c r="F234" t="inlineStr">
        <is>
          <t>B07C8FRGCJ</t>
        </is>
      </c>
      <c r="G234">
        <f>_xludf.IMAGE("https://www.shelhealth.com/cdn/shop/files/youtheory-powder-probiotic-spore-3-45-oz-vitamins-supplements-shelhealth-407.jpg?v=1686232098&amp;width=1946")</f>
        <v/>
      </c>
      <c r="H234">
        <f>_xludf.IMAGE("https://m.media-amazon.com/images/I/61a-VbIlDrL._AC_UL320_.jpg")</f>
        <v/>
      </c>
      <c r="K234" t="inlineStr">
        <is>
          <t>26.99</t>
        </is>
      </c>
      <c r="L234" t="n">
        <v>19.99</v>
      </c>
      <c r="M234" s="1" t="inlineStr">
        <is>
          <t>-25.94%</t>
        </is>
      </c>
      <c r="N234" s="3" t="n">
        <v>-25.94</v>
      </c>
      <c r="O234" t="n">
        <v>4.5</v>
      </c>
      <c r="P234" t="n">
        <v>878</v>
      </c>
      <c r="R234" t="inlineStr">
        <is>
          <t>InStock</t>
        </is>
      </c>
      <c r="S234" t="inlineStr">
        <is>
          <t>26.99</t>
        </is>
      </c>
      <c r="T234" t="inlineStr">
        <is>
          <t>7574361702632</t>
        </is>
      </c>
    </row>
    <row r="235" hidden="1" ht="15.75" customHeight="1">
      <c r="A235" s="2">
        <f>HYPERLINK("https://www.shelhealth.com/products/kirkland-signature-fast-acting-lactase-180-caplets", "https://www.shelhealth.com/products/kirkland-signature-fast-acting-lactase-180-caplets")</f>
        <v/>
      </c>
      <c r="B235" s="2">
        <f>HYPERLINK("https://www.shelhealth.com/products/kirkland-signature-fast-acting-lactase-180-caplets", "https://www.shelhealth.com/products/kirkland-signature-fast-acting-lactase-180-caplets")</f>
        <v/>
      </c>
      <c r="C235" t="inlineStr">
        <is>
          <t>Kirkland Signature Fast Acting Lactase, 180 Caplets</t>
        </is>
      </c>
      <c r="D235" t="inlineStr">
        <is>
          <t>Kirkland Signature Fast Acting Lactase Enzyme 180 Count</t>
        </is>
      </c>
      <c r="E235" s="2">
        <f>HYPERLINK("https://www.amazon.com/Kirkland-Signature-Acting-Lactase-Enzyme/dp/B00BISMAO2/ref=sr_1_4?keywords=Kirkland+Signature+Fast+Acting+Lactase%2C+180+Caplets&amp;qid=1695169867&amp;sr=8-4", "https://www.amazon.com/Kirkland-Signature-Acting-Lactase-Enzyme/dp/B00BISMAO2/ref=sr_1_4?keywords=Kirkland+Signature+Fast+Acting+Lactase%2C+180+Caplets&amp;qid=1695169867&amp;sr=8-4")</f>
        <v/>
      </c>
      <c r="F235" t="inlineStr">
        <is>
          <t>B00BISMAO2</t>
        </is>
      </c>
      <c r="G235">
        <f>_xludf.IMAGE("https://www.shelhealth.com/cdn/shop/files/kirkland-signature-fast-acting-lactase-180-caplets-fiber-laxatives-shelhealth-157.jpg?v=1689975162&amp;width=1946")</f>
        <v/>
      </c>
      <c r="H235">
        <f>_xludf.IMAGE("https://m.media-amazon.com/images/I/61NZmI+lPvL._AC_UL320_.jpg")</f>
        <v/>
      </c>
      <c r="K235" t="inlineStr">
        <is>
          <t>33.99</t>
        </is>
      </c>
      <c r="L235" t="n">
        <v>24.94</v>
      </c>
      <c r="M235" s="1" t="inlineStr">
        <is>
          <t>-26.63%</t>
        </is>
      </c>
      <c r="N235" s="3" t="n">
        <v>-26.63</v>
      </c>
      <c r="O235" t="n">
        <v>4.5</v>
      </c>
      <c r="P235" t="n">
        <v>63</v>
      </c>
      <c r="R235" t="inlineStr">
        <is>
          <t>InStock</t>
        </is>
      </c>
      <c r="S235" t="inlineStr">
        <is>
          <t>33.99</t>
        </is>
      </c>
      <c r="T235" t="inlineStr">
        <is>
          <t>3699421118516</t>
        </is>
      </c>
    </row>
    <row r="236" hidden="1" ht="15.75" customHeight="1">
      <c r="A236" s="2">
        <f>HYPERLINK("https://www.shelhealth.com/products/kirkland-signature-antacid-ultra-strength-1000-mg-265-tablets", "https://www.shelhealth.com/products/kirkland-signature-antacid-ultra-strength-1000-mg-265-tablets")</f>
        <v/>
      </c>
      <c r="B236" s="2">
        <f>HYPERLINK("https://www.shelhealth.com/products/kirkland-signature-antacid-ultra-strength-1000-mg-265-tablets", "https://www.shelhealth.com/products/kirkland-signature-antacid-ultra-strength-1000-mg-265-tablets")</f>
        <v/>
      </c>
      <c r="C236" t="inlineStr">
        <is>
          <t>Kirkland Signature Antacid Ultra Strength 1000 mg. 530 Tablets</t>
        </is>
      </c>
      <c r="D236" t="inlineStr">
        <is>
          <t>Kirkland Signature Ultra Strength Antacid Calcium Carbonate 1000 MG Assorted Berry Flavors (265 Tablets)</t>
        </is>
      </c>
      <c r="E236" s="2">
        <f>HYPERLINK("https://www.amazon.com/Kirkland-Signature-Strength-Carbonate-Assorted/dp/B00BI33NU2/ref=sr_1_3?keywords=Kirkland+Signature+Antacid+Ultra+Strength+1000+mg.+530+Tablets&amp;qid=1695169873&amp;sr=8-3", "https://www.amazon.com/Kirkland-Signature-Strength-Carbonate-Assorted/dp/B00BI33NU2/ref=sr_1_3?keywords=Kirkland+Signature+Antacid+Ultra+Strength+1000+mg.+530+Tablets&amp;qid=1695169873&amp;sr=8-3")</f>
        <v/>
      </c>
      <c r="F236" t="inlineStr">
        <is>
          <t>B00BI33NU2</t>
        </is>
      </c>
      <c r="G236">
        <f>_xludf.IMAGE("https://www.shelhealth.com/cdn/shop/products/kirkland-signature-antacid-ultra-strength-1000-mg-530-tablets-shelhealth-913.jpg?v=1663336855&amp;width=1946")</f>
        <v/>
      </c>
      <c r="H236">
        <f>_xludf.IMAGE("https://m.media-amazon.com/images/I/81-39prTY6L._AC_UL320_.jpg")</f>
        <v/>
      </c>
      <c r="K236" t="inlineStr">
        <is>
          <t>16.99</t>
        </is>
      </c>
      <c r="L236" t="n">
        <v>11.79</v>
      </c>
      <c r="M236" s="1" t="inlineStr">
        <is>
          <t>-30.61%</t>
        </is>
      </c>
      <c r="N236" s="3" t="n">
        <v>-30.61</v>
      </c>
      <c r="O236" t="n">
        <v>4.6</v>
      </c>
      <c r="P236" t="n">
        <v>2068</v>
      </c>
      <c r="R236" t="inlineStr">
        <is>
          <t>InStock</t>
        </is>
      </c>
      <c r="S236" t="inlineStr">
        <is>
          <t>16.99</t>
        </is>
      </c>
      <c r="T236" t="inlineStr">
        <is>
          <t>3725930922036</t>
        </is>
      </c>
    </row>
    <row r="237" hidden="1" ht="15.75" customHeight="1">
      <c r="A237" s="2">
        <f>HYPERLINK("https://www.shelhealth.com/products/tums-extra-strength-smoothies-250-chewable-tablets", "https://www.shelhealth.com/products/tums-extra-strength-smoothies-250-chewable-tablets")</f>
        <v/>
      </c>
      <c r="B237" s="2">
        <f>HYPERLINK("https://www.shelhealth.com/products/tums-extra-strength-smoothies-250-chewable-tablets", "https://www.shelhealth.com/products/tums-extra-strength-smoothies-250-chewable-tablets")</f>
        <v/>
      </c>
      <c r="C237" t="inlineStr">
        <is>
          <t>TUMS Extra Strength Smoothies, 250 Chewable Tablets</t>
        </is>
      </c>
      <c r="D237" t="inlineStr">
        <is>
          <t>TUMS Extra Strength Antacid Tablets for Chewable Heartburn Relief and Acid Indigestion Relief, Assorted Fruit Flavors - 330 Count</t>
        </is>
      </c>
      <c r="E237" s="2">
        <f>HYPERLINK("https://www.amazon.com/TUMS-Chewable-Heartburn-Strength-Assorted/dp/B0035U184O/ref=sr_1_3?keywords=TUMS+Extra+Strength+Smoothies%2C+250+Chewable+Tablets&amp;qid=1695169870&amp;rdc=1&amp;sr=8-3", "https://www.amazon.com/TUMS-Chewable-Heartburn-Strength-Assorted/dp/B0035U184O/ref=sr_1_3?keywords=TUMS+Extra+Strength+Smoothies%2C+250+Chewable+Tablets&amp;qid=1695169870&amp;rdc=1&amp;sr=8-3")</f>
        <v/>
      </c>
      <c r="F237" t="inlineStr">
        <is>
          <t>B0035U184O</t>
        </is>
      </c>
      <c r="G237">
        <f>_xludf.IMAGE("https://www.shelhealth.com/cdn/shop/products/tums-extra-strength-smoothies-250-chewable-tablets-shelhealth-331.jpg?v=1663336800&amp;width=1946")</f>
        <v/>
      </c>
      <c r="H237">
        <f>_xludf.IMAGE("https://m.media-amazon.com/images/I/81Qx8nOzruL._AC_UL320_.jpg")</f>
        <v/>
      </c>
      <c r="K237" t="inlineStr">
        <is>
          <t>19.99</t>
        </is>
      </c>
      <c r="L237" t="n">
        <v>13.8</v>
      </c>
      <c r="M237" s="1" t="inlineStr">
        <is>
          <t>-30.97%</t>
        </is>
      </c>
      <c r="N237" s="3" t="n">
        <v>-30.97</v>
      </c>
      <c r="O237" t="n">
        <v>4.8</v>
      </c>
      <c r="P237" t="n">
        <v>21961</v>
      </c>
      <c r="R237" t="inlineStr">
        <is>
          <t>InStock</t>
        </is>
      </c>
      <c r="S237" t="inlineStr">
        <is>
          <t>19.99</t>
        </is>
      </c>
      <c r="T237" t="inlineStr">
        <is>
          <t>3723715280948</t>
        </is>
      </c>
    </row>
    <row r="238" hidden="1" ht="15.75" customHeight="1">
      <c r="A238" s="2">
        <f>HYPERLINK("https://www.shelhealth.com/products/prilosec-otc-acid-reducer-tablets-42-ct-box", "https://www.shelhealth.com/products/prilosec-otc-acid-reducer-tablets-42-ct-box")</f>
        <v/>
      </c>
      <c r="B238" s="2">
        <f>HYPERLINK("https://www.shelhealth.com/products/prilosec-otc-acid-reducer-tablets-42-ct-box", "https://www.shelhealth.com/products/prilosec-otc-acid-reducer-tablets-42-ct-box")</f>
        <v/>
      </c>
      <c r="C238" t="inlineStr">
        <is>
          <t>Prilosec OTC Acid Reducer Tablets 42 ct Box</t>
        </is>
      </c>
      <c r="D238" t="inlineStr">
        <is>
          <t>Prilosec OTC Frequent Heartburn Relief Medicine and Acid Reducer 42 Tablets Omeprazole Delayed-Release Tablets 20mg - Proton Pump Inhibitor (OLD)</t>
        </is>
      </c>
      <c r="E238" s="2">
        <f>HYPERLINK("https://www.amazon.com/Prilosec-Frequent-Heartburn-Medicine-Reducer/dp/B0014E1FP0/ref=sr_1_9?keywords=Prilosec+OTC+Acid+Reducer+Tablets+42+ct+Box&amp;qid=1695169868&amp;sr=8-9", "https://www.amazon.com/Prilosec-Frequent-Heartburn-Medicine-Reducer/dp/B0014E1FP0/ref=sr_1_9?keywords=Prilosec+OTC+Acid+Reducer+Tablets+42+ct+Box&amp;qid=1695169868&amp;sr=8-9")</f>
        <v/>
      </c>
      <c r="F238" t="inlineStr">
        <is>
          <t>B0014E1FP0</t>
        </is>
      </c>
      <c r="G238">
        <f>_xludf.IMAGE("https://www.shelhealth.com/cdn/shop/products/prilosec-otc-acid-reducer-tablets-42-ct-box-shelhealth-624.jpg?v=1663337235&amp;width=1946")</f>
        <v/>
      </c>
      <c r="H238">
        <f>_xludf.IMAGE("https://m.media-amazon.com/images/I/81TVM4oqcML._AC_UL320_.jpg")</f>
        <v/>
      </c>
      <c r="K238" t="inlineStr">
        <is>
          <t>33.99</t>
        </is>
      </c>
      <c r="L238" t="n">
        <v>22.98</v>
      </c>
      <c r="M238" s="1" t="inlineStr">
        <is>
          <t>-32.39%</t>
        </is>
      </c>
      <c r="N238" s="3" t="n">
        <v>-32.39</v>
      </c>
      <c r="O238" t="n">
        <v>4.8</v>
      </c>
      <c r="P238" t="n">
        <v>949</v>
      </c>
      <c r="R238" t="inlineStr">
        <is>
          <t>InStock</t>
        </is>
      </c>
      <c r="S238" t="inlineStr">
        <is>
          <t>33.99</t>
        </is>
      </c>
      <c r="T238" t="inlineStr">
        <is>
          <t>3752458977332</t>
        </is>
      </c>
    </row>
    <row r="239" hidden="1" ht="15.75" customHeight="1">
      <c r="A239" s="2">
        <f>HYPERLINK("https://www.shelhealth.com/products/prilosec-otc-acid-reducer-tablets-42-ct-box", "https://www.shelhealth.com/products/prilosec-otc-acid-reducer-tablets-42-ct-box")</f>
        <v/>
      </c>
      <c r="B239" s="2">
        <f>HYPERLINK("https://www.shelhealth.com/products/prilosec-otc-acid-reducer-tablets-42-ct-box", "https://www.shelhealth.com/products/prilosec-otc-acid-reducer-tablets-42-ct-box")</f>
        <v/>
      </c>
      <c r="C239" t="inlineStr">
        <is>
          <t>Prilosec OTC Acid Reducer Tablets 42 ct Box</t>
        </is>
      </c>
      <c r="D239" t="inlineStr">
        <is>
          <t>Prilosec OTC, Omeprazole Delayed Release 20mg, Acid Reducer, Treats Frequent Heartburn for 24 Hour Relief, All Day, All Night*, Wildberry Flavor, 20mg, 42 Tablets</t>
        </is>
      </c>
      <c r="E239" s="2">
        <f>HYPERLINK("https://www.amazon.com/Prilosec-Wildberry-Frequent-Heartburn-Medicine/dp/B00MB3JOOM/ref=sr_1_8?keywords=Prilosec+OTC+Acid+Reducer+Tablets+42+ct+Box&amp;qid=1695169868&amp;sr=8-8", "https://www.amazon.com/Prilosec-Wildberry-Frequent-Heartburn-Medicine/dp/B00MB3JOOM/ref=sr_1_8?keywords=Prilosec+OTC+Acid+Reducer+Tablets+42+ct+Box&amp;qid=1695169868&amp;sr=8-8")</f>
        <v/>
      </c>
      <c r="F239" t="inlineStr">
        <is>
          <t>B00MB3JOOM</t>
        </is>
      </c>
      <c r="G239">
        <f>_xludf.IMAGE("https://www.shelhealth.com/cdn/shop/products/prilosec-otc-acid-reducer-tablets-42-ct-box-shelhealth-624.jpg?v=1663337235&amp;width=1946")</f>
        <v/>
      </c>
      <c r="H239">
        <f>_xludf.IMAGE("https://m.media-amazon.com/images/I/71D+qnlWX0L._AC_UL320_.jpg")</f>
        <v/>
      </c>
      <c r="K239" t="inlineStr">
        <is>
          <t>33.99</t>
        </is>
      </c>
      <c r="L239" t="n">
        <v>22.98</v>
      </c>
      <c r="M239" s="1" t="inlineStr">
        <is>
          <t>-32.39%</t>
        </is>
      </c>
      <c r="N239" s="3" t="n">
        <v>-32.39</v>
      </c>
      <c r="O239" t="n">
        <v>4.8</v>
      </c>
      <c r="P239" t="n">
        <v>3042</v>
      </c>
      <c r="R239" t="inlineStr">
        <is>
          <t>InStock</t>
        </is>
      </c>
      <c r="S239" t="inlineStr">
        <is>
          <t>33.99</t>
        </is>
      </c>
      <c r="T239" t="inlineStr">
        <is>
          <t>3752458977332</t>
        </is>
      </c>
    </row>
    <row r="240" hidden="1" ht="15.75" customHeight="1">
      <c r="A240" s="2">
        <f>HYPERLINK("https://www.shelhealth.com/products/prilosec-otc-acid-reducer-tablets-42-ct-box", "https://www.shelhealth.com/products/prilosec-otc-acid-reducer-tablets-42-ct-box")</f>
        <v/>
      </c>
      <c r="B240" s="2">
        <f>HYPERLINK("https://www.shelhealth.com/products/prilosec-otc-acid-reducer-tablets-42-ct-box", "https://www.shelhealth.com/products/prilosec-otc-acid-reducer-tablets-42-ct-box")</f>
        <v/>
      </c>
      <c r="C240" t="inlineStr">
        <is>
          <t>Prilosec OTC Acid Reducer Tablets 42 ct Box</t>
        </is>
      </c>
      <c r="D240" t="inlineStr">
        <is>
          <t>Prilosec OTC, Omeprazole Delayed Release 20mg, Acid Reducer, Treats Frequent Heartburn for 24 Hour Relief, All Day, All Night*, 20mg, 42 Tablets</t>
        </is>
      </c>
      <c r="E240" s="2">
        <f>HYPERLINK("https://www.amazon.com/Prilosec-OTC-Frequent-Heartburn-Medicine/dp/B0000AN9L7/ref=sr_1_2?keywords=Prilosec+OTC+Acid+Reducer+Tablets+42+ct+Box&amp;qid=1695169868&amp;sr=8-2", "https://www.amazon.com/Prilosec-OTC-Frequent-Heartburn-Medicine/dp/B0000AN9L7/ref=sr_1_2?keywords=Prilosec+OTC+Acid+Reducer+Tablets+42+ct+Box&amp;qid=1695169868&amp;sr=8-2")</f>
        <v/>
      </c>
      <c r="F240" t="inlineStr">
        <is>
          <t>B0000AN9L7</t>
        </is>
      </c>
      <c r="G240">
        <f>_xludf.IMAGE("https://www.shelhealth.com/cdn/shop/products/prilosec-otc-acid-reducer-tablets-42-ct-box-shelhealth-624.jpg?v=1663337235&amp;width=1946")</f>
        <v/>
      </c>
      <c r="H240">
        <f>_xludf.IMAGE("https://m.media-amazon.com/images/I/61MCxc2GZ6L._AC_UL320_.jpg")</f>
        <v/>
      </c>
      <c r="K240" t="inlineStr">
        <is>
          <t>33.99</t>
        </is>
      </c>
      <c r="L240" t="n">
        <v>22.98</v>
      </c>
      <c r="M240" s="1" t="inlineStr">
        <is>
          <t>-32.39%</t>
        </is>
      </c>
      <c r="N240" s="3" t="n">
        <v>-32.39</v>
      </c>
      <c r="O240" t="n">
        <v>4.8</v>
      </c>
      <c r="P240" t="n">
        <v>15413</v>
      </c>
      <c r="R240" t="inlineStr">
        <is>
          <t>InStock</t>
        </is>
      </c>
      <c r="S240" t="inlineStr">
        <is>
          <t>33.99</t>
        </is>
      </c>
      <c r="T240" t="inlineStr">
        <is>
          <t>3752458977332</t>
        </is>
      </c>
    </row>
    <row r="241" hidden="1" ht="15.75" customHeight="1">
      <c r="A241" s="2">
        <f>HYPERLINK("https://www.shelhealth.com/products/berkley-and-jensen-acid-controller-maximum-strength-famotidine-tablets-20-mg-acid-reducer-200-tablets", "https://www.shelhealth.com/products/berkley-and-jensen-acid-controller-maximum-strength-famotidine-tablets-20-mg-acid-reducer-200-tablets")</f>
        <v/>
      </c>
      <c r="B241" s="2">
        <f>HYPERLINK("https://www.shelhealth.com/products/berkley-and-jensen-acid-controller-maximum-strength-famotidine-tablets-20-mg-acid-reducer-200-tablets", "https://www.shelhealth.com/products/berkley-and-jensen-acid-controller-maximum-strength-famotidine-tablets-20-mg-acid-reducer-200-tablets")</f>
        <v/>
      </c>
      <c r="C241" t="inlineStr">
        <is>
          <t>Berkley and Jensen Acid Controller Maximum Strength Famotidine Tablets 20 mg Acid Reducer 200 Tablets</t>
        </is>
      </c>
      <c r="D241" t="inlineStr">
        <is>
          <t>Kirkland Signature Maximum Strength Acid Controller, Famotidine Tablets USP, 20 mg, 85-Count (Pack of 2)</t>
        </is>
      </c>
      <c r="E241" s="2">
        <f>HYPERLINK("https://www.amazon.com/Kirkland-Signature-Strength-Controller-Famotidine/dp/B002RL8FL6/ref=sr_1_5?keywords=Berkley+and+Jensen+Acid+Controller+Maximum+Strength+Famotidine+Tablets+20+mg+Acid+Reducer+200+Tablets&amp;qid=1695169863&amp;sr=8-5", "https://www.amazon.com/Kirkland-Signature-Strength-Controller-Famotidine/dp/B002RL8FL6/ref=sr_1_5?keywords=Berkley+and+Jensen+Acid+Controller+Maximum+Strength+Famotidine+Tablets+20+mg+Acid+Reducer+200+Tablets&amp;qid=1695169863&amp;sr=8-5")</f>
        <v/>
      </c>
      <c r="F241" t="inlineStr">
        <is>
          <t>B002RL8FL6</t>
        </is>
      </c>
      <c r="G241">
        <f>_xludf.IMAGE("https://www.shelhealth.com/cdn/shop/products/berkley-and-jensen-acid-controller-maximum-strength-famotidine-tablets-20-mg-reducer-200-shelhealth-113.jpg?v=1663353726&amp;width=1946")</f>
        <v/>
      </c>
      <c r="H241">
        <f>_xludf.IMAGE("https://m.media-amazon.com/images/I/71NcTioK0gL._AC_UL320_.jpg")</f>
        <v/>
      </c>
      <c r="K241" t="inlineStr">
        <is>
          <t>23.99</t>
        </is>
      </c>
      <c r="L241" t="n">
        <v>14.41</v>
      </c>
      <c r="M241" s="1" t="inlineStr">
        <is>
          <t>-39.93%</t>
        </is>
      </c>
      <c r="N241" s="3" t="n">
        <v>-39.93</v>
      </c>
      <c r="O241" t="n">
        <v>4.5</v>
      </c>
      <c r="P241" t="n">
        <v>528</v>
      </c>
      <c r="R241" t="inlineStr">
        <is>
          <t>InStock</t>
        </is>
      </c>
      <c r="S241" t="inlineStr">
        <is>
          <t>23.99</t>
        </is>
      </c>
      <c r="T241" t="inlineStr">
        <is>
          <t>4163584589876</t>
        </is>
      </c>
    </row>
    <row r="242" hidden="1" ht="15.75" customHeight="1">
      <c r="A242" s="2">
        <f>HYPERLINK("https://www.shelhealth.com/products/tums-extra-strength-smoothies-250-chewable-tablets", "https://www.shelhealth.com/products/tums-extra-strength-smoothies-250-chewable-tablets")</f>
        <v/>
      </c>
      <c r="B242" s="2">
        <f>HYPERLINK("https://www.shelhealth.com/products/tums-extra-strength-smoothies-250-chewable-tablets", "https://www.shelhealth.com/products/tums-extra-strength-smoothies-250-chewable-tablets")</f>
        <v/>
      </c>
      <c r="C242" t="inlineStr">
        <is>
          <t>TUMS Extra Strength Smoothies, 250 Chewable Tablets</t>
        </is>
      </c>
      <c r="D242" t="inlineStr">
        <is>
          <t>TUMS Smoothies Extra Strength Antacid Tablets for Chewable Heartburn Relief and Acid Indigestion Relief, Berry Fusion - 140 Count</t>
        </is>
      </c>
      <c r="E242" s="2">
        <f>HYPERLINK("https://www.amazon.com/TUMS-Smoothies-Strength-Chewable-Heartburn/dp/B00399H31S/ref=sr_1_1?keywords=TUMS+Extra+Strength+Smoothies%2C+250+Chewable+Tablets&amp;qid=1695169870&amp;rdc=1&amp;sr=8-1", "https://www.amazon.com/TUMS-Smoothies-Strength-Chewable-Heartburn/dp/B00399H31S/ref=sr_1_1?keywords=TUMS+Extra+Strength+Smoothies%2C+250+Chewable+Tablets&amp;qid=1695169870&amp;rdc=1&amp;sr=8-1")</f>
        <v/>
      </c>
      <c r="F242" t="inlineStr">
        <is>
          <t>B00399H31S</t>
        </is>
      </c>
      <c r="G242">
        <f>_xludf.IMAGE("https://www.shelhealth.com/cdn/shop/products/tums-extra-strength-smoothies-250-chewable-tablets-shelhealth-331.jpg?v=1663336800&amp;width=1946")</f>
        <v/>
      </c>
      <c r="H242">
        <f>_xludf.IMAGE("https://m.media-amazon.com/images/I/71xXhE5pIpL._AC_UL320_.jpg")</f>
        <v/>
      </c>
      <c r="K242" t="inlineStr">
        <is>
          <t>19.99</t>
        </is>
      </c>
      <c r="L242" t="n">
        <v>8.49</v>
      </c>
      <c r="M242" s="1" t="inlineStr">
        <is>
          <t>-57.53%</t>
        </is>
      </c>
      <c r="N242" s="3" t="n">
        <v>-57.53</v>
      </c>
      <c r="O242" t="n">
        <v>4.8</v>
      </c>
      <c r="P242" t="n">
        <v>7869</v>
      </c>
      <c r="R242" t="inlineStr">
        <is>
          <t>InStock</t>
        </is>
      </c>
      <c r="S242" t="inlineStr">
        <is>
          <t>19.99</t>
        </is>
      </c>
      <c r="T242" t="inlineStr">
        <is>
          <t>3723715280948</t>
        </is>
      </c>
    </row>
    <row r="243" hidden="1" ht="15.75" customHeight="1">
      <c r="A243" s="2">
        <f>HYPERLINK("https://www.shelhealth.com/products/berkley-and-jensen-acid-controller-maximum-strength-famotidine-tablets-20-mg-acid-reducer-200-tablets", "https://www.shelhealth.com/products/berkley-and-jensen-acid-controller-maximum-strength-famotidine-tablets-20-mg-acid-reducer-200-tablets")</f>
        <v/>
      </c>
      <c r="B243" s="2">
        <f>HYPERLINK("https://www.shelhealth.com/products/berkley-and-jensen-acid-controller-maximum-strength-famotidine-tablets-20-mg-acid-reducer-200-tablets", "https://www.shelhealth.com/products/berkley-and-jensen-acid-controller-maximum-strength-famotidine-tablets-20-mg-acid-reducer-200-tablets")</f>
        <v/>
      </c>
      <c r="C243" t="inlineStr">
        <is>
          <t>Berkley and Jensen Acid Controller Maximum Strength Famotidine Tablets 20 mg Acid Reducer 200 Tablets</t>
        </is>
      </c>
      <c r="D243" t="inlineStr">
        <is>
          <t>Berkley and Jensen Acid Controller Maximum Strength Famotidine Tablets 20 mg Acid Reducer 100 Tablets Per Bottle (Pack of 2)</t>
        </is>
      </c>
      <c r="E243" s="2">
        <f>HYPERLINK("https://www.amazon.com/Berkley-Jensen-Controller-Strength-Famotidine/dp/B004Y0JUSU/ref=sr_1_1?keywords=Berkley+and+Jensen+Acid+Controller+Maximum+Strength+Famotidine+Tablets+20+mg+Acid+Reducer+200+Tablets&amp;qid=1695169863&amp;sr=8-1", "https://www.amazon.com/Berkley-Jensen-Controller-Strength-Famotidine/dp/B004Y0JUSU/ref=sr_1_1?keywords=Berkley+and+Jensen+Acid+Controller+Maximum+Strength+Famotidine+Tablets+20+mg+Acid+Reducer+200+Tablets&amp;qid=1695169863&amp;sr=8-1")</f>
        <v/>
      </c>
      <c r="F243" t="inlineStr">
        <is>
          <t>B004Y0JUSU</t>
        </is>
      </c>
      <c r="G243">
        <f>_xludf.IMAGE("https://www.shelhealth.com/cdn/shop/products/berkley-and-jensen-acid-controller-maximum-strength-famotidine-tablets-20-mg-reducer-200-shelhealth-113.jpg?v=1663353726&amp;width=1946")</f>
        <v/>
      </c>
      <c r="H243">
        <f>_xludf.IMAGE("https://m.media-amazon.com/images/I/61SQ-Zv9pwL._AC_UL320_.jpg")</f>
        <v/>
      </c>
      <c r="K243" t="inlineStr">
        <is>
          <t>23.99</t>
        </is>
      </c>
      <c r="L243" t="n">
        <v>9.300000000000001</v>
      </c>
      <c r="M243" s="1" t="inlineStr">
        <is>
          <t>-61.23%</t>
        </is>
      </c>
      <c r="N243" s="3" t="n">
        <v>-61.23</v>
      </c>
      <c r="O243" t="n">
        <v>4.8</v>
      </c>
      <c r="P243" t="n">
        <v>2951</v>
      </c>
      <c r="R243" t="inlineStr">
        <is>
          <t>InStock</t>
        </is>
      </c>
      <c r="S243" t="inlineStr">
        <is>
          <t>23.99</t>
        </is>
      </c>
      <c r="T243" t="inlineStr">
        <is>
          <t>4163584589876</t>
        </is>
      </c>
    </row>
    <row r="244" hidden="1" ht="15.75" customHeight="1">
      <c r="A244" s="2">
        <f>HYPERLINK("https://www.shelhealth.com/products/berkley-and-jensen-acid-controller-maximum-strength-famotidine-tablets-20-mg-acid-reducer-200-tablets", "https://www.shelhealth.com/products/berkley-and-jensen-acid-controller-maximum-strength-famotidine-tablets-20-mg-acid-reducer-200-tablets")</f>
        <v/>
      </c>
      <c r="B244" s="2">
        <f>HYPERLINK("https://www.shelhealth.com/products/berkley-and-jensen-acid-controller-maximum-strength-famotidine-tablets-20-mg-acid-reducer-200-tablets", "https://www.shelhealth.com/products/berkley-and-jensen-acid-controller-maximum-strength-famotidine-tablets-20-mg-acid-reducer-200-tablets")</f>
        <v/>
      </c>
      <c r="C244" t="inlineStr">
        <is>
          <t>Berkley and Jensen Acid Controller Maximum Strength Famotidine Tablets 20 mg Acid Reducer 200 Tablets</t>
        </is>
      </c>
      <c r="D244" t="inlineStr">
        <is>
          <t>Berkley Jensen Maximum Strength Acid Reducer Famotidine Tablets, 200 Count</t>
        </is>
      </c>
      <c r="E244" s="2">
        <f>HYPERLINK("https://www.amazon.com/Berkley-Jensen-Maximum-Strength-Famotidine/dp/B0BG3B4H4D/ref=sr_1_2?keywords=Berkley+and+Jensen+Acid+Controller+Maximum+Strength+Famotidine+Tablets+20+mg+Acid+Reducer+200+Tablets&amp;qid=1695169863&amp;sr=8-2", "https://www.amazon.com/Berkley-Jensen-Maximum-Strength-Famotidine/dp/B0BG3B4H4D/ref=sr_1_2?keywords=Berkley+and+Jensen+Acid+Controller+Maximum+Strength+Famotidine+Tablets+20+mg+Acid+Reducer+200+Tablets&amp;qid=1695169863&amp;sr=8-2")</f>
        <v/>
      </c>
      <c r="F244" t="inlineStr">
        <is>
          <t>B0BG3B4H4D</t>
        </is>
      </c>
      <c r="G244">
        <f>_xludf.IMAGE("https://www.shelhealth.com/cdn/shop/products/berkley-and-jensen-acid-controller-maximum-strength-famotidine-tablets-20-mg-reducer-200-shelhealth-113.jpg?v=1663353726&amp;width=1946")</f>
        <v/>
      </c>
      <c r="H244">
        <f>_xludf.IMAGE("https://m.media-amazon.com/images/I/6104mGIcy+L._AC_UL320_.jpg")</f>
        <v/>
      </c>
      <c r="K244" t="inlineStr">
        <is>
          <t>23.99</t>
        </is>
      </c>
      <c r="L244" t="n">
        <v>9.279999999999999</v>
      </c>
      <c r="M244" s="1" t="inlineStr">
        <is>
          <t>-61.32%</t>
        </is>
      </c>
      <c r="N244" s="3" t="n">
        <v>-61.32</v>
      </c>
      <c r="O244" t="n">
        <v>4.7</v>
      </c>
      <c r="P244" t="n">
        <v>173</v>
      </c>
      <c r="R244" t="inlineStr">
        <is>
          <t>InStock</t>
        </is>
      </c>
      <c r="S244" t="inlineStr">
        <is>
          <t>23.99</t>
        </is>
      </c>
      <c r="T244" t="inlineStr">
        <is>
          <t>4163584589876</t>
        </is>
      </c>
    </row>
    <row r="245" hidden="1" ht="15.75" customHeight="1">
      <c r="A245" s="2">
        <f>HYPERLINK("https://www.shelhealth.com/products/berkley-and-jensen-acid-controller-maximum-strength-famotidine-tablets-20-mg-acid-reducer-200-tablets", "https://www.shelhealth.com/products/berkley-and-jensen-acid-controller-maximum-strength-famotidine-tablets-20-mg-acid-reducer-200-tablets")</f>
        <v/>
      </c>
      <c r="B245" s="2">
        <f>HYPERLINK("https://www.shelhealth.com/products/berkley-and-jensen-acid-controller-maximum-strength-famotidine-tablets-20-mg-acid-reducer-200-tablets", "https://www.shelhealth.com/products/berkley-and-jensen-acid-controller-maximum-strength-famotidine-tablets-20-mg-acid-reducer-200-tablets")</f>
        <v/>
      </c>
      <c r="C245" t="inlineStr">
        <is>
          <t>Berkley and Jensen Acid Controller Maximum Strength Famotidine Tablets 20 mg Acid Reducer 200 Tablets</t>
        </is>
      </c>
      <c r="D245" t="inlineStr">
        <is>
          <t>Glenmark Maximum Strength Famotidine Tablets 20 mg, Acid Reducer for Heartburn Relief, 200 Count</t>
        </is>
      </c>
      <c r="E245" s="2">
        <f>HYPERLINK("https://www.amazon.com/Glenmark-Maximum-Strength-Famotidine-Heartburn/dp/B098BBJRC6/ref=sr_1_3?keywords=Berkley+and+Jensen+Acid+Controller+Maximum+Strength+Famotidine+Tablets+20+mg+Acid+Reducer+200+Tablets&amp;qid=1695169863&amp;sr=8-3", "https://www.amazon.com/Glenmark-Maximum-Strength-Famotidine-Heartburn/dp/B098BBJRC6/ref=sr_1_3?keywords=Berkley+and+Jensen+Acid+Controller+Maximum+Strength+Famotidine+Tablets+20+mg+Acid+Reducer+200+Tablets&amp;qid=1695169863&amp;sr=8-3")</f>
        <v/>
      </c>
      <c r="F245" t="inlineStr">
        <is>
          <t>B098BBJRC6</t>
        </is>
      </c>
      <c r="G245">
        <f>_xludf.IMAGE("https://www.shelhealth.com/cdn/shop/products/berkley-and-jensen-acid-controller-maximum-strength-famotidine-tablets-20-mg-reducer-200-shelhealth-113.jpg?v=1663353726&amp;width=1946")</f>
        <v/>
      </c>
      <c r="H245">
        <f>_xludf.IMAGE("https://m.media-amazon.com/images/I/51oFz7kXreL._AC_UL320_.jpg")</f>
        <v/>
      </c>
      <c r="K245" t="inlineStr">
        <is>
          <t>23.99</t>
        </is>
      </c>
      <c r="L245" t="n">
        <v>8.99</v>
      </c>
      <c r="M245" s="1" t="inlineStr">
        <is>
          <t>-62.53%</t>
        </is>
      </c>
      <c r="N245" s="3" t="n">
        <v>-62.53</v>
      </c>
      <c r="O245" t="n">
        <v>4.7</v>
      </c>
      <c r="P245" t="n">
        <v>1472</v>
      </c>
      <c r="R245" t="inlineStr">
        <is>
          <t>InStock</t>
        </is>
      </c>
      <c r="S245" t="inlineStr">
        <is>
          <t>23.99</t>
        </is>
      </c>
      <c r="T245" t="inlineStr">
        <is>
          <t>4163584589876</t>
        </is>
      </c>
    </row>
    <row r="246" hidden="1" ht="15.75" customHeight="1">
      <c r="A246" s="2">
        <f>HYPERLINK("https://www.shelhealth.com/products/tums-extra-strength-smoothies-250-chewable-tablets", "https://www.shelhealth.com/products/tums-extra-strength-smoothies-250-chewable-tablets")</f>
        <v/>
      </c>
      <c r="B246" s="2">
        <f>HYPERLINK("https://www.shelhealth.com/products/tums-extra-strength-smoothies-250-chewable-tablets", "https://www.shelhealth.com/products/tums-extra-strength-smoothies-250-chewable-tablets")</f>
        <v/>
      </c>
      <c r="C246" t="inlineStr">
        <is>
          <t>TUMS Extra Strength Smoothies, 250 Chewable Tablets</t>
        </is>
      </c>
      <c r="D246" t="inlineStr">
        <is>
          <t>TUMS Smoothies Extra Strength Assorted Fruit Antacid Chewable Tablets 60 count</t>
        </is>
      </c>
      <c r="E246" s="2">
        <f>HYPERLINK("https://www.amazon.com/TUMS-Smoothies-Strength-Assorted-Chewable/dp/B000RUNPB4/ref=sr_1_10?keywords=TUMS+Extra+Strength+Smoothies%2C+250+Chewable+Tablets&amp;qid=1695169870&amp;sr=8-10", "https://www.amazon.com/TUMS-Smoothies-Strength-Assorted-Chewable/dp/B000RUNPB4/ref=sr_1_10?keywords=TUMS+Extra+Strength+Smoothies%2C+250+Chewable+Tablets&amp;qid=1695169870&amp;sr=8-10")</f>
        <v/>
      </c>
      <c r="F246" t="inlineStr">
        <is>
          <t>B000RUNPB4</t>
        </is>
      </c>
      <c r="G246">
        <f>_xludf.IMAGE("https://www.shelhealth.com/cdn/shop/products/tums-extra-strength-smoothies-250-chewable-tablets-shelhealth-331.jpg?v=1663336800&amp;width=1946")</f>
        <v/>
      </c>
      <c r="H246">
        <f>_xludf.IMAGE("https://m.media-amazon.com/images/I/71-rApsKLkL._AC_UL320_.jpg")</f>
        <v/>
      </c>
      <c r="K246" t="inlineStr">
        <is>
          <t>19.99</t>
        </is>
      </c>
      <c r="L246" t="n">
        <v>4.88</v>
      </c>
      <c r="M246" s="1" t="inlineStr">
        <is>
          <t>-75.59%</t>
        </is>
      </c>
      <c r="N246" s="3" t="n">
        <v>-75.59</v>
      </c>
      <c r="O246" t="n">
        <v>4.4</v>
      </c>
      <c r="P246" t="n">
        <v>55</v>
      </c>
      <c r="R246" t="inlineStr">
        <is>
          <t>InStock</t>
        </is>
      </c>
      <c r="S246" t="inlineStr">
        <is>
          <t>19.99</t>
        </is>
      </c>
      <c r="T246" t="inlineStr">
        <is>
          <t>3723715280948</t>
        </is>
      </c>
    </row>
    <row r="247" hidden="1" ht="15.75" customHeight="1">
      <c r="A247" s="2">
        <f>HYPERLINK("https://www.shelhealth.com/products/tums-extra-strength-smoothies-250-chewable-tablets", "https://www.shelhealth.com/products/tums-extra-strength-smoothies-250-chewable-tablets")</f>
        <v/>
      </c>
      <c r="B247" s="2">
        <f>HYPERLINK("https://www.shelhealth.com/products/tums-extra-strength-smoothies-250-chewable-tablets", "https://www.shelhealth.com/products/tums-extra-strength-smoothies-250-chewable-tablets")</f>
        <v/>
      </c>
      <c r="C247" t="inlineStr">
        <is>
          <t>TUMS Extra Strength Smoothies, 250 Chewable Tablets</t>
        </is>
      </c>
      <c r="D247" t="inlineStr">
        <is>
          <t>TUMS Smoothies Extra Strength Antacid Chewable Tablets for Heartburn Relief, Assorted Fruit - 60 Count (Pack of 1)</t>
        </is>
      </c>
      <c r="E247" s="2">
        <f>HYPERLINK("https://www.amazon.com/Smoothies-Assorted-Fruit-Extra-Strength/dp/B00MRWSCJA/ref=sr_1_4?keywords=TUMS+Extra+Strength+Smoothies%2C+250+Chewable+Tablets&amp;qid=1695169870&amp;sr=8-4", "https://www.amazon.com/Smoothies-Assorted-Fruit-Extra-Strength/dp/B00MRWSCJA/ref=sr_1_4?keywords=TUMS+Extra+Strength+Smoothies%2C+250+Chewable+Tablets&amp;qid=1695169870&amp;sr=8-4")</f>
        <v/>
      </c>
      <c r="F247" t="inlineStr">
        <is>
          <t>B00MRWSCJA</t>
        </is>
      </c>
      <c r="G247">
        <f>_xludf.IMAGE("https://www.shelhealth.com/cdn/shop/products/tums-extra-strength-smoothies-250-chewable-tablets-shelhealth-331.jpg?v=1663336800&amp;width=1946")</f>
        <v/>
      </c>
      <c r="H247">
        <f>_xludf.IMAGE("https://m.media-amazon.com/images/I/71fQhSUzexL._AC_UL320_.jpg")</f>
        <v/>
      </c>
      <c r="K247" t="inlineStr">
        <is>
          <t>19.99</t>
        </is>
      </c>
      <c r="L247" t="n">
        <v>4.88</v>
      </c>
      <c r="M247" s="1" t="inlineStr">
        <is>
          <t>-75.59%</t>
        </is>
      </c>
      <c r="N247" s="3" t="n">
        <v>-75.59</v>
      </c>
      <c r="O247" t="n">
        <v>4.8</v>
      </c>
      <c r="P247" t="n">
        <v>238</v>
      </c>
      <c r="R247" t="inlineStr">
        <is>
          <t>InStock</t>
        </is>
      </c>
      <c r="S247" t="inlineStr">
        <is>
          <t>19.99</t>
        </is>
      </c>
      <c r="T247" t="inlineStr">
        <is>
          <t>3723715280948</t>
        </is>
      </c>
    </row>
    <row r="248" hidden="1" ht="15.75" customHeight="1">
      <c r="A248" s="2">
        <f>HYPERLINK("https://www.shelhealth.com/products/pepcid-ac-acid-reducer-maximum-strength-tablets-100-count", "https://www.shelhealth.com/products/pepcid-ac-acid-reducer-maximum-strength-tablets-100-count")</f>
        <v/>
      </c>
      <c r="B248" s="2">
        <f>HYPERLINK("https://www.shelhealth.com/products/pepcid-ac-acid-reducer-maximum-strength-tablets-100-count", "https://www.shelhealth.com/products/pepcid-ac-acid-reducer-maximum-strength-tablets-100-count")</f>
        <v/>
      </c>
      <c r="C248" t="inlineStr">
        <is>
          <t>Pepcid AC Acid Reducer Maximum Strength Tablets, 100 Count</t>
        </is>
      </c>
      <c r="D248" t="inlineStr">
        <is>
          <t>Berkley Jensen Maximum Strength Acid Reducer Famotidine Tablets, 200 Count</t>
        </is>
      </c>
      <c r="E248" s="2">
        <f>HYPERLINK("https://www.amazon.com/Berkley-Jensen-Maximum-Strength-Famotidine/dp/B0BG3B4H4D/ref=sr_1_10?keywords=Pepcid+AC+Acid+Reducer+Maximum+Strength+Tablets%2C+100+Count&amp;qid=1695169868&amp;sr=8-10", "https://www.amazon.com/Berkley-Jensen-Maximum-Strength-Famotidine/dp/B0BG3B4H4D/ref=sr_1_10?keywords=Pepcid+AC+Acid+Reducer+Maximum+Strength+Tablets%2C+100+Count&amp;qid=1695169868&amp;sr=8-10")</f>
        <v/>
      </c>
      <c r="F248" t="inlineStr">
        <is>
          <t>B0BG3B4H4D</t>
        </is>
      </c>
      <c r="G248">
        <f>_xludf.IMAGE("https://www.shelhealth.com/cdn/shop/products/pepcid-ac-acid-reducer-maximum-strength-tablets-100-count-shelhealth-344.jpg?v=1663337683&amp;width=1946")</f>
        <v/>
      </c>
      <c r="H248">
        <f>_xludf.IMAGE("https://m.media-amazon.com/images/I/6104mGIcy+L._AC_UL320_.jpg")</f>
        <v/>
      </c>
      <c r="K248" t="inlineStr">
        <is>
          <t>46.99</t>
        </is>
      </c>
      <c r="L248" t="n">
        <v>9.279999999999999</v>
      </c>
      <c r="M248" s="1" t="inlineStr">
        <is>
          <t>-80.25%</t>
        </is>
      </c>
      <c r="N248" s="3" t="n">
        <v>-80.25</v>
      </c>
      <c r="O248" t="n">
        <v>4.7</v>
      </c>
      <c r="P248" t="n">
        <v>173</v>
      </c>
      <c r="R248" t="inlineStr">
        <is>
          <t>InStock</t>
        </is>
      </c>
      <c r="S248" t="inlineStr">
        <is>
          <t>46.99</t>
        </is>
      </c>
      <c r="T248" t="inlineStr">
        <is>
          <t>3777137213492</t>
        </is>
      </c>
    </row>
    <row r="249" hidden="1" ht="15.75" customHeight="1">
      <c r="A249" s="2">
        <f>HYPERLINK("https://www.shelhealth.com/products/pepcid-ac-acid-reducer-maximum-strength-tablets-100-count", "https://www.shelhealth.com/products/pepcid-ac-acid-reducer-maximum-strength-tablets-100-count")</f>
        <v/>
      </c>
      <c r="B249" s="2">
        <f>HYPERLINK("https://www.shelhealth.com/products/pepcid-ac-acid-reducer-maximum-strength-tablets-100-count", "https://www.shelhealth.com/products/pepcid-ac-acid-reducer-maximum-strength-tablets-100-count")</f>
        <v/>
      </c>
      <c r="C249" t="inlineStr">
        <is>
          <t>Pepcid AC Acid Reducer Maximum Strength Tablets, 100 Count</t>
        </is>
      </c>
      <c r="D249" t="inlineStr">
        <is>
          <t>Maximum Strength Famotidine Tablets 20 mg, Acid Reducer for Heartburn Relief, 100 Count</t>
        </is>
      </c>
      <c r="E249" s="2">
        <f>HYPERLINK("https://www.amazon.com/Aurohealth-Maximum-Strength-Famotidine-Tablets/dp/B08PNWMRRF/ref=sr_1_7?keywords=Pepcid+AC+Acid+Reducer+Maximum+Strength+Tablets%2C+100+Count&amp;qid=1695169868&amp;sr=8-7", "https://www.amazon.com/Aurohealth-Maximum-Strength-Famotidine-Tablets/dp/B08PNWMRRF/ref=sr_1_7?keywords=Pepcid+AC+Acid+Reducer+Maximum+Strength+Tablets%2C+100+Count&amp;qid=1695169868&amp;sr=8-7")</f>
        <v/>
      </c>
      <c r="F249" t="inlineStr">
        <is>
          <t>B08PNWMRRF</t>
        </is>
      </c>
      <c r="G249">
        <f>_xludf.IMAGE("https://www.shelhealth.com/cdn/shop/products/pepcid-ac-acid-reducer-maximum-strength-tablets-100-count-shelhealth-344.jpg?v=1663337683&amp;width=1946")</f>
        <v/>
      </c>
      <c r="H249">
        <f>_xludf.IMAGE("https://m.media-amazon.com/images/I/71rsLGsYMuL._AC_UL320_.jpg")</f>
        <v/>
      </c>
      <c r="K249" t="inlineStr">
        <is>
          <t>46.99</t>
        </is>
      </c>
      <c r="L249" t="n">
        <v>8.43</v>
      </c>
      <c r="M249" s="1" t="inlineStr">
        <is>
          <t>-82.06%</t>
        </is>
      </c>
      <c r="N249" s="3" t="n">
        <v>-82.06</v>
      </c>
      <c r="O249" t="n">
        <v>4.7</v>
      </c>
      <c r="P249" t="n">
        <v>158</v>
      </c>
      <c r="R249" t="inlineStr">
        <is>
          <t>InStock</t>
        </is>
      </c>
      <c r="S249" t="inlineStr">
        <is>
          <t>46.99</t>
        </is>
      </c>
      <c r="T249" t="inlineStr">
        <is>
          <t>3777137213492</t>
        </is>
      </c>
    </row>
    <row r="250" hidden="1" ht="15.75" customHeight="1">
      <c r="A250" s="2">
        <f>HYPERLINK("https://www.shelhealth.com/products/tums-extra-strength-smoothies-250-chewable-tablets", "https://www.shelhealth.com/products/tums-extra-strength-smoothies-250-chewable-tablets")</f>
        <v/>
      </c>
      <c r="B250" s="2">
        <f>HYPERLINK("https://www.shelhealth.com/products/tums-extra-strength-smoothies-250-chewable-tablets", "https://www.shelhealth.com/products/tums-extra-strength-smoothies-250-chewable-tablets")</f>
        <v/>
      </c>
      <c r="C250" t="inlineStr">
        <is>
          <t>TUMS Extra Strength Smoothies, 250 Chewable Tablets</t>
        </is>
      </c>
      <c r="D250" t="inlineStr">
        <is>
          <t>TUMS Smoothies Extra Strength Antacid Chewable Tablets for Heartburn Relief, Assorted Fruit - 12 Count</t>
        </is>
      </c>
      <c r="E250" s="2">
        <f>HYPERLINK("https://www.amazon.com/TUMS-Smoothies-Assorted-Chewable-Heartburn/dp/B004SHYVSI/ref=sr_1_9?keywords=TUMS+Extra+Strength+Smoothies%2C+250+Chewable+Tablets&amp;qid=1695169870&amp;rdc=1&amp;sr=8-9", "https://www.amazon.com/TUMS-Smoothies-Assorted-Chewable-Heartburn/dp/B004SHYVSI/ref=sr_1_9?keywords=TUMS+Extra+Strength+Smoothies%2C+250+Chewable+Tablets&amp;qid=1695169870&amp;rdc=1&amp;sr=8-9")</f>
        <v/>
      </c>
      <c r="F250" t="inlineStr">
        <is>
          <t>B004SHYVSI</t>
        </is>
      </c>
      <c r="G250">
        <f>_xludf.IMAGE("https://www.shelhealth.com/cdn/shop/products/tums-extra-strength-smoothies-250-chewable-tablets-shelhealth-331.jpg?v=1663336800&amp;width=1946")</f>
        <v/>
      </c>
      <c r="H250">
        <f>_xludf.IMAGE("https://m.media-amazon.com/images/I/71M1VS+SIfL._AC_UL320_.jpg")</f>
        <v/>
      </c>
      <c r="K250" t="inlineStr">
        <is>
          <t>19.99</t>
        </is>
      </c>
      <c r="L250" t="n">
        <v>2.79</v>
      </c>
      <c r="M250" s="1" t="inlineStr">
        <is>
          <t>-86.04%</t>
        </is>
      </c>
      <c r="N250" s="3" t="n">
        <v>-86.04000000000001</v>
      </c>
      <c r="O250" t="n">
        <v>4.5</v>
      </c>
      <c r="P250" t="n">
        <v>196</v>
      </c>
      <c r="R250" t="inlineStr">
        <is>
          <t>InStock</t>
        </is>
      </c>
      <c r="S250" t="inlineStr">
        <is>
          <t>19.99</t>
        </is>
      </c>
      <c r="T250" t="inlineStr">
        <is>
          <t>3723715280948</t>
        </is>
      </c>
    </row>
    <row r="251" hidden="1" ht="15.75" customHeight="1">
      <c r="A251" s="2">
        <f>HYPERLINK("https://www.shelhealth.com/products/pepcid-ac-acid-reducer-maximum-strength-tablets-100-count", "https://www.shelhealth.com/products/pepcid-ac-acid-reducer-maximum-strength-tablets-100-count")</f>
        <v/>
      </c>
      <c r="B251" s="2">
        <f>HYPERLINK("https://www.shelhealth.com/products/pepcid-ac-acid-reducer-maximum-strength-tablets-100-count", "https://www.shelhealth.com/products/pepcid-ac-acid-reducer-maximum-strength-tablets-100-count")</f>
        <v/>
      </c>
      <c r="C251" t="inlineStr">
        <is>
          <t>Pepcid AC Acid Reducer Maximum Strength Tablets, 100 Count</t>
        </is>
      </c>
      <c r="D251" t="inlineStr">
        <is>
          <t>Maximum Strength Acid Reducer Famotidine 20mg Tablets, 100Count</t>
        </is>
      </c>
      <c r="E251" s="2">
        <f>HYPERLINK("https://www.amazon.com/Primary-Health-Reducer-Famotidine-Tablets/dp/B07FHCYFSW/ref=sr_1_4?keywords=Pepcid+AC+Acid+Reducer+Maximum+Strength+Tablets%2C+100+Count&amp;qid=1695169868&amp;sr=8-4", "https://www.amazon.com/Primary-Health-Reducer-Famotidine-Tablets/dp/B07FHCYFSW/ref=sr_1_4?keywords=Pepcid+AC+Acid+Reducer+Maximum+Strength+Tablets%2C+100+Count&amp;qid=1695169868&amp;sr=8-4")</f>
        <v/>
      </c>
      <c r="F251" t="inlineStr">
        <is>
          <t>B07FHCYFSW</t>
        </is>
      </c>
      <c r="G251">
        <f>_xludf.IMAGE("https://www.shelhealth.com/cdn/shop/products/pepcid-ac-acid-reducer-maximum-strength-tablets-100-count-shelhealth-344.jpg?v=1663337683&amp;width=1946")</f>
        <v/>
      </c>
      <c r="H251">
        <f>_xludf.IMAGE("https://m.media-amazon.com/images/I/61N6TYQ+-0L._AC_UL320_.jpg")</f>
        <v/>
      </c>
      <c r="K251" t="inlineStr">
        <is>
          <t>46.99</t>
        </is>
      </c>
      <c r="L251" t="n">
        <v>6.02</v>
      </c>
      <c r="M251" s="1" t="inlineStr">
        <is>
          <t>-87.19%</t>
        </is>
      </c>
      <c r="N251" s="3" t="n">
        <v>-87.19</v>
      </c>
      <c r="O251" t="n">
        <v>4.6</v>
      </c>
      <c r="P251" t="n">
        <v>2062</v>
      </c>
      <c r="R251" t="inlineStr">
        <is>
          <t>InStock</t>
        </is>
      </c>
      <c r="S251" t="inlineStr">
        <is>
          <t>46.99</t>
        </is>
      </c>
      <c r="T251" t="inlineStr">
        <is>
          <t>3777137213492</t>
        </is>
      </c>
    </row>
    <row r="252" ht="75" customHeight="1">
      <c r="A252" s="2">
        <f>HYPERLINK("https://www.shelhealth.com/products/exergen-temporal-scan-forehead-artery-baby-thermometer-tat-2000c-scanner", "https://www.shelhealth.com/products/exergen-temporal-scan-forehead-artery-baby-thermometer-tat-2000c-scanner")</f>
        <v/>
      </c>
      <c r="B252" s="2">
        <f>HYPERLINK("https://www.shelhealth.com/products/exergen-temporal-scan-forehead-artery-baby-thermometer-tat-2000c-scanner", "https://www.shelhealth.com/products/exergen-temporal-scan-forehead-artery-baby-thermometer-tat-2000c-scanner")</f>
        <v/>
      </c>
      <c r="C252" t="inlineStr">
        <is>
          <t>Exergen Temporal Scan Forehead Artery Baby Thermometer Tat-2000c Scanner</t>
        </is>
      </c>
      <c r="D252" t="inlineStr">
        <is>
          <t>PT# TAT5000 TemporalScanner Temporal Artery Thermometer Temporal Artery Thermometer TAT5000 by Exergen Corp</t>
        </is>
      </c>
      <c r="E252" s="2">
        <f>HYPERLINK("https://www.amazon.com/TAT5000-TemporalScanner-Temporal-Thermometer-Exergen/dp/B009UL75Z8/ref=sr_1_6?keywords=Exergen+Temporal+Scan+Forehead+Artery+Baby+Thermometer+Tat-2000c+Scanner&amp;qid=1695169928&amp;sr=8-6", "https://www.amazon.com/TAT5000-TemporalScanner-Temporal-Thermometer-Exergen/dp/B009UL75Z8/ref=sr_1_6?keywords=Exergen+Temporal+Scan+Forehead+Artery+Baby+Thermometer+Tat-2000c+Scanner&amp;qid=1695169928&amp;sr=8-6")</f>
        <v/>
      </c>
      <c r="F252" t="inlineStr">
        <is>
          <t>B009UL75Z8</t>
        </is>
      </c>
      <c r="G252">
        <f>_xlfn.IMAGE("https://www.shelhealth.com/cdn/shop/products/exergen-temporal-scan-forehead-artery-baby-thermometer-tat-2000c-scanner-shelhealth-511.jpg?v=1663338960&amp;width=1946")</f>
        <v/>
      </c>
      <c r="H252">
        <f>_xlfn.IMAGE("https://m.media-amazon.com/images/I/613qnqQhtXL._AC_UL320_.jpg")</f>
        <v/>
      </c>
      <c r="K252" t="inlineStr">
        <is>
          <t>38.99</t>
        </is>
      </c>
      <c r="L252" t="n">
        <v>397.4</v>
      </c>
      <c r="M252" s="1" t="inlineStr">
        <is>
          <t>919.24%</t>
        </is>
      </c>
      <c r="N252" s="3" t="n">
        <v>919.24</v>
      </c>
      <c r="O252" t="n">
        <v>4.6</v>
      </c>
      <c r="P252" t="n">
        <v>92</v>
      </c>
      <c r="R252" t="inlineStr">
        <is>
          <t>InStock</t>
        </is>
      </c>
      <c r="S252" t="inlineStr">
        <is>
          <t>38.99</t>
        </is>
      </c>
      <c r="T252" t="inlineStr">
        <is>
          <t>3790079885364</t>
        </is>
      </c>
    </row>
    <row r="253" ht="75" customHeight="1">
      <c r="A253" s="2">
        <f>HYPERLINK("https://www.shelhealth.com/products/johnsons-naturally-derived-cornstarch-baby-powder-with-aloe-vitamin-e-2-pk-22-oz", "https://www.shelhealth.com/products/johnsons-naturally-derived-cornstarch-baby-powder-with-aloe-vitamin-e-2-pk-22-oz")</f>
        <v/>
      </c>
      <c r="B253" s="2">
        <f>HYPERLINK("https://www.shelhealth.com/products/johnsons-naturally-derived-cornstarch-baby-powder-with-aloe-vitamin-e-2-pk-22-oz", "https://www.shelhealth.com/products/johnsons-naturally-derived-cornstarch-baby-powder-with-aloe-vitamin-e-2-pk-22-oz")</f>
        <v/>
      </c>
      <c r="C253" t="inlineStr">
        <is>
          <t>Johnson's Naturally Derived Cornstarch Baby Powder with Aloe &amp; Vitamin E, 2 pk./22 oz.</t>
        </is>
      </c>
      <c r="D253" t="inlineStr">
        <is>
          <t>JOHNSON'S Pure Cornstarch Baby Powder with Aloe Vera &amp; Vitamin E, 22 oz (7 Pack) (Packaging May Vary)</t>
        </is>
      </c>
      <c r="E253" s="2">
        <f>HYPERLINK("https://www.amazon.com/JOHNSONS-Pure-Cornstarch-Baby-Powder/dp/B073Q49BG5/ref=sr_1_10?keywords=Johnson%27s+Naturally+Derived+Cornstarch+Baby+Powder+with+Aloe&amp;qid=1695169933&amp;sr=8-10", "https://www.amazon.com/JOHNSONS-Pure-Cornstarch-Baby-Powder/dp/B073Q49BG5/ref=sr_1_10?keywords=Johnson%27s+Naturally+Derived+Cornstarch+Baby+Powder+with+Aloe&amp;qid=1695169933&amp;sr=8-10")</f>
        <v/>
      </c>
      <c r="F253" t="inlineStr">
        <is>
          <t>B073Q49BG5</t>
        </is>
      </c>
      <c r="G253">
        <f>_xlfn.IMAGE("https://www.shelhealth.com/cdn/shop/products/johnsons-naturally-derived-cornstarch-baby-powder-with-aloe-vitamin-e-2-pk-22-oz-shelhealth-876.jpg?v=1663351241&amp;width=1946")</f>
        <v/>
      </c>
      <c r="H253">
        <f>_xlfn.IMAGE("https://m.media-amazon.com/images/I/71zOkP9hbRL._AC_UL320_.jpg")</f>
        <v/>
      </c>
      <c r="K253" t="inlineStr">
        <is>
          <t>16.99</t>
        </is>
      </c>
      <c r="L253" t="n">
        <v>78.18000000000001</v>
      </c>
      <c r="M253" s="1" t="inlineStr">
        <is>
          <t>360.15%</t>
        </is>
      </c>
      <c r="N253" s="3" t="n">
        <v>360.15</v>
      </c>
      <c r="O253" t="n">
        <v>5</v>
      </c>
      <c r="P253" t="n">
        <v>6</v>
      </c>
      <c r="R253" t="inlineStr">
        <is>
          <t>InStock</t>
        </is>
      </c>
      <c r="S253" t="inlineStr">
        <is>
          <t>16.99</t>
        </is>
      </c>
      <c r="T253" t="inlineStr">
        <is>
          <t>4099893198900</t>
        </is>
      </c>
    </row>
    <row r="254" hidden="1" ht="15.75" customHeight="1">
      <c r="A254" s="2">
        <f>HYPERLINK("https://www.shelhealth.com/products/626232162103-attitude-biodegradable-baby-diapers-newborn-28-un", "https://www.shelhealth.com/products/626232162103-attitude-biodegradable-baby-diapers-newborn-28-un")</f>
        <v/>
      </c>
      <c r="B254" s="2">
        <f>HYPERLINK("https://www.shelhealth.com/products/626232162103-attitude-biodegradable-baby-diapers-newborn-28-un", "https://www.shelhealth.com/products/626232162103-attitude-biodegradable-baby-diapers-newborn-28-un")</f>
        <v/>
      </c>
      <c r="C254" t="inlineStr">
        <is>
          <t>ATTITUDE: Biodegradable Baby Diapers Newborn, 28 un</t>
        </is>
      </c>
      <c r="D254" t="inlineStr">
        <is>
          <t>ATTITUDE Non-Toxic Diapers, Eco-Friendly, Safe for Sensitive Skin, Chlorine-Free, Leak-Free &amp; Biodegradable Baby Diapers, Plain White, Newborn (Up to 11 lbs), 112 Count (4 Packs of 28)</t>
        </is>
      </c>
      <c r="E254" s="2">
        <f>HYPERLINK("https://www.amazon.com/ATTITUDE-Non-Toxic-Eco-Friendly-Chlorine-Free-Biodegradable/dp/B084D5DXQN/ref=sr_1_2?keywords=ATTITUDE%3A+Biodegradable+Baby+Diapers+Newborn%2C+28+un&amp;qid=1695169935&amp;sr=8-2", "https://www.amazon.com/ATTITUDE-Non-Toxic-Eco-Friendly-Chlorine-Free-Biodegradable/dp/B084D5DXQN/ref=sr_1_2?keywords=ATTITUDE%3A+Biodegradable+Baby+Diapers+Newborn%2C+28+un&amp;qid=1695169935&amp;sr=8-2")</f>
        <v/>
      </c>
      <c r="F254" t="inlineStr">
        <is>
          <t>B084D5DXQN</t>
        </is>
      </c>
      <c r="G254">
        <f>_xludf.IMAGE("https://www.shelhealth.com/cdn/shop/files/attitude-biodegradable-baby-diapers-newborn-28-un-shelhealth-758.jpg?v=1694392152&amp;width=1946")</f>
        <v/>
      </c>
      <c r="H254">
        <f>_xludf.IMAGE("https://m.media-amazon.com/images/I/714rE9Gi82L._AC_UL320_.jpg")</f>
        <v/>
      </c>
      <c r="K254" t="inlineStr">
        <is>
          <t>17.99</t>
        </is>
      </c>
      <c r="L254" t="n">
        <v>66.98999999999999</v>
      </c>
      <c r="M254" s="1" t="inlineStr">
        <is>
          <t>272.37%</t>
        </is>
      </c>
      <c r="N254" s="3" t="n">
        <v>272.37</v>
      </c>
      <c r="O254" t="n">
        <v>3.5</v>
      </c>
      <c r="P254" t="n">
        <v>10</v>
      </c>
      <c r="R254" t="inlineStr">
        <is>
          <t>OutOfStock</t>
        </is>
      </c>
      <c r="S254" t="inlineStr">
        <is>
          <t>17.99</t>
        </is>
      </c>
      <c r="T254" t="inlineStr">
        <is>
          <t>7757234667752</t>
        </is>
      </c>
    </row>
    <row r="255" ht="75" customHeight="1">
      <c r="A255" s="2">
        <f>HYPERLINK("https://www.shelhealth.com/products/626232162202-attitude-biodegradable-baby-diapers-size-1-and-2-36-un", "https://www.shelhealth.com/products/626232162202-attitude-biodegradable-baby-diapers-size-1-and-2-36-un")</f>
        <v/>
      </c>
      <c r="B255" s="2">
        <f>HYPERLINK("https://www.shelhealth.com/products/626232162202-attitude-biodegradable-baby-diapers-size-1-and-2-36-un", "https://www.shelhealth.com/products/626232162202-attitude-biodegradable-baby-diapers-size-1-and-2-36-un")</f>
        <v/>
      </c>
      <c r="C255" t="inlineStr">
        <is>
          <t>ATTITUDE: Biodegradable Baby Diapers Size 1 and 2, 36 un</t>
        </is>
      </c>
      <c r="D255" t="inlineStr">
        <is>
          <t>ATTITUDE Biodegradable Baby Diapers NonToxic EcoFriendly Safe for Sensitive Skin ChlorineFree LeakFree Size lbs 4 Packs of 36, Plain White (Unprinted), Fragrance Free, 144 Count</t>
        </is>
      </c>
      <c r="E255" s="2">
        <f>HYPERLINK("https://www.amazon.com/ATTITUDE-Biodegradable-Non-Toxic-Eco-Friendly-Chlorine-Free/dp/B084DF6ZD3/ref=sr_1_2?keywords=ATTITUDE%3A+Biodegradable+Baby+Diapers+Size+1+and+2%2C+36+un&amp;qid=1695169933&amp;sr=8-2", "https://www.amazon.com/ATTITUDE-Biodegradable-Non-Toxic-Eco-Friendly-Chlorine-Free/dp/B084DF6ZD3/ref=sr_1_2?keywords=ATTITUDE%3A+Biodegradable+Baby+Diapers+Size+1+and+2%2C+36+un&amp;qid=1695169933&amp;sr=8-2")</f>
        <v/>
      </c>
      <c r="F255" t="inlineStr">
        <is>
          <t>B084DF6ZD3</t>
        </is>
      </c>
      <c r="G255">
        <f>_xlfn.IMAGE("https://www.shelhealth.com/cdn/shop/files/attitude-biodegradable-baby-diapers-size-1-and-2-36-un-shelhealth-758.jpg?v=1686271827&amp;width=1946")</f>
        <v/>
      </c>
      <c r="H255">
        <f>_xlfn.IMAGE("https://m.media-amazon.com/images/I/71SpOVdhDWL._AC_UL320_.jpg")</f>
        <v/>
      </c>
      <c r="K255" t="inlineStr">
        <is>
          <t>24.99</t>
        </is>
      </c>
      <c r="L255" t="n">
        <v>84.98999999999999</v>
      </c>
      <c r="M255" s="1" t="inlineStr">
        <is>
          <t>240.10%</t>
        </is>
      </c>
      <c r="N255" s="3" t="n">
        <v>240.1</v>
      </c>
      <c r="O255" t="n">
        <v>4</v>
      </c>
      <c r="P255" t="n">
        <v>7</v>
      </c>
      <c r="R255" t="inlineStr">
        <is>
          <t>OutOfStock</t>
        </is>
      </c>
      <c r="S255" t="inlineStr">
        <is>
          <t>24.99</t>
        </is>
      </c>
      <c r="T255" t="inlineStr">
        <is>
          <t>7757234700520</t>
        </is>
      </c>
    </row>
    <row r="256" hidden="1" ht="15.75" customHeight="1">
      <c r="A256" s="2">
        <f>HYPERLINK("https://www.shelhealth.com/products/626232162400-attitude-baby-diapers-size-4-26-un", "https://www.shelhealth.com/products/626232162400-attitude-baby-diapers-size-4-26-un")</f>
        <v/>
      </c>
      <c r="B256" s="2">
        <f>HYPERLINK("https://www.shelhealth.com/products/626232162400-attitude-baby-diapers-size-4-26-un", "https://www.shelhealth.com/products/626232162400-attitude-baby-diapers-size-4-26-un")</f>
        <v/>
      </c>
      <c r="C256" t="inlineStr">
        <is>
          <t>ATTITUDE: Baby Diapers Size 4, 26 un</t>
        </is>
      </c>
      <c r="D256" t="inlineStr">
        <is>
          <t>ATTITUDE Eco-Friendly Diapers, Non-Toxic, Hypoallergenic, Safe for Sensitive Skin, Chlorine-Free, Leak-Free &amp; Biodegradable Baby Diapers, Plain White, Size 4 (15-40 lbs), 104 Count (4 Packs of 26)</t>
        </is>
      </c>
      <c r="E256" s="2">
        <f>HYPERLINK("https://www.amazon.com/ATTITUDE-Biodegradable-Sensitive-Lotion-Free-Fragrance-Free/dp/B084CW49V8/ref=sr_1_2?keywords=ATTITUDE%3A+Baby+Diapers+Size+4%2C+26+un&amp;qid=1695169940&amp;sr=8-2", "https://www.amazon.com/ATTITUDE-Biodegradable-Sensitive-Lotion-Free-Fragrance-Free/dp/B084CW49V8/ref=sr_1_2?keywords=ATTITUDE%3A+Baby+Diapers+Size+4%2C+26+un&amp;qid=1695169940&amp;sr=8-2")</f>
        <v/>
      </c>
      <c r="F256" t="inlineStr">
        <is>
          <t>B084CW49V8</t>
        </is>
      </c>
      <c r="G256">
        <f>_xludf.IMAGE("https://www.shelhealth.com/cdn/shop/files/attitude-baby-diapers-size-4-26-un-shelhealth-664.jpg?v=1694392495&amp;width=1946")</f>
        <v/>
      </c>
      <c r="H256">
        <f>_xludf.IMAGE("https://m.media-amazon.com/images/I/711ND1WMRRL._AC_UL320_.jpg")</f>
        <v/>
      </c>
      <c r="K256" t="inlineStr">
        <is>
          <t>24.99</t>
        </is>
      </c>
      <c r="L256" t="n">
        <v>84.98999999999999</v>
      </c>
      <c r="M256" s="1" t="inlineStr">
        <is>
          <t>240.10%</t>
        </is>
      </c>
      <c r="N256" s="3" t="n">
        <v>240.1</v>
      </c>
      <c r="O256" t="n">
        <v>3.4</v>
      </c>
      <c r="P256" t="n">
        <v>11</v>
      </c>
      <c r="R256" t="inlineStr">
        <is>
          <t>OutOfStock</t>
        </is>
      </c>
      <c r="S256" t="inlineStr">
        <is>
          <t>24.99</t>
        </is>
      </c>
      <c r="T256" t="inlineStr">
        <is>
          <t>7757234536680</t>
        </is>
      </c>
    </row>
    <row r="257" ht="75" customHeight="1">
      <c r="A257" s="2">
        <f>HYPERLINK("https://www.shelhealth.com/products/626232162608-attitude-biodegradable-baby-diapers-size-6-20-un", "https://www.shelhealth.com/products/626232162608-attitude-biodegradable-baby-diapers-size-6-20-un")</f>
        <v/>
      </c>
      <c r="B257" s="2">
        <f>HYPERLINK("https://www.shelhealth.com/products/626232162608-attitude-biodegradable-baby-diapers-size-6-20-un", "https://www.shelhealth.com/products/626232162608-attitude-biodegradable-baby-diapers-size-6-20-un")</f>
        <v/>
      </c>
      <c r="C257" t="inlineStr">
        <is>
          <t>ATTITUDE: Biodegradable Baby Diapers Size 6, 20 un</t>
        </is>
      </c>
      <c r="D257" t="inlineStr">
        <is>
          <t>ATTITUDE Biodegradable Baby Diapers NonToxic EcoFriendly Safe for Sensitive Skin ChlorineFree LeakFree Size lbs 4 Packs of 36, Plain White (Unprinted), Fragrance Free, 144 Count</t>
        </is>
      </c>
      <c r="E257" s="2">
        <f>HYPERLINK("https://www.amazon.com/ATTITUDE-Biodegradable-Non-Toxic-Eco-Friendly-Chlorine-Free/dp/B084DF6ZD3/ref=sr_1_fkmr0_2?keywords=ATTITUDE%3A+Biodegradable+Baby+Diapers+Size+6%2C+20+un&amp;qid=1695169939&amp;sr=8-2-fkmr0", "https://www.amazon.com/ATTITUDE-Biodegradable-Non-Toxic-Eco-Friendly-Chlorine-Free/dp/B084DF6ZD3/ref=sr_1_fkmr0_2?keywords=ATTITUDE%3A+Biodegradable+Baby+Diapers+Size+6%2C+20+un&amp;qid=1695169939&amp;sr=8-2-fkmr0")</f>
        <v/>
      </c>
      <c r="F257" t="inlineStr">
        <is>
          <t>B084DF6ZD3</t>
        </is>
      </c>
      <c r="G257">
        <f>_xlfn.IMAGE("https://www.shelhealth.com/cdn/shop/files/attitude-biodegradable-baby-diapers-size-6-20-un-shelhealth-250.jpg?v=1686271827&amp;width=1946")</f>
        <v/>
      </c>
      <c r="H257">
        <f>_xlfn.IMAGE("https://m.media-amazon.com/images/I/71SpOVdhDWL._AC_UL320_.jpg")</f>
        <v/>
      </c>
      <c r="K257" t="inlineStr">
        <is>
          <t>24.99</t>
        </is>
      </c>
      <c r="L257" t="n">
        <v>84.98999999999999</v>
      </c>
      <c r="M257" s="1" t="inlineStr">
        <is>
          <t>240.10%</t>
        </is>
      </c>
      <c r="N257" s="3" t="n">
        <v>240.1</v>
      </c>
      <c r="O257" t="n">
        <v>4</v>
      </c>
      <c r="P257" t="n">
        <v>7</v>
      </c>
      <c r="R257" t="inlineStr">
        <is>
          <t>OutOfStock</t>
        </is>
      </c>
      <c r="S257" t="inlineStr">
        <is>
          <t>24.99</t>
        </is>
      </c>
      <c r="T257" t="inlineStr">
        <is>
          <t>7757234766056</t>
        </is>
      </c>
    </row>
    <row r="258" hidden="1" ht="15.75" customHeight="1">
      <c r="A258" s="2">
        <f>HYPERLINK("https://www.shelhealth.com/products/626232162301-attitude-biodegradable-baby-diapers-size-3-30-un", "https://www.shelhealth.com/products/626232162301-attitude-biodegradable-baby-diapers-size-3-30-un")</f>
        <v/>
      </c>
      <c r="B258" s="2">
        <f>HYPERLINK("https://www.shelhealth.com/products/626232162301-attitude-biodegradable-baby-diapers-size-3-30-un", "https://www.shelhealth.com/products/626232162301-attitude-biodegradable-baby-diapers-size-3-30-un")</f>
        <v/>
      </c>
      <c r="C258" t="inlineStr">
        <is>
          <t>ATTITUDE: Biodegradable Baby Diapers Size 3, 30 un</t>
        </is>
      </c>
      <c r="D258" t="inlineStr">
        <is>
          <t>ATTITUDE Diapers, Safe for Sensitive Skin, Chlorine-Free, Leak-Free &amp; Biodegradable Baby Diapers, Fragrance-Free, Size 3 (9-20 lbs), 120 Count (4 Packs of 30)</t>
        </is>
      </c>
      <c r="E258" s="2">
        <f>HYPERLINK("https://www.amazon.com/ATTITUDE-Non-Toxic-Eco-Friendly-Chlorine-Free-Biodegradable/dp/B084CXS7VV/ref=sr_1_2?keywords=ATTITUDE%3A+Biodegradable+Baby+Diapers+Size+3%2C+30+un&amp;qid=1695169931&amp;sr=8-2", "https://www.amazon.com/ATTITUDE-Non-Toxic-Eco-Friendly-Chlorine-Free-Biodegradable/dp/B084CXS7VV/ref=sr_1_2?keywords=ATTITUDE%3A+Biodegradable+Baby+Diapers+Size+3%2C+30+un&amp;qid=1695169931&amp;sr=8-2")</f>
        <v/>
      </c>
      <c r="F258" t="inlineStr">
        <is>
          <t>B084CXS7VV</t>
        </is>
      </c>
      <c r="G258">
        <f>_xludf.IMAGE("https://www.shelhealth.com/cdn/shop/files/attitude-biodegradable-baby-diapers-size-3-30-un-shelhealth-889.jpg?v=1686271827&amp;width=1946")</f>
        <v/>
      </c>
      <c r="H258">
        <f>_xludf.IMAGE("https://m.media-amazon.com/images/I/71CBtyGgQ+L._AC_UL320_.jpg")</f>
        <v/>
      </c>
      <c r="K258" t="inlineStr">
        <is>
          <t>24.99</t>
        </is>
      </c>
      <c r="L258" t="n">
        <v>84.98999999999999</v>
      </c>
      <c r="M258" s="1" t="inlineStr">
        <is>
          <t>240.10%</t>
        </is>
      </c>
      <c r="N258" s="3" t="n">
        <v>240.1</v>
      </c>
      <c r="O258" t="n">
        <v>3.4</v>
      </c>
      <c r="P258" t="n">
        <v>9</v>
      </c>
      <c r="R258" t="inlineStr">
        <is>
          <t>OutOfStock</t>
        </is>
      </c>
      <c r="S258" t="inlineStr">
        <is>
          <t>24.99</t>
        </is>
      </c>
      <c r="T258" t="inlineStr">
        <is>
          <t>7757234733288</t>
        </is>
      </c>
    </row>
    <row r="259" ht="75" customHeight="1">
      <c r="A259" s="2">
        <f>HYPERLINK("https://www.shelhealth.com/products/810425030915-the-honest-company-diaper-so-delish-size-5-20-pk", "https://www.shelhealth.com/products/810425030915-the-honest-company-diaper-so-delish-size-5-20-pk")</f>
        <v/>
      </c>
      <c r="B259" s="2">
        <f>HYPERLINK("https://www.shelhealth.com/products/810425030915-the-honest-company-diaper-so-delish-size-5-20-pk", "https://www.shelhealth.com/products/810425030915-the-honest-company-diaper-so-delish-size-5-20-pk")</f>
        <v/>
      </c>
      <c r="C259" t="inlineStr">
        <is>
          <t>THE HONEST COMPANY Diaper So Delish Size 5, 20 pk</t>
        </is>
      </c>
      <c r="D259" t="inlineStr">
        <is>
          <t>The Honest Company Clean Conscious Diapers | Plant-Based, Sustainable | So Delish + All the Letters | Super Club Box, Size 5 (27+ lbs), 100 Count</t>
        </is>
      </c>
      <c r="E259" s="2">
        <f>HYPERLINK("https://www.amazon.com/Honest-Company-Diapers-TrueAbsorb-Technology/dp/B07GS7PWF1/ref=sr_1_1?keywords=THE+HONEST+COMPANY+Diaper+So+Delish+Size+5%2C+20+pk&amp;qid=1695169939&amp;rdc=1&amp;sr=8-1", "https://www.amazon.com/Honest-Company-Diapers-TrueAbsorb-Technology/dp/B07GS7PWF1/ref=sr_1_1?keywords=THE+HONEST+COMPANY+Diaper+So+Delish+Size+5%2C+20+pk&amp;qid=1695169939&amp;rdc=1&amp;sr=8-1")</f>
        <v/>
      </c>
      <c r="F259" t="inlineStr">
        <is>
          <t>B07GS7PWF1</t>
        </is>
      </c>
      <c r="G259">
        <f>_xlfn.IMAGE("https://www.shelhealth.com/cdn/shop/products/the-honest-company-diaper-so-delish-size-5-20-pk-shelhealth-852.jpg?v=1663788168&amp;width=1946")</f>
        <v/>
      </c>
      <c r="H259">
        <f>_xlfn.IMAGE("https://m.media-amazon.com/images/I/81iI7oV8UlL._AC_UL320_.jpg")</f>
        <v/>
      </c>
      <c r="K259" t="inlineStr">
        <is>
          <t>20.99</t>
        </is>
      </c>
      <c r="L259" t="n">
        <v>63.98</v>
      </c>
      <c r="M259" s="1" t="inlineStr">
        <is>
          <t>204.81%</t>
        </is>
      </c>
      <c r="N259" s="3" t="n">
        <v>204.81</v>
      </c>
      <c r="O259" t="n">
        <v>4.6</v>
      </c>
      <c r="P259" t="n">
        <v>37968</v>
      </c>
      <c r="R259" t="inlineStr">
        <is>
          <t>InStock</t>
        </is>
      </c>
      <c r="S259" t="inlineStr">
        <is>
          <t>20.99</t>
        </is>
      </c>
      <c r="T259" t="inlineStr">
        <is>
          <t>7574338044136</t>
        </is>
      </c>
    </row>
    <row r="260" hidden="1" ht="15.75" customHeight="1">
      <c r="A260" s="2">
        <f>HYPERLINK("https://www.shelhealth.com/products/626232162608-attitude-biodegradable-baby-diapers-size-6-20-un", "https://www.shelhealth.com/products/626232162608-attitude-biodegradable-baby-diapers-size-6-20-un")</f>
        <v/>
      </c>
      <c r="B260" s="2">
        <f>HYPERLINK("https://www.shelhealth.com/products/626232162608-attitude-biodegradable-baby-diapers-size-6-20-un", "https://www.shelhealth.com/products/626232162608-attitude-biodegradable-baby-diapers-size-6-20-un")</f>
        <v/>
      </c>
      <c r="C260" t="inlineStr">
        <is>
          <t>ATTITUDE: Biodegradable Baby Diapers Size 6, 20 un</t>
        </is>
      </c>
      <c r="D260" t="inlineStr">
        <is>
          <t>ATTITUDE Non-Toxic Diapers, Eco-Friendly, Hypoallergenic, Safe for Sensitive Skin, Chlorine-Free, Leak-Free &amp; Biodegradable Baby Diapers, Fragrance-Free, Size 6 (35-66 lbs), 80 Count (4 Packs of 20)</t>
        </is>
      </c>
      <c r="E260" s="2">
        <f>HYPERLINK("https://www.amazon.com/ATTITUDE-Eco-Friendly-Hypoallergenic-Chlorine-Free-Biodegradable/dp/B084D7H2KQ/ref=sr_1_2?keywords=ATTITUDE%3A+Biodegradable+Baby+Diapers+Size+6%2C+20+un&amp;qid=1695169939&amp;sr=8-2", "https://www.amazon.com/ATTITUDE-Eco-Friendly-Hypoallergenic-Chlorine-Free-Biodegradable/dp/B084D7H2KQ/ref=sr_1_2?keywords=ATTITUDE%3A+Biodegradable+Baby+Diapers+Size+6%2C+20+un&amp;qid=1695169939&amp;sr=8-2")</f>
        <v/>
      </c>
      <c r="F260" t="inlineStr">
        <is>
          <t>B084D7H2KQ</t>
        </is>
      </c>
      <c r="G260">
        <f>_xludf.IMAGE("https://www.shelhealth.com/cdn/shop/files/attitude-biodegradable-baby-diapers-size-6-20-un-shelhealth-250.jpg?v=1686271827&amp;width=1946")</f>
        <v/>
      </c>
      <c r="H260">
        <f>_xludf.IMAGE("https://m.media-amazon.com/images/I/71rBFGtECxL._AC_UL320_.jpg")</f>
        <v/>
      </c>
      <c r="K260" t="inlineStr">
        <is>
          <t>24.99</t>
        </is>
      </c>
      <c r="L260" t="n">
        <v>74.79000000000001</v>
      </c>
      <c r="M260" s="1" t="inlineStr">
        <is>
          <t>199.28%</t>
        </is>
      </c>
      <c r="N260" s="3" t="n">
        <v>199.28</v>
      </c>
      <c r="O260" t="n">
        <v>3.1</v>
      </c>
      <c r="P260" t="n">
        <v>5</v>
      </c>
      <c r="R260" t="inlineStr">
        <is>
          <t>OutOfStock</t>
        </is>
      </c>
      <c r="S260" t="inlineStr">
        <is>
          <t>24.99</t>
        </is>
      </c>
      <c r="T260" t="inlineStr">
        <is>
          <t>7757234766056</t>
        </is>
      </c>
    </row>
    <row r="261" ht="75" customHeight="1">
      <c r="A261" s="2">
        <f>HYPERLINK("https://www.shelhealth.com/products/850317008134-bambo-nature-snuggle-time-body-lotion-16-9-oz", "https://www.shelhealth.com/products/850317008134-bambo-nature-snuggle-time-body-lotion-16-9-oz")</f>
        <v/>
      </c>
      <c r="B261" s="2">
        <f>HYPERLINK("https://www.shelhealth.com/products/850317008134-bambo-nature-snuggle-time-body-lotion-16-9-oz", "https://www.shelhealth.com/products/850317008134-bambo-nature-snuggle-time-body-lotion-16-9-oz")</f>
        <v/>
      </c>
      <c r="C261" t="inlineStr">
        <is>
          <t>BAMBO NATURE: Snuggle Time Body Lotion, 16.9 oz</t>
        </is>
      </c>
      <c r="D261" t="inlineStr">
        <is>
          <t>Bambo Nature Snuggle Time Body Lotion, 16.9 fl oz, 6 Count (1 Pack of 6 Bottles)</t>
        </is>
      </c>
      <c r="E261" s="2">
        <f>HYPERLINK("https://www.amazon.com/Bambo-Nature-Snuggle-Bottles-1000010490/dp/B0845CHGR8/ref=sr_1_3?keywords=BAMBO+NATURE%3A+Snuggle+Time+Body+Lotion%2C+16.9+oz&amp;qid=1695169934&amp;sr=8-3", "https://www.amazon.com/Bambo-Nature-Snuggle-Bottles-1000010490/dp/B0845CHGR8/ref=sr_1_3?keywords=BAMBO+NATURE%3A+Snuggle+Time+Body+Lotion%2C+16.9+oz&amp;qid=1695169934&amp;sr=8-3")</f>
        <v/>
      </c>
      <c r="F261" t="inlineStr">
        <is>
          <t>B0845CHGR8</t>
        </is>
      </c>
      <c r="G261">
        <f>_xlfn.IMAGE("https://www.shelhealth.com/cdn/shop/files/bambo-nature-snuggle-time-body-lotion-16-9-oz-baby-shelhealth-993.jpg?v=1686257864&amp;width=1946")</f>
        <v/>
      </c>
      <c r="H261">
        <f>_xlfn.IMAGE("https://m.media-amazon.com/images/I/71HBz6e18zL._AC_UL320_.jpg")</f>
        <v/>
      </c>
      <c r="K261" t="inlineStr">
        <is>
          <t>18.99</t>
        </is>
      </c>
      <c r="L261" t="n">
        <v>51.71</v>
      </c>
      <c r="M261" s="1" t="inlineStr">
        <is>
          <t>172.30%</t>
        </is>
      </c>
      <c r="N261" s="3" t="n">
        <v>172.3</v>
      </c>
      <c r="O261" t="n">
        <v>4.5</v>
      </c>
      <c r="P261" t="n">
        <v>64</v>
      </c>
      <c r="R261" t="inlineStr">
        <is>
          <t>OutOfStock</t>
        </is>
      </c>
      <c r="S261" t="inlineStr">
        <is>
          <t>18.99</t>
        </is>
      </c>
      <c r="T261" t="inlineStr">
        <is>
          <t>7699134382312</t>
        </is>
      </c>
    </row>
    <row r="262" ht="75" customHeight="1">
      <c r="A262" s="2">
        <f>HYPERLINK("https://www.shelhealth.com/products/berkley-jensen-ultra-sensitive-baby-wipes-11-pk-100-ct", "https://www.shelhealth.com/products/berkley-jensen-ultra-sensitive-baby-wipes-11-pk-100-ct")</f>
        <v/>
      </c>
      <c r="B262" s="2">
        <f>HYPERLINK("https://www.shelhealth.com/products/berkley-jensen-ultra-sensitive-baby-wipes-11-pk-100-ct", "https://www.shelhealth.com/products/berkley-jensen-ultra-sensitive-baby-wipes-11-pk-100-ct")</f>
        <v/>
      </c>
      <c r="C262" t="inlineStr">
        <is>
          <t>Berkley Jensen Ultra Sensitive Baby Wipes, 11 pk./100 ct.</t>
        </is>
      </c>
      <c r="D262" t="inlineStr">
        <is>
          <t>Berkley Jensen Ultra Sensitive Baby Wipes, 1,140 ct. (Pack of 2)</t>
        </is>
      </c>
      <c r="E262" s="2">
        <f>HYPERLINK("https://www.amazon.com/Berkley-Jensen-Ultra-Sensitive-Wipes/dp/B0723C2KQG/ref=sr_1_1?keywords=Berkley+Jensen+Ultra+Sensitive+Baby+Wipes%2C+11+pk.%2F100+ct.&amp;qid=1695169927&amp;sr=8-1", "https://www.amazon.com/Berkley-Jensen-Ultra-Sensitive-Wipes/dp/B0723C2KQG/ref=sr_1_1?keywords=Berkley+Jensen+Ultra+Sensitive+Baby+Wipes%2C+11+pk.%2F100+ct.&amp;qid=1695169927&amp;sr=8-1")</f>
        <v/>
      </c>
      <c r="F262" t="inlineStr">
        <is>
          <t>B0723C2KQG</t>
        </is>
      </c>
      <c r="G262">
        <f>_xlfn.IMAGE("https://www.shelhealth.com/cdn/shop/products/berkley-jensen-ultra-sensitive-baby-wipes-11-pk-100-ct-shelhealth-935.jpg?v=1663354839&amp;width=1946")</f>
        <v/>
      </c>
      <c r="H262">
        <f>_xlfn.IMAGE("https://m.media-amazon.com/images/I/81PIiAXMunL._AC_UL320_.jpg")</f>
        <v/>
      </c>
      <c r="K262" t="inlineStr">
        <is>
          <t>54.99</t>
        </is>
      </c>
      <c r="L262" t="n">
        <v>127.59</v>
      </c>
      <c r="M262" s="1" t="inlineStr">
        <is>
          <t>132.02%</t>
        </is>
      </c>
      <c r="N262" s="3" t="n">
        <v>132.02</v>
      </c>
      <c r="O262" t="n">
        <v>5</v>
      </c>
      <c r="P262" t="n">
        <v>3</v>
      </c>
      <c r="R262" t="inlineStr">
        <is>
          <t>InStock</t>
        </is>
      </c>
      <c r="S262" t="inlineStr">
        <is>
          <t>54.99</t>
        </is>
      </c>
      <c r="T262" t="inlineStr">
        <is>
          <t>4169473425460</t>
        </is>
      </c>
    </row>
    <row r="263" ht="75" customHeight="1">
      <c r="A263" s="2">
        <f>HYPERLINK("https://www.shelhealth.com/products/boudreauxs-butt-paste-diaper-rash-ointment-maximum-strength-8-oz", "https://www.shelhealth.com/products/boudreauxs-butt-paste-diaper-rash-ointment-maximum-strength-8-oz")</f>
        <v/>
      </c>
      <c r="B263" s="2">
        <f>HYPERLINK("https://www.shelhealth.com/products/boudreauxs-butt-paste-diaper-rash-ointment-maximum-strength-8-oz", "https://www.shelhealth.com/products/boudreauxs-butt-paste-diaper-rash-ointment-maximum-strength-8-oz")</f>
        <v/>
      </c>
      <c r="C263" t="inlineStr">
        <is>
          <t>Boudreaux's Butt Paste Diaper Rash Ointment | Maximum Strength | 8 oz.</t>
        </is>
      </c>
      <c r="D263" t="inlineStr">
        <is>
          <t>Boudreaux's Butt Paste Maximum Strength Diaper Rash Cream, Ointment for Baby, 2 oz Tube &amp; 14 oz Jar</t>
        </is>
      </c>
      <c r="E263" s="2">
        <f>HYPERLINK("https://www.amazon.com/Boudreauxs-Butt-Paste-Ointment-Strength/dp/B076PK22LJ/ref=sr_1_9?keywords=Boudreauxs+Butt+Paste+Diaper+Rash+Ointment+%7C+Maximum+Strength+%7C+8+oz.&amp;qid=1695169963&amp;sr=8-9", "https://www.amazon.com/Boudreauxs-Butt-Paste-Ointment-Strength/dp/B076PK22LJ/ref=sr_1_9?keywords=Boudreauxs+Butt+Paste+Diaper+Rash+Ointment+%7C+Maximum+Strength+%7C+8+oz.&amp;qid=1695169963&amp;sr=8-9")</f>
        <v/>
      </c>
      <c r="F263" t="inlineStr">
        <is>
          <t>B076PK22LJ</t>
        </is>
      </c>
      <c r="G263">
        <f>_xlfn.IMAGE("https://www.shelhealth.com/cdn/shop/products/boudreauxs-butt-paste-diaper-rash-ointment-maximum-strength-8-oz-shelhealth-107.jpg?v=1663350839&amp;width=1946")</f>
        <v/>
      </c>
      <c r="H263">
        <f>_xlfn.IMAGE("https://m.media-amazon.com/images/I/71kRD3FO1VL._AC_UL320_.jpg")</f>
        <v/>
      </c>
      <c r="K263" t="inlineStr">
        <is>
          <t>16.99</t>
        </is>
      </c>
      <c r="L263" t="n">
        <v>38.95</v>
      </c>
      <c r="M263" s="1" t="inlineStr">
        <is>
          <t>129.25%</t>
        </is>
      </c>
      <c r="N263" s="3" t="n">
        <v>129.25</v>
      </c>
      <c r="O263" t="n">
        <v>4.7</v>
      </c>
      <c r="P263" t="n">
        <v>2450</v>
      </c>
      <c r="R263" t="inlineStr">
        <is>
          <t>InStock</t>
        </is>
      </c>
      <c r="S263" t="inlineStr">
        <is>
          <t>16.99</t>
        </is>
      </c>
      <c r="T263" t="inlineStr">
        <is>
          <t>4099171287092</t>
        </is>
      </c>
    </row>
    <row r="264" ht="75" customHeight="1">
      <c r="A264" s="2">
        <f>HYPERLINK("https://www.shelhealth.com/products/850001271868-bambo-nature-diapers-baby-size-4-27-pk", "https://www.shelhealth.com/products/850001271868-bambo-nature-diapers-baby-size-4-27-pk")</f>
        <v/>
      </c>
      <c r="B264" s="2">
        <f>HYPERLINK("https://www.shelhealth.com/products/850001271868-bambo-nature-diapers-baby-size-4-27-pk", "https://www.shelhealth.com/products/850001271868-bambo-nature-diapers-baby-size-4-27-pk")</f>
        <v/>
      </c>
      <c r="C264" t="inlineStr">
        <is>
          <t>BAMBO NATURE: Diapers Baby Size 4, 27 pk</t>
        </is>
      </c>
      <c r="D264" t="inlineStr">
        <is>
          <t>Bambo Nature Premium Eco-Friendly Baby Diapers, Size 3, 29 Count and Size 4, 27 Count</t>
        </is>
      </c>
      <c r="E264" s="2">
        <f>HYPERLINK("https://www.amazon.com/Bambo-Nature-Premium-Eco-Friendly-Diapers/dp/B0B1916KW1/ref=sr_1_5?keywords=BAMBO+NATURE%3A+Diapers+Baby+Size+4%2C+27+pk&amp;qid=1695169930&amp;sr=8-5", "https://www.amazon.com/Bambo-Nature-Premium-Eco-Friendly-Diapers/dp/B0B1916KW1/ref=sr_1_5?keywords=BAMBO+NATURE%3A+Diapers+Baby+Size+4%2C+27+pk&amp;qid=1695169930&amp;sr=8-5")</f>
        <v/>
      </c>
      <c r="F264" t="inlineStr">
        <is>
          <t>B0B1916KW1</t>
        </is>
      </c>
      <c r="G264">
        <f>_xlfn.IMAGE("https://www.shelhealth.com/cdn/shop/products/bambo-nature-diapers-baby-size-4-27-pk-diaper-care-shelhealth-554.jpg?v=1663822966&amp;width=1946")</f>
        <v/>
      </c>
      <c r="H264">
        <f>_xlfn.IMAGE("https://m.media-amazon.com/images/I/51drI0Y5MUL._AC_UL320_.jpg")</f>
        <v/>
      </c>
      <c r="K264" t="inlineStr">
        <is>
          <t>16.99</t>
        </is>
      </c>
      <c r="L264" t="n">
        <v>38.03</v>
      </c>
      <c r="M264" s="1" t="inlineStr">
        <is>
          <t>123.84%</t>
        </is>
      </c>
      <c r="N264" s="3" t="n">
        <v>123.84</v>
      </c>
      <c r="O264" t="n">
        <v>5</v>
      </c>
      <c r="P264" t="n">
        <v>1</v>
      </c>
      <c r="R264" t="inlineStr">
        <is>
          <t>InStock</t>
        </is>
      </c>
      <c r="S264" t="inlineStr">
        <is>
          <t>16.99</t>
        </is>
      </c>
      <c r="T264" t="inlineStr">
        <is>
          <t>7699134251240</t>
        </is>
      </c>
    </row>
    <row r="265" ht="75" customHeight="1">
      <c r="A265" s="2">
        <f>HYPERLINK("https://www.shelhealth.com/products/850001271851-bambo-nature-diapers-baby-size-3-29-pk", "https://www.shelhealth.com/products/850001271851-bambo-nature-diapers-baby-size-3-29-pk")</f>
        <v/>
      </c>
      <c r="B265" s="2">
        <f>HYPERLINK("https://www.shelhealth.com/products/850001271851-bambo-nature-diapers-baby-size-3-29-pk", "https://www.shelhealth.com/products/850001271851-bambo-nature-diapers-baby-size-3-29-pk")</f>
        <v/>
      </c>
      <c r="C265" t="inlineStr">
        <is>
          <t>BAMBO NATURE: Diapers Baby Size 3, 29 pk</t>
        </is>
      </c>
      <c r="D265" t="inlineStr">
        <is>
          <t>Bambo Nature Premium Eco-Friendly Baby Diapers, Size 3, 29 Count and Size 4, 27 Count</t>
        </is>
      </c>
      <c r="E265" s="2">
        <f>HYPERLINK("https://www.amazon.com/Bambo-Nature-Premium-Eco-Friendly-Diapers/dp/B0B1916KW1/ref=sr_1_3?keywords=BAMBO+NATURE%3A+Diapers+Baby+Size+3%2C+29+pk&amp;qid=1695169933&amp;sr=8-3", "https://www.amazon.com/Bambo-Nature-Premium-Eco-Friendly-Diapers/dp/B0B1916KW1/ref=sr_1_3?keywords=BAMBO+NATURE%3A+Diapers+Baby+Size+3%2C+29+pk&amp;qid=1695169933&amp;sr=8-3")</f>
        <v/>
      </c>
      <c r="F265" t="inlineStr">
        <is>
          <t>B0B1916KW1</t>
        </is>
      </c>
      <c r="G265">
        <f>_xlfn.IMAGE("https://www.shelhealth.com/cdn/shop/products/bambo-nature-diapers-baby-size-3-29-pk-diaper-care-shelhealth-156.jpg?v=1663822945&amp;width=1946")</f>
        <v/>
      </c>
      <c r="H265">
        <f>_xlfn.IMAGE("https://m.media-amazon.com/images/I/51drI0Y5MUL._AC_UL320_.jpg")</f>
        <v/>
      </c>
      <c r="K265" t="inlineStr">
        <is>
          <t>16.99</t>
        </is>
      </c>
      <c r="L265" t="n">
        <v>38.03</v>
      </c>
      <c r="M265" s="1" t="inlineStr">
        <is>
          <t>123.84%</t>
        </is>
      </c>
      <c r="N265" s="3" t="n">
        <v>123.84</v>
      </c>
      <c r="O265" t="n">
        <v>5</v>
      </c>
      <c r="P265" t="n">
        <v>1</v>
      </c>
      <c r="R265" t="inlineStr">
        <is>
          <t>InStock</t>
        </is>
      </c>
      <c r="S265" t="inlineStr">
        <is>
          <t>16.99</t>
        </is>
      </c>
      <c r="T265" t="inlineStr">
        <is>
          <t>7699134185704</t>
        </is>
      </c>
    </row>
    <row r="266" ht="75" customHeight="1">
      <c r="A266" s="2">
        <f>HYPERLINK("https://www.shelhealth.com/products/850001271844-bambo-nature-diapers-baby-size-2-32-pk", "https://www.shelhealth.com/products/850001271844-bambo-nature-diapers-baby-size-2-32-pk")</f>
        <v/>
      </c>
      <c r="B266" s="2">
        <f>HYPERLINK("https://www.shelhealth.com/products/850001271844-bambo-nature-diapers-baby-size-2-32-pk", "https://www.shelhealth.com/products/850001271844-bambo-nature-diapers-baby-size-2-32-pk")</f>
        <v/>
      </c>
      <c r="C266" t="inlineStr">
        <is>
          <t>BAMBO NATURE: Diapers Baby Size 2, 32 pk</t>
        </is>
      </c>
      <c r="D266" t="inlineStr">
        <is>
          <t>Bambo Nature Premium Eco-Friendly Baby Diapers Size 2, 32 Count and Size 1, 36 Count</t>
        </is>
      </c>
      <c r="E266" s="2">
        <f>HYPERLINK("https://www.amazon.com/Bambo-Nature-Premium-Eco-Friendly-Diapers/dp/B0B191VJY8/ref=sr_1_2?keywords=BAMBO+NATURE%3A+Diapers+Baby+Size+2%2C+32+pk&amp;qid=1695169951&amp;sr=8-2", "https://www.amazon.com/Bambo-Nature-Premium-Eco-Friendly-Diapers/dp/B0B191VJY8/ref=sr_1_2?keywords=BAMBO+NATURE%3A+Diapers+Baby+Size+2%2C+32+pk&amp;qid=1695169951&amp;sr=8-2")</f>
        <v/>
      </c>
      <c r="F266" t="inlineStr">
        <is>
          <t>B0B191VJY8</t>
        </is>
      </c>
      <c r="G266">
        <f>_xlfn.IMAGE("https://www.shelhealth.com/cdn/shop/files/bambo-nature-diapers-baby-size-2-32-pk-shelhealth-774.jpg?v=1686494803&amp;width=1946")</f>
        <v/>
      </c>
      <c r="H266">
        <f>_xlfn.IMAGE("https://m.media-amazon.com/images/I/5163Hx1+ZWL._AC_UL320_.jpg")</f>
        <v/>
      </c>
      <c r="K266" t="inlineStr">
        <is>
          <t>16.99</t>
        </is>
      </c>
      <c r="L266" t="n">
        <v>35.29</v>
      </c>
      <c r="M266" s="1" t="inlineStr">
        <is>
          <t>107.71%</t>
        </is>
      </c>
      <c r="N266" s="3" t="n">
        <v>107.71</v>
      </c>
      <c r="O266" t="n">
        <v>5</v>
      </c>
      <c r="P266" t="n">
        <v>2</v>
      </c>
      <c r="R266" t="inlineStr">
        <is>
          <t>InStock</t>
        </is>
      </c>
      <c r="S266" t="inlineStr">
        <is>
          <t>16.99</t>
        </is>
      </c>
      <c r="T266" t="inlineStr">
        <is>
          <t>7699134120168</t>
        </is>
      </c>
    </row>
    <row r="267" ht="75" customHeight="1">
      <c r="A267" s="2">
        <f>HYPERLINK("https://www.shelhealth.com/products/850001271837-bambo-nature-diapers-baby-size-1-36-pk", "https://www.shelhealth.com/products/850001271837-bambo-nature-diapers-baby-size-1-36-pk")</f>
        <v/>
      </c>
      <c r="B267" s="2">
        <f>HYPERLINK("https://www.shelhealth.com/products/850001271837-bambo-nature-diapers-baby-size-1-36-pk", "https://www.shelhealth.com/products/850001271837-bambo-nature-diapers-baby-size-1-36-pk")</f>
        <v/>
      </c>
      <c r="C267" t="inlineStr">
        <is>
          <t>BAMBO NATURE: Diapers Baby Size 1, 36 pk</t>
        </is>
      </c>
      <c r="D267" t="inlineStr">
        <is>
          <t>Bambo Nature Premium Eco-Friendly Baby Diapers Size 2, 32 Count and Size 1, 36 Count</t>
        </is>
      </c>
      <c r="E267" s="2">
        <f>HYPERLINK("https://www.amazon.com/Bambo-Nature-Premium-Eco-Friendly-Diapers/dp/B0B191VJY8/ref=sr_1_2?keywords=BAMBO+NATURE%3A+Diapers+Baby+Size+1%2C+36+pk&amp;qid=1695169932&amp;sr=8-2", "https://www.amazon.com/Bambo-Nature-Premium-Eco-Friendly-Diapers/dp/B0B191VJY8/ref=sr_1_2?keywords=BAMBO+NATURE%3A+Diapers+Baby+Size+1%2C+36+pk&amp;qid=1695169932&amp;sr=8-2")</f>
        <v/>
      </c>
      <c r="F267" t="inlineStr">
        <is>
          <t>B0B191VJY8</t>
        </is>
      </c>
      <c r="G267">
        <f>_xlfn.IMAGE("https://www.shelhealth.com/cdn/shop/files/bambo-nature-diapers-baby-size-1-36-pk-shelhealth-916.jpg?v=1686548947&amp;width=1946")</f>
        <v/>
      </c>
      <c r="H267">
        <f>_xlfn.IMAGE("https://m.media-amazon.com/images/I/5163Hx1+ZWL._AC_UL320_.jpg")</f>
        <v/>
      </c>
      <c r="K267" t="inlineStr">
        <is>
          <t>16.99</t>
        </is>
      </c>
      <c r="L267" t="n">
        <v>35.29</v>
      </c>
      <c r="M267" s="1" t="inlineStr">
        <is>
          <t>107.71%</t>
        </is>
      </c>
      <c r="N267" s="3" t="n">
        <v>107.71</v>
      </c>
      <c r="O267" t="n">
        <v>5</v>
      </c>
      <c r="P267" t="n">
        <v>2</v>
      </c>
      <c r="R267" t="inlineStr">
        <is>
          <t>OutOfStock</t>
        </is>
      </c>
      <c r="S267" t="inlineStr">
        <is>
          <t>16.99</t>
        </is>
      </c>
      <c r="T267" t="inlineStr">
        <is>
          <t>7699134087400</t>
        </is>
      </c>
    </row>
    <row r="268" hidden="1" ht="15.75" customHeight="1">
      <c r="A268" s="2">
        <f>HYPERLINK("https://www.shelhealth.com/products/playtex-diaper-genie-disposal-system-refills-960-count", "https://www.shelhealth.com/products/playtex-diaper-genie-disposal-system-refills-960-count")</f>
        <v/>
      </c>
      <c r="B268" s="2">
        <f>HYPERLINK("https://www.shelhealth.com/products/playtex-diaper-genie-disposal-system-refills-960-count", "https://www.shelhealth.com/products/playtex-diaper-genie-disposal-system-refills-960-count")</f>
        <v/>
      </c>
      <c r="C268" t="inlineStr">
        <is>
          <t>Playtex Diaper Genie Disposal System Refills, 960 count</t>
        </is>
      </c>
      <c r="D268" t="inlineStr">
        <is>
          <t>Playtex Diaper Genie Disposal System Refills, 6 pack, up to 270 diapers each (1620 total)</t>
        </is>
      </c>
      <c r="E268" s="2">
        <f>HYPERLINK("https://www.amazon.com/Playtex-Diaper-Disposal-Refills-diapers/dp/B008DM62JK/ref=sr_1_3?keywords=Playtex+Diaper+Genie+Disposal+System+Refills%2C+960+count&amp;qid=1695169946&amp;sr=8-3", "https://www.amazon.com/Playtex-Diaper-Disposal-Refills-diapers/dp/B008DM62JK/ref=sr_1_3?keywords=Playtex+Diaper+Genie+Disposal+System+Refills%2C+960+count&amp;qid=1695169946&amp;sr=8-3")</f>
        <v/>
      </c>
      <c r="F268" t="inlineStr">
        <is>
          <t>B008DM62JK</t>
        </is>
      </c>
      <c r="G268">
        <f>_xludf.IMAGE("https://www.shelhealth.com/cdn/shop/products/playtex-diaper-genie-disposal-system-refills-960-count-shelhealth-965.jpg?v=1663343507&amp;width=1946")</f>
        <v/>
      </c>
      <c r="H268">
        <f>_xludf.IMAGE("https://m.media-amazon.com/images/I/71GErCXQzBL._AC_UL320_.jpg")</f>
        <v/>
      </c>
      <c r="K268" t="inlineStr">
        <is>
          <t>29.99</t>
        </is>
      </c>
      <c r="L268" t="n">
        <v>61.34</v>
      </c>
      <c r="M268" s="1" t="inlineStr">
        <is>
          <t>104.53%</t>
        </is>
      </c>
      <c r="N268" s="3" t="n">
        <v>104.53</v>
      </c>
      <c r="O268" t="n">
        <v>2.9</v>
      </c>
      <c r="P268" t="n">
        <v>2</v>
      </c>
      <c r="R268" t="inlineStr">
        <is>
          <t>InStock</t>
        </is>
      </c>
      <c r="S268" t="inlineStr">
        <is>
          <t>29.99</t>
        </is>
      </c>
      <c r="T268" t="inlineStr">
        <is>
          <t>3821548863540</t>
        </is>
      </c>
    </row>
    <row r="269" ht="75" customHeight="1">
      <c r="A269" s="2">
        <f>HYPERLINK("https://www.shelhealth.com/products/817810014680-the-honest-company-baby-wipes-288-pc", "https://www.shelhealth.com/products/817810014680-the-honest-company-baby-wipes-288-pc")</f>
        <v/>
      </c>
      <c r="B269" s="2">
        <f>HYPERLINK("https://www.shelhealth.com/products/817810014680-the-honest-company-baby-wipes-288-pc", "https://www.shelhealth.com/products/817810014680-the-honest-company-baby-wipes-288-pc")</f>
        <v/>
      </c>
      <c r="C269" t="inlineStr">
        <is>
          <t>THE HONEST COMPANY Baby Wipes, 288 pc</t>
        </is>
      </c>
      <c r="D269" t="inlineStr">
        <is>
          <t>The Honest Company, Club Box, Clean Conscious Diapers + Pandas, 76 Count + Honest Company Baby Wipes, Over 99% Water, Pure &amp; Gentle, Plant-Based, Extra Thick &amp; Durable Wet Wipes, 72 Count</t>
        </is>
      </c>
      <c r="E269" s="2">
        <f>HYPERLINK("https://www.amazon.com/HONEST-Company-Conscious-Diapers-Plant-Based/dp/B09LX97DRS/ref=sr_1_5?keywords=THE+HONEST+COMPANY+Baby+Wipes%2C+288+pc&amp;qid=1695169940&amp;sr=8-5", "https://www.amazon.com/HONEST-Company-Conscious-Diapers-Plant-Based/dp/B09LX97DRS/ref=sr_1_5?keywords=THE+HONEST+COMPANY+Baby+Wipes%2C+288+pc&amp;qid=1695169940&amp;sr=8-5")</f>
        <v/>
      </c>
      <c r="F269" t="inlineStr">
        <is>
          <t>B09LX97DRS</t>
        </is>
      </c>
      <c r="G269">
        <f>_xlfn.IMAGE("https://www.shelhealth.com/cdn/shop/products/the-honest-company-baby-wipes-288-pc-shelhealth-374.jpg?v=1663788123&amp;width=1946")</f>
        <v/>
      </c>
      <c r="H269">
        <f>_xlfn.IMAGE("https://m.media-amazon.com/images/I/81DDcBo3fJL._AC_UL320_.jpg")</f>
        <v/>
      </c>
      <c r="K269" t="inlineStr">
        <is>
          <t>33.99</t>
        </is>
      </c>
      <c r="L269" t="n">
        <v>67.98</v>
      </c>
      <c r="M269" s="1" t="inlineStr">
        <is>
          <t>100.00%</t>
        </is>
      </c>
      <c r="N269" s="3" t="n">
        <v>100</v>
      </c>
      <c r="O269" t="n">
        <v>5</v>
      </c>
      <c r="P269" t="n">
        <v>2</v>
      </c>
      <c r="R269" t="inlineStr">
        <is>
          <t>OutOfStock</t>
        </is>
      </c>
      <c r="S269" t="inlineStr">
        <is>
          <t>33.99</t>
        </is>
      </c>
      <c r="T269" t="inlineStr">
        <is>
          <t>7574337585384</t>
        </is>
      </c>
    </row>
    <row r="270" ht="75" customHeight="1">
      <c r="A270" s="2">
        <f>HYPERLINK("https://www.shelhealth.com/products/850001271882-bambo-nature-diapers-baby-size-6-24-pk", "https://www.shelhealth.com/products/850001271882-bambo-nature-diapers-baby-size-6-24-pk")</f>
        <v/>
      </c>
      <c r="B270" s="2">
        <f>HYPERLINK("https://www.shelhealth.com/products/850001271882-bambo-nature-diapers-baby-size-6-24-pk", "https://www.shelhealth.com/products/850001271882-bambo-nature-diapers-baby-size-6-24-pk")</f>
        <v/>
      </c>
      <c r="C270" t="inlineStr">
        <is>
          <t>BAMBO NATURE: Diapers Baby Size 6, 24 pk</t>
        </is>
      </c>
      <c r="D270" t="inlineStr">
        <is>
          <t>Bambo Nature Premium Eco-Friendly Training Pants, Size 6, 19 Count and Baby Diapers, Size 6, 24 Count</t>
        </is>
      </c>
      <c r="E270" s="2">
        <f>HYPERLINK("https://www.amazon.com/Bambo-Nature-Premium-Eco-Friendly-Training/dp/B0B197DLPW/ref=sr_1_2?keywords=BAMBO+NATURE%3A+Diapers+Baby+Size+6%2C+24+pk&amp;qid=1695169940&amp;sr=8-2", "https://www.amazon.com/Bambo-Nature-Premium-Eco-Friendly-Training/dp/B0B197DLPW/ref=sr_1_2?keywords=BAMBO+NATURE%3A+Diapers+Baby+Size+6%2C+24+pk&amp;qid=1695169940&amp;sr=8-2")</f>
        <v/>
      </c>
      <c r="F270" t="inlineStr">
        <is>
          <t>B0B197DLPW</t>
        </is>
      </c>
      <c r="G270">
        <f>_xlfn.IMAGE("https://www.shelhealth.com/cdn/shop/products/bambo-nature-diapers-baby-size-6-24-pk-diaper-care-shelhealth-852.jpg?v=1663823005&amp;width=1946")</f>
        <v/>
      </c>
      <c r="H270">
        <f>_xlfn.IMAGE("https://m.media-amazon.com/images/I/51Lk5uxtbVL._AC_UL320_.jpg")</f>
        <v/>
      </c>
      <c r="K270" t="inlineStr">
        <is>
          <t>16.99</t>
        </is>
      </c>
      <c r="L270" t="n">
        <v>33.93</v>
      </c>
      <c r="M270" s="1" t="inlineStr">
        <is>
          <t>99.71%</t>
        </is>
      </c>
      <c r="N270" s="3" t="n">
        <v>99.70999999999999</v>
      </c>
      <c r="O270" t="n">
        <v>5</v>
      </c>
      <c r="P270" t="n">
        <v>1</v>
      </c>
      <c r="R270" t="inlineStr">
        <is>
          <t>InStock</t>
        </is>
      </c>
      <c r="S270" t="inlineStr">
        <is>
          <t>16.99</t>
        </is>
      </c>
      <c r="T270" t="inlineStr">
        <is>
          <t>7699134349544</t>
        </is>
      </c>
    </row>
    <row r="271" ht="75" customHeight="1">
      <c r="A271" s="2">
        <f>HYPERLINK("https://www.shelhealth.com/products/850001271882-bambo-nature-diapers-baby-size-6-24-pk", "https://www.shelhealth.com/products/850001271882-bambo-nature-diapers-baby-size-6-24-pk")</f>
        <v/>
      </c>
      <c r="B271" s="2">
        <f>HYPERLINK("https://www.shelhealth.com/products/850001271882-bambo-nature-diapers-baby-size-6-24-pk", "https://www.shelhealth.com/products/850001271882-bambo-nature-diapers-baby-size-6-24-pk")</f>
        <v/>
      </c>
      <c r="C271" t="inlineStr">
        <is>
          <t>BAMBO NATURE: Diapers Baby Size 6, 24 pk</t>
        </is>
      </c>
      <c r="D271" t="inlineStr">
        <is>
          <t>Bambo Nature Premium Eco-Friendly Baby Diapers, Size 6, 24 Count and Size 5, 25 Count</t>
        </is>
      </c>
      <c r="E271" s="2">
        <f>HYPERLINK("https://www.amazon.com/Bambo-Nature-Premium-Eco-Friendly-Diapers/dp/B0B194W2H4/ref=sr_1_3?keywords=BAMBO+NATURE%3A+Diapers+Baby+Size+6%2C+24+pk&amp;qid=1695169940&amp;sr=8-3", "https://www.amazon.com/Bambo-Nature-Premium-Eco-Friendly-Diapers/dp/B0B194W2H4/ref=sr_1_3?keywords=BAMBO+NATURE%3A+Diapers+Baby+Size+6%2C+24+pk&amp;qid=1695169940&amp;sr=8-3")</f>
        <v/>
      </c>
      <c r="F271" t="inlineStr">
        <is>
          <t>B0B194W2H4</t>
        </is>
      </c>
      <c r="G271">
        <f>_xlfn.IMAGE("https://www.shelhealth.com/cdn/shop/products/bambo-nature-diapers-baby-size-6-24-pk-diaper-care-shelhealth-852.jpg?v=1663823005&amp;width=1946")</f>
        <v/>
      </c>
      <c r="H271">
        <f>_xlfn.IMAGE("https://m.media-amazon.com/images/I/51Rf4uUHkFL._AC_UL320_.jpg")</f>
        <v/>
      </c>
      <c r="K271" t="inlineStr">
        <is>
          <t>16.99</t>
        </is>
      </c>
      <c r="L271" t="n">
        <v>32.14</v>
      </c>
      <c r="M271" s="1" t="inlineStr">
        <is>
          <t>89.17%</t>
        </is>
      </c>
      <c r="N271" s="3" t="n">
        <v>89.17</v>
      </c>
      <c r="O271" t="n">
        <v>5</v>
      </c>
      <c r="P271" t="n">
        <v>2</v>
      </c>
      <c r="R271" t="inlineStr">
        <is>
          <t>InStock</t>
        </is>
      </c>
      <c r="S271" t="inlineStr">
        <is>
          <t>16.99</t>
        </is>
      </c>
      <c r="T271" t="inlineStr">
        <is>
          <t>7699134349544</t>
        </is>
      </c>
    </row>
    <row r="272" ht="75" customHeight="1">
      <c r="A272" s="2">
        <f>HYPERLINK("https://www.shelhealth.com/products/850001271875-bambo-nature-diapers-baby-size-5-25-pk", "https://www.shelhealth.com/products/850001271875-bambo-nature-diapers-baby-size-5-25-pk")</f>
        <v/>
      </c>
      <c r="B272" s="2">
        <f>HYPERLINK("https://www.shelhealth.com/products/850001271875-bambo-nature-diapers-baby-size-5-25-pk", "https://www.shelhealth.com/products/850001271875-bambo-nature-diapers-baby-size-5-25-pk")</f>
        <v/>
      </c>
      <c r="C272" t="inlineStr">
        <is>
          <t>BAMBO NATURE: Diapers Baby Size 5, 25 pk</t>
        </is>
      </c>
      <c r="D272" t="inlineStr">
        <is>
          <t>Bambo Nature Premium Eco-Friendly Baby Diapers, Size 6, 24 Count and Size 5, 25 Count</t>
        </is>
      </c>
      <c r="E272" s="2">
        <f>HYPERLINK("https://www.amazon.com/Bambo-Nature-Premium-Eco-Friendly-Diapers/dp/B0B194W2H4/ref=sr_1_3?keywords=BAMBO+NATURE%3A+Diapers+Baby+Size+5%2C+25+pk&amp;qid=1695169927&amp;sr=8-3", "https://www.amazon.com/Bambo-Nature-Premium-Eco-Friendly-Diapers/dp/B0B194W2H4/ref=sr_1_3?keywords=BAMBO+NATURE%3A+Diapers+Baby+Size+5%2C+25+pk&amp;qid=1695169927&amp;sr=8-3")</f>
        <v/>
      </c>
      <c r="F272" t="inlineStr">
        <is>
          <t>B0B194W2H4</t>
        </is>
      </c>
      <c r="G272">
        <f>_xlfn.IMAGE("https://www.shelhealth.com/cdn/shop/products/bambo-nature-diapers-baby-size-5-25-pk-diaper-care-shelhealth-370.jpg?v=1663822984&amp;width=1946")</f>
        <v/>
      </c>
      <c r="H272">
        <f>_xlfn.IMAGE("https://m.media-amazon.com/images/I/51Rf4uUHkFL._AC_UL320_.jpg")</f>
        <v/>
      </c>
      <c r="K272" t="inlineStr">
        <is>
          <t>16.99</t>
        </is>
      </c>
      <c r="L272" t="n">
        <v>32.14</v>
      </c>
      <c r="M272" s="1" t="inlineStr">
        <is>
          <t>89.17%</t>
        </is>
      </c>
      <c r="N272" s="3" t="n">
        <v>89.17</v>
      </c>
      <c r="O272" t="n">
        <v>5</v>
      </c>
      <c r="P272" t="n">
        <v>2</v>
      </c>
      <c r="R272" t="inlineStr">
        <is>
          <t>InStock</t>
        </is>
      </c>
      <c r="S272" t="inlineStr">
        <is>
          <t>16.99</t>
        </is>
      </c>
      <c r="T272" t="inlineStr">
        <is>
          <t>7699134316776</t>
        </is>
      </c>
    </row>
    <row r="273" ht="75" customHeight="1">
      <c r="A273" s="2">
        <f>HYPERLINK("https://www.shelhealth.com/products/679234054105-mommy-s-bliss-gripe-water-night-time-4-fo", "https://www.shelhealth.com/products/679234054105-mommy-s-bliss-gripe-water-night-time-4-fo")</f>
        <v/>
      </c>
      <c r="B273" s="2">
        <f>HYPERLINK("https://www.shelhealth.com/products/679234054105-mommy-s-bliss-gripe-water-night-time-4-fo", "https://www.shelhealth.com/products/679234054105-mommy-s-bliss-gripe-water-night-time-4-fo")</f>
        <v/>
      </c>
      <c r="C273" t="inlineStr">
        <is>
          <t>Mommy'S Bliss Gripe Water Night Time, 4 Fo</t>
        </is>
      </c>
      <c r="D273" t="inlineStr">
        <is>
          <t>Mommy's Bliss Gripe Water Original 4 Fl Oz (Pack of 2) with Gripe Water Night Time 4 Fl Oz (Pack of 3)</t>
        </is>
      </c>
      <c r="E273" s="2">
        <f>HYPERLINK("https://www.amazon.com/Mommys-Bliss-Gripe-Water-Original/dp/B0979YTHH1/ref=sr_1_1?keywords=mommy%27s+bliss+gripe+water+night+time%2C+4+fo&amp;qid=1695169938&amp;sr=8-1", "https://www.amazon.com/Mommys-Bliss-Gripe-Water-Original/dp/B0979YTHH1/ref=sr_1_1?keywords=mommy%27s+bliss+gripe+water+night+time%2C+4+fo&amp;qid=1695169938&amp;sr=8-1")</f>
        <v/>
      </c>
      <c r="F273" t="inlineStr">
        <is>
          <t>B0979YTHH1</t>
        </is>
      </c>
      <c r="G273">
        <f>_xlfn.IMAGE("https://www.shelhealth.com/cdn/shop/files/mommys-bliss-gripe-water-night-time-4-fo-baby-shelhealth-583.jpg?v=1693229587&amp;width=1946")</f>
        <v/>
      </c>
      <c r="H273">
        <f>_xlfn.IMAGE("https://m.media-amazon.com/images/I/817BJgzSNmS._AC_UL320_.jpg")</f>
        <v/>
      </c>
      <c r="K273" t="inlineStr">
        <is>
          <t>18.99</t>
        </is>
      </c>
      <c r="L273" t="n">
        <v>35.02</v>
      </c>
      <c r="M273" s="1" t="inlineStr">
        <is>
          <t>84.41%</t>
        </is>
      </c>
      <c r="N273" s="3" t="n">
        <v>84.41</v>
      </c>
      <c r="O273" t="n">
        <v>4.7</v>
      </c>
      <c r="P273" t="n">
        <v>11069</v>
      </c>
      <c r="R273" t="inlineStr">
        <is>
          <t>OutOfStock</t>
        </is>
      </c>
      <c r="S273" t="inlineStr">
        <is>
          <t>18.99</t>
        </is>
      </c>
      <c r="T273" t="inlineStr">
        <is>
          <t>7241822765244</t>
        </is>
      </c>
    </row>
    <row r="274" ht="75" customHeight="1">
      <c r="A274" s="2">
        <f>HYPERLINK("https://www.shelhealth.com/products/810425032322-the-honest-company-sleepy-sheep-overnight-diapers-size-4-24-pk", "https://www.shelhealth.com/products/810425032322-the-honest-company-sleepy-sheep-overnight-diapers-size-4-24-pk")</f>
        <v/>
      </c>
      <c r="B274" s="2">
        <f>HYPERLINK("https://www.shelhealth.com/products/810425032322-the-honest-company-sleepy-sheep-overnight-diapers-size-4-24-pk", "https://www.shelhealth.com/products/810425032322-the-honest-company-sleepy-sheep-overnight-diapers-size-4-24-pk")</f>
        <v/>
      </c>
      <c r="C274" t="inlineStr">
        <is>
          <t>THE HONEST COMPANY Sleepy Sheep Overnight Diapers Size 4, 24 pk</t>
        </is>
      </c>
      <c r="D274" t="inlineStr">
        <is>
          <t>The Honest Company Clean Conscious Overnight Diapers | Plant-Based, Sustainable | Sleepy Sheep | Club Box, Size 4 (22-37 lbs), 54 Count</t>
        </is>
      </c>
      <c r="E274" s="2">
        <f>HYPERLINK("https://www.amazon.com/Company-Conscious-Overnight-Plant-Based-Sustainable/dp/B01MS075EA/ref=sr_1_1?keywords=THE+HONEST+COMPANY+Sleepy+Sheep+Overnight+Diapers+Size+4%2C+24+pk&amp;qid=1695169934&amp;rdc=1&amp;sr=8-1", "https://www.amazon.com/Company-Conscious-Overnight-Plant-Based-Sustainable/dp/B01MS075EA/ref=sr_1_1?keywords=THE+HONEST+COMPANY+Sleepy+Sheep+Overnight+Diapers+Size+4%2C+24+pk&amp;qid=1695169934&amp;rdc=1&amp;sr=8-1")</f>
        <v/>
      </c>
      <c r="F274" t="inlineStr">
        <is>
          <t>B01MS075EA</t>
        </is>
      </c>
      <c r="G274">
        <f>_xlfn.IMAGE("https://www.shelhealth.com/cdn/shop/files/the-honest-company-sleepy-sheep-overnight-diapers-size-4-24-pk-baby-shelhealth-785.jpg?v=1686247039&amp;width=1946")</f>
        <v/>
      </c>
      <c r="H274">
        <f>_xlfn.IMAGE("https://m.media-amazon.com/images/I/61n-EJistRL._AC_UL320_.jpg")</f>
        <v/>
      </c>
      <c r="K274" t="inlineStr">
        <is>
          <t>17.99</t>
        </is>
      </c>
      <c r="L274" t="n">
        <v>29.97</v>
      </c>
      <c r="M274" s="1" t="inlineStr">
        <is>
          <t>66.59%</t>
        </is>
      </c>
      <c r="N274" s="3" t="n">
        <v>66.59</v>
      </c>
      <c r="O274" t="n">
        <v>4.6</v>
      </c>
      <c r="P274" t="n">
        <v>3834</v>
      </c>
      <c r="R274" t="inlineStr">
        <is>
          <t>OutOfStock</t>
        </is>
      </c>
      <c r="S274" t="inlineStr">
        <is>
          <t>17.99</t>
        </is>
      </c>
      <c r="T274" t="inlineStr">
        <is>
          <t>7618095874280</t>
        </is>
      </c>
    </row>
    <row r="275" ht="75" customHeight="1">
      <c r="A275" s="2">
        <f>HYPERLINK("https://www.shelhealth.com/products/boudreauxs-butt-paste-diaper-rash-ointment-maximum-strength-8-oz", "https://www.shelhealth.com/products/boudreauxs-butt-paste-diaper-rash-ointment-maximum-strength-8-oz")</f>
        <v/>
      </c>
      <c r="B275" s="2">
        <f>HYPERLINK("https://www.shelhealth.com/products/boudreauxs-butt-paste-diaper-rash-ointment-maximum-strength-8-oz", "https://www.shelhealth.com/products/boudreauxs-butt-paste-diaper-rash-ointment-maximum-strength-8-oz")</f>
        <v/>
      </c>
      <c r="C275" t="inlineStr">
        <is>
          <t>Boudreaux's Butt Paste Diaper Rash Ointment | Maximum Strength | 8 oz.</t>
        </is>
      </c>
      <c r="D275" t="inlineStr">
        <is>
          <t>Boudreaux's Butt Paste Maximum Strength Diaper Rash Cream, Ointment for Baby, 4 oz. Tube, (Pack of 3)</t>
        </is>
      </c>
      <c r="E275" s="2">
        <f>HYPERLINK("https://www.amazon.com/Boudreauxs-Maximum-Strength-Butt-Paste/dp/B00JHKY53M/ref=sr_1_2?keywords=Boudreauxs+Butt+Paste+Diaper+Rash+Ointment+%7C+Maximum+Strength+%7C+8+oz.&amp;qid=1695169963&amp;sr=8-2", "https://www.amazon.com/Boudreauxs-Maximum-Strength-Butt-Paste/dp/B00JHKY53M/ref=sr_1_2?keywords=Boudreauxs+Butt+Paste+Diaper+Rash+Ointment+%7C+Maximum+Strength+%7C+8+oz.&amp;qid=1695169963&amp;sr=8-2")</f>
        <v/>
      </c>
      <c r="F275" t="inlineStr">
        <is>
          <t>B00JHKY53M</t>
        </is>
      </c>
      <c r="G275">
        <f>_xlfn.IMAGE("https://www.shelhealth.com/cdn/shop/products/boudreauxs-butt-paste-diaper-rash-ointment-maximum-strength-8-oz-shelhealth-107.jpg?v=1663350839&amp;width=1946")</f>
        <v/>
      </c>
      <c r="H275">
        <f>_xlfn.IMAGE("https://m.media-amazon.com/images/I/61KOr2PQB-L._AC_UL320_.jpg")</f>
        <v/>
      </c>
      <c r="K275" t="inlineStr">
        <is>
          <t>16.99</t>
        </is>
      </c>
      <c r="L275" t="n">
        <v>27.94</v>
      </c>
      <c r="M275" s="1" t="inlineStr">
        <is>
          <t>64.45%</t>
        </is>
      </c>
      <c r="N275" s="3" t="n">
        <v>64.45</v>
      </c>
      <c r="O275" t="n">
        <v>4.8</v>
      </c>
      <c r="P275" t="n">
        <v>78</v>
      </c>
      <c r="R275" t="inlineStr">
        <is>
          <t>InStock</t>
        </is>
      </c>
      <c r="S275" t="inlineStr">
        <is>
          <t>16.99</t>
        </is>
      </c>
      <c r="T275" t="inlineStr">
        <is>
          <t>4099171287092</t>
        </is>
      </c>
    </row>
    <row r="276" ht="75" customHeight="1">
      <c r="A276" s="2">
        <f>HYPERLINK("https://www.shelhealth.com/products/608274130005-childlife-essentials-organic-vitamin-d3-drops-berry-flavor-400-iu-0-338-oz", "https://www.shelhealth.com/products/608274130005-childlife-essentials-organic-vitamin-d3-drops-berry-flavor-400-iu-0-338-oz")</f>
        <v/>
      </c>
      <c r="B276" s="2">
        <f>HYPERLINK("https://www.shelhealth.com/products/608274130005-childlife-essentials-organic-vitamin-d3-drops-berry-flavor-400-iu-0-338-oz", "https://www.shelhealth.com/products/608274130005-childlife-essentials-organic-vitamin-d3-drops-berry-flavor-400-iu-0-338-oz")</f>
        <v/>
      </c>
      <c r="C276" t="inlineStr">
        <is>
          <t>Childlife Essentials Organic Vitamin D3 Drops Berry Flavor 400 Iu, 0.338 Oz</t>
        </is>
      </c>
      <c r="D276" t="inlineStr">
        <is>
          <t>CHILDLIFE ESSENTIALS Organic Vitamin D3 Liquid Drops, Natural Berry Flavor - Gluten Free, Alcohol Free, Casein Free, Non-GMO - 0.338 fl. oz</t>
        </is>
      </c>
      <c r="E276" s="2">
        <f>HYPERLINK("https://www.amazon.com/ChildLife-Essentials-Organic-Toddlers-Children/dp/B00QL4ZBMQ/ref=sr_1_2?keywords=Childlife+Essentials+Organic+Vitamin+D3+Drops+Berry+Flavor+400+Iu%2C+0.338+Oz&amp;qid=1695169982&amp;sr=8-2", "https://www.amazon.com/ChildLife-Essentials-Organic-Toddlers-Children/dp/B00QL4ZBMQ/ref=sr_1_2?keywords=Childlife+Essentials+Organic+Vitamin+D3+Drops+Berry+Flavor+400+Iu%2C+0.338+Oz&amp;qid=1695169982&amp;sr=8-2")</f>
        <v/>
      </c>
      <c r="F276" t="inlineStr">
        <is>
          <t>B00QL4ZBMQ</t>
        </is>
      </c>
      <c r="G276">
        <f>_xlfn.IMAGE("https://www.shelhealth.com/cdn/shop/files/childlife-essentials-organic-vitamin-d3-drops-berry-flavor-400-iu-0-338-oz-baby-shelhealth-827.jpg?v=1686524315&amp;width=1946")</f>
        <v/>
      </c>
      <c r="H276">
        <f>_xlfn.IMAGE("https://m.media-amazon.com/images/I/81jTumGPJgL._AC_UL320_.jpg")</f>
        <v/>
      </c>
      <c r="K276" t="inlineStr">
        <is>
          <t>14.99</t>
        </is>
      </c>
      <c r="L276" t="n">
        <v>24.19</v>
      </c>
      <c r="M276" s="1" t="inlineStr">
        <is>
          <t>61.37%</t>
        </is>
      </c>
      <c r="N276" s="3" t="n">
        <v>61.37</v>
      </c>
      <c r="O276" t="n">
        <v>4.1</v>
      </c>
      <c r="P276" t="n">
        <v>106</v>
      </c>
      <c r="R276" t="inlineStr">
        <is>
          <t>InStock</t>
        </is>
      </c>
      <c r="S276" t="inlineStr">
        <is>
          <t>14.99</t>
        </is>
      </c>
      <c r="T276" t="inlineStr">
        <is>
          <t>7241568747708</t>
        </is>
      </c>
    </row>
    <row r="277" hidden="1" ht="15.75" customHeight="1">
      <c r="A277" s="2">
        <f>HYPERLINK("https://www.shelhealth.com/products/810425032346-the-honest-company-sleepy-sheep-overnight-diapers-size-6-17-pk", "https://www.shelhealth.com/products/810425032346-the-honest-company-sleepy-sheep-overnight-diapers-size-6-17-pk")</f>
        <v/>
      </c>
      <c r="B277" s="2">
        <f>HYPERLINK("https://www.shelhealth.com/products/810425032346-the-honest-company-sleepy-sheep-overnight-diapers-size-6-17-pk", "https://www.shelhealth.com/products/810425032346-the-honest-company-sleepy-sheep-overnight-diapers-size-6-17-pk")</f>
        <v/>
      </c>
      <c r="C277" t="inlineStr">
        <is>
          <t>THE HONEST COMPANY Sleepy Sheep Overnight Diapers Size 6, 17 pk</t>
        </is>
      </c>
      <c r="D277" t="inlineStr">
        <is>
          <t>The Honest Company Clean Conscious Overnight Diapers | Plant-Based, Sustainable | Sleepy Sheep | Club Box, Size 6 (35+ lbs), 42 Count</t>
        </is>
      </c>
      <c r="E277" s="2">
        <f>HYPERLINK("https://www.amazon.com/Honest-Company-Overnight-Diapers-Sleepy/dp/B01NBNG19Y/ref=sr_1_1?keywords=THE+HONEST+COMPANY+Sleepy+Sheep+Overnight+Diapers+Size+6%2C+17+pk&amp;qid=1695169956&amp;rdc=1&amp;sr=8-1", "https://www.amazon.com/Honest-Company-Overnight-Diapers-Sleepy/dp/B01NBNG19Y/ref=sr_1_1?keywords=THE+HONEST+COMPANY+Sleepy+Sheep+Overnight+Diapers+Size+6%2C+17+pk&amp;qid=1695169956&amp;rdc=1&amp;sr=8-1")</f>
        <v/>
      </c>
      <c r="F277" t="inlineStr">
        <is>
          <t>B01NBNG19Y</t>
        </is>
      </c>
      <c r="G277">
        <f>_xludf.IMAGE("https://www.shelhealth.com/cdn/shop/files/the-honest-company-sleepy-sheep-overnight-diapers-size-6-17-pk-baby-shelhealth-385.jpg?v=1686229829&amp;width=1946")</f>
        <v/>
      </c>
      <c r="H277">
        <f>_xludf.IMAGE("https://m.media-amazon.com/images/I/61JYwhiDWiL._AC_UL320_.jpg")</f>
        <v/>
      </c>
      <c r="K277" t="inlineStr">
        <is>
          <t>18.99</t>
        </is>
      </c>
      <c r="L277" t="n">
        <v>29.97</v>
      </c>
      <c r="M277" s="1" t="inlineStr">
        <is>
          <t>57.82%</t>
        </is>
      </c>
      <c r="N277" s="3" t="n">
        <v>57.82</v>
      </c>
      <c r="O277" t="n">
        <v>4.4</v>
      </c>
      <c r="P277" t="n">
        <v>2628</v>
      </c>
      <c r="R277" t="inlineStr">
        <is>
          <t>OutOfStock</t>
        </is>
      </c>
      <c r="S277" t="inlineStr">
        <is>
          <t>18.99</t>
        </is>
      </c>
      <c r="T277" t="inlineStr">
        <is>
          <t>7574338273512</t>
        </is>
      </c>
    </row>
    <row r="278" hidden="1" ht="15.75" customHeight="1">
      <c r="A278" s="2">
        <f>HYPERLINK("https://www.shelhealth.com/products/810425030892-the-honest-company-clean-conscious-cactus-cuties-diapers-size-3-27-pk", "https://www.shelhealth.com/products/810425030892-the-honest-company-clean-conscious-cactus-cuties-diapers-size-3-27-pk")</f>
        <v/>
      </c>
      <c r="B278" s="2">
        <f>HYPERLINK("https://www.shelhealth.com/products/810425030892-the-honest-company-clean-conscious-cactus-cuties-diapers-size-3-27-pk", "https://www.shelhealth.com/products/810425030892-the-honest-company-clean-conscious-cactus-cuties-diapers-size-3-27-pk")</f>
        <v/>
      </c>
      <c r="C278" t="inlineStr">
        <is>
          <t>THE HONEST COMPANY Clean Conscious Cactus Cuties Diapers Size 3, 27 pk</t>
        </is>
      </c>
      <c r="D278" t="inlineStr">
        <is>
          <t>The Honest Company Clean Conscious Diapers | Plant-Based, Sustainable | Cactus Cuties + Donuts | Club Box, Size 3 (16-28 lbs), 68 Count</t>
        </is>
      </c>
      <c r="E278" s="2">
        <f>HYPERLINK("https://www.amazon.com/Honest-Company-Conscious-Diapers-packaging/dp/B08VJF5SD5/ref=sr_1_1?keywords=THE+HONEST+COMPANY+Clean+Conscious+Cactus+Cuties+Diapers+Size+3%2C+27+pk&amp;qid=1695169948&amp;rdc=1&amp;sr=8-1", "https://www.amazon.com/Honest-Company-Conscious-Diapers-packaging/dp/B08VJF5SD5/ref=sr_1_1?keywords=THE+HONEST+COMPANY+Clean+Conscious+Cactus+Cuties+Diapers+Size+3%2C+27+pk&amp;qid=1695169948&amp;rdc=1&amp;sr=8-1")</f>
        <v/>
      </c>
      <c r="F278" t="inlineStr">
        <is>
          <t>B08VJF5SD5</t>
        </is>
      </c>
      <c r="G278">
        <f>_xludf.IMAGE("https://www.shelhealth.com/cdn/shop/products/the-honest-company-clean-conscious-cactus-cuties-diapers-size-3-27-pk-shelhealth-778.jpg?v=1663788130&amp;width=1946")</f>
        <v/>
      </c>
      <c r="H278">
        <f>_xludf.IMAGE("https://m.media-amazon.com/images/I/817-83GalNL._AC_UL320_.jpg")</f>
        <v/>
      </c>
      <c r="K278" t="inlineStr">
        <is>
          <t>20.99</t>
        </is>
      </c>
      <c r="L278" t="n">
        <v>29.99</v>
      </c>
      <c r="M278" s="1" t="inlineStr">
        <is>
          <t>42.88%</t>
        </is>
      </c>
      <c r="N278" s="3" t="n">
        <v>42.88</v>
      </c>
      <c r="O278" t="n">
        <v>4.6</v>
      </c>
      <c r="P278" t="n">
        <v>37968</v>
      </c>
      <c r="R278" t="inlineStr">
        <is>
          <t>InStock</t>
        </is>
      </c>
      <c r="S278" t="inlineStr">
        <is>
          <t>20.99</t>
        </is>
      </c>
      <c r="T278" t="inlineStr">
        <is>
          <t>7574337650920</t>
        </is>
      </c>
    </row>
    <row r="279" hidden="1" ht="15.75" customHeight="1">
      <c r="A279" s="2">
        <f>HYPERLINK("https://www.shelhealth.com/products/626232162103-attitude-biodegradable-baby-diapers-newborn-28-un", "https://www.shelhealth.com/products/626232162103-attitude-biodegradable-baby-diapers-newborn-28-un")</f>
        <v/>
      </c>
      <c r="B279" s="2">
        <f>HYPERLINK("https://www.shelhealth.com/products/626232162103-attitude-biodegradable-baby-diapers-newborn-28-un", "https://www.shelhealth.com/products/626232162103-attitude-biodegradable-baby-diapers-newborn-28-un")</f>
        <v/>
      </c>
      <c r="C279" t="inlineStr">
        <is>
          <t>ATTITUDE: Biodegradable Baby Diapers Newborn, 28 un</t>
        </is>
      </c>
      <c r="D279" t="inlineStr">
        <is>
          <t>ATTITUDE Disposable Diapers for Sensitive Skin, Non-Toxic, Hypoallergenic, Chlorine-Free, Dye-Free &amp; Lotion-Free Biodegradable Baby Diapers, Plain White (Unprinted), Size 0 (Up to 11 lbs), 28 Count</t>
        </is>
      </c>
      <c r="E279" s="2">
        <f>HYPERLINK("https://www.amazon.com/ATTITUDE-Non-Toxic-Eco-Friendly-Chlorine-Free-Biodegradable/dp/B084DCRTDK/ref=sr_1_1?keywords=ATTITUDE%3A+Biodegradable+Baby+Diapers+Newborn%2C+28+un&amp;qid=1695169935&amp;sr=8-1", "https://www.amazon.com/ATTITUDE-Non-Toxic-Eco-Friendly-Chlorine-Free-Biodegradable/dp/B084DCRTDK/ref=sr_1_1?keywords=ATTITUDE%3A+Biodegradable+Baby+Diapers+Newborn%2C+28+un&amp;qid=1695169935&amp;sr=8-1")</f>
        <v/>
      </c>
      <c r="F279" t="inlineStr">
        <is>
          <t>B084DCRTDK</t>
        </is>
      </c>
      <c r="G279">
        <f>_xludf.IMAGE("https://www.shelhealth.com/cdn/shop/files/attitude-biodegradable-baby-diapers-newborn-28-un-shelhealth-758.jpg?v=1694392152&amp;width=1946")</f>
        <v/>
      </c>
      <c r="H279">
        <f>_xludf.IMAGE("https://m.media-amazon.com/images/I/71CNJaWF9DL._AC_UL320_.jpg")</f>
        <v/>
      </c>
      <c r="K279" t="inlineStr">
        <is>
          <t>17.99</t>
        </is>
      </c>
      <c r="L279" t="n">
        <v>25.39</v>
      </c>
      <c r="M279" s="1" t="inlineStr">
        <is>
          <t>41.13%</t>
        </is>
      </c>
      <c r="N279" s="3" t="n">
        <v>41.13</v>
      </c>
      <c r="O279" t="n">
        <v>4.2</v>
      </c>
      <c r="P279" t="n">
        <v>96</v>
      </c>
      <c r="R279" t="inlineStr">
        <is>
          <t>OutOfStock</t>
        </is>
      </c>
      <c r="S279" t="inlineStr">
        <is>
          <t>17.99</t>
        </is>
      </c>
      <c r="T279" t="inlineStr">
        <is>
          <t>7757234667752</t>
        </is>
      </c>
    </row>
    <row r="280" hidden="1" ht="15.75" customHeight="1">
      <c r="A280" s="2">
        <f>HYPERLINK("https://www.shelhealth.com/products/810425030885-the-honest-company-diaper-pandas-size-2-32-pk", "https://www.shelhealth.com/products/810425030885-the-honest-company-diaper-pandas-size-2-32-pk")</f>
        <v/>
      </c>
      <c r="B280" s="2">
        <f>HYPERLINK("https://www.shelhealth.com/products/810425030885-the-honest-company-diaper-pandas-size-2-32-pk", "https://www.shelhealth.com/products/810425030885-the-honest-company-diaper-pandas-size-2-32-pk")</f>
        <v/>
      </c>
      <c r="C280" t="inlineStr">
        <is>
          <t>THE HONEST COMPANY Diaper Pandas Size 2, 32 pk</t>
        </is>
      </c>
      <c r="D280" t="inlineStr">
        <is>
          <t>Honest Diapers, Size 2, 12-18 Pounds, Pandas, 32 Diapers, The Honest Company</t>
        </is>
      </c>
      <c r="E280" s="2">
        <f>HYPERLINK("https://www.amazon.com/Honest-Diapers-Pounds-Pandas-Company/dp/B08QRD795X/ref=sr_1_7?keywords=the+honest+company+diaper+pants+size+2%2C+32+pk&amp;qid=1695169947&amp;sr=8-7", "https://www.amazon.com/Honest-Diapers-Pounds-Pandas-Company/dp/B08QRD795X/ref=sr_1_7?keywords=the+honest+company+diaper+pants+size+2%2C+32+pk&amp;qid=1695169947&amp;sr=8-7")</f>
        <v/>
      </c>
      <c r="F280" t="inlineStr">
        <is>
          <t>B08QRD795X</t>
        </is>
      </c>
      <c r="G280">
        <f>_xludf.IMAGE("https://www.shelhealth.com/cdn/shop/files/the-honest-company-diaper-pandas-size-2-32-pk-baby-shelhealth-102.jpg?v=1686138139&amp;width=1946")</f>
        <v/>
      </c>
      <c r="H280">
        <f>_xludf.IMAGE("https://m.media-amazon.com/images/I/516+NCx6s-L._AC_UL320_.jpg")</f>
        <v/>
      </c>
      <c r="K280" t="inlineStr">
        <is>
          <t>17.99</t>
        </is>
      </c>
      <c r="L280" t="n">
        <v>24.5</v>
      </c>
      <c r="M280" s="1" t="inlineStr">
        <is>
          <t>36.19%</t>
        </is>
      </c>
      <c r="N280" s="3" t="n">
        <v>36.19</v>
      </c>
      <c r="O280" t="n">
        <v>4.3</v>
      </c>
      <c r="P280" t="n">
        <v>26</v>
      </c>
      <c r="R280" t="inlineStr">
        <is>
          <t>OutOfStock</t>
        </is>
      </c>
      <c r="S280" t="inlineStr">
        <is>
          <t>17.99</t>
        </is>
      </c>
      <c r="T280" t="inlineStr">
        <is>
          <t>7574337814760</t>
        </is>
      </c>
    </row>
    <row r="281" hidden="1" ht="15.75" customHeight="1">
      <c r="A281" s="2">
        <f>HYPERLINK("https://www.shelhealth.com/products/baby-dove-tip-to-toe-baby-wash-sensitive-moisture-20-fl-oz-pack-of-2", "https://www.shelhealth.com/products/baby-dove-tip-to-toe-baby-wash-sensitive-moisture-20-fl-oz-pack-of-2")</f>
        <v/>
      </c>
      <c r="B281" s="2">
        <f>HYPERLINK("https://www.shelhealth.com/products/baby-dove-tip-to-toe-baby-wash-sensitive-moisture-20-fl-oz-pack-of-2", "https://www.shelhealth.com/products/baby-dove-tip-to-toe-baby-wash-sensitive-moisture-20-fl-oz-pack-of-2")</f>
        <v/>
      </c>
      <c r="C281" t="inlineStr">
        <is>
          <t>Baby Dove Tip to Toe Baby Wash Sensitive Moisture 20 Fl Oz (Pack of 2)</t>
        </is>
      </c>
      <c r="D281" t="inlineStr">
        <is>
          <t>Dove Baby Tip to Toe Wash, Rich Moisture, 20 fl oz (Pack of 2)</t>
        </is>
      </c>
      <c r="E281" s="2">
        <f>HYPERLINK("https://www.amazon.com/Product-Baby-Dove-Rich-Moisture/dp/B07D6FD1FF/ref=sr_1_2?keywords=Baby+Dove+Tip+to+Toe+Baby+Wash+Sensitive+Moisture+20+Fl+Oz+%28Pack+of+2%29&amp;qid=1695169954&amp;sr=8-2", "https://www.amazon.com/Product-Baby-Dove-Rich-Moisture/dp/B07D6FD1FF/ref=sr_1_2?keywords=Baby+Dove+Tip+to+Toe+Baby+Wash+Sensitive+Moisture+20+Fl+Oz+%28Pack+of+2%29&amp;qid=1695169954&amp;sr=8-2")</f>
        <v/>
      </c>
      <c r="F281" t="inlineStr">
        <is>
          <t>B07D6FD1FF</t>
        </is>
      </c>
      <c r="G281">
        <f>_xludf.IMAGE("https://www.shelhealth.com/cdn/shop/products/baby-dove-tip-to-toe-wash-sensitive-moisture-20-fl-oz-pack-of-2-shelhealth-721.jpg?v=1663350800&amp;width=1946")</f>
        <v/>
      </c>
      <c r="H281">
        <f>_xludf.IMAGE("https://m.media-amazon.com/images/I/31c5nw8734L._AC_UL320_.jpg")</f>
        <v/>
      </c>
      <c r="K281" t="inlineStr">
        <is>
          <t>23.99</t>
        </is>
      </c>
      <c r="L281" t="n">
        <v>31.4</v>
      </c>
      <c r="M281" s="1" t="inlineStr">
        <is>
          <t>30.89%</t>
        </is>
      </c>
      <c r="N281" s="3" t="n">
        <v>30.89</v>
      </c>
      <c r="O281" t="n">
        <v>4.6</v>
      </c>
      <c r="P281" t="n">
        <v>42</v>
      </c>
      <c r="R281" t="inlineStr">
        <is>
          <t>InStock</t>
        </is>
      </c>
      <c r="S281" t="inlineStr">
        <is>
          <t>23.99</t>
        </is>
      </c>
      <c r="T281" t="inlineStr">
        <is>
          <t>4099152117812</t>
        </is>
      </c>
    </row>
    <row r="282" hidden="1" ht="15.75" customHeight="1">
      <c r="A282" s="2">
        <f>HYPERLINK("https://www.shelhealth.com/products/850001271868-bambo-nature-diapers-baby-size-4-27-pk", "https://www.shelhealth.com/products/850001271868-bambo-nature-diapers-baby-size-4-27-pk")</f>
        <v/>
      </c>
      <c r="B282" s="2">
        <f>HYPERLINK("https://www.shelhealth.com/products/850001271868-bambo-nature-diapers-baby-size-4-27-pk", "https://www.shelhealth.com/products/850001271868-bambo-nature-diapers-baby-size-4-27-pk")</f>
        <v/>
      </c>
      <c r="C282" t="inlineStr">
        <is>
          <t>BAMBO NATURE: Diapers Baby Size 4, 27 pk</t>
        </is>
      </c>
      <c r="D282" t="inlineStr">
        <is>
          <t>Bambo Nature Premium Baby Diapers (SIZES 0 TO 6 AVAILABLE), Size 4, 27 Count</t>
        </is>
      </c>
      <c r="E282" s="2">
        <f>HYPERLINK("https://www.amazon.com/Bambo-Nature-Premium-Eco-Friendly-Diapers/dp/B08YRX8H3X/ref=sr_1_1?keywords=BAMBO+NATURE%3A+Diapers+Baby+Size+4%2C+27+pk&amp;qid=1695169930&amp;sr=8-1", "https://www.amazon.com/Bambo-Nature-Premium-Eco-Friendly-Diapers/dp/B08YRX8H3X/ref=sr_1_1?keywords=BAMBO+NATURE%3A+Diapers+Baby+Size+4%2C+27+pk&amp;qid=1695169930&amp;sr=8-1")</f>
        <v/>
      </c>
      <c r="F282" t="inlineStr">
        <is>
          <t>B08YRX8H3X</t>
        </is>
      </c>
      <c r="G282">
        <f>_xludf.IMAGE("https://www.shelhealth.com/cdn/shop/products/bambo-nature-diapers-baby-size-4-27-pk-diaper-care-shelhealth-554.jpg?v=1663822966&amp;width=1946")</f>
        <v/>
      </c>
      <c r="H282">
        <f>_xludf.IMAGE("https://m.media-amazon.com/images/I/81skMbg+hXL._AC_UL320_.jpg")</f>
        <v/>
      </c>
      <c r="K282" t="inlineStr">
        <is>
          <t>16.99</t>
        </is>
      </c>
      <c r="L282" t="n">
        <v>21.79</v>
      </c>
      <c r="M282" s="1" t="inlineStr">
        <is>
          <t>28.25%</t>
        </is>
      </c>
      <c r="N282" s="3" t="n">
        <v>28.25</v>
      </c>
      <c r="O282" t="n">
        <v>4.3</v>
      </c>
      <c r="P282" t="n">
        <v>1840</v>
      </c>
      <c r="R282" t="inlineStr">
        <is>
          <t>InStock</t>
        </is>
      </c>
      <c r="S282" t="inlineStr">
        <is>
          <t>16.99</t>
        </is>
      </c>
      <c r="T282" t="inlineStr">
        <is>
          <t>7699134251240</t>
        </is>
      </c>
    </row>
    <row r="283" hidden="1" ht="15.75" customHeight="1">
      <c r="A283" s="2">
        <f>HYPERLINK("https://www.shelhealth.com/products/playtex-diaper-genie-disposal-system-refills-960-count", "https://www.shelhealth.com/products/playtex-diaper-genie-disposal-system-refills-960-count")</f>
        <v/>
      </c>
      <c r="B283" s="2">
        <f>HYPERLINK("https://www.shelhealth.com/products/playtex-diaper-genie-disposal-system-refills-960-count", "https://www.shelhealth.com/products/playtex-diaper-genie-disposal-system-refills-960-count")</f>
        <v/>
      </c>
      <c r="C283" t="inlineStr">
        <is>
          <t>Playtex Diaper Genie Disposal System Refills, 960 count</t>
        </is>
      </c>
      <c r="D283" t="inlineStr">
        <is>
          <t>Playtex Diaper Genie Disposal System Refills, 240 Count (Pack of 4)</t>
        </is>
      </c>
      <c r="E283" s="2">
        <f>HYPERLINK("https://www.amazon.com/Playtex-Diaper-Disposal-System-Refills/dp/B00EB05UAU/ref=sr_1_1?keywords=Playtex+Diaper+Genie+Disposal+System+Refills%2C+960+count&amp;qid=1695169946&amp;sr=8-1", "https://www.amazon.com/Playtex-Diaper-Disposal-System-Refills/dp/B00EB05UAU/ref=sr_1_1?keywords=Playtex+Diaper+Genie+Disposal+System+Refills%2C+960+count&amp;qid=1695169946&amp;sr=8-1")</f>
        <v/>
      </c>
      <c r="F283" t="inlineStr">
        <is>
          <t>B00EB05UAU</t>
        </is>
      </c>
      <c r="G283">
        <f>_xludf.IMAGE("https://www.shelhealth.com/cdn/shop/products/playtex-diaper-genie-disposal-system-refills-960-count-shelhealth-965.jpg?v=1663343507&amp;width=1946")</f>
        <v/>
      </c>
      <c r="H283">
        <f>_xludf.IMAGE("https://m.media-amazon.com/images/I/912yL25JeBL._AC_UL320_.jpg")</f>
        <v/>
      </c>
      <c r="K283" t="inlineStr">
        <is>
          <t>29.99</t>
        </is>
      </c>
      <c r="L283" t="n">
        <v>37.9</v>
      </c>
      <c r="M283" s="1" t="inlineStr">
        <is>
          <t>26.38%</t>
        </is>
      </c>
      <c r="N283" s="3" t="n">
        <v>26.38</v>
      </c>
      <c r="O283" t="n">
        <v>4.7</v>
      </c>
      <c r="P283" t="n">
        <v>292</v>
      </c>
      <c r="R283" t="inlineStr">
        <is>
          <t>InStock</t>
        </is>
      </c>
      <c r="S283" t="inlineStr">
        <is>
          <t>29.99</t>
        </is>
      </c>
      <c r="T283" t="inlineStr">
        <is>
          <t>3821548863540</t>
        </is>
      </c>
    </row>
    <row r="284" hidden="1" ht="15.75" customHeight="1">
      <c r="A284" s="2">
        <f>HYPERLINK("https://www.shelhealth.com/products/baby-dove-tip-to-toe-baby-wash-sensitive-moisture-20-fl-oz-pack-of-2", "https://www.shelhealth.com/products/baby-dove-tip-to-toe-baby-wash-sensitive-moisture-20-fl-oz-pack-of-2")</f>
        <v/>
      </c>
      <c r="B284" s="2">
        <f>HYPERLINK("https://www.shelhealth.com/products/baby-dove-tip-to-toe-baby-wash-sensitive-moisture-20-fl-oz-pack-of-2", "https://www.shelhealth.com/products/baby-dove-tip-to-toe-baby-wash-sensitive-moisture-20-fl-oz-pack-of-2")</f>
        <v/>
      </c>
      <c r="C284" t="inlineStr">
        <is>
          <t>Baby Dove Tip to Toe Baby Wash Sensitive Moisture 20 Fl Oz (Pack of 2)</t>
        </is>
      </c>
      <c r="D284" t="inlineStr">
        <is>
          <t>Baby Dove Tip To Toe Wash Sensitive Moisture Fragrance Free - 13 oz, Pack of 4</t>
        </is>
      </c>
      <c r="E284" s="2">
        <f>HYPERLINK("https://www.amazon.com/Baby-Dove-Sensitive-Moisture-Fragrance/dp/B078YG2Z4N/ref=sr_1_3?keywords=Baby+Dove+Tip+to+Toe+Baby+Wash+Sensitive+Moisture+20+Fl+Oz+%28Pack+of+2%29&amp;qid=1695169954&amp;sr=8-3", "https://www.amazon.com/Baby-Dove-Sensitive-Moisture-Fragrance/dp/B078YG2Z4N/ref=sr_1_3?keywords=Baby+Dove+Tip+to+Toe+Baby+Wash+Sensitive+Moisture+20+Fl+Oz+%28Pack+of+2%29&amp;qid=1695169954&amp;sr=8-3")</f>
        <v/>
      </c>
      <c r="F284" t="inlineStr">
        <is>
          <t>B078YG2Z4N</t>
        </is>
      </c>
      <c r="G284">
        <f>_xludf.IMAGE("https://www.shelhealth.com/cdn/shop/products/baby-dove-tip-to-toe-wash-sensitive-moisture-20-fl-oz-pack-of-2-shelhealth-721.jpg?v=1663350800&amp;width=1946")</f>
        <v/>
      </c>
      <c r="H284">
        <f>_xludf.IMAGE("https://m.media-amazon.com/images/I/51sUsdpnvGL._AC_UL320_.jpg")</f>
        <v/>
      </c>
      <c r="K284" t="inlineStr">
        <is>
          <t>23.99</t>
        </is>
      </c>
      <c r="L284" t="n">
        <v>30.23</v>
      </c>
      <c r="M284" s="1" t="inlineStr">
        <is>
          <t>26.01%</t>
        </is>
      </c>
      <c r="N284" s="3" t="n">
        <v>26.01</v>
      </c>
      <c r="O284" t="n">
        <v>4.5</v>
      </c>
      <c r="P284" t="n">
        <v>24</v>
      </c>
      <c r="R284" t="inlineStr">
        <is>
          <t>InStock</t>
        </is>
      </c>
      <c r="S284" t="inlineStr">
        <is>
          <t>23.99</t>
        </is>
      </c>
      <c r="T284" t="inlineStr">
        <is>
          <t>4099152117812</t>
        </is>
      </c>
    </row>
    <row r="285" hidden="1" ht="15.75" customHeight="1">
      <c r="A285" s="2">
        <f>HYPERLINK("https://www.shelhealth.com/products/850001271837-bambo-nature-diapers-baby-size-1-36-pk", "https://www.shelhealth.com/products/850001271837-bambo-nature-diapers-baby-size-1-36-pk")</f>
        <v/>
      </c>
      <c r="B285" s="2">
        <f>HYPERLINK("https://www.shelhealth.com/products/850001271837-bambo-nature-diapers-baby-size-1-36-pk", "https://www.shelhealth.com/products/850001271837-bambo-nature-diapers-baby-size-1-36-pk")</f>
        <v/>
      </c>
      <c r="C285" t="inlineStr">
        <is>
          <t>BAMBO NATURE: Diapers Baby Size 1, 36 pk</t>
        </is>
      </c>
      <c r="D285" t="inlineStr">
        <is>
          <t>Bambo Nature Premium Baby Diapers (SIZES 0 TO 6 AVAILABLE), Size 1, 36 Count</t>
        </is>
      </c>
      <c r="E285" s="2">
        <f>HYPERLINK("https://www.amazon.com/Bambo-Nature-Premium-Eco-Friendly-Diapers/dp/B08YS28VD7/ref=sr_1_1?keywords=BAMBO+NATURE%3A+Diapers+Baby+Size+1%2C+36+pk&amp;qid=1695169932&amp;sr=8-1", "https://www.amazon.com/Bambo-Nature-Premium-Eco-Friendly-Diapers/dp/B08YS28VD7/ref=sr_1_1?keywords=BAMBO+NATURE%3A+Diapers+Baby+Size+1%2C+36+pk&amp;qid=1695169932&amp;sr=8-1")</f>
        <v/>
      </c>
      <c r="F285" t="inlineStr">
        <is>
          <t>B08YS28VD7</t>
        </is>
      </c>
      <c r="G285">
        <f>_xludf.IMAGE("https://www.shelhealth.com/cdn/shop/files/bambo-nature-diapers-baby-size-1-36-pk-shelhealth-916.jpg?v=1686548947&amp;width=1946")</f>
        <v/>
      </c>
      <c r="H285">
        <f>_xludf.IMAGE("https://m.media-amazon.com/images/I/81KaUAl5TbL._AC_UL320_.jpg")</f>
        <v/>
      </c>
      <c r="K285" t="inlineStr">
        <is>
          <t>16.99</t>
        </is>
      </c>
      <c r="L285" t="n">
        <v>21.3</v>
      </c>
      <c r="M285" s="1" t="inlineStr">
        <is>
          <t>25.37%</t>
        </is>
      </c>
      <c r="N285" s="3" t="n">
        <v>25.37</v>
      </c>
      <c r="O285" t="n">
        <v>4.3</v>
      </c>
      <c r="P285" t="n">
        <v>1840</v>
      </c>
      <c r="R285" t="inlineStr">
        <is>
          <t>OutOfStock</t>
        </is>
      </c>
      <c r="S285" t="inlineStr">
        <is>
          <t>16.99</t>
        </is>
      </c>
      <c r="T285" t="inlineStr">
        <is>
          <t>7699134087400</t>
        </is>
      </c>
    </row>
    <row r="286" hidden="1" ht="15.75" customHeight="1">
      <c r="A286" s="2">
        <f>HYPERLINK("https://www.shelhealth.com/products/626232162608-attitude-biodegradable-baby-diapers-size-6-20-un", "https://www.shelhealth.com/products/626232162608-attitude-biodegradable-baby-diapers-size-6-20-un")</f>
        <v/>
      </c>
      <c r="B286" s="2">
        <f>HYPERLINK("https://www.shelhealth.com/products/626232162608-attitude-biodegradable-baby-diapers-size-6-20-un", "https://www.shelhealth.com/products/626232162608-attitude-biodegradable-baby-diapers-size-6-20-un")</f>
        <v/>
      </c>
      <c r="C286" t="inlineStr">
        <is>
          <t>ATTITUDE: Biodegradable Baby Diapers Size 6, 20 un</t>
        </is>
      </c>
      <c r="D286" t="inlineStr">
        <is>
          <t>ATTITUDE Biodegradable Baby Diapers, Non-Toxic, Eco-Friendly, Safe for Sensitive Skin, Chlorine-Free &amp; Leak-Free, Plain White (Unprinted), Size 1-2 (6-13 lbs), 36 Count (16220)</t>
        </is>
      </c>
      <c r="E286" s="2">
        <f>HYPERLINK("https://www.amazon.com/ATTITUDE-Biodegradable-Non-Toxic-Eco-Friendly-Chlorine-Free/dp/B084D5DXQP/ref=sr_1_fkmr0_1?keywords=ATTITUDE%3A+Biodegradable+Baby+Diapers+Size+6%2C+20+un&amp;qid=1695169939&amp;sr=8-1-fkmr0", "https://www.amazon.com/ATTITUDE-Biodegradable-Non-Toxic-Eco-Friendly-Chlorine-Free/dp/B084D5DXQP/ref=sr_1_fkmr0_1?keywords=ATTITUDE%3A+Biodegradable+Baby+Diapers+Size+6%2C+20+un&amp;qid=1695169939&amp;sr=8-1-fkmr0")</f>
        <v/>
      </c>
      <c r="F286" t="inlineStr">
        <is>
          <t>B084D5DXQP</t>
        </is>
      </c>
      <c r="G286">
        <f>_xludf.IMAGE("https://www.shelhealth.com/cdn/shop/files/attitude-biodegradable-baby-diapers-size-6-20-un-shelhealth-250.jpg?v=1686271827&amp;width=1946")</f>
        <v/>
      </c>
      <c r="H286">
        <f>_xludf.IMAGE("https://m.media-amazon.com/images/I/71zIUVZDhRL._AC_UL320_.jpg")</f>
        <v/>
      </c>
      <c r="K286" t="inlineStr">
        <is>
          <t>24.99</t>
        </is>
      </c>
      <c r="L286" t="n">
        <v>31.32</v>
      </c>
      <c r="M286" s="1" t="inlineStr">
        <is>
          <t>25.33%</t>
        </is>
      </c>
      <c r="N286" s="3" t="n">
        <v>25.33</v>
      </c>
      <c r="O286" t="n">
        <v>4.2</v>
      </c>
      <c r="P286" t="n">
        <v>96</v>
      </c>
      <c r="R286" t="inlineStr">
        <is>
          <t>OutOfStock</t>
        </is>
      </c>
      <c r="S286" t="inlineStr">
        <is>
          <t>24.99</t>
        </is>
      </c>
      <c r="T286" t="inlineStr">
        <is>
          <t>7757234766056</t>
        </is>
      </c>
    </row>
    <row r="287" hidden="1" ht="15.75" customHeight="1">
      <c r="A287" s="2">
        <f>HYPERLINK("https://www.shelhealth.com/products/626232162202-attitude-biodegradable-baby-diapers-size-1-and-2-36-un", "https://www.shelhealth.com/products/626232162202-attitude-biodegradable-baby-diapers-size-1-and-2-36-un")</f>
        <v/>
      </c>
      <c r="B287" s="2">
        <f>HYPERLINK("https://www.shelhealth.com/products/626232162202-attitude-biodegradable-baby-diapers-size-1-and-2-36-un", "https://www.shelhealth.com/products/626232162202-attitude-biodegradable-baby-diapers-size-1-and-2-36-un")</f>
        <v/>
      </c>
      <c r="C287" t="inlineStr">
        <is>
          <t>ATTITUDE: Biodegradable Baby Diapers Size 1 and 2, 36 un</t>
        </is>
      </c>
      <c r="D287" t="inlineStr">
        <is>
          <t>ATTITUDE Biodegradable Baby Diapers, Non-Toxic, Eco-Friendly, Safe for Sensitive Skin, Chlorine-Free &amp; Leak-Free, Plain White (Unprinted), Size 1-2 (6-13 lbs), 36 Count (16220)</t>
        </is>
      </c>
      <c r="E287" s="2">
        <f>HYPERLINK("https://www.amazon.com/ATTITUDE-Biodegradable-Non-Toxic-Eco-Friendly-Chlorine-Free/dp/B084D5DXQP/ref=sr_1_1?keywords=ATTITUDE%3A+Biodegradable+Baby+Diapers+Size+1+and+2%2C+36+un&amp;qid=1695169933&amp;sr=8-1", "https://www.amazon.com/ATTITUDE-Biodegradable-Non-Toxic-Eco-Friendly-Chlorine-Free/dp/B084D5DXQP/ref=sr_1_1?keywords=ATTITUDE%3A+Biodegradable+Baby+Diapers+Size+1+and+2%2C+36+un&amp;qid=1695169933&amp;sr=8-1")</f>
        <v/>
      </c>
      <c r="F287" t="inlineStr">
        <is>
          <t>B084D5DXQP</t>
        </is>
      </c>
      <c r="G287">
        <f>_xludf.IMAGE("https://www.shelhealth.com/cdn/shop/files/attitude-biodegradable-baby-diapers-size-1-and-2-36-un-shelhealth-758.jpg?v=1686271827&amp;width=1946")</f>
        <v/>
      </c>
      <c r="H287">
        <f>_xludf.IMAGE("https://m.media-amazon.com/images/I/71zIUVZDhRL._AC_UL320_.jpg")</f>
        <v/>
      </c>
      <c r="K287" t="inlineStr">
        <is>
          <t>24.99</t>
        </is>
      </c>
      <c r="L287" t="n">
        <v>31.32</v>
      </c>
      <c r="M287" s="1" t="inlineStr">
        <is>
          <t>25.33%</t>
        </is>
      </c>
      <c r="N287" s="3" t="n">
        <v>25.33</v>
      </c>
      <c r="O287" t="n">
        <v>4.2</v>
      </c>
      <c r="P287" t="n">
        <v>96</v>
      </c>
      <c r="R287" t="inlineStr">
        <is>
          <t>OutOfStock</t>
        </is>
      </c>
      <c r="S287" t="inlineStr">
        <is>
          <t>24.99</t>
        </is>
      </c>
      <c r="T287" t="inlineStr">
        <is>
          <t>7757234700520</t>
        </is>
      </c>
    </row>
    <row r="288" hidden="1" ht="15.75" customHeight="1">
      <c r="A288" s="2">
        <f>HYPERLINK("https://www.shelhealth.com/products/679234054105-mommy-s-bliss-gripe-water-night-time-4-fo", "https://www.shelhealth.com/products/679234054105-mommy-s-bliss-gripe-water-night-time-4-fo")</f>
        <v/>
      </c>
      <c r="B288" s="2">
        <f>HYPERLINK("https://www.shelhealth.com/products/679234054105-mommy-s-bliss-gripe-water-night-time-4-fo", "https://www.shelhealth.com/products/679234054105-mommy-s-bliss-gripe-water-night-time-4-fo")</f>
        <v/>
      </c>
      <c r="C288" t="inlineStr">
        <is>
          <t>Mommy'S Bliss Gripe Water Night Time, 4 Fo</t>
        </is>
      </c>
      <c r="D288" t="inlineStr">
        <is>
          <t>Mommy's Bliss Gripe Water Night Time, Relieves Stomach Discomfort From Gas, Colic, Fussiness, &amp; Hiccups, Gentle &amp; Safe, For Infants Age 1 Month+, 4 Fl Oz (Pack of 2)</t>
        </is>
      </c>
      <c r="E288" s="2">
        <f>HYPERLINK("https://www.amazon.com/Mommys-Bliss-Gripe-Double-Bottles/dp/B0742DP4MF/ref=sr_1_3?keywords=mommy%27s+bliss+gripe+water+night+time%2C+4+fo&amp;qid=1695169938&amp;sr=8-3", "https://www.amazon.com/Mommys-Bliss-Gripe-Double-Bottles/dp/B0742DP4MF/ref=sr_1_3?keywords=mommy%27s+bliss+gripe+water+night+time%2C+4+fo&amp;qid=1695169938&amp;sr=8-3")</f>
        <v/>
      </c>
      <c r="F288" t="inlineStr">
        <is>
          <t>B0742DP4MF</t>
        </is>
      </c>
      <c r="G288">
        <f>_xludf.IMAGE("https://www.shelhealth.com/cdn/shop/files/mommys-bliss-gripe-water-night-time-4-fo-baby-shelhealth-583.jpg?v=1693229587&amp;width=1946")</f>
        <v/>
      </c>
      <c r="H288">
        <f>_xludf.IMAGE("https://m.media-amazon.com/images/I/91c0KstdQmL._AC_UL320_.jpg")</f>
        <v/>
      </c>
      <c r="K288" t="inlineStr">
        <is>
          <t>18.99</t>
        </is>
      </c>
      <c r="L288" t="n">
        <v>23.68</v>
      </c>
      <c r="M288" s="1" t="inlineStr">
        <is>
          <t>24.70%</t>
        </is>
      </c>
      <c r="N288" s="3" t="n">
        <v>24.7</v>
      </c>
      <c r="O288" t="n">
        <v>4.7</v>
      </c>
      <c r="P288" t="n">
        <v>7563</v>
      </c>
      <c r="R288" t="inlineStr">
        <is>
          <t>OutOfStock</t>
        </is>
      </c>
      <c r="S288" t="inlineStr">
        <is>
          <t>18.99</t>
        </is>
      </c>
      <c r="T288" t="inlineStr">
        <is>
          <t>7241822765244</t>
        </is>
      </c>
    </row>
    <row r="289" hidden="1" ht="15.75" customHeight="1">
      <c r="A289" s="2">
        <f>HYPERLINK("https://www.shelhealth.com/products/890397002684-think-baby-sunscreen-spf-50-3-oz", "https://www.shelhealth.com/products/890397002684-think-baby-sunscreen-spf-50-3-oz")</f>
        <v/>
      </c>
      <c r="B289" s="2">
        <f>HYPERLINK("https://www.shelhealth.com/products/890397002684-think-baby-sunscreen-spf-50-3-oz", "https://www.shelhealth.com/products/890397002684-think-baby-sunscreen-spf-50-3-oz")</f>
        <v/>
      </c>
      <c r="C289" t="inlineStr">
        <is>
          <t>THINK: Baby Sunscreen Spf 50, 3 oz (Pack of 2)</t>
        </is>
      </c>
      <c r="D289" t="inlineStr">
        <is>
          <t>Thinkbaby Safe Sunscreen SPF 50, 3oz (Pack of 3)</t>
        </is>
      </c>
      <c r="E289" s="2">
        <f>HYPERLINK("https://www.amazon.com/Thinkbaby-Safe-Sunscreen-SPF-Pack/dp/B00M9EGO8W/ref=sr_1_5?keywords=THINK%3A+Baby+Sunscreen+Spf+50%2C+3+oz+%28Pack+of+2%29&amp;qid=1695169983&amp;sr=8-5", "https://www.amazon.com/Thinkbaby-Safe-Sunscreen-SPF-Pack/dp/B00M9EGO8W/ref=sr_1_5?keywords=THINK%3A+Baby+Sunscreen+Spf+50%2C+3+oz+%28Pack+of+2%29&amp;qid=1695169983&amp;sr=8-5")</f>
        <v/>
      </c>
      <c r="F289" t="inlineStr">
        <is>
          <t>B00M9EGO8W</t>
        </is>
      </c>
      <c r="G289">
        <f>_xludf.IMAGE("https://www.shelhealth.com/cdn/shop/products/890397002684_C1N1.jpg?v=1689853806&amp;width=1946")</f>
        <v/>
      </c>
      <c r="H289">
        <f>_xludf.IMAGE("https://m.media-amazon.com/images/I/71mml0XgU4L._AC_UL320_.jpg")</f>
        <v/>
      </c>
      <c r="K289" t="inlineStr">
        <is>
          <t>27.65</t>
        </is>
      </c>
      <c r="L289" t="n">
        <v>33.93</v>
      </c>
      <c r="M289" s="1" t="inlineStr">
        <is>
          <t>22.71%</t>
        </is>
      </c>
      <c r="N289" s="3" t="n">
        <v>22.71</v>
      </c>
      <c r="O289" t="n">
        <v>4.7</v>
      </c>
      <c r="P289" t="n">
        <v>313</v>
      </c>
      <c r="R289" t="inlineStr">
        <is>
          <t>undefined</t>
        </is>
      </c>
      <c r="S289" t="inlineStr">
        <is>
          <t>27.65</t>
        </is>
      </c>
      <c r="T289" t="inlineStr">
        <is>
          <t>8272155607272</t>
        </is>
      </c>
    </row>
    <row r="290" hidden="1" ht="15.75" customHeight="1">
      <c r="A290" s="2">
        <f>HYPERLINK("https://www.shelhealth.com/products/berkley-jensen-unscented-baby-wipes-9-pk-100-ct", "https://www.shelhealth.com/products/berkley-jensen-unscented-baby-wipes-9-pk-100-ct")</f>
        <v/>
      </c>
      <c r="B290" s="2">
        <f>HYPERLINK("https://www.shelhealth.com/products/berkley-jensen-unscented-baby-wipes-9-pk-100-ct", "https://www.shelhealth.com/products/berkley-jensen-unscented-baby-wipes-9-pk-100-ct")</f>
        <v/>
      </c>
      <c r="C290" t="inlineStr">
        <is>
          <t>Berkley Jensen Unscented Baby Wipes, 9 pk./100 ct.</t>
        </is>
      </c>
      <c r="D290" t="inlineStr">
        <is>
          <t>Berkley Jensen Green Tea &amp; Cucumber Scented Baby Wipes, 9 pk./100 ct.</t>
        </is>
      </c>
      <c r="E290" s="2">
        <f>HYPERLINK("https://www.amazon.com/Berkley-Jensen-Green-Cucumber-Scented/dp/B08L6YLPXH/ref=sr_1_2?keywords=Berkley+Jensen+Unscented+Baby+Wipes%2C+9+pk.%2F100+ct.&amp;qid=1695169929&amp;sr=8-2", "https://www.amazon.com/Berkley-Jensen-Green-Cucumber-Scented/dp/B08L6YLPXH/ref=sr_1_2?keywords=Berkley+Jensen+Unscented+Baby+Wipes%2C+9+pk.%2F100+ct.&amp;qid=1695169929&amp;sr=8-2")</f>
        <v/>
      </c>
      <c r="F290" t="inlineStr">
        <is>
          <t>B08L6YLPXH</t>
        </is>
      </c>
      <c r="G290">
        <f>_xludf.IMAGE("https://www.shelhealth.com/cdn/shop/files/berkley-jensen-unscented-baby-wipes-9-pk-100-ct-kidsdiapers-shelhealth-821.jpg?v=1686283190&amp;width=1946")</f>
        <v/>
      </c>
      <c r="H290">
        <f>_xludf.IMAGE("https://m.media-amazon.com/images/I/81qSkp7u9sL._AC_UL320_.jpg")</f>
        <v/>
      </c>
      <c r="K290" t="inlineStr">
        <is>
          <t>27.99</t>
        </is>
      </c>
      <c r="L290" t="n">
        <v>33.98</v>
      </c>
      <c r="M290" s="1" t="inlineStr">
        <is>
          <t>21.40%</t>
        </is>
      </c>
      <c r="N290" s="3" t="n">
        <v>21.4</v>
      </c>
      <c r="O290" t="n">
        <v>4.5</v>
      </c>
      <c r="P290" t="n">
        <v>12</v>
      </c>
      <c r="R290" t="inlineStr">
        <is>
          <t>InStock</t>
        </is>
      </c>
      <c r="S290" t="inlineStr">
        <is>
          <t>27.99</t>
        </is>
      </c>
      <c r="T290" t="inlineStr">
        <is>
          <t>4169472507956</t>
        </is>
      </c>
    </row>
    <row r="291" hidden="1" ht="15.75" customHeight="1">
      <c r="A291" s="2">
        <f>HYPERLINK("https://www.shelhealth.com/products/berkley-jensen-unscented-baby-wipes-9-pk-100-ct", "https://www.shelhealth.com/products/berkley-jensen-unscented-baby-wipes-9-pk-100-ct")</f>
        <v/>
      </c>
      <c r="B291" s="2">
        <f>HYPERLINK("https://www.shelhealth.com/products/berkley-jensen-unscented-baby-wipes-9-pk-100-ct", "https://www.shelhealth.com/products/berkley-jensen-unscented-baby-wipes-9-pk-100-ct")</f>
        <v/>
      </c>
      <c r="C291" t="inlineStr">
        <is>
          <t>Berkley Jensen Unscented Baby Wipes, 9 pk./100 ct.</t>
        </is>
      </c>
      <c r="D291" t="inlineStr">
        <is>
          <t>Berkley Jensen Unscented Baby Wipes, 9 pk./100 ct.</t>
        </is>
      </c>
      <c r="E291" s="2">
        <f>HYPERLINK("https://www.amazon.com/Berkley-Jensen-Unscented-Baby-Wipes/dp/B08L73JXJX/ref=sr_1_1?keywords=Berkley+Jensen+Unscented+Baby+Wipes%2C+9+pk.%2F100+ct.&amp;qid=1695169929&amp;sr=8-1", "https://www.amazon.com/Berkley-Jensen-Unscented-Baby-Wipes/dp/B08L73JXJX/ref=sr_1_1?keywords=Berkley+Jensen+Unscented+Baby+Wipes%2C+9+pk.%2F100+ct.&amp;qid=1695169929&amp;sr=8-1")</f>
        <v/>
      </c>
      <c r="F291" t="inlineStr">
        <is>
          <t>B08L73JXJX</t>
        </is>
      </c>
      <c r="G291">
        <f>_xludf.IMAGE("https://www.shelhealth.com/cdn/shop/files/berkley-jensen-unscented-baby-wipes-9-pk-100-ct-kidsdiapers-shelhealth-821.jpg?v=1686283190&amp;width=1946")</f>
        <v/>
      </c>
      <c r="H291">
        <f>_xludf.IMAGE("https://m.media-amazon.com/images/I/81o2o3jAdJL._AC_UL320_.jpg")</f>
        <v/>
      </c>
      <c r="K291" t="inlineStr">
        <is>
          <t>27.99</t>
        </is>
      </c>
      <c r="L291" t="n">
        <v>33.6</v>
      </c>
      <c r="M291" s="1" t="inlineStr">
        <is>
          <t>20.04%</t>
        </is>
      </c>
      <c r="N291" s="3" t="n">
        <v>20.04</v>
      </c>
      <c r="O291" t="n">
        <v>4.7</v>
      </c>
      <c r="P291" t="n">
        <v>14</v>
      </c>
      <c r="R291" t="inlineStr">
        <is>
          <t>InStock</t>
        </is>
      </c>
      <c r="S291" t="inlineStr">
        <is>
          <t>27.99</t>
        </is>
      </c>
      <c r="T291" t="inlineStr">
        <is>
          <t>4169472507956</t>
        </is>
      </c>
    </row>
    <row r="292" hidden="1" ht="15.75" customHeight="1">
      <c r="A292" s="2">
        <f>HYPERLINK("https://www.shelhealth.com/products/354973315815-hyland-s-baby-tiny-cold-tablets-125-quick-dissolving-tablets", "https://www.shelhealth.com/products/354973315815-hyland-s-baby-tiny-cold-tablets-125-quick-dissolving-tablets")</f>
        <v/>
      </c>
      <c r="B292" s="2">
        <f>HYPERLINK("https://www.shelhealth.com/products/354973315815-hyland-s-baby-tiny-cold-tablets-125-quick-dissolving-tablets", "https://www.shelhealth.com/products/354973315815-hyland-s-baby-tiny-cold-tablets-125-quick-dissolving-tablets")</f>
        <v/>
      </c>
      <c r="C292" t="inlineStr">
        <is>
          <t>Hyland'S Baby Tiny Cold Tablets, 125 Quick-Dissolving Tablets</t>
        </is>
      </c>
      <c r="D292" t="inlineStr">
        <is>
          <t>Hyland's Baby Tiny Cold Tablets, Natural Relief of Runny Nose, Congestion, and Occasional Sleeplessness Due to Colds, 125 Quick-Dissolving Tablets (Pack of 2)</t>
        </is>
      </c>
      <c r="E292" s="2">
        <f>HYPERLINK("https://www.amazon.com/Hylands-Congestion-Occasional-Sleeplessness-Quick-Dissolving/dp/B0BVQ96CJ6/ref=sr_1_2?keywords=Hyland%27S+Baby+Tiny+Cold+Tablets%2C+125+Quick-Dissolving+Tablets&amp;qid=1695169938&amp;sr=8-2", "https://www.amazon.com/Hylands-Congestion-Occasional-Sleeplessness-Quick-Dissolving/dp/B0BVQ96CJ6/ref=sr_1_2?keywords=Hyland%27S+Baby+Tiny+Cold+Tablets%2C+125+Quick-Dissolving+Tablets&amp;qid=1695169938&amp;sr=8-2")</f>
        <v/>
      </c>
      <c r="F292" t="inlineStr">
        <is>
          <t>B0BVQ96CJ6</t>
        </is>
      </c>
      <c r="G292">
        <f>_xludf.IMAGE("https://www.shelhealth.com/cdn/shop/products/hylands-baby-tiny-cold-tablets-125-quick-dissolving-shelhealth-759.jpg?v=1663694258&amp;width=1946")</f>
        <v/>
      </c>
      <c r="H292">
        <f>_xludf.IMAGE("https://m.media-amazon.com/images/I/61YIh-QAaeL._AC_UL320_.jpg")</f>
        <v/>
      </c>
      <c r="K292" t="inlineStr">
        <is>
          <t>14.99</t>
        </is>
      </c>
      <c r="L292" t="n">
        <v>17.92</v>
      </c>
      <c r="M292" s="1" t="inlineStr">
        <is>
          <t>19.55%</t>
        </is>
      </c>
      <c r="N292" s="3" t="n">
        <v>19.55</v>
      </c>
      <c r="O292" t="n">
        <v>5</v>
      </c>
      <c r="P292" t="n">
        <v>4</v>
      </c>
      <c r="R292" t="inlineStr">
        <is>
          <t>InStock</t>
        </is>
      </c>
      <c r="S292" t="inlineStr">
        <is>
          <t>14.99</t>
        </is>
      </c>
      <c r="T292" t="inlineStr">
        <is>
          <t>7241709748412</t>
        </is>
      </c>
    </row>
    <row r="293" hidden="1" ht="15.75" customHeight="1">
      <c r="A293" s="2">
        <f>HYPERLINK("https://www.shelhealth.com/products/626232167115-attitude-diaper-cream-zinc-unscented-2-6-oz", "https://www.shelhealth.com/products/626232167115-attitude-diaper-cream-zinc-unscented-2-6-oz")</f>
        <v/>
      </c>
      <c r="B293" s="2">
        <f>HYPERLINK("https://www.shelhealth.com/products/626232167115-attitude-diaper-cream-zinc-unscented-2-6-oz", "https://www.shelhealth.com/products/626232167115-attitude-diaper-cream-zinc-unscented-2-6-oz")</f>
        <v/>
      </c>
      <c r="C293" t="inlineStr">
        <is>
          <t>ATTITUDE: Diaper Cream Zinc Unscented, 2.6 oz</t>
        </is>
      </c>
      <c r="D293" t="inlineStr">
        <is>
          <t>ATTITUDE Diaper Cream with Zinc &amp; Oatmeal for Baby with Sensitive Skin, Unscented, Plant &amp; Mineral-Based, Dermatologically Tested Vegan and Cruelty-Free, 2.6 Oz</t>
        </is>
      </c>
      <c r="E293" s="2">
        <f>HYPERLINK("https://www.amazon.com/ATTITUDE-Fragrance-Free-Mineral-Based-Dermatologically-Cruelty-Free/dp/B01KA6B188/ref=sr_1_1?keywords=ATTITUDE%3A+Diaper+Cream+Zinc+Unscented%2C+2.6+oz&amp;qid=1695169944&amp;sr=8-1", "https://www.amazon.com/ATTITUDE-Fragrance-Free-Mineral-Based-Dermatologically-Cruelty-Free/dp/B01KA6B188/ref=sr_1_1?keywords=ATTITUDE%3A+Diaper+Cream+Zinc+Unscented%2C+2.6+oz&amp;qid=1695169944&amp;sr=8-1")</f>
        <v/>
      </c>
      <c r="F293" t="inlineStr">
        <is>
          <t>B01KA6B188</t>
        </is>
      </c>
      <c r="G293">
        <f>_xludf.IMAGE("https://www.shelhealth.com/cdn/shop/files/attitude-diaper-cream-zinc-unscented-2-6-oz-baby-shelhealth-912.jpg?v=1694392143&amp;width=1946")</f>
        <v/>
      </c>
      <c r="H293">
        <f>_xludf.IMAGE("https://m.media-amazon.com/images/I/51baAnpCJAS._AC_UL320_.jpg")</f>
        <v/>
      </c>
      <c r="K293" t="inlineStr">
        <is>
          <t>14.99</t>
        </is>
      </c>
      <c r="L293" t="n">
        <v>17.56</v>
      </c>
      <c r="M293" s="1" t="inlineStr">
        <is>
          <t>17.14%</t>
        </is>
      </c>
      <c r="N293" s="3" t="n">
        <v>17.14</v>
      </c>
      <c r="O293" t="n">
        <v>4.5</v>
      </c>
      <c r="P293" t="n">
        <v>263</v>
      </c>
      <c r="R293" t="inlineStr">
        <is>
          <t>OutOfStock</t>
        </is>
      </c>
      <c r="S293" t="inlineStr">
        <is>
          <t>14.99</t>
        </is>
      </c>
      <c r="T293" t="inlineStr">
        <is>
          <t>7757234897128</t>
        </is>
      </c>
    </row>
    <row r="294" hidden="1" ht="15.75" customHeight="1">
      <c r="A294" s="2">
        <f>HYPERLINK("https://www.shelhealth.com/products/626232162400-attitude-baby-diapers-size-4-26-un", "https://www.shelhealth.com/products/626232162400-attitude-baby-diapers-size-4-26-un")</f>
        <v/>
      </c>
      <c r="B294" s="2">
        <f>HYPERLINK("https://www.shelhealth.com/products/626232162400-attitude-baby-diapers-size-4-26-un", "https://www.shelhealth.com/products/626232162400-attitude-baby-diapers-size-4-26-un")</f>
        <v/>
      </c>
      <c r="C294" t="inlineStr">
        <is>
          <t>ATTITUDE: Baby Diapers Size 4, 26 un</t>
        </is>
      </c>
      <c r="D294" t="inlineStr">
        <is>
          <t>ATTITUDE Eco-Friendly Diapers, Non-Toxic, Hypoallergenic, Safe for Sensitive Skin, Chlorine-Free, Leak-Free &amp; Biodegradable Baby Diapers, Plain White (Unprinted), Size 4 (15-40 lbs), 26 Count (16240)</t>
        </is>
      </c>
      <c r="E294" s="2">
        <f>HYPERLINK("https://www.amazon.com/ATTITUDE-Hypoallergenic-Chlorine-Free-Biodegradable-16240/dp/B084D4YDRB/ref=sr_1_1?keywords=ATTITUDE%3A+Baby+Diapers+Size+4%2C+26+un&amp;qid=1695169940&amp;sr=8-1", "https://www.amazon.com/ATTITUDE-Hypoallergenic-Chlorine-Free-Biodegradable-16240/dp/B084D4YDRB/ref=sr_1_1?keywords=ATTITUDE%3A+Baby+Diapers+Size+4%2C+26+un&amp;qid=1695169940&amp;sr=8-1")</f>
        <v/>
      </c>
      <c r="F294" t="inlineStr">
        <is>
          <t>B084D4YDRB</t>
        </is>
      </c>
      <c r="G294">
        <f>_xludf.IMAGE("https://www.shelhealth.com/cdn/shop/files/attitude-baby-diapers-size-4-26-un-shelhealth-664.jpg?v=1694392495&amp;width=1946")</f>
        <v/>
      </c>
      <c r="H294">
        <f>_xludf.IMAGE("https://m.media-amazon.com/images/I/713tQIsP32L._AC_UL320_.jpg")</f>
        <v/>
      </c>
      <c r="K294" t="inlineStr">
        <is>
          <t>24.99</t>
        </is>
      </c>
      <c r="L294" t="n">
        <v>27.99</v>
      </c>
      <c r="M294" s="1" t="inlineStr">
        <is>
          <t>12.00%</t>
        </is>
      </c>
      <c r="N294" s="3" t="n">
        <v>12</v>
      </c>
      <c r="O294" t="n">
        <v>4.2</v>
      </c>
      <c r="P294" t="n">
        <v>96</v>
      </c>
      <c r="R294" t="inlineStr">
        <is>
          <t>OutOfStock</t>
        </is>
      </c>
      <c r="S294" t="inlineStr">
        <is>
          <t>24.99</t>
        </is>
      </c>
      <c r="T294" t="inlineStr">
        <is>
          <t>7757234536680</t>
        </is>
      </c>
    </row>
    <row r="295" hidden="1" ht="15.75" customHeight="1">
      <c r="A295" s="2">
        <f>HYPERLINK("https://www.shelhealth.com/products/aquaphor-baby-wash-shampoo-value-pack-2-pk-16-9-fl-oz", "https://www.shelhealth.com/products/aquaphor-baby-wash-shampoo-value-pack-2-pk-16-9-fl-oz")</f>
        <v/>
      </c>
      <c r="B295" s="2">
        <f>HYPERLINK("https://www.shelhealth.com/products/aquaphor-baby-wash-shampoo-value-pack-2-pk-16-9-fl-oz", "https://www.shelhealth.com/products/aquaphor-baby-wash-shampoo-value-pack-2-pk-16-9-fl-oz")</f>
        <v/>
      </c>
      <c r="C295" t="inlineStr">
        <is>
          <t>Aquaphor Baby Wash &amp; Shampoo Value Pack, 2 pk. /16.9 fl. oz.</t>
        </is>
      </c>
      <c r="D295" t="inlineStr">
        <is>
          <t>Aquaphor HqqQHj Baby Wash &amp; Shampoo, 16.9 fl oz (2 Pack)</t>
        </is>
      </c>
      <c r="E295" s="2">
        <f>HYPERLINK("https://www.amazon.com/Aquaphor-HqqQHj-Baby-Wash-Shampoo/dp/B077J57985/ref=sr_1_7?keywords=Aquaphor+Baby+Wash&amp;qid=1695169947&amp;sr=8-7", "https://www.amazon.com/Aquaphor-HqqQHj-Baby-Wash-Shampoo/dp/B077J57985/ref=sr_1_7?keywords=Aquaphor+Baby+Wash&amp;qid=1695169947&amp;sr=8-7")</f>
        <v/>
      </c>
      <c r="F295" t="inlineStr">
        <is>
          <t>B077J57985</t>
        </is>
      </c>
      <c r="G295">
        <f>_xludf.IMAGE("https://www.shelhealth.com/cdn/shop/products/aquaphor-baby-wash-shampoo-value-pack-2-pk-16-9-fl-oz-shelhealth-604.jpg?v=1663353620&amp;width=1946")</f>
        <v/>
      </c>
      <c r="H295">
        <f>_xludf.IMAGE("https://m.media-amazon.com/images/I/71p+LTT-4IL._AC_UL320_.jpg")</f>
        <v/>
      </c>
      <c r="K295" t="inlineStr">
        <is>
          <t>24.99</t>
        </is>
      </c>
      <c r="L295" t="n">
        <v>26.71</v>
      </c>
      <c r="M295" s="1" t="inlineStr">
        <is>
          <t>6.88%</t>
        </is>
      </c>
      <c r="N295" s="3" t="n">
        <v>6.88</v>
      </c>
      <c r="O295" t="n">
        <v>5</v>
      </c>
      <c r="P295" t="n">
        <v>1</v>
      </c>
      <c r="R295" t="inlineStr">
        <is>
          <t>InStock</t>
        </is>
      </c>
      <c r="S295" t="inlineStr">
        <is>
          <t>24.99</t>
        </is>
      </c>
      <c r="T295" t="inlineStr">
        <is>
          <t>4162442166324</t>
        </is>
      </c>
    </row>
    <row r="296" hidden="1" ht="15.75" customHeight="1">
      <c r="A296" s="2">
        <f>HYPERLINK("https://www.shelhealth.com/products/810425030885-the-honest-company-diaper-pandas-size-2-32-pk", "https://www.shelhealth.com/products/810425030885-the-honest-company-diaper-pandas-size-2-32-pk")</f>
        <v/>
      </c>
      <c r="B296" s="2">
        <f>HYPERLINK("https://www.shelhealth.com/products/810425030885-the-honest-company-diaper-pandas-size-2-32-pk", "https://www.shelhealth.com/products/810425030885-the-honest-company-diaper-pandas-size-2-32-pk")</f>
        <v/>
      </c>
      <c r="C296" t="inlineStr">
        <is>
          <t>THE HONEST COMPANY Diaper Pandas Size 2, 32 pk</t>
        </is>
      </c>
      <c r="D296" t="inlineStr">
        <is>
          <t>The Honest Company - Eco-Friendly and Premium Disposable Diapers - Pandas, Newborn Size (&lt;10lbs.) 32 Ct.</t>
        </is>
      </c>
      <c r="E296" s="2">
        <f>HYPERLINK("https://www.amazon.com/Honest-Company-Eco-Friendly-Premium-Disposable/dp/B07JBNP98Y/ref=sr_1_5?keywords=the+honest+company+diaper+pants+size+2%2C+32+pk&amp;qid=1695169947&amp;sr=8-5", "https://www.amazon.com/Honest-Company-Eco-Friendly-Premium-Disposable/dp/B07JBNP98Y/ref=sr_1_5?keywords=the+honest+company+diaper+pants+size+2%2C+32+pk&amp;qid=1695169947&amp;sr=8-5")</f>
        <v/>
      </c>
      <c r="F296" t="inlineStr">
        <is>
          <t>B07JBNP98Y</t>
        </is>
      </c>
      <c r="G296">
        <f>_xludf.IMAGE("https://www.shelhealth.com/cdn/shop/files/the-honest-company-diaper-pandas-size-2-32-pk-baby-shelhealth-102.jpg?v=1686138139&amp;width=1946")</f>
        <v/>
      </c>
      <c r="H296">
        <f>_xludf.IMAGE("https://m.media-amazon.com/images/I/71blgxui8eL._AC_UL320_.jpg")</f>
        <v/>
      </c>
      <c r="K296" t="inlineStr">
        <is>
          <t>17.99</t>
        </is>
      </c>
      <c r="L296" t="n">
        <v>18.85</v>
      </c>
      <c r="M296" s="1" t="inlineStr">
        <is>
          <t>4.78%</t>
        </is>
      </c>
      <c r="N296" s="3" t="n">
        <v>4.78</v>
      </c>
      <c r="O296" t="n">
        <v>4.6</v>
      </c>
      <c r="P296" t="n">
        <v>327</v>
      </c>
      <c r="R296" t="inlineStr">
        <is>
          <t>OutOfStock</t>
        </is>
      </c>
      <c r="S296" t="inlineStr">
        <is>
          <t>17.99</t>
        </is>
      </c>
      <c r="T296" t="inlineStr">
        <is>
          <t>7574337814760</t>
        </is>
      </c>
    </row>
    <row r="297" hidden="1" ht="15.75" customHeight="1">
      <c r="A297" s="2">
        <f>HYPERLINK("https://www.shelhealth.com/products/810425030861-the-honest-company-diaper-pandas-size-nb-32-pk", "https://www.shelhealth.com/products/810425030861-the-honest-company-diaper-pandas-size-nb-32-pk")</f>
        <v/>
      </c>
      <c r="B297" s="2">
        <f>HYPERLINK("https://www.shelhealth.com/products/810425030861-the-honest-company-diaper-pandas-size-nb-32-pk", "https://www.shelhealth.com/products/810425030861-the-honest-company-diaper-pandas-size-nb-32-pk")</f>
        <v/>
      </c>
      <c r="C297" t="inlineStr">
        <is>
          <t>THE HONEST COMPANY Diaper Pandas Size NB, 32 pk</t>
        </is>
      </c>
      <c r="D297" t="inlineStr">
        <is>
          <t>The Honest Company - Eco-Friendly and Premium Disposable Diapers - Pandas, Newborn Size (&lt;10lbs.) 32 Ct.</t>
        </is>
      </c>
      <c r="E297" s="2">
        <f>HYPERLINK("https://www.amazon.com/Honest-Company-Eco-Friendly-Premium-Disposable/dp/B07JBNP98Y/ref=sr_1_2?keywords=the+honest+company+diaper+pants+size+nb%2C+32+pk&amp;qid=1695169956&amp;sr=8-2", "https://www.amazon.com/Honest-Company-Eco-Friendly-Premium-Disposable/dp/B07JBNP98Y/ref=sr_1_2?keywords=the+honest+company+diaper+pants+size+nb%2C+32+pk&amp;qid=1695169956&amp;sr=8-2")</f>
        <v/>
      </c>
      <c r="F297" t="inlineStr">
        <is>
          <t>B07JBNP98Y</t>
        </is>
      </c>
      <c r="G297">
        <f>_xludf.IMAGE("https://www.shelhealth.com/cdn/shop/files/the-honest-company-diaper-pandas-size-nb-32-pk-baby-shelhealth-230.jpg?v=1686229839&amp;width=1946")</f>
        <v/>
      </c>
      <c r="H297">
        <f>_xludf.IMAGE("https://m.media-amazon.com/images/I/71blgxui8eL._AC_UL320_.jpg")</f>
        <v/>
      </c>
      <c r="K297" t="inlineStr">
        <is>
          <t>17.99</t>
        </is>
      </c>
      <c r="L297" t="n">
        <v>18.85</v>
      </c>
      <c r="M297" s="1" t="inlineStr">
        <is>
          <t>4.78%</t>
        </is>
      </c>
      <c r="N297" s="3" t="n">
        <v>4.78</v>
      </c>
      <c r="O297" t="n">
        <v>4.6</v>
      </c>
      <c r="P297" t="n">
        <v>327</v>
      </c>
      <c r="R297" t="inlineStr">
        <is>
          <t>OutOfStock</t>
        </is>
      </c>
      <c r="S297" t="inlineStr">
        <is>
          <t>17.99</t>
        </is>
      </c>
      <c r="T297" t="inlineStr">
        <is>
          <t>7574338011368</t>
        </is>
      </c>
    </row>
    <row r="298" hidden="1" ht="15.75" customHeight="1">
      <c r="A298" s="2">
        <f>HYPERLINK("https://www.shelhealth.com/products/810425030922-the-honest-company-diaper-pandas-size-6-18-pk", "https://www.shelhealth.com/products/810425030922-the-honest-company-diaper-pandas-size-6-18-pk")</f>
        <v/>
      </c>
      <c r="B298" s="2">
        <f>HYPERLINK("https://www.shelhealth.com/products/810425030922-the-honest-company-diaper-pandas-size-6-18-pk", "https://www.shelhealth.com/products/810425030922-the-honest-company-diaper-pandas-size-6-18-pk")</f>
        <v/>
      </c>
      <c r="C298" t="inlineStr">
        <is>
          <t>THE HONEST COMPANY Diaper Pandas Size 6, 18 pk</t>
        </is>
      </c>
      <c r="D298" t="inlineStr">
        <is>
          <t>The Honest Company - Eco-Friendly and Premium Disposable Diapers - Pandas, Size 6 (35+ lbs), 18 Count</t>
        </is>
      </c>
      <c r="E298" s="2">
        <f>HYPERLINK("https://www.amazon.com/Honest-Company-Eco-Friendly-Premium-Disposable/dp/B07MY9PF7Z/ref=sr_1_3?keywords=the+honest+company+diaper+pants+size+6%2C+18+pk&amp;qid=1695169946&amp;sr=8-3", "https://www.amazon.com/Honest-Company-Eco-Friendly-Premium-Disposable/dp/B07MY9PF7Z/ref=sr_1_3?keywords=the+honest+company+diaper+pants+size+6%2C+18+pk&amp;qid=1695169946&amp;sr=8-3")</f>
        <v/>
      </c>
      <c r="F298" t="inlineStr">
        <is>
          <t>B07MY9PF7Z</t>
        </is>
      </c>
      <c r="G298">
        <f>_xludf.IMAGE("https://www.shelhealth.com/cdn/shop/products/the-honest-company-diaper-pandas-size-6-18-pk-shelhealth-362.jpg?v=1663788153&amp;width=1946")</f>
        <v/>
      </c>
      <c r="H298">
        <f>_xludf.IMAGE("https://m.media-amazon.com/images/I/81PSsZQ4Y7L._AC_UL320_.jpg")</f>
        <v/>
      </c>
      <c r="K298" t="inlineStr">
        <is>
          <t>20.99</t>
        </is>
      </c>
      <c r="L298" t="n">
        <v>21.92</v>
      </c>
      <c r="M298" s="1" t="inlineStr">
        <is>
          <t>4.43%</t>
        </is>
      </c>
      <c r="N298" s="3" t="n">
        <v>4.43</v>
      </c>
      <c r="O298" t="n">
        <v>4.7</v>
      </c>
      <c r="P298" t="n">
        <v>33</v>
      </c>
      <c r="R298" t="inlineStr">
        <is>
          <t>InStock</t>
        </is>
      </c>
      <c r="S298" t="inlineStr">
        <is>
          <t>20.99</t>
        </is>
      </c>
      <c r="T298" t="inlineStr">
        <is>
          <t>7574337847528</t>
        </is>
      </c>
    </row>
    <row r="299" hidden="1" ht="15.75" customHeight="1">
      <c r="A299" s="2">
        <f>HYPERLINK("https://www.shelhealth.com/products/850008525391-pipette-mineral-sunscreen-broad-spectrum-spf50-4-fo", "https://www.shelhealth.com/products/850008525391-pipette-mineral-sunscreen-broad-spectrum-spf50-4-fo")</f>
        <v/>
      </c>
      <c r="B299" s="2">
        <f>HYPERLINK("https://www.shelhealth.com/products/850008525391-pipette-mineral-sunscreen-broad-spectrum-spf50-4-fo", "https://www.shelhealth.com/products/850008525391-pipette-mineral-sunscreen-broad-spectrum-spf50-4-fo")</f>
        <v/>
      </c>
      <c r="C299" t="inlineStr">
        <is>
          <t>PIPETTE: Mineral Sunscreen Broad Spectrum Spf50, 4 fo</t>
        </is>
      </c>
      <c r="D299" t="inlineStr">
        <is>
          <t>Badger Baby Mineral Sunscreen Cream SPF 40, Organic Toddler Sunscreen with Zinc Oxide, Broad Spectrum, Reef Safe, Water Resistant, Pediatrician Tested Baby Sunblock for Sensitive Skin, 2.9 fl oz</t>
        </is>
      </c>
      <c r="E299" s="2">
        <f>HYPERLINK("https://www.amazon.com/Badger-Sunscreen-Spectrum-Resistant-Ingredients/dp/B08Y99RBYN/ref=sr_1_8?keywords=PIPETTE%3A+Mineral+Sunscreen+Broad+Spectrum+Spf50%2C+4+fo&amp;qid=1695169938&amp;sr=8-8", "https://www.amazon.com/Badger-Sunscreen-Spectrum-Resistant-Ingredients/dp/B08Y99RBYN/ref=sr_1_8?keywords=PIPETTE%3A+Mineral+Sunscreen+Broad+Spectrum+Spf50%2C+4+fo&amp;qid=1695169938&amp;sr=8-8")</f>
        <v/>
      </c>
      <c r="F299" t="inlineStr">
        <is>
          <t>B08Y99RBYN</t>
        </is>
      </c>
      <c r="G299">
        <f>_xludf.IMAGE("https://www.shelhealth.com/cdn/shop/files/pipette-mineral-sunscreen-broad-spectrum-spf50-4-fo-baby-shelhealth-449.jpg?v=1686267152&amp;width=1946")</f>
        <v/>
      </c>
      <c r="H299">
        <f>_xludf.IMAGE("https://m.media-amazon.com/images/I/61WClcRQAdL._AC_UL320_.jpg")</f>
        <v/>
      </c>
      <c r="K299" t="inlineStr">
        <is>
          <t>14.99</t>
        </is>
      </c>
      <c r="L299" t="n">
        <v>15.29</v>
      </c>
      <c r="M299" s="1" t="inlineStr">
        <is>
          <t>2.00%</t>
        </is>
      </c>
      <c r="N299" s="3" t="n">
        <v>2</v>
      </c>
      <c r="O299" t="n">
        <v>4.7</v>
      </c>
      <c r="P299" t="n">
        <v>1068</v>
      </c>
      <c r="R299" t="inlineStr">
        <is>
          <t>OutOfStock</t>
        </is>
      </c>
      <c r="S299" t="inlineStr">
        <is>
          <t>14.99</t>
        </is>
      </c>
      <c r="T299" t="inlineStr">
        <is>
          <t>7699241599208</t>
        </is>
      </c>
    </row>
    <row r="300" hidden="1" ht="15.75" customHeight="1">
      <c r="A300" s="2">
        <f>HYPERLINK("https://www.shelhealth.com/products/coppertone-water-babies-sunscreen-spf-50-lotion-2-pk-8-fl-oz", "https://www.shelhealth.com/products/coppertone-water-babies-sunscreen-spf-50-lotion-2-pk-8-fl-oz")</f>
        <v/>
      </c>
      <c r="B300" s="2">
        <f>HYPERLINK("https://www.shelhealth.com/products/coppertone-water-babies-sunscreen-spf-50-lotion-2-pk-8-fl-oz", "https://www.shelhealth.com/products/coppertone-water-babies-sunscreen-spf-50-lotion-2-pk-8-fl-oz")</f>
        <v/>
      </c>
      <c r="C300" t="inlineStr">
        <is>
          <t>Coppertone Water Babies Sunscreen SPF 50 Lotion, 2 pk./8 fl. oz.</t>
        </is>
      </c>
      <c r="D300" t="inlineStr">
        <is>
          <t>Coppertone Water Babies Sunscreen Lotion, SPF 50, 8 oz. (Pack of 2)</t>
        </is>
      </c>
      <c r="E300" s="2">
        <f>HYPERLINK("https://www.amazon.com/Coppertone-Water-Babies-Sunscreen-Lotion/dp/B00U36ZKA6/ref=sr_1_2?keywords=Coppertone+Water+Babies+Sunscreen+SPF+50+Lotion%2C+2+pk.%2F8+fl.+oz.&amp;qid=1695169945&amp;sr=8-2", "https://www.amazon.com/Coppertone-Water-Babies-Sunscreen-Lotion/dp/B00U36ZKA6/ref=sr_1_2?keywords=Coppertone+Water+Babies+Sunscreen+SPF+50+Lotion%2C+2+pk.%2F8+fl.+oz.&amp;qid=1695169945&amp;sr=8-2")</f>
        <v/>
      </c>
      <c r="F300" t="inlineStr">
        <is>
          <t>B00U36ZKA6</t>
        </is>
      </c>
      <c r="G300">
        <f>_xludf.IMAGE("https://www.shelhealth.com/cdn/shop/products/coppertone-water-babies-sunscreen-spf-50-lotion-2-pk-8-fl-oz-shelhealth-103.jpg?v=1663353517&amp;width=1946")</f>
        <v/>
      </c>
      <c r="H300">
        <f>_xludf.IMAGE("https://m.media-amazon.com/images/I/71W6AfjNIUL._AC_UL320_.jpg")</f>
        <v/>
      </c>
      <c r="K300" t="inlineStr">
        <is>
          <t>19.99</t>
        </is>
      </c>
      <c r="L300" t="n">
        <v>19.95</v>
      </c>
      <c r="M300" s="1" t="inlineStr">
        <is>
          <t>-0.20%</t>
        </is>
      </c>
      <c r="N300" s="3" t="n">
        <v>-0.2</v>
      </c>
      <c r="O300" t="n">
        <v>4.3</v>
      </c>
      <c r="P300" t="n">
        <v>310</v>
      </c>
      <c r="R300" t="inlineStr">
        <is>
          <t>OutOfStock</t>
        </is>
      </c>
      <c r="S300" t="inlineStr">
        <is>
          <t>19.99</t>
        </is>
      </c>
      <c r="T300" t="inlineStr">
        <is>
          <t>4162278457396</t>
        </is>
      </c>
    </row>
    <row r="301" hidden="1" ht="15.75" customHeight="1">
      <c r="A301" s="2">
        <f>HYPERLINK("https://www.shelhealth.com/products/johnsons-cotton-touch-baby-wash-shampoo-33-8-oz-and-body-lotion-13-5-fl-oz", "https://www.shelhealth.com/products/johnsons-cotton-touch-baby-wash-shampoo-33-8-oz-and-body-lotion-13-5-fl-oz")</f>
        <v/>
      </c>
      <c r="B301" s="2">
        <f>HYPERLINK("https://www.shelhealth.com/products/johnsons-cotton-touch-baby-wash-shampoo-33-8-oz-and-body-lotion-13-5-fl-oz", "https://www.shelhealth.com/products/johnsons-cotton-touch-baby-wash-shampoo-33-8-oz-and-body-lotion-13-5-fl-oz")</f>
        <v/>
      </c>
      <c r="C301" t="inlineStr">
        <is>
          <t>Johnson's Cotton Touch Baby Wash &amp; Shampoo, 33.8 oz. and Body Lotion, 13.5 fl. oz.</t>
        </is>
      </c>
      <c r="D301" t="inlineStr">
        <is>
          <t>Johnson's CottonTouch Newborn Baby Wash &amp; Shampoo with No More Tears, Hypoallergenic, 27.1 fl. oz with CottonTouch Newborn Baby Face and Body Lotion, 27.1 fl. oz</t>
        </is>
      </c>
      <c r="E301" s="2">
        <f>HYPERLINK("https://www.amazon.com/Johnsons-CottonTouch-Newborn-Baby-Hypoallergenic/dp/B089JXQQ3D/ref=sr_1_6?keywords=Johnsons+Cotton+Touch+Baby+Wash&amp;qid=1695169927&amp;sr=8-6", "https://www.amazon.com/Johnsons-CottonTouch-Newborn-Baby-Hypoallergenic/dp/B089JXQQ3D/ref=sr_1_6?keywords=Johnsons+Cotton+Touch+Baby+Wash&amp;qid=1695169927&amp;sr=8-6")</f>
        <v/>
      </c>
      <c r="F301" t="inlineStr">
        <is>
          <t>B089JXQQ3D</t>
        </is>
      </c>
      <c r="G301">
        <f>_xludf.IMAGE("https://www.shelhealth.com/cdn/shop/products/johnsons-cotton-touch-baby-wash-shampoo-33-8-oz-and-body-lotion-13-5-fl-shelhealth-488.jpg?v=1663351231&amp;width=1946")</f>
        <v/>
      </c>
      <c r="H301">
        <f>_xludf.IMAGE("https://m.media-amazon.com/images/I/51k257UA+BL._AC_UL320_.jpg")</f>
        <v/>
      </c>
      <c r="K301" t="inlineStr">
        <is>
          <t>20.99</t>
        </is>
      </c>
      <c r="L301" t="n">
        <v>20.78</v>
      </c>
      <c r="M301" s="1" t="inlineStr">
        <is>
          <t>-1.00%</t>
        </is>
      </c>
      <c r="N301" s="3" t="n">
        <v>-1</v>
      </c>
      <c r="O301" t="n">
        <v>4.9</v>
      </c>
      <c r="P301" t="n">
        <v>54</v>
      </c>
      <c r="R301" t="inlineStr">
        <is>
          <t>InStock</t>
        </is>
      </c>
      <c r="S301" t="inlineStr">
        <is>
          <t>20.99</t>
        </is>
      </c>
      <c r="T301" t="inlineStr">
        <is>
          <t>4099891822644</t>
        </is>
      </c>
    </row>
    <row r="302" hidden="1" ht="15.75" customHeight="1">
      <c r="A302" s="2">
        <f>HYPERLINK("https://www.shelhealth.com/products/850001271851-bambo-nature-diapers-baby-size-3-29-pk", "https://www.shelhealth.com/products/850001271851-bambo-nature-diapers-baby-size-3-29-pk")</f>
        <v/>
      </c>
      <c r="B302" s="2">
        <f>HYPERLINK("https://www.shelhealth.com/products/850001271851-bambo-nature-diapers-baby-size-3-29-pk", "https://www.shelhealth.com/products/850001271851-bambo-nature-diapers-baby-size-3-29-pk")</f>
        <v/>
      </c>
      <c r="C302" t="inlineStr">
        <is>
          <t>BAMBO NATURE: Diapers Baby Size 3, 29 pk</t>
        </is>
      </c>
      <c r="D302" t="inlineStr">
        <is>
          <t>Bambo Nature Premium Baby Diapers (SIZES 0 TO 6 AVAILABLE), Size 3, 29 Count</t>
        </is>
      </c>
      <c r="E302" s="2">
        <f>HYPERLINK("https://www.amazon.com/Bambo-Nature-Premium-Eco-friendly-Diapers/dp/B08YRX79VJ/ref=sr_1_1?keywords=BAMBO+NATURE%3A+Diapers+Baby+Size+3%2C+29+pk&amp;qid=1695169933&amp;sr=8-1", "https://www.amazon.com/Bambo-Nature-Premium-Eco-friendly-Diapers/dp/B08YRX79VJ/ref=sr_1_1?keywords=BAMBO+NATURE%3A+Diapers+Baby+Size+3%2C+29+pk&amp;qid=1695169933&amp;sr=8-1")</f>
        <v/>
      </c>
      <c r="F302" t="inlineStr">
        <is>
          <t>B08YRX79VJ</t>
        </is>
      </c>
      <c r="G302">
        <f>_xludf.IMAGE("https://www.shelhealth.com/cdn/shop/products/bambo-nature-diapers-baby-size-3-29-pk-diaper-care-shelhealth-156.jpg?v=1663822945&amp;width=1946")</f>
        <v/>
      </c>
      <c r="H302">
        <f>_xludf.IMAGE("https://m.media-amazon.com/images/I/810Q8Ad6roL._AC_UL320_.jpg")</f>
        <v/>
      </c>
      <c r="K302" t="inlineStr">
        <is>
          <t>16.99</t>
        </is>
      </c>
      <c r="L302" t="n">
        <v>16.24</v>
      </c>
      <c r="M302" s="1" t="inlineStr">
        <is>
          <t>-4.41%</t>
        </is>
      </c>
      <c r="N302" s="3" t="n">
        <v>-4.41</v>
      </c>
      <c r="O302" t="n">
        <v>4.3</v>
      </c>
      <c r="P302" t="n">
        <v>1840</v>
      </c>
      <c r="R302" t="inlineStr">
        <is>
          <t>InStock</t>
        </is>
      </c>
      <c r="S302" t="inlineStr">
        <is>
          <t>16.99</t>
        </is>
      </c>
      <c r="T302" t="inlineStr">
        <is>
          <t>7699134185704</t>
        </is>
      </c>
    </row>
    <row r="303" hidden="1" ht="15.75" customHeight="1">
      <c r="A303" s="2">
        <f>HYPERLINK("https://www.shelhealth.com/products/dr-browns-bottle-brush-3-pk", "https://www.shelhealth.com/products/dr-browns-bottle-brush-3-pk")</f>
        <v/>
      </c>
      <c r="B303" s="2">
        <f>HYPERLINK("https://www.shelhealth.com/products/dr-browns-bottle-brush-3-pk", "https://www.shelhealth.com/products/dr-browns-bottle-brush-3-pk")</f>
        <v/>
      </c>
      <c r="C303" t="inlineStr">
        <is>
          <t>Dr. Browns Bottle Brush, 3 pk.</t>
        </is>
      </c>
      <c r="D303" t="inlineStr">
        <is>
          <t>Dr. Browns Bottle Brush, 3 Pack</t>
        </is>
      </c>
      <c r="E303" s="2">
        <f>HYPERLINK("https://www.amazon.com/Dr-Browns-Bottle-Brush-Pack/dp/B00HBTK0ZI/ref=sr_1_2?keywords=dr.+brown%27s+bottle+brush%2C+3+pk.&amp;qid=1695169928&amp;sr=8-2", "https://www.amazon.com/Dr-Browns-Bottle-Brush-Pack/dp/B00HBTK0ZI/ref=sr_1_2?keywords=dr.+brown%27s+bottle+brush%2C+3+pk.&amp;qid=1695169928&amp;sr=8-2")</f>
        <v/>
      </c>
      <c r="F303" t="inlineStr">
        <is>
          <t>B00HBTK0ZI</t>
        </is>
      </c>
      <c r="G303">
        <f>_xludf.IMAGE("https://www.shelhealth.com/cdn/shop/products/dr-browns-bottle-brush-3-pk-shelhealth-645.jpg?v=1663351320&amp;width=1946")</f>
        <v/>
      </c>
      <c r="H303">
        <f>_xludf.IMAGE("https://m.media-amazon.com/images/I/51ewxQwbWPL._AC_UL320_.jpg")</f>
        <v/>
      </c>
      <c r="K303" t="inlineStr">
        <is>
          <t>16.99</t>
        </is>
      </c>
      <c r="L303" t="n">
        <v>16.09</v>
      </c>
      <c r="M303" s="1" t="inlineStr">
        <is>
          <t>-5.30%</t>
        </is>
      </c>
      <c r="N303" s="3" t="n">
        <v>-5.3</v>
      </c>
      <c r="O303" t="n">
        <v>4.4</v>
      </c>
      <c r="P303" t="n">
        <v>45</v>
      </c>
      <c r="R303" t="inlineStr">
        <is>
          <t>OutOfStock</t>
        </is>
      </c>
      <c r="S303" t="inlineStr">
        <is>
          <t>16.99</t>
        </is>
      </c>
      <c r="T303" t="inlineStr">
        <is>
          <t>4100008280116</t>
        </is>
      </c>
    </row>
    <row r="304" hidden="1" ht="15.75" customHeight="1">
      <c r="A304" s="2">
        <f>HYPERLINK("https://www.shelhealth.com/products/608274130005-childlife-essentials-organic-vitamin-d3-drops-berry-flavor-400-iu-0-338-oz", "https://www.shelhealth.com/products/608274130005-childlife-essentials-organic-vitamin-d3-drops-berry-flavor-400-iu-0-338-oz")</f>
        <v/>
      </c>
      <c r="B304" s="2">
        <f>HYPERLINK("https://www.shelhealth.com/products/608274130005-childlife-essentials-organic-vitamin-d3-drops-berry-flavor-400-iu-0-338-oz", "https://www.shelhealth.com/products/608274130005-childlife-essentials-organic-vitamin-d3-drops-berry-flavor-400-iu-0-338-oz")</f>
        <v/>
      </c>
      <c r="C304" t="inlineStr">
        <is>
          <t>Childlife Essentials Organic Vitamin D3 Drops Berry Flavor 400 Iu, 0.338 Oz</t>
        </is>
      </c>
      <c r="D304" t="inlineStr">
        <is>
          <t>CHILDLIFE ESSENTIALS Organic Vitamin D3 Liquid Drops, Natural Berry Flavor - Gluten Free, Alcohol Free, Casein Free, Non-GMO - 0.338 fl. oz</t>
        </is>
      </c>
      <c r="E304" s="2">
        <f>HYPERLINK("https://www.amazon.com/Child-Organic-Vitamin-Liquid-Natural/dp/B00DRMHKKG/ref=sr_1_1?keywords=Childlife+Essentials+Organic+Vitamin+D3+Drops+Berry+Flavor+400+Iu%2C+0.338+Oz&amp;qid=1695169982&amp;sr=8-1", "https://www.amazon.com/Child-Organic-Vitamin-Liquid-Natural/dp/B00DRMHKKG/ref=sr_1_1?keywords=Childlife+Essentials+Organic+Vitamin+D3+Drops+Berry+Flavor+400+Iu%2C+0.338+Oz&amp;qid=1695169982&amp;sr=8-1")</f>
        <v/>
      </c>
      <c r="F304" t="inlineStr">
        <is>
          <t>B00DRMHKKG</t>
        </is>
      </c>
      <c r="G304">
        <f>_xludf.IMAGE("https://www.shelhealth.com/cdn/shop/files/childlife-essentials-organic-vitamin-d3-drops-berry-flavor-400-iu-0-338-oz-baby-shelhealth-827.jpg?v=1686524315&amp;width=1946")</f>
        <v/>
      </c>
      <c r="H304">
        <f>_xludf.IMAGE("https://m.media-amazon.com/images/I/817YsXDV1JL._AC_UL320_.jpg")</f>
        <v/>
      </c>
      <c r="K304" t="inlineStr">
        <is>
          <t>14.99</t>
        </is>
      </c>
      <c r="L304" t="n">
        <v>13.96</v>
      </c>
      <c r="M304" s="1" t="inlineStr">
        <is>
          <t>-6.87%</t>
        </is>
      </c>
      <c r="N304" s="3" t="n">
        <v>-6.87</v>
      </c>
      <c r="O304" t="n">
        <v>4.3</v>
      </c>
      <c r="P304" t="n">
        <v>322</v>
      </c>
      <c r="R304" t="inlineStr">
        <is>
          <t>InStock</t>
        </is>
      </c>
      <c r="S304" t="inlineStr">
        <is>
          <t>14.99</t>
        </is>
      </c>
      <c r="T304" t="inlineStr">
        <is>
          <t>7241568747708</t>
        </is>
      </c>
    </row>
    <row r="305" hidden="1" ht="15.75" customHeight="1">
      <c r="A305" s="2">
        <f>HYPERLINK("https://www.shelhealth.com/products/626232162301-attitude-biodegradable-baby-diapers-size-3-30-un", "https://www.shelhealth.com/products/626232162301-attitude-biodegradable-baby-diapers-size-3-30-un")</f>
        <v/>
      </c>
      <c r="B305" s="2">
        <f>HYPERLINK("https://www.shelhealth.com/products/626232162301-attitude-biodegradable-baby-diapers-size-3-30-un", "https://www.shelhealth.com/products/626232162301-attitude-biodegradable-baby-diapers-size-3-30-un")</f>
        <v/>
      </c>
      <c r="C305" t="inlineStr">
        <is>
          <t>ATTITUDE: Biodegradable Baby Diapers Size 3, 30 un</t>
        </is>
      </c>
      <c r="D305" t="inlineStr">
        <is>
          <t>ATTITUDE Natural Diapers, Non-Toxic, Eco-Friendly, Safe for Sensitive Skin, Chlorine-Free, Leak-Free &amp; Biodegradable Baby Diapers, Plain White (Unprinted), Size 3 (9-20 lbs), 30 Count (16230)</t>
        </is>
      </c>
      <c r="E305" s="2">
        <f>HYPERLINK("https://www.amazon.com/ATTITUDE-Non-Toxic-Eco-Friendly-Chlorine-Free-Biodegradable/dp/B084D1RMGW/ref=sr_1_1?keywords=ATTITUDE%3A+Biodegradable+Baby+Diapers+Size+3%2C+30+un&amp;qid=1695169931&amp;sr=8-1", "https://www.amazon.com/ATTITUDE-Non-Toxic-Eco-Friendly-Chlorine-Free-Biodegradable/dp/B084D1RMGW/ref=sr_1_1?keywords=ATTITUDE%3A+Biodegradable+Baby+Diapers+Size+3%2C+30+un&amp;qid=1695169931&amp;sr=8-1")</f>
        <v/>
      </c>
      <c r="F305" t="inlineStr">
        <is>
          <t>B084D1RMGW</t>
        </is>
      </c>
      <c r="G305">
        <f>_xludf.IMAGE("https://www.shelhealth.com/cdn/shop/files/attitude-biodegradable-baby-diapers-size-3-30-un-shelhealth-889.jpg?v=1686271827&amp;width=1946")</f>
        <v/>
      </c>
      <c r="H305">
        <f>_xludf.IMAGE("https://m.media-amazon.com/images/I/71XFEtR9IkL._AC_UL320_.jpg")</f>
        <v/>
      </c>
      <c r="K305" t="inlineStr">
        <is>
          <t>24.99</t>
        </is>
      </c>
      <c r="L305" t="n">
        <v>22.99</v>
      </c>
      <c r="M305" s="1" t="inlineStr">
        <is>
          <t>-8.00%</t>
        </is>
      </c>
      <c r="N305" s="3" t="n">
        <v>-8</v>
      </c>
      <c r="O305" t="n">
        <v>4.2</v>
      </c>
      <c r="P305" t="n">
        <v>96</v>
      </c>
      <c r="R305" t="inlineStr">
        <is>
          <t>OutOfStock</t>
        </is>
      </c>
      <c r="S305" t="inlineStr">
        <is>
          <t>24.99</t>
        </is>
      </c>
      <c r="T305" t="inlineStr">
        <is>
          <t>7757234733288</t>
        </is>
      </c>
    </row>
    <row r="306" hidden="1" ht="15.75" customHeight="1">
      <c r="A306" s="2">
        <f>HYPERLINK("https://www.shelhealth.com/products/626232162608-attitude-biodegradable-baby-diapers-size-6-20-un", "https://www.shelhealth.com/products/626232162608-attitude-biodegradable-baby-diapers-size-6-20-un")</f>
        <v/>
      </c>
      <c r="B306" s="2">
        <f>HYPERLINK("https://www.shelhealth.com/products/626232162608-attitude-biodegradable-baby-diapers-size-6-20-un", "https://www.shelhealth.com/products/626232162608-attitude-biodegradable-baby-diapers-size-6-20-un")</f>
        <v/>
      </c>
      <c r="C306" t="inlineStr">
        <is>
          <t>ATTITUDE: Biodegradable Baby Diapers Size 6, 20 un</t>
        </is>
      </c>
      <c r="D306" t="inlineStr">
        <is>
          <t>ATTITUDE Non-Toxic Diapers, Eco-Friendly, Hypoallergenic, Safe for Sensitive Skin, Chlorine-Free, Leak-Free &amp; Biodegradable Baby Diapers, Plain White (Unprinted), Size 6 (35-66 lbs), 20 Count</t>
        </is>
      </c>
      <c r="E306" s="2">
        <f>HYPERLINK("https://www.amazon.com/ATTITUDE-Eco-Friendly-Hypoallergenic-Chlorine-Free-Biodegradable/dp/B084CZ7HZ8/ref=sr_1_1?keywords=ATTITUDE%3A+Biodegradable+Baby+Diapers+Size+6%2C+20+un&amp;qid=1695169939&amp;sr=8-1", "https://www.amazon.com/ATTITUDE-Eco-Friendly-Hypoallergenic-Chlorine-Free-Biodegradable/dp/B084CZ7HZ8/ref=sr_1_1?keywords=ATTITUDE%3A+Biodegradable+Baby+Diapers+Size+6%2C+20+un&amp;qid=1695169939&amp;sr=8-1")</f>
        <v/>
      </c>
      <c r="F306" t="inlineStr">
        <is>
          <t>B084CZ7HZ8</t>
        </is>
      </c>
      <c r="G306">
        <f>_xludf.IMAGE("https://www.shelhealth.com/cdn/shop/files/attitude-biodegradable-baby-diapers-size-6-20-un-shelhealth-250.jpg?v=1686271827&amp;width=1946")</f>
        <v/>
      </c>
      <c r="H306">
        <f>_xludf.IMAGE("https://m.media-amazon.com/images/I/710ngA-rRrL._AC_UL320_.jpg")</f>
        <v/>
      </c>
      <c r="K306" t="inlineStr">
        <is>
          <t>24.99</t>
        </is>
      </c>
      <c r="L306" t="n">
        <v>22.99</v>
      </c>
      <c r="M306" s="1" t="inlineStr">
        <is>
          <t>-8.00%</t>
        </is>
      </c>
      <c r="N306" s="3" t="n">
        <v>-8</v>
      </c>
      <c r="O306" t="n">
        <v>4.2</v>
      </c>
      <c r="P306" t="n">
        <v>96</v>
      </c>
      <c r="R306" t="inlineStr">
        <is>
          <t>OutOfStock</t>
        </is>
      </c>
      <c r="S306" t="inlineStr">
        <is>
          <t>24.99</t>
        </is>
      </c>
      <c r="T306" t="inlineStr">
        <is>
          <t>7757234766056</t>
        </is>
      </c>
    </row>
    <row r="307" hidden="1" ht="15.75" customHeight="1">
      <c r="A307" s="2">
        <f>HYPERLINK("https://www.shelhealth.com/products/boudreauxs-butt-paste-diaper-rash-ointment-maximum-strength-8-oz", "https://www.shelhealth.com/products/boudreauxs-butt-paste-diaper-rash-ointment-maximum-strength-8-oz")</f>
        <v/>
      </c>
      <c r="B307" s="2">
        <f>HYPERLINK("https://www.shelhealth.com/products/boudreauxs-butt-paste-diaper-rash-ointment-maximum-strength-8-oz", "https://www.shelhealth.com/products/boudreauxs-butt-paste-diaper-rash-ointment-maximum-strength-8-oz")</f>
        <v/>
      </c>
      <c r="C307" t="inlineStr">
        <is>
          <t>Boudreaux's Butt Paste Diaper Rash Ointment | Maximum Strength | 8 oz.</t>
        </is>
      </c>
      <c r="D307" t="inlineStr">
        <is>
          <t>Boudreaux's Butt Paste Original Diaper Rash Cream, Ointment for Baby, 16 oz Flip-Top Jar</t>
        </is>
      </c>
      <c r="E307" s="2">
        <f>HYPERLINK("https://www.amazon.com/Boudreauxs-Ointment-Original-Paraben-Preservative/dp/B0009RF8G0/ref=sr_1_4?keywords=Boudreauxs+Butt+Paste+Diaper+Rash+Ointment+%7C+Maximum+Strength+%7C+8+oz.&amp;qid=1695169963&amp;rdc=1&amp;sr=8-4", "https://www.amazon.com/Boudreauxs-Ointment-Original-Paraben-Preservative/dp/B0009RF8G0/ref=sr_1_4?keywords=Boudreauxs+Butt+Paste+Diaper+Rash+Ointment+%7C+Maximum+Strength+%7C+8+oz.&amp;qid=1695169963&amp;rdc=1&amp;sr=8-4")</f>
        <v/>
      </c>
      <c r="F307" t="inlineStr">
        <is>
          <t>B0009RF8G0</t>
        </is>
      </c>
      <c r="G307">
        <f>_xludf.IMAGE("https://www.shelhealth.com/cdn/shop/products/boudreauxs-butt-paste-diaper-rash-ointment-maximum-strength-8-oz-shelhealth-107.jpg?v=1663350839&amp;width=1946")</f>
        <v/>
      </c>
      <c r="H307">
        <f>_xludf.IMAGE("https://m.media-amazon.com/images/I/719t19THv1L._AC_UL320_.jpg")</f>
        <v/>
      </c>
      <c r="K307" t="inlineStr">
        <is>
          <t>16.99</t>
        </is>
      </c>
      <c r="L307" t="n">
        <v>15.27</v>
      </c>
      <c r="M307" s="1" t="inlineStr">
        <is>
          <t>-10.12%</t>
        </is>
      </c>
      <c r="N307" s="3" t="n">
        <v>-10.12</v>
      </c>
      <c r="O307" t="n">
        <v>4.8</v>
      </c>
      <c r="P307" t="n">
        <v>9659</v>
      </c>
      <c r="R307" t="inlineStr">
        <is>
          <t>InStock</t>
        </is>
      </c>
      <c r="S307" t="inlineStr">
        <is>
          <t>16.99</t>
        </is>
      </c>
      <c r="T307" t="inlineStr">
        <is>
          <t>4099171287092</t>
        </is>
      </c>
    </row>
    <row r="308" hidden="1" ht="15.75" customHeight="1">
      <c r="A308" s="2">
        <f>HYPERLINK("https://www.shelhealth.com/products/baby-dove-tip-to-toe-baby-wash-sensitive-moisture-20-fl-oz-pack-of-2", "https://www.shelhealth.com/products/baby-dove-tip-to-toe-baby-wash-sensitive-moisture-20-fl-oz-pack-of-2")</f>
        <v/>
      </c>
      <c r="B308" s="2">
        <f>HYPERLINK("https://www.shelhealth.com/products/baby-dove-tip-to-toe-baby-wash-sensitive-moisture-20-fl-oz-pack-of-2", "https://www.shelhealth.com/products/baby-dove-tip-to-toe-baby-wash-sensitive-moisture-20-fl-oz-pack-of-2")</f>
        <v/>
      </c>
      <c r="C308" t="inlineStr">
        <is>
          <t>Baby Dove Tip to Toe Baby Wash Sensitive Moisture 20 Fl Oz (Pack of 2)</t>
        </is>
      </c>
      <c r="D308" t="inlineStr">
        <is>
          <t>Baby Dove Fragrance FreeLotion, Sensitive Moisture, 20 oz andBaby Dove Tip to Toe Baby Wash Sensitive Moisture 20 oz</t>
        </is>
      </c>
      <c r="E308" s="2">
        <f>HYPERLINK("https://www.amazon.com/Baby-Dove-Fragrance-FreeLotion-Sensitive/dp/B07VBPQGTC/ref=sr_1_9?keywords=Baby+Dove+Tip+to+Toe+Baby+Wash+Sensitive+Moisture+20+Fl+Oz+%28Pack+of+2%29&amp;qid=1695169954&amp;sr=8-9", "https://www.amazon.com/Baby-Dove-Fragrance-FreeLotion-Sensitive/dp/B07VBPQGTC/ref=sr_1_9?keywords=Baby+Dove+Tip+to+Toe+Baby+Wash+Sensitive+Moisture+20+Fl+Oz+%28Pack+of+2%29&amp;qid=1695169954&amp;sr=8-9")</f>
        <v/>
      </c>
      <c r="F308" t="inlineStr">
        <is>
          <t>B07VBPQGTC</t>
        </is>
      </c>
      <c r="G308">
        <f>_xludf.IMAGE("https://www.shelhealth.com/cdn/shop/products/baby-dove-tip-to-toe-wash-sensitive-moisture-20-fl-oz-pack-of-2-shelhealth-721.jpg?v=1663350800&amp;width=1946")</f>
        <v/>
      </c>
      <c r="H308">
        <f>_xludf.IMAGE("https://m.media-amazon.com/images/I/312zbXWYjSL._AC_UL320_.jpg")</f>
        <v/>
      </c>
      <c r="K308" t="inlineStr">
        <is>
          <t>23.99</t>
        </is>
      </c>
      <c r="L308" t="n">
        <v>19.79</v>
      </c>
      <c r="M308" s="1" t="inlineStr">
        <is>
          <t>-17.51%</t>
        </is>
      </c>
      <c r="N308" s="3" t="n">
        <v>-17.51</v>
      </c>
      <c r="O308" t="n">
        <v>4.5</v>
      </c>
      <c r="P308" t="n">
        <v>108</v>
      </c>
      <c r="R308" t="inlineStr">
        <is>
          <t>InStock</t>
        </is>
      </c>
      <c r="S308" t="inlineStr">
        <is>
          <t>23.99</t>
        </is>
      </c>
      <c r="T308" t="inlineStr">
        <is>
          <t>4099152117812</t>
        </is>
      </c>
    </row>
    <row r="309" hidden="1" ht="15.75" customHeight="1">
      <c r="A309" s="2">
        <f>HYPERLINK("https://www.shelhealth.com/products/850001271844-bambo-nature-diapers-baby-size-2-32-pk", "https://www.shelhealth.com/products/850001271844-bambo-nature-diapers-baby-size-2-32-pk")</f>
        <v/>
      </c>
      <c r="B309" s="2">
        <f>HYPERLINK("https://www.shelhealth.com/products/850001271844-bambo-nature-diapers-baby-size-2-32-pk", "https://www.shelhealth.com/products/850001271844-bambo-nature-diapers-baby-size-2-32-pk")</f>
        <v/>
      </c>
      <c r="C309" t="inlineStr">
        <is>
          <t>BAMBO NATURE: Diapers Baby Size 2, 32 pk</t>
        </is>
      </c>
      <c r="D309" t="inlineStr">
        <is>
          <t>Bambo Nature Premium Baby Diapers (SIZES 0 TO 6 AVAILABLE), Size 2, 32 Count</t>
        </is>
      </c>
      <c r="E309" s="2">
        <f>HYPERLINK("https://www.amazon.com/Bambo-Nature-Premium-Eco-Friendly-Diapers/dp/B08YRZVWGM/ref=sr_1_1?keywords=BAMBO+NATURE%3A+Diapers+Baby+Size+2%2C+32+pk&amp;qid=1695169951&amp;sr=8-1", "https://www.amazon.com/Bambo-Nature-Premium-Eco-Friendly-Diapers/dp/B08YRZVWGM/ref=sr_1_1?keywords=BAMBO+NATURE%3A+Diapers+Baby+Size+2%2C+32+pk&amp;qid=1695169951&amp;sr=8-1")</f>
        <v/>
      </c>
      <c r="F309" t="inlineStr">
        <is>
          <t>B08YRZVWGM</t>
        </is>
      </c>
      <c r="G309">
        <f>_xludf.IMAGE("https://www.shelhealth.com/cdn/shop/files/bambo-nature-diapers-baby-size-2-32-pk-shelhealth-774.jpg?v=1686494803&amp;width=1946")</f>
        <v/>
      </c>
      <c r="H309">
        <f>_xludf.IMAGE("https://m.media-amazon.com/images/I/81YESXADmOL._AC_UL320_.jpg")</f>
        <v/>
      </c>
      <c r="K309" t="inlineStr">
        <is>
          <t>16.99</t>
        </is>
      </c>
      <c r="L309" t="n">
        <v>13.99</v>
      </c>
      <c r="M309" s="1" t="inlineStr">
        <is>
          <t>-17.66%</t>
        </is>
      </c>
      <c r="N309" s="3" t="n">
        <v>-17.66</v>
      </c>
      <c r="O309" t="n">
        <v>4.3</v>
      </c>
      <c r="P309" t="n">
        <v>1840</v>
      </c>
      <c r="R309" t="inlineStr">
        <is>
          <t>InStock</t>
        </is>
      </c>
      <c r="S309" t="inlineStr">
        <is>
          <t>16.99</t>
        </is>
      </c>
      <c r="T309" t="inlineStr">
        <is>
          <t>7699134120168</t>
        </is>
      </c>
    </row>
    <row r="310" hidden="1" ht="15.75" customHeight="1">
      <c r="A310" s="2">
        <f>HYPERLINK("https://www.shelhealth.com/products/354973315426-hyland-s-baby-cough-syrup-4-oz", "https://www.shelhealth.com/products/354973315426-hyland-s-baby-cough-syrup-4-oz")</f>
        <v/>
      </c>
      <c r="B310" s="2">
        <f>HYPERLINK("https://www.shelhealth.com/products/354973315426-hyland-s-baby-cough-syrup-4-oz", "https://www.shelhealth.com/products/354973315426-hyland-s-baby-cough-syrup-4-oz")</f>
        <v/>
      </c>
      <c r="C310" t="inlineStr">
        <is>
          <t>Hyland'S Baby Cough Syrup, 4 Oz</t>
        </is>
      </c>
      <c r="D310" t="inlineStr">
        <is>
          <t>Hyland's Baby Cough Syrup, Multi, 4 Fl Oz</t>
        </is>
      </c>
      <c r="E310" s="2">
        <f>HYPERLINK("https://www.amazon.com/Hylands-Baby-Cough-Syrup/dp/B00AGA1U26/ref=sr_1_4?keywords=Hyland%27S+Baby+Cough+Syrup%2C+4+Oz&amp;qid=1695169940&amp;sr=8-4", "https://www.amazon.com/Hylands-Baby-Cough-Syrup/dp/B00AGA1U26/ref=sr_1_4?keywords=Hyland%27S+Baby+Cough+Syrup%2C+4+Oz&amp;qid=1695169940&amp;sr=8-4")</f>
        <v/>
      </c>
      <c r="F310" t="inlineStr">
        <is>
          <t>B00AGA1U26</t>
        </is>
      </c>
      <c r="G310">
        <f>_xludf.IMAGE("https://www.shelhealth.com/cdn/shop/products/hylands-baby-cough-syrup-4-oz-shelhealth-520.jpg?v=1663694221&amp;width=1946")</f>
        <v/>
      </c>
      <c r="H310">
        <f>_xludf.IMAGE("https://m.media-amazon.com/images/I/719Z248TCXL._AC_UL320_.jpg")</f>
        <v/>
      </c>
      <c r="K310" t="inlineStr">
        <is>
          <t>13.99</t>
        </is>
      </c>
      <c r="L310" t="n">
        <v>11.25</v>
      </c>
      <c r="M310" s="1" t="inlineStr">
        <is>
          <t>-19.59%</t>
        </is>
      </c>
      <c r="N310" s="3" t="n">
        <v>-19.59</v>
      </c>
      <c r="O310" t="n">
        <v>4.7</v>
      </c>
      <c r="P310" t="n">
        <v>25</v>
      </c>
      <c r="R310" t="inlineStr">
        <is>
          <t>InStock</t>
        </is>
      </c>
      <c r="S310" t="inlineStr">
        <is>
          <t>13.99</t>
        </is>
      </c>
      <c r="T310" t="inlineStr">
        <is>
          <t>7241709486268</t>
        </is>
      </c>
    </row>
    <row r="311" hidden="1" ht="15.75" customHeight="1">
      <c r="A311" s="2">
        <f>HYPERLINK("https://www.shelhealth.com/products/coppertone-water-babies-sunscreen-spf-50-lotion-2-pk-8-fl-oz", "https://www.shelhealth.com/products/coppertone-water-babies-sunscreen-spf-50-lotion-2-pk-8-fl-oz")</f>
        <v/>
      </c>
      <c r="B311" s="2">
        <f>HYPERLINK("https://www.shelhealth.com/products/coppertone-water-babies-sunscreen-spf-50-lotion-2-pk-8-fl-oz", "https://www.shelhealth.com/products/coppertone-water-babies-sunscreen-spf-50-lotion-2-pk-8-fl-oz")</f>
        <v/>
      </c>
      <c r="C311" t="inlineStr">
        <is>
          <t>Coppertone Water Babies Sunscreen SPF 50 Lotion, 2 pk./8 fl. oz.</t>
        </is>
      </c>
      <c r="D311" t="inlineStr">
        <is>
          <t>Coppertone Kids Sunscreen Lotion SPF 50, Water Resistant Sunscreen for Kids, 1 Pediatrician Recommended Sunscreen Brand, Tear Free Sunscreen Lotion, 8 Fl Oz Bottle (Pack of 2)</t>
        </is>
      </c>
      <c r="E311" s="2">
        <f>HYPERLINK("https://www.amazon.com/Coppertone-Sunscreen-Resistant-Pediatrician-Recommended/dp/B0C1GC5FWG/ref=sr_1_4?keywords=Coppertone+Water+Babies+Sunscreen+SPF+50+Lotion%2C+2+pk.%2F8+fl.+oz.&amp;qid=1695169945&amp;sr=8-4", "https://www.amazon.com/Coppertone-Sunscreen-Resistant-Pediatrician-Recommended/dp/B0C1GC5FWG/ref=sr_1_4?keywords=Coppertone+Water+Babies+Sunscreen+SPF+50+Lotion%2C+2+pk.%2F8+fl.+oz.&amp;qid=1695169945&amp;sr=8-4")</f>
        <v/>
      </c>
      <c r="F311" t="inlineStr">
        <is>
          <t>B0C1GC5FWG</t>
        </is>
      </c>
      <c r="G311">
        <f>_xludf.IMAGE("https://www.shelhealth.com/cdn/shop/products/coppertone-water-babies-sunscreen-spf-50-lotion-2-pk-8-fl-oz-shelhealth-103.jpg?v=1663353517&amp;width=1946")</f>
        <v/>
      </c>
      <c r="H311">
        <f>_xludf.IMAGE("https://m.media-amazon.com/images/I/4171Ok+AMAL._AC_UL320_.jpg")</f>
        <v/>
      </c>
      <c r="K311" t="inlineStr">
        <is>
          <t>19.99</t>
        </is>
      </c>
      <c r="L311" t="n">
        <v>15.96</v>
      </c>
      <c r="M311" s="1" t="inlineStr">
        <is>
          <t>-20.16%</t>
        </is>
      </c>
      <c r="N311" s="3" t="n">
        <v>-20.16</v>
      </c>
      <c r="O311" t="n">
        <v>4.6</v>
      </c>
      <c r="P311" t="n">
        <v>3</v>
      </c>
      <c r="R311" t="inlineStr">
        <is>
          <t>OutOfStock</t>
        </is>
      </c>
      <c r="S311" t="inlineStr">
        <is>
          <t>19.99</t>
        </is>
      </c>
      <c r="T311" t="inlineStr">
        <is>
          <t>4162278457396</t>
        </is>
      </c>
    </row>
    <row r="312" hidden="1" ht="15.75" customHeight="1">
      <c r="A312" s="2">
        <f>HYPERLINK("https://www.shelhealth.com/products/850001271882-bambo-nature-diapers-baby-size-6-24-pk", "https://www.shelhealth.com/products/850001271882-bambo-nature-diapers-baby-size-6-24-pk")</f>
        <v/>
      </c>
      <c r="B312" s="2">
        <f>HYPERLINK("https://www.shelhealth.com/products/850001271882-bambo-nature-diapers-baby-size-6-24-pk", "https://www.shelhealth.com/products/850001271882-bambo-nature-diapers-baby-size-6-24-pk")</f>
        <v/>
      </c>
      <c r="C312" t="inlineStr">
        <is>
          <t>BAMBO NATURE: Diapers Baby Size 6, 24 pk</t>
        </is>
      </c>
      <c r="D312" t="inlineStr">
        <is>
          <t>Bambo Nature Premium Baby Diapers (SIZES 0 TO 6 AVAILABLE), Size 6, 24 Count</t>
        </is>
      </c>
      <c r="E312" s="2">
        <f>HYPERLINK("https://www.amazon.com/Bambo-Nature-Premium-Eco-friendly-Diapers/dp/B08YRZDGLD/ref=sr_1_1?keywords=BAMBO+NATURE%3A+Diapers+Baby+Size+6%2C+24+pk&amp;qid=1695169940&amp;sr=8-1", "https://www.amazon.com/Bambo-Nature-Premium-Eco-friendly-Diapers/dp/B08YRZDGLD/ref=sr_1_1?keywords=BAMBO+NATURE%3A+Diapers+Baby+Size+6%2C+24+pk&amp;qid=1695169940&amp;sr=8-1")</f>
        <v/>
      </c>
      <c r="F312" t="inlineStr">
        <is>
          <t>B08YRZDGLD</t>
        </is>
      </c>
      <c r="G312">
        <f>_xludf.IMAGE("https://www.shelhealth.com/cdn/shop/products/bambo-nature-diapers-baby-size-6-24-pk-diaper-care-shelhealth-852.jpg?v=1663823005&amp;width=1946")</f>
        <v/>
      </c>
      <c r="H312">
        <f>_xludf.IMAGE("https://m.media-amazon.com/images/I/81mmChY4fPL._AC_UL320_.jpg")</f>
        <v/>
      </c>
      <c r="K312" t="inlineStr">
        <is>
          <t>16.99</t>
        </is>
      </c>
      <c r="L312" t="n">
        <v>13.49</v>
      </c>
      <c r="M312" s="1" t="inlineStr">
        <is>
          <t>-20.60%</t>
        </is>
      </c>
      <c r="N312" s="3" t="n">
        <v>-20.6</v>
      </c>
      <c r="O312" t="n">
        <v>4.3</v>
      </c>
      <c r="P312" t="n">
        <v>1840</v>
      </c>
      <c r="R312" t="inlineStr">
        <is>
          <t>InStock</t>
        </is>
      </c>
      <c r="S312" t="inlineStr">
        <is>
          <t>16.99</t>
        </is>
      </c>
      <c r="T312" t="inlineStr">
        <is>
          <t>7699134349544</t>
        </is>
      </c>
    </row>
    <row r="313" hidden="1" ht="15.75" customHeight="1">
      <c r="A313" s="2">
        <f>HYPERLINK("https://www.shelhealth.com/products/boudreauxs-butt-paste-diaper-rash-ointment-maximum-strength-8-oz", "https://www.shelhealth.com/products/boudreauxs-butt-paste-diaper-rash-ointment-maximum-strength-8-oz")</f>
        <v/>
      </c>
      <c r="B313" s="2">
        <f>HYPERLINK("https://www.shelhealth.com/products/boudreauxs-butt-paste-diaper-rash-ointment-maximum-strength-8-oz", "https://www.shelhealth.com/products/boudreauxs-butt-paste-diaper-rash-ointment-maximum-strength-8-oz")</f>
        <v/>
      </c>
      <c r="C313" t="inlineStr">
        <is>
          <t>Boudreaux's Butt Paste Diaper Rash Ointment | Maximum Strength | 8 oz.</t>
        </is>
      </c>
      <c r="D313" t="inlineStr">
        <is>
          <t>Boudreaux's Butt Paste Diaper Rash Ointment Original 2 oz (Pack of 2)</t>
        </is>
      </c>
      <c r="E313" s="2">
        <f>HYPERLINK("https://www.amazon.com/Boudreauxs-Butt-Paste-Size-2z/dp/B00E4MQG26/ref=sr_1_6?keywords=Boudreauxs+Butt+Paste+Diaper+Rash+Ointment+%7C+Maximum+Strength+%7C+8+oz.&amp;qid=1695169963&amp;sr=8-6", "https://www.amazon.com/Boudreauxs-Butt-Paste-Size-2z/dp/B00E4MQG26/ref=sr_1_6?keywords=Boudreauxs+Butt+Paste+Diaper+Rash+Ointment+%7C+Maximum+Strength+%7C+8+oz.&amp;qid=1695169963&amp;sr=8-6")</f>
        <v/>
      </c>
      <c r="F313" t="inlineStr">
        <is>
          <t>B00E4MQG26</t>
        </is>
      </c>
      <c r="G313">
        <f>_xludf.IMAGE("https://www.shelhealth.com/cdn/shop/products/boudreauxs-butt-paste-diaper-rash-ointment-maximum-strength-8-oz-shelhealth-107.jpg?v=1663350839&amp;width=1946")</f>
        <v/>
      </c>
      <c r="H313">
        <f>_xludf.IMAGE("https://m.media-amazon.com/images/I/61gQu-GsDbL._AC_UL320_.jpg")</f>
        <v/>
      </c>
      <c r="K313" t="inlineStr">
        <is>
          <t>16.99</t>
        </is>
      </c>
      <c r="L313" t="n">
        <v>12.96</v>
      </c>
      <c r="M313" s="1" t="inlineStr">
        <is>
          <t>-23.72%</t>
        </is>
      </c>
      <c r="N313" s="3" t="n">
        <v>-23.72</v>
      </c>
      <c r="O313" t="n">
        <v>4.8</v>
      </c>
      <c r="P313" t="n">
        <v>110</v>
      </c>
      <c r="R313" t="inlineStr">
        <is>
          <t>InStock</t>
        </is>
      </c>
      <c r="S313" t="inlineStr">
        <is>
          <t>16.99</t>
        </is>
      </c>
      <c r="T313" t="inlineStr">
        <is>
          <t>4099171287092</t>
        </is>
      </c>
    </row>
    <row r="314" hidden="1" ht="15.75" customHeight="1">
      <c r="A314" s="2">
        <f>HYPERLINK("https://www.shelhealth.com/products/850317008134-bambo-nature-snuggle-time-body-lotion-16-9-oz", "https://www.shelhealth.com/products/850317008134-bambo-nature-snuggle-time-body-lotion-16-9-oz")</f>
        <v/>
      </c>
      <c r="B314" s="2">
        <f>HYPERLINK("https://www.shelhealth.com/products/850317008134-bambo-nature-snuggle-time-body-lotion-16-9-oz", "https://www.shelhealth.com/products/850317008134-bambo-nature-snuggle-time-body-lotion-16-9-oz")</f>
        <v/>
      </c>
      <c r="C314" t="inlineStr">
        <is>
          <t>BAMBO NATURE: Snuggle Time Body Lotion, 16.9 oz</t>
        </is>
      </c>
      <c r="D314" t="inlineStr">
        <is>
          <t>Bambo Nature Snuggle Time Body Lotion, 16.9 fl oz Bottle, 1 Count</t>
        </is>
      </c>
      <c r="E314" s="2">
        <f>HYPERLINK("https://www.amazon.com/Bambo-Nature-nature-Snuggle-Lotion/dp/B0845CFK6T/ref=sr_1_1?keywords=BAMBO+NATURE%3A+Snuggle+Time+Body+Lotion%2C+16.9+oz&amp;qid=1695169934&amp;sr=8-1", "https://www.amazon.com/Bambo-Nature-nature-Snuggle-Lotion/dp/B0845CFK6T/ref=sr_1_1?keywords=BAMBO+NATURE%3A+Snuggle+Time+Body+Lotion%2C+16.9+oz&amp;qid=1695169934&amp;sr=8-1")</f>
        <v/>
      </c>
      <c r="F314" t="inlineStr">
        <is>
          <t>B0845CFK6T</t>
        </is>
      </c>
      <c r="G314">
        <f>_xludf.IMAGE("https://www.shelhealth.com/cdn/shop/files/bambo-nature-snuggle-time-body-lotion-16-9-oz-baby-shelhealth-993.jpg?v=1686257864&amp;width=1946")</f>
        <v/>
      </c>
      <c r="H314">
        <f>_xludf.IMAGE("https://m.media-amazon.com/images/I/51RdcpRruVL._AC_UL320_.jpg")</f>
        <v/>
      </c>
      <c r="K314" t="inlineStr">
        <is>
          <t>18.99</t>
        </is>
      </c>
      <c r="L314" t="n">
        <v>13.99</v>
      </c>
      <c r="M314" s="1" t="inlineStr">
        <is>
          <t>-26.33%</t>
        </is>
      </c>
      <c r="N314" s="3" t="n">
        <v>-26.33</v>
      </c>
      <c r="O314" t="n">
        <v>5</v>
      </c>
      <c r="P314" t="n">
        <v>5</v>
      </c>
      <c r="R314" t="inlineStr">
        <is>
          <t>OutOfStock</t>
        </is>
      </c>
      <c r="S314" t="inlineStr">
        <is>
          <t>18.99</t>
        </is>
      </c>
      <c r="T314" t="inlineStr">
        <is>
          <t>7699134382312</t>
        </is>
      </c>
    </row>
    <row r="315" hidden="1" ht="15.75" customHeight="1">
      <c r="A315" s="2">
        <f>HYPERLINK("https://www.shelhealth.com/products/850001271875-bambo-nature-diapers-baby-size-5-25-pk", "https://www.shelhealth.com/products/850001271875-bambo-nature-diapers-baby-size-5-25-pk")</f>
        <v/>
      </c>
      <c r="B315" s="2">
        <f>HYPERLINK("https://www.shelhealth.com/products/850001271875-bambo-nature-diapers-baby-size-5-25-pk", "https://www.shelhealth.com/products/850001271875-bambo-nature-diapers-baby-size-5-25-pk")</f>
        <v/>
      </c>
      <c r="C315" t="inlineStr">
        <is>
          <t>BAMBO NATURE: Diapers Baby Size 5, 25 pk</t>
        </is>
      </c>
      <c r="D315" t="inlineStr">
        <is>
          <t>Bambo Nature Premium Baby Diapers (SIZES 0 TO 6 AVAILABLE), Size 5, 25 Count</t>
        </is>
      </c>
      <c r="E315" s="2">
        <f>HYPERLINK("https://www.amazon.com/Bambo-Nature-Premium-Eco-Friendly-Diapers/dp/B08YRZP3KJ/ref=sr_1_1?keywords=BAMBO+NATURE%3A+Diapers+Baby+Size+5%2C+25+pk&amp;qid=1695169927&amp;sr=8-1", "https://www.amazon.com/Bambo-Nature-Premium-Eco-Friendly-Diapers/dp/B08YRZP3KJ/ref=sr_1_1?keywords=BAMBO+NATURE%3A+Diapers+Baby+Size+5%2C+25+pk&amp;qid=1695169927&amp;sr=8-1")</f>
        <v/>
      </c>
      <c r="F315" t="inlineStr">
        <is>
          <t>B08YRZP3KJ</t>
        </is>
      </c>
      <c r="G315">
        <f>_xludf.IMAGE("https://www.shelhealth.com/cdn/shop/products/bambo-nature-diapers-baby-size-5-25-pk-diaper-care-shelhealth-370.jpg?v=1663822984&amp;width=1946")</f>
        <v/>
      </c>
      <c r="H315">
        <f>_xludf.IMAGE("https://m.media-amazon.com/images/I/8175s9y8SfL._AC_UL320_.jpg")</f>
        <v/>
      </c>
      <c r="K315" t="inlineStr">
        <is>
          <t>16.99</t>
        </is>
      </c>
      <c r="L315" t="n">
        <v>11.6</v>
      </c>
      <c r="M315" s="1" t="inlineStr">
        <is>
          <t>-31.72%</t>
        </is>
      </c>
      <c r="N315" s="3" t="n">
        <v>-31.72</v>
      </c>
      <c r="O315" t="n">
        <v>4.3</v>
      </c>
      <c r="P315" t="n">
        <v>1840</v>
      </c>
      <c r="R315" t="inlineStr">
        <is>
          <t>InStock</t>
        </is>
      </c>
      <c r="S315" t="inlineStr">
        <is>
          <t>16.99</t>
        </is>
      </c>
      <c r="T315" t="inlineStr">
        <is>
          <t>7699134316776</t>
        </is>
      </c>
    </row>
    <row r="316" hidden="1" ht="15.75" customHeight="1">
      <c r="A316" s="2">
        <f>HYPERLINK("https://www.shelhealth.com/products/berkley-jensen-green-tea-cucumber-scented-baby-wipes-9-pk-100-ct", "https://www.shelhealth.com/products/berkley-jensen-green-tea-cucumber-scented-baby-wipes-9-pk-100-ct")</f>
        <v/>
      </c>
      <c r="B316" s="2">
        <f>HYPERLINK("https://www.shelhealth.com/products/berkley-jensen-green-tea-cucumber-scented-baby-wipes-9-pk-100-ct", "https://www.shelhealth.com/products/berkley-jensen-green-tea-cucumber-scented-baby-wipes-9-pk-100-ct")</f>
        <v/>
      </c>
      <c r="C316" t="inlineStr">
        <is>
          <t>Berkley Jensen Green Tea &amp; Cucumber Scented Baby Wipes, 9 pk./100 ct.</t>
        </is>
      </c>
      <c r="D316" t="inlineStr">
        <is>
          <t>Berkley Jensen Green Tea &amp; Cucumber Scented Baby Wipes, 9 pk./100 ct.</t>
        </is>
      </c>
      <c r="E316" s="2">
        <f>HYPERLINK("https://www.amazon.com/Berkley-Jensen-Green-Cucumber-Scented/dp/B08L6YLPXH/ref=sr_1_1?keywords=Berkley+Jensen+Green+Tea&amp;qid=1695169930&amp;sr=8-1", "https://www.amazon.com/Berkley-Jensen-Green-Cucumber-Scented/dp/B08L6YLPXH/ref=sr_1_1?keywords=Berkley+Jensen+Green+Tea&amp;qid=1695169930&amp;sr=8-1")</f>
        <v/>
      </c>
      <c r="F316" t="inlineStr">
        <is>
          <t>B08L6YLPXH</t>
        </is>
      </c>
      <c r="G316">
        <f>_xludf.IMAGE("https://www.shelhealth.com/cdn/shop/products/berkley-jensen-green-tea-cucumber-scented-baby-wipes-9-pk-100-ct-shelhealth-743.jpg?v=1663354846&amp;width=1946")</f>
        <v/>
      </c>
      <c r="H316">
        <f>_xludf.IMAGE("https://m.media-amazon.com/images/I/81qSkp7u9sL._AC_UL320_.jpg")</f>
        <v/>
      </c>
      <c r="K316" t="inlineStr">
        <is>
          <t>49.99</t>
        </is>
      </c>
      <c r="L316" t="n">
        <v>33.98</v>
      </c>
      <c r="M316" s="1" t="inlineStr">
        <is>
          <t>-32.03%</t>
        </is>
      </c>
      <c r="N316" s="3" t="n">
        <v>-32.03</v>
      </c>
      <c r="O316" t="n">
        <v>4.5</v>
      </c>
      <c r="P316" t="n">
        <v>12</v>
      </c>
      <c r="R316" t="inlineStr">
        <is>
          <t>InStock</t>
        </is>
      </c>
      <c r="S316" t="inlineStr">
        <is>
          <t>49.99</t>
        </is>
      </c>
      <c r="T316" t="inlineStr">
        <is>
          <t>4169485778996</t>
        </is>
      </c>
    </row>
    <row r="317" hidden="1" ht="15.75" customHeight="1">
      <c r="A317" s="2">
        <f>HYPERLINK("https://www.shelhealth.com/products/coppertone-water-babies-sunscreen-spf-50-lotion-2-pk-8-fl-oz", "https://www.shelhealth.com/products/coppertone-water-babies-sunscreen-spf-50-lotion-2-pk-8-fl-oz")</f>
        <v/>
      </c>
      <c r="B317" s="2">
        <f>HYPERLINK("https://www.shelhealth.com/products/coppertone-water-babies-sunscreen-spf-50-lotion-2-pk-8-fl-oz", "https://www.shelhealth.com/products/coppertone-water-babies-sunscreen-spf-50-lotion-2-pk-8-fl-oz")</f>
        <v/>
      </c>
      <c r="C317" t="inlineStr">
        <is>
          <t>Coppertone Water Babies Sunscreen SPF 50 Lotion, 2 pk./8 fl. oz.</t>
        </is>
      </c>
      <c r="D317" t="inlineStr">
        <is>
          <t>Coppertone Kids Suntan Lotion, Water Resistant Broad Spectrum SPF 50 Sunscreen for Kids, 8 oz (Pack of 2)</t>
        </is>
      </c>
      <c r="E317" s="2">
        <f>HYPERLINK("https://www.amazon.com/Coppertone-Suntan-Resistant-Spectrum-Sunscreen/dp/B08QTHV8PR/ref=sr_1_9?keywords=Coppertone+Water+Babies+Sunscreen+SPF+50+Lotion%2C+2+pk.%2F8+fl.+oz.&amp;qid=1695169945&amp;sr=8-9", "https://www.amazon.com/Coppertone-Suntan-Resistant-Spectrum-Sunscreen/dp/B08QTHV8PR/ref=sr_1_9?keywords=Coppertone+Water+Babies+Sunscreen+SPF+50+Lotion%2C+2+pk.%2F8+fl.+oz.&amp;qid=1695169945&amp;sr=8-9")</f>
        <v/>
      </c>
      <c r="F317" t="inlineStr">
        <is>
          <t>B08QTHV8PR</t>
        </is>
      </c>
      <c r="G317">
        <f>_xludf.IMAGE("https://www.shelhealth.com/cdn/shop/products/coppertone-water-babies-sunscreen-spf-50-lotion-2-pk-8-fl-oz-shelhealth-103.jpg?v=1663353517&amp;width=1946")</f>
        <v/>
      </c>
      <c r="H317">
        <f>_xludf.IMAGE("https://m.media-amazon.com/images/I/81qvVsnt-KL._AC_UL320_.jpg")</f>
        <v/>
      </c>
      <c r="K317" t="inlineStr">
        <is>
          <t>19.99</t>
        </is>
      </c>
      <c r="L317" t="n">
        <v>12.99</v>
      </c>
      <c r="M317" s="1" t="inlineStr">
        <is>
          <t>-35.02%</t>
        </is>
      </c>
      <c r="N317" s="3" t="n">
        <v>-35.02</v>
      </c>
      <c r="O317" t="n">
        <v>5</v>
      </c>
      <c r="P317" t="n">
        <v>2</v>
      </c>
      <c r="R317" t="inlineStr">
        <is>
          <t>OutOfStock</t>
        </is>
      </c>
      <c r="S317" t="inlineStr">
        <is>
          <t>19.99</t>
        </is>
      </c>
      <c r="T317" t="inlineStr">
        <is>
          <t>4162278457396</t>
        </is>
      </c>
    </row>
    <row r="318" hidden="1" ht="15.75" customHeight="1">
      <c r="A318" s="2">
        <f>HYPERLINK("https://www.shelhealth.com/products/354973315426-hyland-s-baby-cough-syrup-4-oz", "https://www.shelhealth.com/products/354973315426-hyland-s-baby-cough-syrup-4-oz")</f>
        <v/>
      </c>
      <c r="B318" s="2">
        <f>HYPERLINK("https://www.shelhealth.com/products/354973315426-hyland-s-baby-cough-syrup-4-oz", "https://www.shelhealth.com/products/354973315426-hyland-s-baby-cough-syrup-4-oz")</f>
        <v/>
      </c>
      <c r="C318" t="inlineStr">
        <is>
          <t>Hyland'S Baby Cough Syrup, 4 Oz</t>
        </is>
      </c>
      <c r="D318" t="inlineStr">
        <is>
          <t>Hyland’s Naturals Baby, Cough Syrup, Daytime, Infant and Baby Cold Medicine, Natural Relief of Coughs Due to Colds, 4 Fl Oz Packaging may vary</t>
        </is>
      </c>
      <c r="E318" s="2">
        <f>HYPERLINK("https://www.amazon.com/Hylands-Natural-Relief-Coughs-Ounces/dp/B005VUKSX8/ref=sr_1_2?keywords=Hyland%27S+Baby+Cough+Syrup%2C+4+Oz&amp;qid=1695169940&amp;sr=8-2", "https://www.amazon.com/Hylands-Natural-Relief-Coughs-Ounces/dp/B005VUKSX8/ref=sr_1_2?keywords=Hyland%27S+Baby+Cough+Syrup%2C+4+Oz&amp;qid=1695169940&amp;sr=8-2")</f>
        <v/>
      </c>
      <c r="F318" t="inlineStr">
        <is>
          <t>B005VUKSX8</t>
        </is>
      </c>
      <c r="G318">
        <f>_xludf.IMAGE("https://www.shelhealth.com/cdn/shop/products/hylands-baby-cough-syrup-4-oz-shelhealth-520.jpg?v=1663694221&amp;width=1946")</f>
        <v/>
      </c>
      <c r="H318">
        <f>_xludf.IMAGE("https://m.media-amazon.com/images/I/71gXcGtexnL._AC_UL320_.jpg")</f>
        <v/>
      </c>
      <c r="K318" t="inlineStr">
        <is>
          <t>13.99</t>
        </is>
      </c>
      <c r="L318" t="n">
        <v>8.99</v>
      </c>
      <c r="M318" s="1" t="inlineStr">
        <is>
          <t>-35.74%</t>
        </is>
      </c>
      <c r="N318" s="3" t="n">
        <v>-35.74</v>
      </c>
      <c r="O318" t="n">
        <v>4.7</v>
      </c>
      <c r="P318" t="n">
        <v>549</v>
      </c>
      <c r="R318" t="inlineStr">
        <is>
          <t>InStock</t>
        </is>
      </c>
      <c r="S318" t="inlineStr">
        <is>
          <t>13.99</t>
        </is>
      </c>
      <c r="T318" t="inlineStr">
        <is>
          <t>7241709486268</t>
        </is>
      </c>
    </row>
    <row r="319" hidden="1" ht="15.75" customHeight="1">
      <c r="A319" s="2">
        <f>HYPERLINK("https://www.shelhealth.com/products/boudreauxs-butt-paste-diaper-rash-ointment-maximum-strength-8-oz", "https://www.shelhealth.com/products/boudreauxs-butt-paste-diaper-rash-ointment-maximum-strength-8-oz")</f>
        <v/>
      </c>
      <c r="B319" s="2">
        <f>HYPERLINK("https://www.shelhealth.com/products/boudreauxs-butt-paste-diaper-rash-ointment-maximum-strength-8-oz", "https://www.shelhealth.com/products/boudreauxs-butt-paste-diaper-rash-ointment-maximum-strength-8-oz")</f>
        <v/>
      </c>
      <c r="C319" t="inlineStr">
        <is>
          <t>Boudreaux's Butt Paste Diaper Rash Ointment | Maximum Strength | 8 oz.</t>
        </is>
      </c>
      <c r="D319" t="inlineStr">
        <is>
          <t>Boudreaux's Butt Paste with Natural* Aloe Diaper Rash Cream, Ointment for Baby, 4 oz Tube, 2 Pack</t>
        </is>
      </c>
      <c r="E319" s="2">
        <f>HYPERLINK("https://www.amazon.com/Boudreauxs-Butt-Paste-Ointment-Natural/dp/B07H96BB4M/ref=sr_1_3?keywords=Boudreauxs+Butt+Paste+Diaper+Rash+Ointment+%7C+Maximum+Strength+%7C+8+oz.&amp;qid=1695169963&amp;sr=8-3", "https://www.amazon.com/Boudreauxs-Butt-Paste-Ointment-Natural/dp/B07H96BB4M/ref=sr_1_3?keywords=Boudreauxs+Butt+Paste+Diaper+Rash+Ointment+%7C+Maximum+Strength+%7C+8+oz.&amp;qid=1695169963&amp;sr=8-3")</f>
        <v/>
      </c>
      <c r="F319" t="inlineStr">
        <is>
          <t>B07H96BB4M</t>
        </is>
      </c>
      <c r="G319">
        <f>_xludf.IMAGE("https://www.shelhealth.com/cdn/shop/products/boudreauxs-butt-paste-diaper-rash-ointment-maximum-strength-8-oz-shelhealth-107.jpg?v=1663350839&amp;width=1946")</f>
        <v/>
      </c>
      <c r="H319">
        <f>_xludf.IMAGE("https://m.media-amazon.com/images/I/718PaQXc57L._AC_UL320_.jpg")</f>
        <v/>
      </c>
      <c r="K319" t="inlineStr">
        <is>
          <t>16.99</t>
        </is>
      </c>
      <c r="L319" t="n">
        <v>10.91</v>
      </c>
      <c r="M319" s="1" t="inlineStr">
        <is>
          <t>-35.79%</t>
        </is>
      </c>
      <c r="N319" s="3" t="n">
        <v>-35.79</v>
      </c>
      <c r="O319" t="n">
        <v>4.8</v>
      </c>
      <c r="P319" t="n">
        <v>7241</v>
      </c>
      <c r="R319" t="inlineStr">
        <is>
          <t>InStock</t>
        </is>
      </c>
      <c r="S319" t="inlineStr">
        <is>
          <t>16.99</t>
        </is>
      </c>
      <c r="T319" t="inlineStr">
        <is>
          <t>4099171287092</t>
        </is>
      </c>
    </row>
    <row r="320" hidden="1" ht="15.75" customHeight="1">
      <c r="A320" s="2">
        <f>HYPERLINK("https://www.shelhealth.com/products/679234054105-mommy-s-bliss-gripe-water-night-time-4-fo", "https://www.shelhealth.com/products/679234054105-mommy-s-bliss-gripe-water-night-time-4-fo")</f>
        <v/>
      </c>
      <c r="B320" s="2">
        <f>HYPERLINK("https://www.shelhealth.com/products/679234054105-mommy-s-bliss-gripe-water-night-time-4-fo", "https://www.shelhealth.com/products/679234054105-mommy-s-bliss-gripe-water-night-time-4-fo")</f>
        <v/>
      </c>
      <c r="C320" t="inlineStr">
        <is>
          <t>Mommy'S Bliss Gripe Water Night Time, 4 Fo</t>
        </is>
      </c>
      <c r="D320" t="inlineStr">
        <is>
          <t>Mommy's Bliss Gripe Water Night Time, Infant Gas &amp; Colic Relief, Gentle &amp; Safe, 4 Weeks+, 4 FL OZ Bottle (Pack of 1)</t>
        </is>
      </c>
      <c r="E320" s="2">
        <f>HYPERLINK("https://www.amazon.com/Mommys-Bliss-Gripe-Water-Bottle/dp/B00R42HKGO/ref=sr_1_2?keywords=mommy%27s+bliss+gripe+water+night+time%2C+4+fo&amp;qid=1695169938&amp;sr=8-2", "https://www.amazon.com/Mommys-Bliss-Gripe-Water-Bottle/dp/B00R42HKGO/ref=sr_1_2?keywords=mommy%27s+bliss+gripe+water+night+time%2C+4+fo&amp;qid=1695169938&amp;sr=8-2")</f>
        <v/>
      </c>
      <c r="F320" t="inlineStr">
        <is>
          <t>B00R42HKGO</t>
        </is>
      </c>
      <c r="G320">
        <f>_xludf.IMAGE("https://www.shelhealth.com/cdn/shop/files/mommys-bliss-gripe-water-night-time-4-fo-baby-shelhealth-583.jpg?v=1693229587&amp;width=1946")</f>
        <v/>
      </c>
      <c r="H320">
        <f>_xludf.IMAGE("https://m.media-amazon.com/images/I/81VNVlt7MvL._AC_UL320_.jpg")</f>
        <v/>
      </c>
      <c r="K320" t="inlineStr">
        <is>
          <t>18.99</t>
        </is>
      </c>
      <c r="L320" t="n">
        <v>12.12</v>
      </c>
      <c r="M320" s="1" t="inlineStr">
        <is>
          <t>-36.18%</t>
        </is>
      </c>
      <c r="N320" s="3" t="n">
        <v>-36.18</v>
      </c>
      <c r="O320" t="n">
        <v>4.6</v>
      </c>
      <c r="P320" t="n">
        <v>4687</v>
      </c>
      <c r="R320" t="inlineStr">
        <is>
          <t>OutOfStock</t>
        </is>
      </c>
      <c r="S320" t="inlineStr">
        <is>
          <t>18.99</t>
        </is>
      </c>
      <c r="T320" t="inlineStr">
        <is>
          <t>7241822765244</t>
        </is>
      </c>
    </row>
    <row r="321" hidden="1" ht="15.75" customHeight="1">
      <c r="A321" s="2">
        <f>HYPERLINK("https://www.shelhealth.com/products/679234054105-mommy-s-bliss-gripe-water-night-time-4-fo", "https://www.shelhealth.com/products/679234054105-mommy-s-bliss-gripe-water-night-time-4-fo")</f>
        <v/>
      </c>
      <c r="B321" s="2">
        <f>HYPERLINK("https://www.shelhealth.com/products/679234054105-mommy-s-bliss-gripe-water-night-time-4-fo", "https://www.shelhealth.com/products/679234054105-mommy-s-bliss-gripe-water-night-time-4-fo")</f>
        <v/>
      </c>
      <c r="C321" t="inlineStr">
        <is>
          <t>Mommy'S Bliss Gripe Water Night Time, 4 Fo</t>
        </is>
      </c>
      <c r="D321" t="inlineStr">
        <is>
          <t>Mommy's Bliss Organic Gripe Water Gel for Newborns, Extra Gentle Gel, Relieves Occasional Stomach Discomfort from Gas, Colic &amp; Fussiness, Easy Administration, Age 2 Weeks +, 0.53 Oz (45 Servings)</t>
        </is>
      </c>
      <c r="E321" s="2">
        <f>HYPERLINK("https://www.amazon.com/Mommys-Bliss-Occasional-Discomfort-Administration/dp/B08PQ5DL76/ref=sr_1_6?keywords=mommy%27s+bliss+gripe+water+night+time%2C+4+fo&amp;qid=1695169938&amp;sr=8-6", "https://www.amazon.com/Mommys-Bliss-Occasional-Discomfort-Administration/dp/B08PQ5DL76/ref=sr_1_6?keywords=mommy%27s+bliss+gripe+water+night+time%2C+4+fo&amp;qid=1695169938&amp;sr=8-6")</f>
        <v/>
      </c>
      <c r="F321" t="inlineStr">
        <is>
          <t>B08PQ5DL76</t>
        </is>
      </c>
      <c r="G321">
        <f>_xludf.IMAGE("https://www.shelhealth.com/cdn/shop/files/mommys-bliss-gripe-water-night-time-4-fo-baby-shelhealth-583.jpg?v=1693229587&amp;width=1946")</f>
        <v/>
      </c>
      <c r="H321">
        <f>_xludf.IMAGE("https://m.media-amazon.com/images/I/81jZ0thrQuL._AC_UL320_.jpg")</f>
        <v/>
      </c>
      <c r="K321" t="inlineStr">
        <is>
          <t>18.99</t>
        </is>
      </c>
      <c r="L321" t="n">
        <v>11.94</v>
      </c>
      <c r="M321" s="1" t="inlineStr">
        <is>
          <t>-37.12%</t>
        </is>
      </c>
      <c r="N321" s="3" t="n">
        <v>-37.12</v>
      </c>
      <c r="O321" t="n">
        <v>4.6</v>
      </c>
      <c r="P321" t="n">
        <v>1875</v>
      </c>
      <c r="R321" t="inlineStr">
        <is>
          <t>OutOfStock</t>
        </is>
      </c>
      <c r="S321" t="inlineStr">
        <is>
          <t>18.99</t>
        </is>
      </c>
      <c r="T321" t="inlineStr">
        <is>
          <t>7241822765244</t>
        </is>
      </c>
    </row>
    <row r="322" hidden="1" ht="15.75" customHeight="1">
      <c r="A322" s="2">
        <f>HYPERLINK("https://www.shelhealth.com/products/boudreauxs-butt-paste-diaper-rash-ointment-maximum-strength-8-oz", "https://www.shelhealth.com/products/boudreauxs-butt-paste-diaper-rash-ointment-maximum-strength-8-oz")</f>
        <v/>
      </c>
      <c r="B322" s="2">
        <f>HYPERLINK("https://www.shelhealth.com/products/boudreauxs-butt-paste-diaper-rash-ointment-maximum-strength-8-oz", "https://www.shelhealth.com/products/boudreauxs-butt-paste-diaper-rash-ointment-maximum-strength-8-oz")</f>
        <v/>
      </c>
      <c r="C322" t="inlineStr">
        <is>
          <t>Boudreaux's Butt Paste Diaper Rash Ointment | Maximum Strength | 8 oz.</t>
        </is>
      </c>
      <c r="D322" t="inlineStr">
        <is>
          <t>Triple Paste 3X Max Diaper Rash Ointment, Maximum Strength Zinc Oxide Ointment for Severe Diaper Rash, 2 oz Tube</t>
        </is>
      </c>
      <c r="E322" s="2">
        <f>HYPERLINK("https://www.amazon.com/Triple-Paste-Ointment-Maximum-Strength/dp/B0BMN4KFM6/ref=sr_1_7?keywords=Boudreauxs+Butt+Paste+Diaper+Rash+Ointment+%7C+Maximum+Strength+%7C+8+oz.&amp;qid=1695169963&amp;sr=8-7", "https://www.amazon.com/Triple-Paste-Ointment-Maximum-Strength/dp/B0BMN4KFM6/ref=sr_1_7?keywords=Boudreauxs+Butt+Paste+Diaper+Rash+Ointment+%7C+Maximum+Strength+%7C+8+oz.&amp;qid=1695169963&amp;sr=8-7")</f>
        <v/>
      </c>
      <c r="F322" t="inlineStr">
        <is>
          <t>B0BMN4KFM6</t>
        </is>
      </c>
      <c r="G322">
        <f>_xludf.IMAGE("https://www.shelhealth.com/cdn/shop/products/boudreauxs-butt-paste-diaper-rash-ointment-maximum-strength-8-oz-shelhealth-107.jpg?v=1663350839&amp;width=1946")</f>
        <v/>
      </c>
      <c r="H322">
        <f>_xludf.IMAGE("https://m.media-amazon.com/images/I/71nZ8quF0WL._AC_UL320_.jpg")</f>
        <v/>
      </c>
      <c r="K322" t="inlineStr">
        <is>
          <t>16.99</t>
        </is>
      </c>
      <c r="L322" t="n">
        <v>10.49</v>
      </c>
      <c r="M322" s="1" t="inlineStr">
        <is>
          <t>-38.26%</t>
        </is>
      </c>
      <c r="N322" s="3" t="n">
        <v>-38.26</v>
      </c>
      <c r="O322" t="n">
        <v>4.7</v>
      </c>
      <c r="P322" t="n">
        <v>350</v>
      </c>
      <c r="R322" t="inlineStr">
        <is>
          <t>InStock</t>
        </is>
      </c>
      <c r="S322" t="inlineStr">
        <is>
          <t>16.99</t>
        </is>
      </c>
      <c r="T322" t="inlineStr">
        <is>
          <t>4099171287092</t>
        </is>
      </c>
    </row>
    <row r="323" hidden="1" ht="15.75" customHeight="1">
      <c r="A323" s="2">
        <f>HYPERLINK("https://www.shelhealth.com/products/354973315815-hyland-s-baby-tiny-cold-tablets-125-quick-dissolving-tablets", "https://www.shelhealth.com/products/354973315815-hyland-s-baby-tiny-cold-tablets-125-quick-dissolving-tablets")</f>
        <v/>
      </c>
      <c r="B323" s="2">
        <f>HYPERLINK("https://www.shelhealth.com/products/354973315815-hyland-s-baby-tiny-cold-tablets-125-quick-dissolving-tablets", "https://www.shelhealth.com/products/354973315815-hyland-s-baby-tiny-cold-tablets-125-quick-dissolving-tablets")</f>
        <v/>
      </c>
      <c r="C323" t="inlineStr">
        <is>
          <t>Hyland'S Baby Tiny Cold Tablets, 125 Quick-Dissolving Tablets</t>
        </is>
      </c>
      <c r="D323" t="inlineStr">
        <is>
          <t>Hyland’s Naturals Baby Tiny Cold Tablets, Daytime, Infant and Baby Cold Medicine, Decongestant, Runny Nose &amp; Cough Relief, 125 Quick-Dissolving Tablets</t>
        </is>
      </c>
      <c r="E323" s="2">
        <f>HYPERLINK("https://www.amazon.com/Hylands-Baby-Congestion-Sleeplessness-Quick-Dissolving/dp/B006OC6FWK/ref=sr_1_1?keywords=Hyland%27S+Baby+Tiny+Cold+Tablets%2C+125+Quick-Dissolving+Tablets&amp;qid=1695169938&amp;sr=8-1", "https://www.amazon.com/Hylands-Baby-Congestion-Sleeplessness-Quick-Dissolving/dp/B006OC6FWK/ref=sr_1_1?keywords=Hyland%27S+Baby+Tiny+Cold+Tablets%2C+125+Quick-Dissolving+Tablets&amp;qid=1695169938&amp;sr=8-1")</f>
        <v/>
      </c>
      <c r="F323" t="inlineStr">
        <is>
          <t>B006OC6FWK</t>
        </is>
      </c>
      <c r="G323">
        <f>_xludf.IMAGE("https://www.shelhealth.com/cdn/shop/products/hylands-baby-tiny-cold-tablets-125-quick-dissolving-shelhealth-759.jpg?v=1663694258&amp;width=1946")</f>
        <v/>
      </c>
      <c r="H323">
        <f>_xludf.IMAGE("https://m.media-amazon.com/images/I/81vp0IBrrIL._AC_UL320_.jpg")</f>
        <v/>
      </c>
      <c r="K323" t="inlineStr">
        <is>
          <t>14.99</t>
        </is>
      </c>
      <c r="L323" t="n">
        <v>8.960000000000001</v>
      </c>
      <c r="M323" s="1" t="inlineStr">
        <is>
          <t>-40.23%</t>
        </is>
      </c>
      <c r="N323" s="3" t="n">
        <v>-40.23</v>
      </c>
      <c r="O323" t="n">
        <v>4.8</v>
      </c>
      <c r="P323" t="n">
        <v>2992</v>
      </c>
      <c r="R323" t="inlineStr">
        <is>
          <t>InStock</t>
        </is>
      </c>
      <c r="S323" t="inlineStr">
        <is>
          <t>14.99</t>
        </is>
      </c>
      <c r="T323" t="inlineStr">
        <is>
          <t>7241709748412</t>
        </is>
      </c>
    </row>
    <row r="324" hidden="1" ht="15.75" customHeight="1">
      <c r="A324" s="2">
        <f>HYPERLINK("https://www.shelhealth.com/products/896116001617-sambucol-immune-infant-drops-0-68-fo", "https://www.shelhealth.com/products/896116001617-sambucol-immune-infant-drops-0-68-fo")</f>
        <v/>
      </c>
      <c r="B324" s="2">
        <f>HYPERLINK("https://www.shelhealth.com/products/896116001617-sambucol-immune-infant-drops-0-68-fo", "https://www.shelhealth.com/products/896116001617-sambucol-immune-infant-drops-0-68-fo")</f>
        <v/>
      </c>
      <c r="C324" t="inlineStr">
        <is>
          <t>SAMBUCOL Immune Infant Drops, 0.68 fo</t>
        </is>
      </c>
      <c r="D324" t="inlineStr">
        <is>
          <t>Sambucol Black Elderberry Infant Drops - Baby Elderberry Drops, Added Vitamin C, Sambucus Elderberry for Babies 6 Months and Up, Infant Elderberry Drops, Immune Support Vitamin C - 0.68 Fl oz</t>
        </is>
      </c>
      <c r="E324" s="2">
        <f>HYPERLINK("https://www.amazon.com/Sambucol-Elderberry-Sambucus-Artificial-Sweeteners/dp/B084HCQRH7/ref=sr_1_1?keywords=SAMBUCOL+Immune+Infant+Drops%2C+0.68+fo&amp;qid=1695169933&amp;sr=8-1", "https://www.amazon.com/Sambucol-Elderberry-Sambucus-Artificial-Sweeteners/dp/B084HCQRH7/ref=sr_1_1?keywords=SAMBUCOL+Immune+Infant+Drops%2C+0.68+fo&amp;qid=1695169933&amp;sr=8-1")</f>
        <v/>
      </c>
      <c r="F324" t="inlineStr">
        <is>
          <t>B084HCQRH7</t>
        </is>
      </c>
      <c r="G324">
        <f>_xludf.IMAGE("https://www.shelhealth.com/cdn/shop/files/sambucol-immune-infant-drops-0-68-fo-baby-shelhealth-780.jpg?v=1686223165&amp;width=1946")</f>
        <v/>
      </c>
      <c r="H324">
        <f>_xludf.IMAGE("https://m.media-amazon.com/images/I/71j-gJCZlPL._AC_UL320_.jpg")</f>
        <v/>
      </c>
      <c r="K324" t="inlineStr">
        <is>
          <t>16.99</t>
        </is>
      </c>
      <c r="L324" t="n">
        <v>9.970000000000001</v>
      </c>
      <c r="M324" s="1" t="inlineStr">
        <is>
          <t>-41.32%</t>
        </is>
      </c>
      <c r="N324" s="3" t="n">
        <v>-41.32</v>
      </c>
      <c r="O324" t="n">
        <v>4.7</v>
      </c>
      <c r="P324" t="n">
        <v>836</v>
      </c>
      <c r="R324" t="inlineStr">
        <is>
          <t>OutOfStock</t>
        </is>
      </c>
      <c r="S324" t="inlineStr">
        <is>
          <t>16.99</t>
        </is>
      </c>
      <c r="T324" t="inlineStr">
        <is>
          <t>7574278635752</t>
        </is>
      </c>
    </row>
    <row r="325" hidden="1" ht="15.75" customHeight="1">
      <c r="A325" s="2">
        <f>HYPERLINK("https://www.shelhealth.com/products/baby-dove-tip-to-toe-baby-wash-sensitive-moisture-20-fl-oz-pack-of-2", "https://www.shelhealth.com/products/baby-dove-tip-to-toe-baby-wash-sensitive-moisture-20-fl-oz-pack-of-2")</f>
        <v/>
      </c>
      <c r="B325" s="2">
        <f>HYPERLINK("https://www.shelhealth.com/products/baby-dove-tip-to-toe-baby-wash-sensitive-moisture-20-fl-oz-pack-of-2", "https://www.shelhealth.com/products/baby-dove-tip-to-toe-baby-wash-sensitive-moisture-20-fl-oz-pack-of-2")</f>
        <v/>
      </c>
      <c r="C325" t="inlineStr">
        <is>
          <t>Baby Dove Tip to Toe Baby Wash Sensitive Moisture 20 Fl Oz (Pack of 2)</t>
        </is>
      </c>
      <c r="D325" t="inlineStr">
        <is>
          <t>Dove Baby Sensitive Moisture Head to Toe Body Wash Pump - 6.76 Fl Oz / 200 mL x 3 Pack, Fragrance Free</t>
        </is>
      </c>
      <c r="E325" s="2">
        <f>HYPERLINK("https://www.amazon.com/Dove-Baby-Sensitive-Moisture-Head/dp/B07VPDWVVZ/ref=sr_1_7?keywords=Baby+Dove+Tip+to+Toe+Baby+Wash+Sensitive+Moisture+20+Fl+Oz+%28Pack+of+2%29&amp;qid=1695169954&amp;sr=8-7", "https://www.amazon.com/Dove-Baby-Sensitive-Moisture-Head/dp/B07VPDWVVZ/ref=sr_1_7?keywords=Baby+Dove+Tip+to+Toe+Baby+Wash+Sensitive+Moisture+20+Fl+Oz+%28Pack+of+2%29&amp;qid=1695169954&amp;sr=8-7")</f>
        <v/>
      </c>
      <c r="F325" t="inlineStr">
        <is>
          <t>B07VPDWVVZ</t>
        </is>
      </c>
      <c r="G325">
        <f>_xludf.IMAGE("https://www.shelhealth.com/cdn/shop/products/baby-dove-tip-to-toe-wash-sensitive-moisture-20-fl-oz-pack-of-2-shelhealth-721.jpg?v=1663350800&amp;width=1946")</f>
        <v/>
      </c>
      <c r="H325">
        <f>_xludf.IMAGE("https://m.media-amazon.com/images/I/61lM39opwNL._AC_UL320_.jpg")</f>
        <v/>
      </c>
      <c r="K325" t="inlineStr">
        <is>
          <t>23.99</t>
        </is>
      </c>
      <c r="L325" t="n">
        <v>14.04</v>
      </c>
      <c r="M325" s="1" t="inlineStr">
        <is>
          <t>-41.48%</t>
        </is>
      </c>
      <c r="N325" s="3" t="n">
        <v>-41.48</v>
      </c>
      <c r="O325" t="n">
        <v>4.7</v>
      </c>
      <c r="P325" t="n">
        <v>506</v>
      </c>
      <c r="R325" t="inlineStr">
        <is>
          <t>InStock</t>
        </is>
      </c>
      <c r="S325" t="inlineStr">
        <is>
          <t>23.99</t>
        </is>
      </c>
      <c r="T325" t="inlineStr">
        <is>
          <t>4099152117812</t>
        </is>
      </c>
    </row>
    <row r="326" hidden="1" ht="15.75" customHeight="1">
      <c r="A326" s="2">
        <f>HYPERLINK("https://www.shelhealth.com/products/exergen-temporal-scan-forehead-artery-baby-thermometer-tat-2000c-scanner", "https://www.shelhealth.com/products/exergen-temporal-scan-forehead-artery-baby-thermometer-tat-2000c-scanner")</f>
        <v/>
      </c>
      <c r="B326" s="2">
        <f>HYPERLINK("https://www.shelhealth.com/products/exergen-temporal-scan-forehead-artery-baby-thermometer-tat-2000c-scanner", "https://www.shelhealth.com/products/exergen-temporal-scan-forehead-artery-baby-thermometer-tat-2000c-scanner")</f>
        <v/>
      </c>
      <c r="C326" t="inlineStr">
        <is>
          <t>Exergen Temporal Scan Forehead Artery Baby Thermometer Tat-2000c Scanner</t>
        </is>
      </c>
      <c r="D326" t="inlineStr">
        <is>
          <t>Exergen Temporal Scan Forehead Artery Baby Thermometer Tat-2000c Scanner, Digital</t>
        </is>
      </c>
      <c r="E326" s="2">
        <f>HYPERLINK("https://www.amazon.com/Exergen-Temporal-Forehead-Thermometer-Tat-2000c/dp/B004T6G550/ref=sr_1_1?keywords=Exergen+Temporal+Scan+Forehead+Artery+Baby+Thermometer+Tat-2000c+Scanner&amp;qid=1695169928&amp;sr=8-1", "https://www.amazon.com/Exergen-Temporal-Forehead-Thermometer-Tat-2000c/dp/B004T6G550/ref=sr_1_1?keywords=Exergen+Temporal+Scan+Forehead+Artery+Baby+Thermometer+Tat-2000c+Scanner&amp;qid=1695169928&amp;sr=8-1")</f>
        <v/>
      </c>
      <c r="F326" t="inlineStr">
        <is>
          <t>B004T6G550</t>
        </is>
      </c>
      <c r="G326">
        <f>_xludf.IMAGE("https://www.shelhealth.com/cdn/shop/products/exergen-temporal-scan-forehead-artery-baby-thermometer-tat-2000c-scanner-shelhealth-511.jpg?v=1663338960&amp;width=1946")</f>
        <v/>
      </c>
      <c r="H326">
        <f>_xludf.IMAGE("https://m.media-amazon.com/images/I/81R0Tj6QDJL._AC_UL320_.jpg")</f>
        <v/>
      </c>
      <c r="K326" t="inlineStr">
        <is>
          <t>38.99</t>
        </is>
      </c>
      <c r="L326" t="n">
        <v>21.99</v>
      </c>
      <c r="M326" s="1" t="inlineStr">
        <is>
          <t>-43.60%</t>
        </is>
      </c>
      <c r="N326" s="3" t="n">
        <v>-43.6</v>
      </c>
      <c r="O326" t="n">
        <v>4.2</v>
      </c>
      <c r="P326" t="n">
        <v>4333</v>
      </c>
      <c r="R326" t="inlineStr">
        <is>
          <t>InStock</t>
        </is>
      </c>
      <c r="S326" t="inlineStr">
        <is>
          <t>38.99</t>
        </is>
      </c>
      <c r="T326" t="inlineStr">
        <is>
          <t>3790079885364</t>
        </is>
      </c>
    </row>
    <row r="327" hidden="1" ht="15.75" customHeight="1">
      <c r="A327" s="2">
        <f>HYPERLINK("https://www.shelhealth.com/products/aquaphor-advanced-therapy-baby-healing-ointment-with-bonus-15-75-oz", "https://www.shelhealth.com/products/aquaphor-advanced-therapy-baby-healing-ointment-with-bonus-15-75-oz")</f>
        <v/>
      </c>
      <c r="B327" s="2">
        <f>HYPERLINK("https://www.shelhealth.com/products/aquaphor-advanced-therapy-baby-healing-ointment-with-bonus-15-75-oz", "https://www.shelhealth.com/products/aquaphor-advanced-therapy-baby-healing-ointment-with-bonus-15-75-oz")</f>
        <v/>
      </c>
      <c r="C327" t="inlineStr">
        <is>
          <t>Aquaphor Advanced Therapy Baby Healing Ointment with Bonus, 15.75 oz.</t>
        </is>
      </c>
      <c r="D327" t="inlineStr">
        <is>
          <t>Aquaphor Baby Healing Ointment Advanced Therapy Skin Protectant, Dry Skin and Diaper Rash Ointment, 14 Oz Jar</t>
        </is>
      </c>
      <c r="E327" s="2">
        <f>HYPERLINK("https://www.amazon.com/Aquaphor-Baby-Healing-Ointment-Advance/dp/B005UEB96K/ref=sr_1_1?keywords=Aquaphor+Advanced+Therapy+Baby+Healing+Ointment+with+Bonus%2C+15.75+oz.&amp;qid=1695169952&amp;sr=8-1", "https://www.amazon.com/Aquaphor-Baby-Healing-Ointment-Advance/dp/B005UEB96K/ref=sr_1_1?keywords=Aquaphor+Advanced+Therapy+Baby+Healing+Ointment+with+Bonus%2C+15.75+oz.&amp;qid=1695169952&amp;sr=8-1")</f>
        <v/>
      </c>
      <c r="F327" t="inlineStr">
        <is>
          <t>B005UEB96K</t>
        </is>
      </c>
      <c r="G327">
        <f>_xludf.IMAGE("https://www.shelhealth.com/cdn/shop/files/aquaphor-advanced-therapy-baby-healing-ointment-with-bonus-15-75-oz-kidsbaby-care-shelhealth-883.jpg?v=1686283049&amp;width=1946")</f>
        <v/>
      </c>
      <c r="H327">
        <f>_xludf.IMAGE("https://m.media-amazon.com/images/I/51Ipu3F2hQL._AC_UL320_.jpg")</f>
        <v/>
      </c>
      <c r="K327" t="inlineStr">
        <is>
          <t>24.99</t>
        </is>
      </c>
      <c r="L327" t="n">
        <v>13.81</v>
      </c>
      <c r="M327" s="1" t="inlineStr">
        <is>
          <t>-44.74%</t>
        </is>
      </c>
      <c r="N327" s="3" t="n">
        <v>-44.74</v>
      </c>
      <c r="O327" t="n">
        <v>4.8</v>
      </c>
      <c r="P327" t="n">
        <v>50187</v>
      </c>
      <c r="R327" t="inlineStr">
        <is>
          <t>InStock</t>
        </is>
      </c>
      <c r="S327" t="inlineStr">
        <is>
          <t>24.99</t>
        </is>
      </c>
      <c r="T327" t="inlineStr">
        <is>
          <t>4099879862324</t>
        </is>
      </c>
    </row>
    <row r="328" hidden="1" ht="15.75" customHeight="1">
      <c r="A328" s="2">
        <f>HYPERLINK("https://www.shelhealth.com/products/johnsons-naturally-derived-cornstarch-baby-powder-with-aloe-vitamin-e-2-pk-22-oz", "https://www.shelhealth.com/products/johnsons-naturally-derived-cornstarch-baby-powder-with-aloe-vitamin-e-2-pk-22-oz")</f>
        <v/>
      </c>
      <c r="B328" s="2">
        <f>HYPERLINK("https://www.shelhealth.com/products/johnsons-naturally-derived-cornstarch-baby-powder-with-aloe-vitamin-e-2-pk-22-oz", "https://www.shelhealth.com/products/johnsons-naturally-derived-cornstarch-baby-powder-with-aloe-vitamin-e-2-pk-22-oz")</f>
        <v/>
      </c>
      <c r="C328" t="inlineStr">
        <is>
          <t>Johnson's Naturally Derived Cornstarch Baby Powder with Aloe &amp; Vitamin E, 2 pk./22 oz.</t>
        </is>
      </c>
      <c r="D328" t="inlineStr">
        <is>
          <t>Johnson's Baby Powder, Naturally Derived Cornstarch with Aloe &amp; Vitamin E for Delicate Skin, Hypoallergenic and Free of Parabens, Phthalates, and Dyes for Gentle Baby Skin Care, 15 oz (Pack of 2)</t>
        </is>
      </c>
      <c r="E328" s="2">
        <f>HYPERLINK("https://www.amazon.com/Johnsons-Baby-Naturally-Cornstarch-Hypoallergenic/dp/B005GX5218/ref=sr_1_3?keywords=Johnson%27s+Naturally+Derived+Cornstarch+Baby+Powder+with+Aloe&amp;qid=1695169933&amp;sr=8-3", "https://www.amazon.com/Johnsons-Baby-Naturally-Cornstarch-Hypoallergenic/dp/B005GX5218/ref=sr_1_3?keywords=Johnson%27s+Naturally+Derived+Cornstarch+Baby+Powder+with+Aloe&amp;qid=1695169933&amp;sr=8-3")</f>
        <v/>
      </c>
      <c r="F328" t="inlineStr">
        <is>
          <t>B005GX5218</t>
        </is>
      </c>
      <c r="G328">
        <f>_xludf.IMAGE("https://www.shelhealth.com/cdn/shop/products/johnsons-naturally-derived-cornstarch-baby-powder-with-aloe-vitamin-e-2-pk-22-oz-shelhealth-876.jpg?v=1663351241&amp;width=1946")</f>
        <v/>
      </c>
      <c r="H328">
        <f>_xludf.IMAGE("https://m.media-amazon.com/images/I/71gaMWOEgOL._AC_UL320_.jpg")</f>
        <v/>
      </c>
      <c r="K328" t="inlineStr">
        <is>
          <t>16.99</t>
        </is>
      </c>
      <c r="L328" t="n">
        <v>9.380000000000001</v>
      </c>
      <c r="M328" s="1" t="inlineStr">
        <is>
          <t>-44.79%</t>
        </is>
      </c>
      <c r="N328" s="3" t="n">
        <v>-44.79</v>
      </c>
      <c r="O328" t="n">
        <v>4.7</v>
      </c>
      <c r="P328" t="n">
        <v>4760</v>
      </c>
      <c r="R328" t="inlineStr">
        <is>
          <t>InStock</t>
        </is>
      </c>
      <c r="S328" t="inlineStr">
        <is>
          <t>16.99</t>
        </is>
      </c>
      <c r="T328" t="inlineStr">
        <is>
          <t>4099893198900</t>
        </is>
      </c>
    </row>
    <row r="329" hidden="1" ht="15.75" customHeight="1">
      <c r="A329" s="2">
        <f>HYPERLINK("https://www.shelhealth.com/products/johnsons-moisturizing-baby-lotion-with-coconut-oil-2-pk-27-1-fl-oz", "https://www.shelhealth.com/products/johnsons-moisturizing-baby-lotion-with-coconut-oil-2-pk-27-1-fl-oz")</f>
        <v/>
      </c>
      <c r="B329" s="2">
        <f>HYPERLINK("https://www.shelhealth.com/products/johnsons-moisturizing-baby-lotion-with-coconut-oil-2-pk-27-1-fl-oz", "https://www.shelhealth.com/products/johnsons-moisturizing-baby-lotion-with-coconut-oil-2-pk-27-1-fl-oz")</f>
        <v/>
      </c>
      <c r="C329" t="inlineStr">
        <is>
          <t>Johnson's Moisturizing Baby Lotion with Coconut Oil, 2 pk./27.1 fl. oz.</t>
        </is>
      </c>
      <c r="D329" t="inlineStr">
        <is>
          <t>Johnson's Moisturizing Bedtime Baby Body Lotion with Coconut Oil &amp; Relaxing NaturalCalm Aromas to Help Relax Baby, Hypoallergenic, Paraben- &amp; Phthalate-Free Baby Skin Care, 27.1 fl. Oz</t>
        </is>
      </c>
      <c r="E329" s="2">
        <f>HYPERLINK("https://www.amazon.com/Johnsons-Baby-NaturalCalm-Essences-Hypoallergenic/dp/B07DGL23H4/ref=sr_1_8?keywords=Johnson%27s+Moisturizing+Baby+Lotion+with+Coconut+Oil%2C+2+pk.%2F27.1+fl.+oz.&amp;qid=1695169946&amp;rdc=1&amp;sr=8-8", "https://www.amazon.com/Johnsons-Baby-NaturalCalm-Essences-Hypoallergenic/dp/B07DGL23H4/ref=sr_1_8?keywords=Johnson%27s+Moisturizing+Baby+Lotion+with+Coconut+Oil%2C+2+pk.%2F27.1+fl.+oz.&amp;qid=1695169946&amp;rdc=1&amp;sr=8-8")</f>
        <v/>
      </c>
      <c r="F329" t="inlineStr">
        <is>
          <t>B07DGL23H4</t>
        </is>
      </c>
      <c r="G329">
        <f>_xludf.IMAGE("https://www.shelhealth.com/cdn/shop/products/johnsons-moisturizing-baby-lotion-with-coconut-oil-2-pk-27-1-fl-oz-shelhealth-213.jpg?v=1663351225&amp;width=1946")</f>
        <v/>
      </c>
      <c r="H329">
        <f>_xludf.IMAGE("https://m.media-amazon.com/images/I/61UU5WpJlML._AC_UL320_.jpg")</f>
        <v/>
      </c>
      <c r="K329" t="inlineStr">
        <is>
          <t>18.99</t>
        </is>
      </c>
      <c r="L329" t="n">
        <v>10.28</v>
      </c>
      <c r="M329" s="1" t="inlineStr">
        <is>
          <t>-45.87%</t>
        </is>
      </c>
      <c r="N329" s="3" t="n">
        <v>-45.87</v>
      </c>
      <c r="O329" t="n">
        <v>4.8</v>
      </c>
      <c r="P329" t="n">
        <v>13195</v>
      </c>
      <c r="R329" t="inlineStr">
        <is>
          <t>InStock</t>
        </is>
      </c>
      <c r="S329" t="inlineStr">
        <is>
          <t>18.99</t>
        </is>
      </c>
      <c r="T329" t="inlineStr">
        <is>
          <t>4099891003444</t>
        </is>
      </c>
    </row>
    <row r="330" hidden="1" ht="15.75" customHeight="1">
      <c r="A330" s="2">
        <f>HYPERLINK("https://www.shelhealth.com/products/850008525391-pipette-mineral-sunscreen-broad-spectrum-spf50-4-fo", "https://www.shelhealth.com/products/850008525391-pipette-mineral-sunscreen-broad-spectrum-spf50-4-fo")</f>
        <v/>
      </c>
      <c r="B330" s="2">
        <f>HYPERLINK("https://www.shelhealth.com/products/850008525391-pipette-mineral-sunscreen-broad-spectrum-spf50-4-fo", "https://www.shelhealth.com/products/850008525391-pipette-mineral-sunscreen-broad-spectrum-spf50-4-fo")</f>
        <v/>
      </c>
      <c r="C330" t="inlineStr">
        <is>
          <t>PIPETTE: Mineral Sunscreen Broad Spectrum Spf50, 4 fo</t>
        </is>
      </c>
      <c r="D330" t="inlineStr">
        <is>
          <t>Aveeno Baby Continuous Protection Mineral Sunscreen Stick for Sensitive Skin with Broad Spectrum SPF 50 Protection for Face &amp; Body, Naturally Sourced 100% Zinc Oxide, Travel Size, 0.47 oz</t>
        </is>
      </c>
      <c r="E330" s="2">
        <f>HYPERLINK("https://www.amazon.com/Aveeno-Baby-Continuous-Protection-Sensitive/dp/B07Z9T3YHK/ref=sr_1_9?keywords=PIPETTE%3A+Mineral+Sunscreen+Broad+Spectrum+Spf50%2C+4+fo&amp;qid=1695169938&amp;sr=8-9", "https://www.amazon.com/Aveeno-Baby-Continuous-Protection-Sensitive/dp/B07Z9T3YHK/ref=sr_1_9?keywords=PIPETTE%3A+Mineral+Sunscreen+Broad+Spectrum+Spf50%2C+4+fo&amp;qid=1695169938&amp;sr=8-9")</f>
        <v/>
      </c>
      <c r="F330" t="inlineStr">
        <is>
          <t>B07Z9T3YHK</t>
        </is>
      </c>
      <c r="G330">
        <f>_xludf.IMAGE("https://www.shelhealth.com/cdn/shop/files/pipette-mineral-sunscreen-broad-spectrum-spf50-4-fo-baby-shelhealth-449.jpg?v=1686267152&amp;width=1946")</f>
        <v/>
      </c>
      <c r="H330">
        <f>_xludf.IMAGE("https://m.media-amazon.com/images/I/71ESnrQnj7L._AC_UL320_.jpg")</f>
        <v/>
      </c>
      <c r="K330" t="inlineStr">
        <is>
          <t>14.99</t>
        </is>
      </c>
      <c r="L330" t="n">
        <v>7.35</v>
      </c>
      <c r="M330" s="1" t="inlineStr">
        <is>
          <t>-50.97%</t>
        </is>
      </c>
      <c r="N330" s="3" t="n">
        <v>-50.97</v>
      </c>
      <c r="O330" t="n">
        <v>4.6</v>
      </c>
      <c r="P330" t="n">
        <v>3569</v>
      </c>
      <c r="R330" t="inlineStr">
        <is>
          <t>OutOfStock</t>
        </is>
      </c>
      <c r="S330" t="inlineStr">
        <is>
          <t>14.99</t>
        </is>
      </c>
      <c r="T330" t="inlineStr">
        <is>
          <t>7699241599208</t>
        </is>
      </c>
    </row>
    <row r="331" hidden="1" ht="15.75" customHeight="1">
      <c r="A331" s="2">
        <f>HYPERLINK("https://www.shelhealth.com/products/coppertone-water-babies-sunscreen-spf-50-lotion-2-pk-8-fl-oz", "https://www.shelhealth.com/products/coppertone-water-babies-sunscreen-spf-50-lotion-2-pk-8-fl-oz")</f>
        <v/>
      </c>
      <c r="B331" s="2">
        <f>HYPERLINK("https://www.shelhealth.com/products/coppertone-water-babies-sunscreen-spf-50-lotion-2-pk-8-fl-oz", "https://www.shelhealth.com/products/coppertone-water-babies-sunscreen-spf-50-lotion-2-pk-8-fl-oz")</f>
        <v/>
      </c>
      <c r="C331" t="inlineStr">
        <is>
          <t>Coppertone Water Babies Sunscreen SPF 50 Lotion, 2 pk./8 fl. oz.</t>
        </is>
      </c>
      <c r="D331" t="inlineStr">
        <is>
          <t>Coppertone Water Babies Sunscreen Lotion SPF 50, Pediatrician Recommended, Water Resistant, 8 Fl Oz Bottle</t>
        </is>
      </c>
      <c r="E331" s="2">
        <f>HYPERLINK("https://www.amazon.com/Coppertone-WaterBabies-Sunscreen-Spectrum-Packaging/dp/B074W9D52Z/ref=sr_1_1?keywords=Coppertone+Water+Babies+Sunscreen+SPF+50+Lotion%2C+2+pk.%2F8+fl.+oz.&amp;qid=1695169945&amp;rdc=1&amp;sr=8-1", "https://www.amazon.com/Coppertone-WaterBabies-Sunscreen-Spectrum-Packaging/dp/B074W9D52Z/ref=sr_1_1?keywords=Coppertone+Water+Babies+Sunscreen+SPF+50+Lotion%2C+2+pk.%2F8+fl.+oz.&amp;qid=1695169945&amp;rdc=1&amp;sr=8-1")</f>
        <v/>
      </c>
      <c r="F331" t="inlineStr">
        <is>
          <t>B074W9D52Z</t>
        </is>
      </c>
      <c r="G331">
        <f>_xludf.IMAGE("https://www.shelhealth.com/cdn/shop/products/coppertone-water-babies-sunscreen-spf-50-lotion-2-pk-8-fl-oz-shelhealth-103.jpg?v=1663353517&amp;width=1946")</f>
        <v/>
      </c>
      <c r="H331">
        <f>_xludf.IMAGE("https://m.media-amazon.com/images/I/71+QqjpbXaL._AC_UL320_.jpg")</f>
        <v/>
      </c>
      <c r="K331" t="inlineStr">
        <is>
          <t>19.99</t>
        </is>
      </c>
      <c r="L331" t="n">
        <v>9.27</v>
      </c>
      <c r="M331" s="1" t="inlineStr">
        <is>
          <t>-53.63%</t>
        </is>
      </c>
      <c r="N331" s="3" t="n">
        <v>-53.63</v>
      </c>
      <c r="O331" t="n">
        <v>4.7</v>
      </c>
      <c r="P331" t="n">
        <v>4788</v>
      </c>
      <c r="R331" t="inlineStr">
        <is>
          <t>OutOfStock</t>
        </is>
      </c>
      <c r="S331" t="inlineStr">
        <is>
          <t>19.99</t>
        </is>
      </c>
      <c r="T331" t="inlineStr">
        <is>
          <t>4162278457396</t>
        </is>
      </c>
    </row>
    <row r="332" hidden="1" ht="15.75" customHeight="1">
      <c r="A332" s="2">
        <f>HYPERLINK("https://www.shelhealth.com/products/boudreauxs-butt-paste-diaper-rash-ointment-maximum-strength-8-oz", "https://www.shelhealth.com/products/boudreauxs-butt-paste-diaper-rash-ointment-maximum-strength-8-oz")</f>
        <v/>
      </c>
      <c r="B332" s="2">
        <f>HYPERLINK("https://www.shelhealth.com/products/boudreauxs-butt-paste-diaper-rash-ointment-maximum-strength-8-oz", "https://www.shelhealth.com/products/boudreauxs-butt-paste-diaper-rash-ointment-maximum-strength-8-oz")</f>
        <v/>
      </c>
      <c r="C332" t="inlineStr">
        <is>
          <t>Boudreaux's Butt Paste Diaper Rash Ointment | Maximum Strength | 8 oz.</t>
        </is>
      </c>
      <c r="D332" t="inlineStr">
        <is>
          <t>Boudreaux's Butt Paste for Sensitive Skin Diaper Rash Cream, Ointment for Baby, 4 oz Tube</t>
        </is>
      </c>
      <c r="E332" s="2">
        <f>HYPERLINK("https://www.amazon.com/Boudreauxs-Butt-Paste-Sensitive-Hypoallergenic/dp/B07YNYR199/ref=sr_1_5?keywords=Boudreauxs+Butt+Paste+Diaper+Rash+Ointment+%7C+Maximum+Strength+%7C+8+oz.&amp;qid=1695169963&amp;rdc=1&amp;sr=8-5", "https://www.amazon.com/Boudreauxs-Butt-Paste-Sensitive-Hypoallergenic/dp/B07YNYR199/ref=sr_1_5?keywords=Boudreauxs+Butt+Paste+Diaper+Rash+Ointment+%7C+Maximum+Strength+%7C+8+oz.&amp;qid=1695169963&amp;rdc=1&amp;sr=8-5")</f>
        <v/>
      </c>
      <c r="F332" t="inlineStr">
        <is>
          <t>B07YNYR199</t>
        </is>
      </c>
      <c r="G332">
        <f>_xludf.IMAGE("https://www.shelhealth.com/cdn/shop/products/boudreauxs-butt-paste-diaper-rash-ointment-maximum-strength-8-oz-shelhealth-107.jpg?v=1663350839&amp;width=1946")</f>
        <v/>
      </c>
      <c r="H332">
        <f>_xludf.IMAGE("https://m.media-amazon.com/images/I/718OJmSK-tL._AC_UL320_.jpg")</f>
        <v/>
      </c>
      <c r="K332" t="inlineStr">
        <is>
          <t>16.99</t>
        </is>
      </c>
      <c r="L332" t="n">
        <v>7.59</v>
      </c>
      <c r="M332" s="1" t="inlineStr">
        <is>
          <t>-55.33%</t>
        </is>
      </c>
      <c r="N332" s="3" t="n">
        <v>-55.33</v>
      </c>
      <c r="O332" t="n">
        <v>4.7</v>
      </c>
      <c r="P332" t="n">
        <v>2527</v>
      </c>
      <c r="R332" t="inlineStr">
        <is>
          <t>InStock</t>
        </is>
      </c>
      <c r="S332" t="inlineStr">
        <is>
          <t>16.99</t>
        </is>
      </c>
      <c r="T332" t="inlineStr">
        <is>
          <t>4099171287092</t>
        </is>
      </c>
    </row>
    <row r="333" hidden="1" ht="15.75" customHeight="1">
      <c r="A333" s="2">
        <f>HYPERLINK("https://www.shelhealth.com/products/boudreauxs-butt-paste-diaper-rash-ointment-maximum-strength-8-oz", "https://www.shelhealth.com/products/boudreauxs-butt-paste-diaper-rash-ointment-maximum-strength-8-oz")</f>
        <v/>
      </c>
      <c r="B333" s="2">
        <f>HYPERLINK("https://www.shelhealth.com/products/boudreauxs-butt-paste-diaper-rash-ointment-maximum-strength-8-oz", "https://www.shelhealth.com/products/boudreauxs-butt-paste-diaper-rash-ointment-maximum-strength-8-oz")</f>
        <v/>
      </c>
      <c r="C333" t="inlineStr">
        <is>
          <t>Boudreaux's Butt Paste Diaper Rash Ointment | Maximum Strength | 8 oz.</t>
        </is>
      </c>
      <c r="D333" t="inlineStr">
        <is>
          <t>Boudreaux's Butt Paste Maximum Strength Diaper Rash Cream, Ointment for Baby, 4 oz Tube</t>
        </is>
      </c>
      <c r="E333" s="2">
        <f>HYPERLINK("https://www.amazon.com/Boudreauxs-Butt-Paste-Ointment-Preservative/dp/B00569GU18/ref=sr_1_1?keywords=Boudreauxs+Butt+Paste+Diaper+Rash+Ointment+%7C+Maximum+Strength+%7C+8+oz.&amp;qid=1695169963&amp;sr=8-1", "https://www.amazon.com/Boudreauxs-Butt-Paste-Ointment-Preservative/dp/B00569GU18/ref=sr_1_1?keywords=Boudreauxs+Butt+Paste+Diaper+Rash+Ointment+%7C+Maximum+Strength+%7C+8+oz.&amp;qid=1695169963&amp;sr=8-1")</f>
        <v/>
      </c>
      <c r="F333" t="inlineStr">
        <is>
          <t>B00569GU18</t>
        </is>
      </c>
      <c r="G333">
        <f>_xludf.IMAGE("https://www.shelhealth.com/cdn/shop/products/boudreauxs-butt-paste-diaper-rash-ointment-maximum-strength-8-oz-shelhealth-107.jpg?v=1663350839&amp;width=1946")</f>
        <v/>
      </c>
      <c r="H333">
        <f>_xludf.IMAGE("https://m.media-amazon.com/images/I/71iQqT9I5pL._AC_UL320_.jpg")</f>
        <v/>
      </c>
      <c r="K333" t="inlineStr">
        <is>
          <t>16.99</t>
        </is>
      </c>
      <c r="L333" t="n">
        <v>7.12</v>
      </c>
      <c r="M333" s="1" t="inlineStr">
        <is>
          <t>-58.09%</t>
        </is>
      </c>
      <c r="N333" s="3" t="n">
        <v>-58.09</v>
      </c>
      <c r="O333" t="n">
        <v>4.8</v>
      </c>
      <c r="P333" t="n">
        <v>24594</v>
      </c>
      <c r="R333" t="inlineStr">
        <is>
          <t>InStock</t>
        </is>
      </c>
      <c r="S333" t="inlineStr">
        <is>
          <t>16.99</t>
        </is>
      </c>
      <c r="T333" t="inlineStr">
        <is>
          <t>4099171287092</t>
        </is>
      </c>
    </row>
    <row r="334" hidden="1" ht="15.75" customHeight="1">
      <c r="A334" s="2">
        <f>HYPERLINK("https://www.shelhealth.com/products/724742010171-alba-botanica-baby-clear-mineral-sunscreen-spf-45-3-oz", "https://www.shelhealth.com/products/724742010171-alba-botanica-baby-clear-mineral-sunscreen-spf-45-3-oz")</f>
        <v/>
      </c>
      <c r="B334" s="2">
        <f>HYPERLINK("https://www.shelhealth.com/products/724742010171-alba-botanica-baby-clear-mineral-sunscreen-spf-45-3-oz", "https://www.shelhealth.com/products/724742010171-alba-botanica-baby-clear-mineral-sunscreen-spf-45-3-oz")</f>
        <v/>
      </c>
      <c r="C334" t="inlineStr">
        <is>
          <t>ALBA BOTANICA: Baby Clear Mineral Sunscreen Spf 45, 3 oz</t>
        </is>
      </c>
      <c r="D334" t="inlineStr">
        <is>
          <t>Alba Botanica Baby Sunscreen for Face and Body, Sheer Mineral Sunscreen Lotion, Broad Spectrum SPF 50, Water Resistant and Fragrance-Free, 3 fl. oz. Tube (Packaging May Vary)</t>
        </is>
      </c>
      <c r="E334" s="2">
        <f>HYPERLINK("https://www.amazon.com/Alba-Botanica-Sunscreen-Mineral-Clear/dp/B082BW81DW/ref=sr_1_1?keywords=ALBA+BOTANICA%3A+Baby+Clear+Mineral+Sunscreen+Spf+45%2C+3+oz&amp;qid=1695169930&amp;sr=8-1", "https://www.amazon.com/Alba-Botanica-Sunscreen-Mineral-Clear/dp/B082BW81DW/ref=sr_1_1?keywords=ALBA+BOTANICA%3A+Baby+Clear+Mineral+Sunscreen+Spf+45%2C+3+oz&amp;qid=1695169930&amp;sr=8-1")</f>
        <v/>
      </c>
      <c r="F334" t="inlineStr">
        <is>
          <t>B082BW81DW</t>
        </is>
      </c>
      <c r="G334">
        <f>_xludf.IMAGE("https://www.shelhealth.com/cdn/shop/products/a1_9_1.jpg?v=1689854170&amp;width=1946")</f>
        <v/>
      </c>
      <c r="H334">
        <f>_xludf.IMAGE("https://m.media-amazon.com/images/I/61EXSiTKwbL._AC_UL320_.jpg")</f>
        <v/>
      </c>
      <c r="K334" t="inlineStr">
        <is>
          <t>18.32</t>
        </is>
      </c>
      <c r="L334" t="n">
        <v>7.42</v>
      </c>
      <c r="M334" s="1" t="inlineStr">
        <is>
          <t>-59.50%</t>
        </is>
      </c>
      <c r="N334" s="3" t="n">
        <v>-59.5</v>
      </c>
      <c r="O334" t="n">
        <v>4.1</v>
      </c>
      <c r="P334" t="n">
        <v>112</v>
      </c>
      <c r="R334" t="inlineStr">
        <is>
          <t>undefined</t>
        </is>
      </c>
      <c r="S334" t="inlineStr">
        <is>
          <t>18.32</t>
        </is>
      </c>
      <c r="T334" t="inlineStr">
        <is>
          <t>8272168288488</t>
        </is>
      </c>
    </row>
    <row r="335" hidden="1" ht="15.75" customHeight="1">
      <c r="A335" s="2">
        <f>HYPERLINK("https://www.shelhealth.com/products/johnsons-moisturizing-baby-lotion-with-coconut-oil-2-pk-27-1-fl-oz", "https://www.shelhealth.com/products/johnsons-moisturizing-baby-lotion-with-coconut-oil-2-pk-27-1-fl-oz")</f>
        <v/>
      </c>
      <c r="B335" s="2">
        <f>HYPERLINK("https://www.shelhealth.com/products/johnsons-moisturizing-baby-lotion-with-coconut-oil-2-pk-27-1-fl-oz", "https://www.shelhealth.com/products/johnsons-moisturizing-baby-lotion-with-coconut-oil-2-pk-27-1-fl-oz")</f>
        <v/>
      </c>
      <c r="C335" t="inlineStr">
        <is>
          <t>Johnson's Moisturizing Baby Lotion with Coconut Oil, 2 pk./27.1 fl. oz.</t>
        </is>
      </c>
      <c r="D335" t="inlineStr">
        <is>
          <t>Johnson's Moisturizing Pink Baby Lotion with Coconut Oil, Hypoallergenic and Dermatologist-Tested, 27.1 fl. oz</t>
        </is>
      </c>
      <c r="E335" s="2">
        <f>HYPERLINK("https://www.amazon.com/Johnsons-Moisturizing-Baby-Coconut-Hypoallergenic/dp/B07DGKXBD7/ref=sr_1_2?keywords=Johnson%27s+Moisturizing+Baby+Lotion+with+Coconut+Oil%2C+2+pk.%2F27.1+fl.+oz.&amp;qid=1695169946&amp;sr=8-2", "https://www.amazon.com/Johnsons-Moisturizing-Baby-Coconut-Hypoallergenic/dp/B07DGKXBD7/ref=sr_1_2?keywords=Johnson%27s+Moisturizing+Baby+Lotion+with+Coconut+Oil%2C+2+pk.%2F27.1+fl.+oz.&amp;qid=1695169946&amp;sr=8-2")</f>
        <v/>
      </c>
      <c r="F335" t="inlineStr">
        <is>
          <t>B07DGKXBD7</t>
        </is>
      </c>
      <c r="G335">
        <f>_xludf.IMAGE("https://www.shelhealth.com/cdn/shop/products/johnsons-moisturizing-baby-lotion-with-coconut-oil-2-pk-27-1-fl-oz-shelhealth-213.jpg?v=1663351225&amp;width=1946")</f>
        <v/>
      </c>
      <c r="H335">
        <f>_xludf.IMAGE("https://m.media-amazon.com/images/I/61JGsKO908L._AC_UL320_.jpg")</f>
        <v/>
      </c>
      <c r="K335" t="inlineStr">
        <is>
          <t>18.99</t>
        </is>
      </c>
      <c r="L335" t="n">
        <v>7.68</v>
      </c>
      <c r="M335" s="1" t="inlineStr">
        <is>
          <t>-59.56%</t>
        </is>
      </c>
      <c r="N335" s="3" t="n">
        <v>-59.56</v>
      </c>
      <c r="O335" t="n">
        <v>4.8</v>
      </c>
      <c r="P335" t="n">
        <v>15854</v>
      </c>
      <c r="R335" t="inlineStr">
        <is>
          <t>InStock</t>
        </is>
      </c>
      <c r="S335" t="inlineStr">
        <is>
          <t>18.99</t>
        </is>
      </c>
      <c r="T335" t="inlineStr">
        <is>
          <t>4099891003444</t>
        </is>
      </c>
    </row>
    <row r="336" hidden="1" ht="15.75" customHeight="1">
      <c r="A336" s="2">
        <f>HYPERLINK("https://www.shelhealth.com/products/johnsons-naturally-derived-cornstarch-baby-powder-with-aloe-vitamin-e-2-pk-22-oz", "https://www.shelhealth.com/products/johnsons-naturally-derived-cornstarch-baby-powder-with-aloe-vitamin-e-2-pk-22-oz")</f>
        <v/>
      </c>
      <c r="B336" s="2">
        <f>HYPERLINK("https://www.shelhealth.com/products/johnsons-naturally-derived-cornstarch-baby-powder-with-aloe-vitamin-e-2-pk-22-oz", "https://www.shelhealth.com/products/johnsons-naturally-derived-cornstarch-baby-powder-with-aloe-vitamin-e-2-pk-22-oz")</f>
        <v/>
      </c>
      <c r="C336" t="inlineStr">
        <is>
          <t>Johnson's Naturally Derived Cornstarch Baby Powder with Aloe &amp; Vitamin E, 2 pk./22 oz.</t>
        </is>
      </c>
      <c r="D336" t="inlineStr">
        <is>
          <t>Johnson's Baby Powder with Naturally Derived Cornstarch Aloe &amp; Vitamin E, Hypoallergenic, 4 oz</t>
        </is>
      </c>
      <c r="E336" s="2">
        <f>HYPERLINK("https://www.amazon.com/Johnsons-Naturally-Cornstarch-Hypoallergenic-Phthalates/dp/B08819JSSS/ref=sr_1_5?keywords=Johnson%27s+Naturally+Derived+Cornstarch+Baby+Powder+with+Aloe&amp;qid=1695169933&amp;sr=8-5", "https://www.amazon.com/Johnsons-Naturally-Cornstarch-Hypoallergenic-Phthalates/dp/B08819JSSS/ref=sr_1_5?keywords=Johnson%27s+Naturally+Derived+Cornstarch+Baby+Powder+with+Aloe&amp;qid=1695169933&amp;sr=8-5")</f>
        <v/>
      </c>
      <c r="F336" t="inlineStr">
        <is>
          <t>B08819JSSS</t>
        </is>
      </c>
      <c r="G336">
        <f>_xludf.IMAGE("https://www.shelhealth.com/cdn/shop/products/johnsons-naturally-derived-cornstarch-baby-powder-with-aloe-vitamin-e-2-pk-22-oz-shelhealth-876.jpg?v=1663351241&amp;width=1946")</f>
        <v/>
      </c>
      <c r="H336">
        <f>_xludf.IMAGE("https://m.media-amazon.com/images/I/51nm6cbcP3L._AC_UL320_.jpg")</f>
        <v/>
      </c>
      <c r="K336" t="inlineStr">
        <is>
          <t>16.99</t>
        </is>
      </c>
      <c r="L336" t="n">
        <v>6.74</v>
      </c>
      <c r="M336" s="1" t="inlineStr">
        <is>
          <t>-60.33%</t>
        </is>
      </c>
      <c r="N336" s="3" t="n">
        <v>-60.33</v>
      </c>
      <c r="O336" t="n">
        <v>3.8</v>
      </c>
      <c r="P336" t="n">
        <v>27</v>
      </c>
      <c r="R336" t="inlineStr">
        <is>
          <t>InStock</t>
        </is>
      </c>
      <c r="S336" t="inlineStr">
        <is>
          <t>16.99</t>
        </is>
      </c>
      <c r="T336" t="inlineStr">
        <is>
          <t>4099893198900</t>
        </is>
      </c>
    </row>
    <row r="337" hidden="1" ht="15.75" customHeight="1">
      <c r="A337" s="2">
        <f>HYPERLINK("https://www.shelhealth.com/products/desitin-daily-defense-baby-diaper-rash-cream-with-zinc-oxide-to-treat-relieve-prevent-diaper-rash-4-8-ounce", "https://www.shelhealth.com/products/desitin-daily-defense-baby-diaper-rash-cream-with-zinc-oxide-to-treat-relieve-prevent-diaper-rash-4-8-ounce")</f>
        <v/>
      </c>
      <c r="B337" s="2">
        <f>HYPERLINK("https://www.shelhealth.com/products/desitin-daily-defense-baby-diaper-rash-cream-with-zinc-oxide-to-treat-relieve-prevent-diaper-rash-4-8-ounce", "https://www.shelhealth.com/products/desitin-daily-defense-baby-diaper-rash-cream-with-zinc-oxide-to-treat-relieve-prevent-diaper-rash-4-8-ounce")</f>
        <v/>
      </c>
      <c r="C337" t="inlineStr">
        <is>
          <t>Desitin Daily Defense Baby Diaper Rash Cream, Relieve &amp; Prevent Diaper Rash, 4.8 Ounce (Pack of 3)</t>
        </is>
      </c>
      <c r="D337" t="inlineStr">
        <is>
          <t>Desitin Daily Defense Baby Diaper Rash Cream with Zinc Oxide to Treat, Relieve &amp; Prevent diaper rash, Hypoallergenic, Dye-, Phthalate- &amp; Paraben-Free, 4.8 oz</t>
        </is>
      </c>
      <c r="E337" s="2">
        <f>HYPERLINK("https://www.amazon.com/Desitin-Defense-Hypoallergenic-Phthalate-Paraben-Free/dp/B07H7GBJC4/ref=sr_1_2?keywords=Desitin+Daily+Defense+Baby+Diaper+Rash+Cream%2C+Relieve&amp;qid=1695169927&amp;rdc=1&amp;sr=8-2", "https://www.amazon.com/Desitin-Defense-Hypoallergenic-Phthalate-Paraben-Free/dp/B07H7GBJC4/ref=sr_1_2?keywords=Desitin+Daily+Defense+Baby+Diaper+Rash+Cream%2C+Relieve&amp;qid=1695169927&amp;rdc=1&amp;sr=8-2")</f>
        <v/>
      </c>
      <c r="F337" t="inlineStr">
        <is>
          <t>B07H7GBJC4</t>
        </is>
      </c>
      <c r="G337">
        <f>_xludf.IMAGE("https://www.shelhealth.com/cdn/shop/products/desitin-daily-defense-baby-diaper-rash-cream-relieve-prevent-4-8-ounce-pack-of-3-shelhealth-939.jpg?v=1663350824&amp;width=1946")</f>
        <v/>
      </c>
      <c r="H337">
        <f>_xludf.IMAGE("https://m.media-amazon.com/images/I/51T65KubJYL._AC_UL320_.jpg")</f>
        <v/>
      </c>
      <c r="K337" t="inlineStr">
        <is>
          <t>18.99</t>
        </is>
      </c>
      <c r="L337" t="n">
        <v>7.4</v>
      </c>
      <c r="M337" s="1" t="inlineStr">
        <is>
          <t>-61.03%</t>
        </is>
      </c>
      <c r="N337" s="3" t="n">
        <v>-61.03</v>
      </c>
      <c r="O337" t="n">
        <v>4.8</v>
      </c>
      <c r="P337" t="n">
        <v>5544</v>
      </c>
      <c r="R337" t="inlineStr">
        <is>
          <t>OutOfStock</t>
        </is>
      </c>
      <c r="S337" t="inlineStr">
        <is>
          <t>18.99</t>
        </is>
      </c>
      <c r="T337" t="inlineStr">
        <is>
          <t>4099159228468</t>
        </is>
      </c>
    </row>
    <row r="338" hidden="1" ht="15.75" customHeight="1">
      <c r="A338" s="2">
        <f>HYPERLINK("https://www.shelhealth.com/products/aveeno-baby-calming-comfort-lavender-and-vanilla-tear-free-bath-wash-2-pk-18-fl-oz", "https://www.shelhealth.com/products/aveeno-baby-calming-comfort-lavender-and-vanilla-tear-free-bath-wash-2-pk-18-fl-oz")</f>
        <v/>
      </c>
      <c r="B338" s="2">
        <f>HYPERLINK("https://www.shelhealth.com/products/aveeno-baby-calming-comfort-lavender-and-vanilla-tear-free-bath-wash-2-pk-18-fl-oz", "https://www.shelhealth.com/products/aveeno-baby-calming-comfort-lavender-and-vanilla-tear-free-bath-wash-2-pk-18-fl-oz")</f>
        <v/>
      </c>
      <c r="C338" t="inlineStr">
        <is>
          <t>Aveeno Baby Calming Comfort Lavender and Vanilla Tear-Free Bath Wash, 2 pk./18 fl. oz.</t>
        </is>
      </c>
      <c r="D338" t="inlineStr">
        <is>
          <t>Aveeno Baby Calming Comfort Bath with Relaxing Lavender &amp; Vanilla Scents, Hypoallergenic &amp; Tear-Free Formula, Paraben- &amp; Phthalate-Free, 18 Fl Oz (Pack of 1)</t>
        </is>
      </c>
      <c r="E338" s="2">
        <f>HYPERLINK("https://www.amazon.com/Aveeno-Calming-Lavender-Hypoallergenic-Tear-Free/dp/B0030U7DW0/ref=sr_1_4?keywords=Aveeno+Baby+Calming+Comfort+Lavender+and+Vanilla+Tear-Free+Bath+Wash%2C+2+pk.%2F18+fl.+oz.&amp;qid=1695169948&amp;rdc=1&amp;sr=8-4", "https://www.amazon.com/Aveeno-Calming-Lavender-Hypoallergenic-Tear-Free/dp/B0030U7DW0/ref=sr_1_4?keywords=Aveeno+Baby+Calming+Comfort+Lavender+and+Vanilla+Tear-Free+Bath+Wash%2C+2+pk.%2F18+fl.+oz.&amp;qid=1695169948&amp;rdc=1&amp;sr=8-4")</f>
        <v/>
      </c>
      <c r="F338" t="inlineStr">
        <is>
          <t>B0030U7DW0</t>
        </is>
      </c>
      <c r="G338">
        <f>_xludf.IMAGE("https://www.shelhealth.com/cdn/shop/files/aveeno-baby-calming-comfort-lavender-and-vanilla-tear-free-bath-wash-2-pk-18-fl-oz-kidsbaby-care-shelhealth-496.jpg?v=1686283041&amp;width=1946")</f>
        <v/>
      </c>
      <c r="H338">
        <f>_xludf.IMAGE("https://m.media-amazon.com/images/I/71UAP0YpNcL._AC_UL320_.jpg")</f>
        <v/>
      </c>
      <c r="K338" t="inlineStr">
        <is>
          <t>29.99</t>
        </is>
      </c>
      <c r="L338" t="n">
        <v>11.27</v>
      </c>
      <c r="M338" s="1" t="inlineStr">
        <is>
          <t>-62.42%</t>
        </is>
      </c>
      <c r="N338" s="3" t="n">
        <v>-62.42</v>
      </c>
      <c r="O338" t="n">
        <v>4.9</v>
      </c>
      <c r="P338" t="n">
        <v>9309</v>
      </c>
      <c r="R338" t="inlineStr">
        <is>
          <t>InStock</t>
        </is>
      </c>
      <c r="S338" t="inlineStr">
        <is>
          <t>29.99</t>
        </is>
      </c>
      <c r="T338" t="inlineStr">
        <is>
          <t>4099883434036</t>
        </is>
      </c>
    </row>
    <row r="339" hidden="1" ht="15.75" customHeight="1">
      <c r="A339" s="2">
        <f>HYPERLINK("https://www.shelhealth.com/products/aveeno-baby-daily-moisture-lotion-for-delicate-skin-fragrance-free-2-pk-18-fl-oz", "https://www.shelhealth.com/products/aveeno-baby-daily-moisture-lotion-for-delicate-skin-fragrance-free-2-pk-18-fl-oz")</f>
        <v/>
      </c>
      <c r="B339" s="2">
        <f>HYPERLINK("https://www.shelhealth.com/products/aveeno-baby-daily-moisture-lotion-for-delicate-skin-fragrance-free-2-pk-18-fl-oz", "https://www.shelhealth.com/products/aveeno-baby-daily-moisture-lotion-for-delicate-skin-fragrance-free-2-pk-18-fl-oz")</f>
        <v/>
      </c>
      <c r="C339" t="inlineStr">
        <is>
          <t>Aveeno Baby Daily Moisture Lotion, For Delicate Skin, Fragrance Free, 2 pk./18 fl. oz</t>
        </is>
      </c>
      <c r="D339" t="inlineStr">
        <is>
          <t>Aveeno Baby Daily Moisture Moisturizing Lotion for Delicate Skin with Natural Colloidal Oatmeal &amp; Dimethicone, Hypoallergenic, Fragrance-, Phthalate- &amp; Paraben-Free, 18 fl. oz (Package May Vary)</t>
        </is>
      </c>
      <c r="E339" s="2">
        <f>HYPERLINK("https://www.amazon.com/Aveeno-Baby-Colloidal-Dimethicone-Fragrance-Free/dp/B0030UF6EW/ref=sr_1_1?keywords=Aveeno+Baby+Daily+Moisture+Lotion%2C+For+Delicate+Skin%2C+Fragrance+Free%2C+2+pk.%2F18+fl.+oz&amp;qid=1695169959&amp;rdc=1&amp;sr=8-1", "https://www.amazon.com/Aveeno-Baby-Colloidal-Dimethicone-Fragrance-Free/dp/B0030UF6EW/ref=sr_1_1?keywords=Aveeno+Baby+Daily+Moisture+Lotion%2C+For+Delicate+Skin%2C+Fragrance+Free%2C+2+pk.%2F18+fl.+oz&amp;qid=1695169959&amp;rdc=1&amp;sr=8-1")</f>
        <v/>
      </c>
      <c r="F339" t="inlineStr">
        <is>
          <t>B0030UF6EW</t>
        </is>
      </c>
      <c r="G339">
        <f>_xludf.IMAGE("https://www.shelhealth.com/cdn/shop/files/aveeno-baby-daily-moisture-lotion-for-delicate-skin-fragrance-free-2-pk-18-fl-oz-kidsbaby-care-shelhealth-804.jpg?v=1686283033&amp;width=1946")</f>
        <v/>
      </c>
      <c r="H339">
        <f>_xludf.IMAGE("https://m.media-amazon.com/images/I/71rLl9lsLCL._AC_UL320_.jpg")</f>
        <v/>
      </c>
      <c r="K339" t="inlineStr">
        <is>
          <t>30.99</t>
        </is>
      </c>
      <c r="L339" t="n">
        <v>11.27</v>
      </c>
      <c r="M339" s="1" t="inlineStr">
        <is>
          <t>-63.63%</t>
        </is>
      </c>
      <c r="N339" s="3" t="n">
        <v>-63.63</v>
      </c>
      <c r="O339" t="n">
        <v>4.8</v>
      </c>
      <c r="P339" t="n">
        <v>16416</v>
      </c>
      <c r="R339" t="inlineStr">
        <is>
          <t>InStock</t>
        </is>
      </c>
      <c r="S339" t="inlineStr">
        <is>
          <t>30.99</t>
        </is>
      </c>
      <c r="T339" t="inlineStr">
        <is>
          <t>4099884777524</t>
        </is>
      </c>
    </row>
    <row r="340" hidden="1" ht="15.75" customHeight="1">
      <c r="A340" s="2">
        <f>HYPERLINK("https://www.shelhealth.com/products/johnsons-moisturizing-baby-lotion-with-coconut-oil-2-pk-27-1-fl-oz", "https://www.shelhealth.com/products/johnsons-moisturizing-baby-lotion-with-coconut-oil-2-pk-27-1-fl-oz")</f>
        <v/>
      </c>
      <c r="B340" s="2">
        <f>HYPERLINK("https://www.shelhealth.com/products/johnsons-moisturizing-baby-lotion-with-coconut-oil-2-pk-27-1-fl-oz", "https://www.shelhealth.com/products/johnsons-moisturizing-baby-lotion-with-coconut-oil-2-pk-27-1-fl-oz")</f>
        <v/>
      </c>
      <c r="C340" t="inlineStr">
        <is>
          <t>Johnson's Moisturizing Baby Lotion with Coconut Oil, 2 pk./27.1 fl. oz.</t>
        </is>
      </c>
      <c r="D340" t="inlineStr">
        <is>
          <t>Johnson's Moisturizing Pink Baby Lotion with Coconut Oil, Hypoallergenic, 10.2 fl. oz</t>
        </is>
      </c>
      <c r="E340" s="2">
        <f>HYPERLINK("https://www.amazon.com/Johnsons-Baby-Moisturizing-Lotion-Coconut/dp/B07DGNF5M6/ref=sr_1_4?keywords=Johnson%27s+Moisturizing+Baby+Lotion+with+Coconut+Oil%2C+2+pk.%2F27.1+fl.+oz.&amp;qid=1695169946&amp;sr=8-4", "https://www.amazon.com/Johnsons-Baby-Moisturizing-Lotion-Coconut/dp/B07DGNF5M6/ref=sr_1_4?keywords=Johnson%27s+Moisturizing+Baby+Lotion+with+Coconut+Oil%2C+2+pk.%2F27.1+fl.+oz.&amp;qid=1695169946&amp;sr=8-4")</f>
        <v/>
      </c>
      <c r="F340" t="inlineStr">
        <is>
          <t>B07DGNF5M6</t>
        </is>
      </c>
      <c r="G340">
        <f>_xludf.IMAGE("https://www.shelhealth.com/cdn/shop/products/johnsons-moisturizing-baby-lotion-with-coconut-oil-2-pk-27-1-fl-oz-shelhealth-213.jpg?v=1663351225&amp;width=1946")</f>
        <v/>
      </c>
      <c r="H340">
        <f>_xludf.IMAGE("https://m.media-amazon.com/images/I/71ODlcmmUlL._AC_UL320_.jpg")</f>
        <v/>
      </c>
      <c r="K340" t="inlineStr">
        <is>
          <t>18.99</t>
        </is>
      </c>
      <c r="L340" t="n">
        <v>5.71</v>
      </c>
      <c r="M340" s="1" t="inlineStr">
        <is>
          <t>-69.93%</t>
        </is>
      </c>
      <c r="N340" s="3" t="n">
        <v>-69.93000000000001</v>
      </c>
      <c r="O340" t="n">
        <v>4.5</v>
      </c>
      <c r="P340" t="n">
        <v>48</v>
      </c>
      <c r="R340" t="inlineStr">
        <is>
          <t>InStock</t>
        </is>
      </c>
      <c r="S340" t="inlineStr">
        <is>
          <t>18.99</t>
        </is>
      </c>
      <c r="T340" t="inlineStr">
        <is>
          <t>4099891003444</t>
        </is>
      </c>
    </row>
    <row r="341" hidden="1" ht="15.75" customHeight="1">
      <c r="A341" s="2">
        <f>HYPERLINK("https://www.shelhealth.com/products/playtex-diaper-genie-disposal-system-refills-960-count", "https://www.shelhealth.com/products/playtex-diaper-genie-disposal-system-refills-960-count")</f>
        <v/>
      </c>
      <c r="B341" s="2">
        <f>HYPERLINK("https://www.shelhealth.com/products/playtex-diaper-genie-disposal-system-refills-960-count", "https://www.shelhealth.com/products/playtex-diaper-genie-disposal-system-refills-960-count")</f>
        <v/>
      </c>
      <c r="C341" t="inlineStr">
        <is>
          <t>Playtex Diaper Genie Disposal System Refills, 960 count</t>
        </is>
      </c>
      <c r="D341" t="inlineStr">
        <is>
          <t>Diaper Pail Refill Bags Compatible with Playtex Diaper Genie Diaper Disposal System - 560 Count (2 Pack) – by BabyBreeze</t>
        </is>
      </c>
      <c r="E341" s="2">
        <f>HYPERLINK("https://www.amazon.com/Diaper-Refill-Playtex-Genie-Pack/dp/B08QGKXHG3/ref=sr_1_2?keywords=Playtex+Diaper+Genie+Disposal+System+Refills%2C+960+count&amp;qid=1695169946&amp;sr=8-2", "https://www.amazon.com/Diaper-Refill-Playtex-Genie-Pack/dp/B08QGKXHG3/ref=sr_1_2?keywords=Playtex+Diaper+Genie+Disposal+System+Refills%2C+960+count&amp;qid=1695169946&amp;sr=8-2")</f>
        <v/>
      </c>
      <c r="F341" t="inlineStr">
        <is>
          <t>B08QGKXHG3</t>
        </is>
      </c>
      <c r="G341">
        <f>_xludf.IMAGE("https://www.shelhealth.com/cdn/shop/products/playtex-diaper-genie-disposal-system-refills-960-count-shelhealth-965.jpg?v=1663343507&amp;width=1946")</f>
        <v/>
      </c>
      <c r="H341">
        <f>_xludf.IMAGE("https://m.media-amazon.com/images/I/71Re8tff9IL._AC_UL320_.jpg")</f>
        <v/>
      </c>
      <c r="K341" t="inlineStr">
        <is>
          <t>29.99</t>
        </is>
      </c>
      <c r="L341" t="n">
        <v>8.99</v>
      </c>
      <c r="M341" s="1" t="inlineStr">
        <is>
          <t>-70.02%</t>
        </is>
      </c>
      <c r="N341" s="3" t="n">
        <v>-70.02</v>
      </c>
      <c r="O341" t="n">
        <v>4.2</v>
      </c>
      <c r="P341" t="n">
        <v>143</v>
      </c>
      <c r="R341" t="inlineStr">
        <is>
          <t>InStock</t>
        </is>
      </c>
      <c r="S341" t="inlineStr">
        <is>
          <t>29.99</t>
        </is>
      </c>
      <c r="T341" t="inlineStr">
        <is>
          <t>3821548863540</t>
        </is>
      </c>
    </row>
    <row r="342" hidden="1" ht="15.75" customHeight="1">
      <c r="A342" s="2">
        <f>HYPERLINK("https://www.shelhealth.com/products/johnsons-naturally-derived-cornstarch-baby-powder-with-aloe-vitamin-e-2-pk-22-oz", "https://www.shelhealth.com/products/johnsons-naturally-derived-cornstarch-baby-powder-with-aloe-vitamin-e-2-pk-22-oz")</f>
        <v/>
      </c>
      <c r="B342" s="2">
        <f>HYPERLINK("https://www.shelhealth.com/products/johnsons-naturally-derived-cornstarch-baby-powder-with-aloe-vitamin-e-2-pk-22-oz", "https://www.shelhealth.com/products/johnsons-naturally-derived-cornstarch-baby-powder-with-aloe-vitamin-e-2-pk-22-oz")</f>
        <v/>
      </c>
      <c r="C342" t="inlineStr">
        <is>
          <t>Johnson's Naturally Derived Cornstarch Baby Powder with Aloe &amp; Vitamin E, 2 pk./22 oz.</t>
        </is>
      </c>
      <c r="D342" t="inlineStr">
        <is>
          <t>Johnson's Baby Powder, Naturally Derived Cornstarch with Aloe &amp; Vitamin E for Delicate Skin, Hypoallergenic and Free of Parabens, Phthalates, and Dyes for Gentle Baby Skin Care, 15 oz</t>
        </is>
      </c>
      <c r="E342" s="2">
        <f>HYPERLINK("https://www.amazon.com/Johnsons-Baby-Powder-Cornstarch-Vitamin/dp/B0009STDJW/ref=sr_1_1?keywords=Johnson%27s+Naturally+Derived+Cornstarch+Baby+Powder+with+Aloe&amp;qid=1695169933&amp;sr=8-1", "https://www.amazon.com/Johnsons-Baby-Powder-Cornstarch-Vitamin/dp/B0009STDJW/ref=sr_1_1?keywords=Johnson%27s+Naturally+Derived+Cornstarch+Baby+Powder+with+Aloe&amp;qid=1695169933&amp;sr=8-1")</f>
        <v/>
      </c>
      <c r="F342" t="inlineStr">
        <is>
          <t>B0009STDJW</t>
        </is>
      </c>
      <c r="G342">
        <f>_xludf.IMAGE("https://www.shelhealth.com/cdn/shop/products/johnsons-naturally-derived-cornstarch-baby-powder-with-aloe-vitamin-e-2-pk-22-oz-shelhealth-876.jpg?v=1663351241&amp;width=1946")</f>
        <v/>
      </c>
      <c r="H342">
        <f>_xludf.IMAGE("https://m.media-amazon.com/images/I/71a0jz0VF+L._AC_UL320_.jpg")</f>
        <v/>
      </c>
      <c r="K342" t="inlineStr">
        <is>
          <t>16.99</t>
        </is>
      </c>
      <c r="L342" t="n">
        <v>4.7</v>
      </c>
      <c r="M342" s="1" t="inlineStr">
        <is>
          <t>-72.34%</t>
        </is>
      </c>
      <c r="N342" s="3" t="n">
        <v>-72.34</v>
      </c>
      <c r="O342" t="n">
        <v>4.7</v>
      </c>
      <c r="P342" t="n">
        <v>18700</v>
      </c>
      <c r="R342" t="inlineStr">
        <is>
          <t>InStock</t>
        </is>
      </c>
      <c r="S342" t="inlineStr">
        <is>
          <t>16.99</t>
        </is>
      </c>
      <c r="T342" t="inlineStr">
        <is>
          <t>4099893198900</t>
        </is>
      </c>
    </row>
    <row r="343" hidden="1" ht="15.75" customHeight="1">
      <c r="A343" s="2">
        <f>HYPERLINK("https://www.shelhealth.com/products/aquaphor-advanced-therapy-baby-healing-ointment-with-bonus-15-75-oz", "https://www.shelhealth.com/products/aquaphor-advanced-therapy-baby-healing-ointment-with-bonus-15-75-oz")</f>
        <v/>
      </c>
      <c r="B343" s="2">
        <f>HYPERLINK("https://www.shelhealth.com/products/aquaphor-advanced-therapy-baby-healing-ointment-with-bonus-15-75-oz", "https://www.shelhealth.com/products/aquaphor-advanced-therapy-baby-healing-ointment-with-bonus-15-75-oz")</f>
        <v/>
      </c>
      <c r="C343" t="inlineStr">
        <is>
          <t>Aquaphor Advanced Therapy Baby Healing Ointment with Bonus, 15.75 oz.</t>
        </is>
      </c>
      <c r="D343" t="inlineStr">
        <is>
          <t>Aquaphor Baby Healing Ointment To-Go Pack - Advanced Therapy for Chapped Cheeks and Diaper Rash - Two .35 oz. Tubes</t>
        </is>
      </c>
      <c r="E343" s="2">
        <f>HYPERLINK("https://www.amazon.com/Aquaphor-Baby-Healing-Ointment-Pack/dp/B005FNR9ZG/ref=sr_1_4?keywords=Aquaphor+Advanced+Therapy+Baby+Healing+Ointment+with+Bonus%2C+15.75+oz.&amp;qid=1695169952&amp;sr=8-4", "https://www.amazon.com/Aquaphor-Baby-Healing-Ointment-Pack/dp/B005FNR9ZG/ref=sr_1_4?keywords=Aquaphor+Advanced+Therapy+Baby+Healing+Ointment+with+Bonus%2C+15.75+oz.&amp;qid=1695169952&amp;sr=8-4")</f>
        <v/>
      </c>
      <c r="F343" t="inlineStr">
        <is>
          <t>B005FNR9ZG</t>
        </is>
      </c>
      <c r="G343">
        <f>_xludf.IMAGE("https://www.shelhealth.com/cdn/shop/files/aquaphor-advanced-therapy-baby-healing-ointment-with-bonus-15-75-oz-kidsbaby-care-shelhealth-883.jpg?v=1686283049&amp;width=1946")</f>
        <v/>
      </c>
      <c r="H343">
        <f>_xludf.IMAGE("https://m.media-amazon.com/images/I/71ZuxeGWJHL._AC_UL320_.jpg")</f>
        <v/>
      </c>
      <c r="K343" t="inlineStr">
        <is>
          <t>24.99</t>
        </is>
      </c>
      <c r="L343" t="n">
        <v>6.79</v>
      </c>
      <c r="M343" s="1" t="inlineStr">
        <is>
          <t>-72.83%</t>
        </is>
      </c>
      <c r="N343" s="3" t="n">
        <v>-72.83</v>
      </c>
      <c r="O343" t="n">
        <v>4.8</v>
      </c>
      <c r="P343" t="n">
        <v>7533</v>
      </c>
      <c r="R343" t="inlineStr">
        <is>
          <t>InStock</t>
        </is>
      </c>
      <c r="S343" t="inlineStr">
        <is>
          <t>24.99</t>
        </is>
      </c>
      <c r="T343" t="inlineStr">
        <is>
          <t>4099879862324</t>
        </is>
      </c>
    </row>
    <row r="344" ht="75" customHeight="1">
      <c r="A344" s="2">
        <f>HYPERLINK("https://www.shelhealth.com/products/afrin-original-maximum-strength-nasal-spray-90-ml", "https://www.shelhealth.com/products/afrin-original-maximum-strength-nasal-spray-90-ml")</f>
        <v/>
      </c>
      <c r="B344" s="2">
        <f>HYPERLINK("https://www.shelhealth.com/products/afrin-original-maximum-strength-nasal-spray-90-ml", "https://www.shelhealth.com/products/afrin-original-maximum-strength-nasal-spray-90-ml")</f>
        <v/>
      </c>
      <c r="C344" t="inlineStr">
        <is>
          <t>Afrin Original Maximum Strength Nasal Spray Allergy relief, 90 ml.</t>
        </is>
      </c>
      <c r="D344" t="inlineStr">
        <is>
          <t>Afrin Original Maximum Strength 12 Hour Nasal Congestion Relief Spray - 3 bottles, 1 FL OZ (30mL) each. Total 3 FL OZ (90 mL)</t>
        </is>
      </c>
      <c r="E344" s="2">
        <f>HYPERLINK("https://www.amazon.com/Afrin-Nasal-Spray-Original/dp/B00DDZBFNK/ref=sr_1_3?keywords=Afrin+Original+Maximum+Strength+Nasal+Spray+Allergy+relief%2C+90+ml.&amp;qid=1695170000&amp;sr=8-3", "https://www.amazon.com/Afrin-Nasal-Spray-Original/dp/B00DDZBFNK/ref=sr_1_3?keywords=Afrin+Original+Maximum+Strength+Nasal+Spray+Allergy+relief%2C+90+ml.&amp;qid=1695170000&amp;sr=8-3")</f>
        <v/>
      </c>
      <c r="F344" t="inlineStr">
        <is>
          <t>B00DDZBFNK</t>
        </is>
      </c>
      <c r="G344">
        <f>_xlfn.IMAGE("https://www.shelhealth.com/cdn/shop/products/afrin-original-maximum-strength-nasal-spray-allergy-relief-90-ml-shelhealth-146.jpg?v=1663336586&amp;width=1946")</f>
        <v/>
      </c>
      <c r="H344">
        <f>_xlfn.IMAGE("https://m.media-amazon.com/images/I/71w+p5RtjNL._AC_UL320_.jpg")</f>
        <v/>
      </c>
      <c r="K344" t="inlineStr">
        <is>
          <t>17.99</t>
        </is>
      </c>
      <c r="L344" t="n">
        <v>36</v>
      </c>
      <c r="M344" s="1" t="inlineStr">
        <is>
          <t>100.11%</t>
        </is>
      </c>
      <c r="N344" s="3" t="n">
        <v>100.11</v>
      </c>
      <c r="O344" t="n">
        <v>4.7</v>
      </c>
      <c r="P344" t="n">
        <v>3702</v>
      </c>
      <c r="R344" t="inlineStr">
        <is>
          <t>OutOfStock</t>
        </is>
      </c>
      <c r="S344" t="inlineStr">
        <is>
          <t>17.99</t>
        </is>
      </c>
      <c r="T344" t="inlineStr">
        <is>
          <t>3699319275572</t>
        </is>
      </c>
    </row>
    <row r="345" hidden="1" ht="15.75" customHeight="1">
      <c r="A345" s="2">
        <f>HYPERLINK("https://www.shelhealth.com/products/berkley-jensen-25mg-allergy-tablets-400-ct", "https://www.shelhealth.com/products/berkley-jensen-25mg-allergy-tablets-400-ct")</f>
        <v/>
      </c>
      <c r="B345" s="2">
        <f>HYPERLINK("https://www.shelhealth.com/products/berkley-jensen-25mg-allergy-tablets-400-ct", "https://www.shelhealth.com/products/berkley-jensen-25mg-allergy-tablets-400-ct")</f>
        <v/>
      </c>
      <c r="C345" t="inlineStr">
        <is>
          <t>Berkley Jensen Allergy Relief, 400 Count</t>
        </is>
      </c>
      <c r="D345" t="inlineStr">
        <is>
          <t>Berkley Jensen 24 Hour Non-Drowsy Allergy Relief, 365 Count (Compare to Claritin)</t>
        </is>
      </c>
      <c r="E345" s="2">
        <f>HYPERLINK("https://www.amazon.com/Berkley-Jensen-Non-Drowsy-Allergy-Claritin/dp/B013XWJ7FA/ref=sr_1_5?keywords=Berkley+Jensen+Allergy+Relief%2C+400+Count&amp;qid=1695169990&amp;sr=8-5", "https://www.amazon.com/Berkley-Jensen-Non-Drowsy-Allergy-Claritin/dp/B013XWJ7FA/ref=sr_1_5?keywords=Berkley+Jensen+Allergy+Relief%2C+400+Count&amp;qid=1695169990&amp;sr=8-5")</f>
        <v/>
      </c>
      <c r="F345" t="inlineStr">
        <is>
          <t>B013XWJ7FA</t>
        </is>
      </c>
      <c r="G345">
        <f>_xludf.IMAGE("https://www.shelhealth.com/cdn/shop/products/berkley-jensen-allergy-relief-400-count-shelhealth-580.jpg?v=1663351757&amp;width=1946")</f>
        <v/>
      </c>
      <c r="H345">
        <f>_xludf.IMAGE("https://m.media-amazon.com/images/I/71SwlBYd7WL._AC_UL320_.jpg")</f>
        <v/>
      </c>
      <c r="K345" t="inlineStr">
        <is>
          <t>11.99</t>
        </is>
      </c>
      <c r="L345" t="n">
        <v>16.99</v>
      </c>
      <c r="M345" s="1" t="inlineStr">
        <is>
          <t>41.70%</t>
        </is>
      </c>
      <c r="N345" s="3" t="n">
        <v>41.7</v>
      </c>
      <c r="O345" t="n">
        <v>4.6</v>
      </c>
      <c r="P345" t="n">
        <v>380</v>
      </c>
      <c r="R345" t="inlineStr">
        <is>
          <t>InStock</t>
        </is>
      </c>
      <c r="S345" t="inlineStr">
        <is>
          <t>11.99</t>
        </is>
      </c>
      <c r="T345" t="inlineStr">
        <is>
          <t>4112989552692</t>
        </is>
      </c>
    </row>
    <row r="346" hidden="1" ht="15.75" customHeight="1">
      <c r="A346" s="2">
        <f>HYPERLINK("https://www.shelhealth.com/products/afrin-original-maximum-strength-nasal-spray-90-ml", "https://www.shelhealth.com/products/afrin-original-maximum-strength-nasal-spray-90-ml")</f>
        <v/>
      </c>
      <c r="B346" s="2">
        <f>HYPERLINK("https://www.shelhealth.com/products/afrin-original-maximum-strength-nasal-spray-90-ml", "https://www.shelhealth.com/products/afrin-original-maximum-strength-nasal-spray-90-ml")</f>
        <v/>
      </c>
      <c r="C346" t="inlineStr">
        <is>
          <t>Afrin Original Maximum Strength Nasal Spray Allergy relief, 90 ml.</t>
        </is>
      </c>
      <c r="D346" t="inlineStr">
        <is>
          <t>Afrin Original Maximum Strength 12 Hour Sinus Congestion Relief Pump Mist - Fast Acting Allergy Nasal Decongestant and Sinus Spray for Powerful Nasal Congestion Relief 0.5oz (15mL)</t>
        </is>
      </c>
      <c r="E346" s="2">
        <f>HYPERLINK("https://www.amazon.com/Afrin-Hour-Pump-Original-Ounce/dp/B019DL5KAG/ref=sr_1_1?keywords=Afrin+Original+Maximum+Strength+Nasal+Spray+Allergy+relief%2C+90+ml.&amp;qid=1695170000&amp;sr=8-1", "https://www.amazon.com/Afrin-Hour-Pump-Original-Ounce/dp/B019DL5KAG/ref=sr_1_1?keywords=Afrin+Original+Maximum+Strength+Nasal+Spray+Allergy+relief%2C+90+ml.&amp;qid=1695170000&amp;sr=8-1")</f>
        <v/>
      </c>
      <c r="F346" t="inlineStr">
        <is>
          <t>B019DL5KAG</t>
        </is>
      </c>
      <c r="G346">
        <f>_xludf.IMAGE("https://www.shelhealth.com/cdn/shop/products/afrin-original-maximum-strength-nasal-spray-allergy-relief-90-ml-shelhealth-146.jpg?v=1663336586&amp;width=1946")</f>
        <v/>
      </c>
      <c r="H346">
        <f>_xludf.IMAGE("https://m.media-amazon.com/images/I/81lfsEyuTvL._AC_UL320_.jpg")</f>
        <v/>
      </c>
      <c r="K346" t="inlineStr">
        <is>
          <t>17.99</t>
        </is>
      </c>
      <c r="L346" t="n">
        <v>19.99</v>
      </c>
      <c r="M346" s="1" t="inlineStr">
        <is>
          <t>11.12%</t>
        </is>
      </c>
      <c r="N346" s="3" t="n">
        <v>11.12</v>
      </c>
      <c r="O346" t="n">
        <v>4.6</v>
      </c>
      <c r="P346" t="n">
        <v>4420</v>
      </c>
      <c r="R346" t="inlineStr">
        <is>
          <t>OutOfStock</t>
        </is>
      </c>
      <c r="S346" t="inlineStr">
        <is>
          <t>17.99</t>
        </is>
      </c>
      <c r="T346" t="inlineStr">
        <is>
          <t>3699319275572</t>
        </is>
      </c>
    </row>
    <row r="347" hidden="1" ht="15.75" customHeight="1">
      <c r="A347" s="2">
        <f>HYPERLINK("https://www.shelhealth.com/products/berkley-jensen-allergy-relief-365-count", "https://www.shelhealth.com/products/berkley-jensen-allergy-relief-365-count")</f>
        <v/>
      </c>
      <c r="B347" s="2">
        <f>HYPERLINK("https://www.shelhealth.com/products/berkley-jensen-allergy-relief-365-count", "https://www.shelhealth.com/products/berkley-jensen-allergy-relief-365-count")</f>
        <v/>
      </c>
      <c r="C347" t="inlineStr">
        <is>
          <t>Berkley Jensen Allergy Relief, 365 Count</t>
        </is>
      </c>
      <c r="D347" t="inlineStr">
        <is>
          <t>UVUBXT Berkley Jensen Non-Drowsy Allergy Relief, 365 ct.</t>
        </is>
      </c>
      <c r="E347" s="2">
        <f>HYPERLINK("https://www.amazon.com/Berkley-Jensen-Non-Drowsy-Allergy-Relief/dp/B071S66RBZ/ref=sr_1_3?keywords=Berkley+Jensen+Allergy+Relief%2C+365+Count&amp;qid=1695169989&amp;sr=8-3", "https://www.amazon.com/Berkley-Jensen-Non-Drowsy-Allergy-Relief/dp/B071S66RBZ/ref=sr_1_3?keywords=Berkley+Jensen+Allergy+Relief%2C+365+Count&amp;qid=1695169989&amp;sr=8-3")</f>
        <v/>
      </c>
      <c r="F347" t="inlineStr">
        <is>
          <t>B071S66RBZ</t>
        </is>
      </c>
      <c r="G347">
        <f>_xludf.IMAGE("https://www.shelhealth.com/cdn/shop/products/berkley-jensen-allergy-relief-365-count-shelhealth-989.jpg?v=1663353817&amp;width=1946")</f>
        <v/>
      </c>
      <c r="H347">
        <f>_xludf.IMAGE("https://m.media-amazon.com/images/I/519Rk3X37bL._AC_UL320_.jpg")</f>
        <v/>
      </c>
      <c r="K347" t="inlineStr">
        <is>
          <t>23.99</t>
        </is>
      </c>
      <c r="L347" t="n">
        <v>25.05</v>
      </c>
      <c r="M347" s="1" t="inlineStr">
        <is>
          <t>4.42%</t>
        </is>
      </c>
      <c r="N347" s="3" t="n">
        <v>4.42</v>
      </c>
      <c r="O347" t="n">
        <v>4.7</v>
      </c>
      <c r="P347" t="n">
        <v>20</v>
      </c>
      <c r="R347" t="inlineStr">
        <is>
          <t>InStock</t>
        </is>
      </c>
      <c r="S347" t="inlineStr">
        <is>
          <t>23.99</t>
        </is>
      </c>
      <c r="T347" t="inlineStr">
        <is>
          <t>4164506157108</t>
        </is>
      </c>
    </row>
    <row r="348" hidden="1" ht="15.75" customHeight="1">
      <c r="A348" s="2">
        <f>HYPERLINK("https://www.shelhealth.com/products/787647100019-heel-bhi-allergy-homeopathic-medication-100-tablets", "https://www.shelhealth.com/products/787647100019-heel-bhi-allergy-homeopathic-medication-100-tablets")</f>
        <v/>
      </c>
      <c r="B348" s="2">
        <f>HYPERLINK("https://www.shelhealth.com/products/787647100019-heel-bhi-allergy-homeopathic-medication-100-tablets", "https://www.shelhealth.com/products/787647100019-heel-bhi-allergy-homeopathic-medication-100-tablets")</f>
        <v/>
      </c>
      <c r="C348" t="inlineStr">
        <is>
          <t>Heel Bhi Allergy Homeopathic Medication, 100 Tablets</t>
        </is>
      </c>
      <c r="D348" t="inlineStr">
        <is>
          <t>MediNatura BHI Allergy Relief Multi-Symptom Natural Safe Relief of Runny Nose Sneezing Itchy Eyes &amp; Congestion 15 Targeted Homeopathic Active Ingredients Help Calm Discomfort - 100 Tablets</t>
        </is>
      </c>
      <c r="E348" s="2">
        <f>HYPERLINK("https://www.amazon.com/Multi-Symptom-Congestion-Homeopathic-Ingredients-Discomfort/dp/B0014ATEI4/ref=sr_1_1?keywords=Heel+Bhi+Allergy+Homeopathic+Medication%2C+100+Tablets&amp;qid=1695170014&amp;sr=8-1", "https://www.amazon.com/Multi-Symptom-Congestion-Homeopathic-Ingredients-Discomfort/dp/B0014ATEI4/ref=sr_1_1?keywords=Heel+Bhi+Allergy+Homeopathic+Medication%2C+100+Tablets&amp;qid=1695170014&amp;sr=8-1")</f>
        <v/>
      </c>
      <c r="F348" t="inlineStr">
        <is>
          <t>B0014ATEI4</t>
        </is>
      </c>
      <c r="G348">
        <f>_xludf.IMAGE("https://www.shelhealth.com/cdn/shop/files/heel-bhi-allergy-homeopathic-medication-100-tablets-medicine-respiratory-shelhealth-629.jpg?v=1693355103&amp;width=1946")</f>
        <v/>
      </c>
      <c r="H348">
        <f>_xludf.IMAGE("https://m.media-amazon.com/images/I/61GszXfCOtL._AC_UL320_.jpg")</f>
        <v/>
      </c>
      <c r="K348" t="inlineStr">
        <is>
          <t>13.99</t>
        </is>
      </c>
      <c r="L348" t="n">
        <v>13.87</v>
      </c>
      <c r="M348" s="1" t="inlineStr">
        <is>
          <t>-0.86%</t>
        </is>
      </c>
      <c r="N348" s="3" t="n">
        <v>-0.86</v>
      </c>
      <c r="O348" t="n">
        <v>4.5</v>
      </c>
      <c r="P348" t="n">
        <v>661</v>
      </c>
      <c r="R348" t="inlineStr">
        <is>
          <t>OutOfStock</t>
        </is>
      </c>
      <c r="S348" t="inlineStr">
        <is>
          <t>13.99</t>
        </is>
      </c>
      <c r="T348" t="inlineStr">
        <is>
          <t>7241695166652</t>
        </is>
      </c>
    </row>
    <row r="349" hidden="1" ht="15.75" customHeight="1">
      <c r="A349" s="2">
        <f>HYPERLINK("https://www.shelhealth.com/products/kirkland-signature-aller-cort-3-bottles", "https://www.shelhealth.com/products/kirkland-signature-aller-cort-3-bottles")</f>
        <v/>
      </c>
      <c r="B349" s="2">
        <f>HYPERLINK("https://www.shelhealth.com/products/kirkland-signature-aller-cort-3-bottles", "https://www.shelhealth.com/products/kirkland-signature-aller-cort-3-bottles")</f>
        <v/>
      </c>
      <c r="C349" t="inlineStr">
        <is>
          <t>Kirkland Signature Aller-Cort, 3 Bottles</t>
        </is>
      </c>
      <c r="D349" t="inlineStr">
        <is>
          <t>Kirkland Signature Aller-Flo Fluticasone Propionate (Glucocorticoid) 50 mcg, Nasal Allergy Spray (3 Bottles 432 Metered Sprays) Bundle with Exclusive "Allergy Relief" - Better Idea Guide</t>
        </is>
      </c>
      <c r="E349" s="2">
        <f>HYPERLINK("https://www.amazon.com/Aller-Flo-Glucocorticoid-432-Metered-Sprays/dp/B0CCSY4B75/ref=sr_1_1?keywords=Kirkland+Signature+Aller-Cort%2C+3+Bottles&amp;qid=1695169989&amp;sr=8-1", "https://www.amazon.com/Aller-Flo-Glucocorticoid-432-Metered-Sprays/dp/B0CCSY4B75/ref=sr_1_1?keywords=Kirkland+Signature+Aller-Cort%2C+3+Bottles&amp;qid=1695169989&amp;sr=8-1")</f>
        <v/>
      </c>
      <c r="F349" t="inlineStr">
        <is>
          <t>B0CCSY4B75</t>
        </is>
      </c>
      <c r="G349">
        <f>_xludf.IMAGE("https://www.shelhealth.com/cdn/shop/products/kirkland-signature-aller-cort-3-bottles-shelhealth-367.jpg?v=1663371590&amp;width=1946")</f>
        <v/>
      </c>
      <c r="H349">
        <f>_xludf.IMAGE("https://m.media-amazon.com/images/I/71vM5fnO9qL._AC_UL320_.jpg")</f>
        <v/>
      </c>
      <c r="K349" t="inlineStr">
        <is>
          <t>28.99</t>
        </is>
      </c>
      <c r="L349" t="n">
        <v>25.99</v>
      </c>
      <c r="M349" s="1" t="inlineStr">
        <is>
          <t>-10.35%</t>
        </is>
      </c>
      <c r="N349" s="3" t="n">
        <v>-10.35</v>
      </c>
      <c r="O349" t="n">
        <v>3.1</v>
      </c>
      <c r="P349" t="n">
        <v>4</v>
      </c>
      <c r="R349" t="inlineStr">
        <is>
          <t>OutOfStock</t>
        </is>
      </c>
      <c r="S349" t="inlineStr">
        <is>
          <t>28.99</t>
        </is>
      </c>
      <c r="T349" t="inlineStr">
        <is>
          <t>4684286165081</t>
        </is>
      </c>
    </row>
    <row r="350" hidden="1" ht="15.75" customHeight="1">
      <c r="A350" s="2">
        <f>HYPERLINK("https://www.shelhealth.com/products/371400708019-bioallers-allergy-treatment-sinus-and-allergy-nasal-spray-0-8-oz", "https://www.shelhealth.com/products/371400708019-bioallers-allergy-treatment-sinus-and-allergy-nasal-spray-0-8-oz")</f>
        <v/>
      </c>
      <c r="B350" s="2">
        <f>HYPERLINK("https://www.shelhealth.com/products/371400708019-bioallers-allergy-treatment-sinus-and-allergy-nasal-spray-0-8-oz", "https://www.shelhealth.com/products/371400708019-bioallers-allergy-treatment-sinus-and-allergy-nasal-spray-0-8-oz")</f>
        <v/>
      </c>
      <c r="C350" t="inlineStr">
        <is>
          <t>Bioallers Allergy Treatment Sinus And Allergy Nasal Spray, 0.8 Oz</t>
        </is>
      </c>
      <c r="D350" t="inlineStr">
        <is>
          <t>bioAllers Sinus and Allergy Relief Nasal Spray | Fast-Acting Homeopathic Remedy for Congestion, Pressure &amp; Headache, Runny Nose &amp; Sneezing | .8 oz</t>
        </is>
      </c>
      <c r="E350" s="2">
        <f>HYPERLINK("https://www.amazon.com/bioAllers-Fast-Acting-Homeopathic-Congestion-Pressure/dp/B0016BEWNS/ref=sr_1_1?keywords=Bioallers+Allergy+Treatment+Sinus+And+Allergy+Nasal+Spray%2C+0.8+Oz&amp;qid=1695169990&amp;sr=8-1", "https://www.amazon.com/bioAllers-Fast-Acting-Homeopathic-Congestion-Pressure/dp/B0016BEWNS/ref=sr_1_1?keywords=Bioallers+Allergy+Treatment+Sinus+And+Allergy+Nasal+Spray%2C+0.8+Oz&amp;qid=1695169990&amp;sr=8-1")</f>
        <v/>
      </c>
      <c r="F350" t="inlineStr">
        <is>
          <t>B0016BEWNS</t>
        </is>
      </c>
      <c r="G350">
        <f>_xludf.IMAGE("https://www.shelhealth.com/cdn/shop/files/bioallers-allergy-treatment-sinus-and-nasal-spray-0-8-oz-homeopathic-medicine-respiratory-shelhealth-701.jpg?v=1689652481&amp;width=1946")</f>
        <v/>
      </c>
      <c r="H350">
        <f>_xludf.IMAGE("https://m.media-amazon.com/images/I/61w3dw+xD6L._AC_UL320_.jpg")</f>
        <v/>
      </c>
      <c r="K350" t="inlineStr">
        <is>
          <t>16.99</t>
        </is>
      </c>
      <c r="L350" t="n">
        <v>14.99</v>
      </c>
      <c r="M350" s="1" t="inlineStr">
        <is>
          <t>-11.77%</t>
        </is>
      </c>
      <c r="N350" s="3" t="n">
        <v>-11.77</v>
      </c>
      <c r="O350" t="n">
        <v>4.2</v>
      </c>
      <c r="P350" t="n">
        <v>296</v>
      </c>
      <c r="R350" t="inlineStr">
        <is>
          <t>InStock</t>
        </is>
      </c>
      <c r="S350" t="inlineStr">
        <is>
          <t>16.99</t>
        </is>
      </c>
      <c r="T350" t="inlineStr">
        <is>
          <t>7241514352828</t>
        </is>
      </c>
    </row>
    <row r="351" hidden="1" ht="15.75" customHeight="1">
      <c r="A351" s="2">
        <f>HYPERLINK("https://www.shelhealth.com/products/371400708019-bioallers-allergy-treatment-sinus-and-allergy-nasal-spray-0-8-oz", "https://www.shelhealth.com/products/371400708019-bioallers-allergy-treatment-sinus-and-allergy-nasal-spray-0-8-oz")</f>
        <v/>
      </c>
      <c r="B351" s="2">
        <f>HYPERLINK("https://www.shelhealth.com/products/371400708019-bioallers-allergy-treatment-sinus-and-allergy-nasal-spray-0-8-oz", "https://www.shelhealth.com/products/371400708019-bioallers-allergy-treatment-sinus-and-allergy-nasal-spray-0-8-oz")</f>
        <v/>
      </c>
      <c r="C351" t="inlineStr">
        <is>
          <t>Bioallers Allergy Treatment Sinus And Allergy Nasal Spray, 0.8 Oz</t>
        </is>
      </c>
      <c r="D351" t="inlineStr">
        <is>
          <t>Bioallers Sinus and Allergy Nasal Spray, 0.8-Ounce</t>
        </is>
      </c>
      <c r="E351" s="2">
        <f>HYPERLINK("https://www.amazon.com/Bioallers-Sinus-Allergy-Nasal-0-8-Ounce/dp/B005P0K7UI/ref=sr_1_2?keywords=Bioallers+Allergy+Treatment+Sinus+And+Allergy+Nasal+Spray%2C+0.8+Oz&amp;qid=1695169990&amp;sr=8-2", "https://www.amazon.com/Bioallers-Sinus-Allergy-Nasal-0-8-Ounce/dp/B005P0K7UI/ref=sr_1_2?keywords=Bioallers+Allergy+Treatment+Sinus+And+Allergy+Nasal+Spray%2C+0.8+Oz&amp;qid=1695169990&amp;sr=8-2")</f>
        <v/>
      </c>
      <c r="F351" t="inlineStr">
        <is>
          <t>B005P0K7UI</t>
        </is>
      </c>
      <c r="G351">
        <f>_xludf.IMAGE("https://www.shelhealth.com/cdn/shop/files/bioallers-allergy-treatment-sinus-and-nasal-spray-0-8-oz-homeopathic-medicine-respiratory-shelhealth-701.jpg?v=1689652481&amp;width=1946")</f>
        <v/>
      </c>
      <c r="H351">
        <f>_xludf.IMAGE("https://m.media-amazon.com/images/I/61w3dw+xD6L._AC_UL320_.jpg")</f>
        <v/>
      </c>
      <c r="K351" t="inlineStr">
        <is>
          <t>16.99</t>
        </is>
      </c>
      <c r="L351" t="n">
        <v>14.99</v>
      </c>
      <c r="M351" s="1" t="inlineStr">
        <is>
          <t>-11.77%</t>
        </is>
      </c>
      <c r="N351" s="3" t="n">
        <v>-11.77</v>
      </c>
      <c r="O351" t="n">
        <v>4.2</v>
      </c>
      <c r="P351" t="n">
        <v>70</v>
      </c>
      <c r="R351" t="inlineStr">
        <is>
          <t>InStock</t>
        </is>
      </c>
      <c r="S351" t="inlineStr">
        <is>
          <t>16.99</t>
        </is>
      </c>
      <c r="T351" t="inlineStr">
        <is>
          <t>7241514352828</t>
        </is>
      </c>
    </row>
    <row r="352" hidden="1" ht="15.75" customHeight="1">
      <c r="A352" s="2">
        <f>HYPERLINK("https://www.shelhealth.com/products/berkley-jensen-24-hour-non-drowsy-allergy-relief-365-count", "https://www.shelhealth.com/products/berkley-jensen-24-hour-non-drowsy-allergy-relief-365-count")</f>
        <v/>
      </c>
      <c r="B352" s="2">
        <f>HYPERLINK("https://www.shelhealth.com/products/berkley-jensen-24-hour-non-drowsy-allergy-relief-365-count", "https://www.shelhealth.com/products/berkley-jensen-24-hour-non-drowsy-allergy-relief-365-count")</f>
        <v/>
      </c>
      <c r="C352" t="inlineStr">
        <is>
          <t>Berkley Jensen 24 Hour Non-Drowsy Allergy Relief, 365 Count</t>
        </is>
      </c>
      <c r="D352" t="inlineStr">
        <is>
          <t>Berkley Jensen 24 Hour Non-Drowsy Allergy Relief, 365 Count (Compare to Claritin)</t>
        </is>
      </c>
      <c r="E352" s="2">
        <f>HYPERLINK("https://www.amazon.com/Berkley-Jensen-Non-Drowsy-Allergy-Claritin/dp/B013XWJ7FA/ref=sr_1_1?keywords=Berkley+Jensen+24+Hour+Non-Drowsy+Allergy+Relief%2C+365+Count&amp;qid=1695169991&amp;sr=8-1", "https://www.amazon.com/Berkley-Jensen-Non-Drowsy-Allergy-Claritin/dp/B013XWJ7FA/ref=sr_1_1?keywords=Berkley+Jensen+24+Hour+Non-Drowsy+Allergy+Relief%2C+365+Count&amp;qid=1695169991&amp;sr=8-1")</f>
        <v/>
      </c>
      <c r="F352" t="inlineStr">
        <is>
          <t>B013XWJ7FA</t>
        </is>
      </c>
      <c r="G352">
        <f>_xludf.IMAGE("https://www.shelhealth.com/cdn/shop/products/berkley-jensen-24-hour-non-drowsy-allergy-relief-365-count-shelhealth-150.jpg?v=1663351750&amp;width=1946")</f>
        <v/>
      </c>
      <c r="H352">
        <f>_xludf.IMAGE("https://m.media-amazon.com/images/I/71SwlBYd7WL._AC_UL320_.jpg")</f>
        <v/>
      </c>
      <c r="K352" t="inlineStr">
        <is>
          <t>21.99</t>
        </is>
      </c>
      <c r="L352" t="n">
        <v>16.99</v>
      </c>
      <c r="M352" s="1" t="inlineStr">
        <is>
          <t>-22.74%</t>
        </is>
      </c>
      <c r="N352" s="3" t="n">
        <v>-22.74</v>
      </c>
      <c r="O352" t="n">
        <v>4.6</v>
      </c>
      <c r="P352" t="n">
        <v>380</v>
      </c>
      <c r="R352" t="inlineStr">
        <is>
          <t>InStock</t>
        </is>
      </c>
      <c r="S352" t="inlineStr">
        <is>
          <t>21.99</t>
        </is>
      </c>
      <c r="T352" t="inlineStr">
        <is>
          <t>4112985358388</t>
        </is>
      </c>
    </row>
    <row r="353" hidden="1" ht="15.75" customHeight="1">
      <c r="A353" s="2">
        <f>HYPERLINK("https://www.shelhealth.com/products/berkley-jensen-allergy-relief-365-count", "https://www.shelhealth.com/products/berkley-jensen-allergy-relief-365-count")</f>
        <v/>
      </c>
      <c r="B353" s="2">
        <f>HYPERLINK("https://www.shelhealth.com/products/berkley-jensen-allergy-relief-365-count", "https://www.shelhealth.com/products/berkley-jensen-allergy-relief-365-count")</f>
        <v/>
      </c>
      <c r="C353" t="inlineStr">
        <is>
          <t>Berkley Jensen Allergy Relief, 365 Count</t>
        </is>
      </c>
      <c r="D353" t="inlineStr">
        <is>
          <t>Berkley Jensen 24 Hour Non-Drowsy Allergy Relief, 365 Count (Compare to Claritin)</t>
        </is>
      </c>
      <c r="E353" s="2">
        <f>HYPERLINK("https://www.amazon.com/Berkley-Jensen-Non-Drowsy-Allergy-Claritin/dp/B013XWJ7FA/ref=sr_1_4?keywords=Berkley+Jensen+Allergy+Relief%2C+365+Count&amp;qid=1695169989&amp;sr=8-4", "https://www.amazon.com/Berkley-Jensen-Non-Drowsy-Allergy-Claritin/dp/B013XWJ7FA/ref=sr_1_4?keywords=Berkley+Jensen+Allergy+Relief%2C+365+Count&amp;qid=1695169989&amp;sr=8-4")</f>
        <v/>
      </c>
      <c r="F353" t="inlineStr">
        <is>
          <t>B013XWJ7FA</t>
        </is>
      </c>
      <c r="G353">
        <f>_xludf.IMAGE("https://www.shelhealth.com/cdn/shop/products/berkley-jensen-allergy-relief-365-count-shelhealth-989.jpg?v=1663353817&amp;width=1946")</f>
        <v/>
      </c>
      <c r="H353">
        <f>_xludf.IMAGE("https://m.media-amazon.com/images/I/71SwlBYd7WL._AC_UL320_.jpg")</f>
        <v/>
      </c>
      <c r="K353" t="inlineStr">
        <is>
          <t>23.99</t>
        </is>
      </c>
      <c r="L353" t="n">
        <v>16.99</v>
      </c>
      <c r="M353" s="1" t="inlineStr">
        <is>
          <t>-29.18%</t>
        </is>
      </c>
      <c r="N353" s="3" t="n">
        <v>-29.18</v>
      </c>
      <c r="O353" t="n">
        <v>4.6</v>
      </c>
      <c r="P353" t="n">
        <v>380</v>
      </c>
      <c r="R353" t="inlineStr">
        <is>
          <t>InStock</t>
        </is>
      </c>
      <c r="S353" t="inlineStr">
        <is>
          <t>23.99</t>
        </is>
      </c>
      <c r="T353" t="inlineStr">
        <is>
          <t>4164506157108</t>
        </is>
      </c>
    </row>
    <row r="354" hidden="1" ht="15.75" customHeight="1">
      <c r="A354" s="2">
        <f>HYPERLINK("https://www.shelhealth.com/products/flonase-nasal-spray-120-metered-sprays-total-360-sprays", "https://www.shelhealth.com/products/flonase-nasal-spray-120-metered-sprays-total-360-sprays")</f>
        <v/>
      </c>
      <c r="B354" s="2">
        <f>HYPERLINK("https://www.shelhealth.com/products/flonase-nasal-spray-120-metered-sprays-total-360-sprays", "https://www.shelhealth.com/products/flonase-nasal-spray-120-metered-sprays-total-360-sprays")</f>
        <v/>
      </c>
      <c r="C354" t="inlineStr">
        <is>
          <t>Flonase Allergy Relief Nasal Spray - 120 Metered Sprays - Total 360 sprays</t>
        </is>
      </c>
      <c r="D354" t="inlineStr">
        <is>
          <t>Flonase Allergy Relief Nasal Spray - 120 Metered Sprays - (Pack of 3) - Total 360 Sprays</t>
        </is>
      </c>
      <c r="E354" s="2">
        <f>HYPERLINK("https://www.amazon.com/Flonase-Allergy-Relief-Nasal-Spray/dp/B010CZAO1C/ref=sr_1_1?keywords=Flonase+Allergy+Relief+Nasal+Spray+-+120+Metered+Sprays+-+Total+360+sprays&amp;qid=1695169989&amp;sr=8-1", "https://www.amazon.com/Flonase-Allergy-Relief-Nasal-Spray/dp/B010CZAO1C/ref=sr_1_1?keywords=Flonase+Allergy+Relief+Nasal+Spray+-+120+Metered+Sprays+-+Total+360+sprays&amp;qid=1695169989&amp;sr=8-1")</f>
        <v/>
      </c>
      <c r="F354" t="inlineStr">
        <is>
          <t>B010CZAO1C</t>
        </is>
      </c>
      <c r="G354">
        <f>_xludf.IMAGE("https://www.shelhealth.com/cdn/shop/products/flonase-allergy-relief-nasal-spray-120-metered-sprays-total-360-shelhealth-987.jpg?v=1663337214&amp;width=1946")</f>
        <v/>
      </c>
      <c r="H354">
        <f>_xludf.IMAGE("https://m.media-amazon.com/images/I/71-aJqz1XCL._AC_UL320_.jpg")</f>
        <v/>
      </c>
      <c r="K354" t="inlineStr">
        <is>
          <t>72.99</t>
        </is>
      </c>
      <c r="L354" t="n">
        <v>49</v>
      </c>
      <c r="M354" s="1" t="inlineStr">
        <is>
          <t>-32.87%</t>
        </is>
      </c>
      <c r="N354" s="3" t="n">
        <v>-32.87</v>
      </c>
      <c r="O354" t="n">
        <v>4.7</v>
      </c>
      <c r="P354" t="n">
        <v>1107</v>
      </c>
      <c r="R354" t="inlineStr">
        <is>
          <t>InStock</t>
        </is>
      </c>
      <c r="S354" t="inlineStr">
        <is>
          <t>72.99</t>
        </is>
      </c>
      <c r="T354" t="inlineStr">
        <is>
          <t>3752452128820</t>
        </is>
      </c>
    </row>
    <row r="355" hidden="1" ht="15.75" customHeight="1">
      <c r="A355" s="2">
        <f>HYPERLINK("https://www.shelhealth.com/products/kirkland-signature-aller-fex-allergy-relief-180-mg-180-tablets", "https://www.shelhealth.com/products/kirkland-signature-aller-fex-allergy-relief-180-mg-180-tablets")</f>
        <v/>
      </c>
      <c r="B355" s="2">
        <f>HYPERLINK("https://www.shelhealth.com/products/kirkland-signature-aller-fex-allergy-relief-180-mg-180-tablets", "https://www.shelhealth.com/products/kirkland-signature-aller-fex-allergy-relief-180-mg-180-tablets")</f>
        <v/>
      </c>
      <c r="C355" t="inlineStr">
        <is>
          <t>Kirkland Signature Aller-FEX, Allergy Relief, 180 mg, 180 Tablets</t>
        </is>
      </c>
      <c r="D355" t="inlineStr">
        <is>
          <t>Kirkland Signature Aller-FEX, 180 Mg 180 Tablets</t>
        </is>
      </c>
      <c r="E355" s="2">
        <f>HYPERLINK("https://www.amazon.com/Kirkland-Signature-Aller-FEX-180-Tablets/dp/B01JPG3ZQA/ref=sr_1_4?keywords=Kirkland+Signature+Aller-FEX%2C+Allergy+Relief%2C+180+mg%2C+180+Tablets&amp;qid=1695169990&amp;sr=8-4", "https://www.amazon.com/Kirkland-Signature-Aller-FEX-180-Tablets/dp/B01JPG3ZQA/ref=sr_1_4?keywords=Kirkland+Signature+Aller-FEX%2C+Allergy+Relief%2C+180+mg%2C+180+Tablets&amp;qid=1695169990&amp;sr=8-4")</f>
        <v/>
      </c>
      <c r="F355" t="inlineStr">
        <is>
          <t>B01JPG3ZQA</t>
        </is>
      </c>
      <c r="G355">
        <f>_xludf.IMAGE("https://www.shelhealth.com/cdn/shop/products/kirkland-signature-aller-fex-allergy-relief-180-mg-tablets-shelhealth-964.jpg?v=1663336579&amp;width=1946")</f>
        <v/>
      </c>
      <c r="H355">
        <f>_xludf.IMAGE("https://m.media-amazon.com/images/I/81wBRVvP8RL._AC_UL320_.jpg")</f>
        <v/>
      </c>
      <c r="K355" t="inlineStr">
        <is>
          <t>50.99</t>
        </is>
      </c>
      <c r="L355" t="n">
        <v>33.49</v>
      </c>
      <c r="M355" s="1" t="inlineStr">
        <is>
          <t>-34.32%</t>
        </is>
      </c>
      <c r="N355" s="3" t="n">
        <v>-34.32</v>
      </c>
      <c r="O355" t="n">
        <v>4.8</v>
      </c>
      <c r="P355" t="n">
        <v>1442</v>
      </c>
      <c r="R355" t="inlineStr">
        <is>
          <t>InStock</t>
        </is>
      </c>
      <c r="S355" t="inlineStr">
        <is>
          <t>50.99</t>
        </is>
      </c>
      <c r="T355" t="inlineStr">
        <is>
          <t>3699313279028</t>
        </is>
      </c>
    </row>
    <row r="356" hidden="1" ht="15.75" customHeight="1">
      <c r="A356" s="2">
        <f>HYPERLINK("https://www.shelhealth.com/products/berkley-jensen-allergy-relief-365-count", "https://www.shelhealth.com/products/berkley-jensen-allergy-relief-365-count")</f>
        <v/>
      </c>
      <c r="B356" s="2">
        <f>HYPERLINK("https://www.shelhealth.com/products/berkley-jensen-allergy-relief-365-count", "https://www.shelhealth.com/products/berkley-jensen-allergy-relief-365-count")</f>
        <v/>
      </c>
      <c r="C356" t="inlineStr">
        <is>
          <t>Berkley Jensen Allergy Relief, 365 Count</t>
        </is>
      </c>
      <c r="D356" t="inlineStr">
        <is>
          <t>Berkley Jensen Allergy Relief, 365 ct.</t>
        </is>
      </c>
      <c r="E356" s="2">
        <f>HYPERLINK("https://www.amazon.com/Berkley-Jensen-Allergy-Relief-365/dp/B07FZB812Y/ref=sr_1_1?keywords=Berkley+Jensen+Allergy+Relief%2C+365+Count&amp;qid=1695169989&amp;sr=8-1", "https://www.amazon.com/Berkley-Jensen-Allergy-Relief-365/dp/B07FZB812Y/ref=sr_1_1?keywords=Berkley+Jensen+Allergy+Relief%2C+365+Count&amp;qid=1695169989&amp;sr=8-1")</f>
        <v/>
      </c>
      <c r="F356" t="inlineStr">
        <is>
          <t>B07FZB812Y</t>
        </is>
      </c>
      <c r="G356">
        <f>_xludf.IMAGE("https://www.shelhealth.com/cdn/shop/products/berkley-jensen-allergy-relief-365-count-shelhealth-989.jpg?v=1663353817&amp;width=1946")</f>
        <v/>
      </c>
      <c r="H356">
        <f>_xludf.IMAGE("https://m.media-amazon.com/images/I/81ndwAam+0L._AC_UL320_.jpg")</f>
        <v/>
      </c>
      <c r="K356" t="inlineStr">
        <is>
          <t>23.99</t>
        </is>
      </c>
      <c r="L356" t="n">
        <v>12.68</v>
      </c>
      <c r="M356" s="1" t="inlineStr">
        <is>
          <t>-47.14%</t>
        </is>
      </c>
      <c r="N356" s="3" t="n">
        <v>-47.14</v>
      </c>
      <c r="O356" t="n">
        <v>4.7</v>
      </c>
      <c r="P356" t="n">
        <v>1131</v>
      </c>
      <c r="R356" t="inlineStr">
        <is>
          <t>InStock</t>
        </is>
      </c>
      <c r="S356" t="inlineStr">
        <is>
          <t>23.99</t>
        </is>
      </c>
      <c r="T356" t="inlineStr">
        <is>
          <t>4164506157108</t>
        </is>
      </c>
    </row>
    <row r="357" hidden="1" ht="15.75" customHeight="1">
      <c r="A357" s="2">
        <f>HYPERLINK("https://www.shelhealth.com/products/flonase-nasal-spray-120-metered-sprays-total-360-sprays", "https://www.shelhealth.com/products/flonase-nasal-spray-120-metered-sprays-total-360-sprays")</f>
        <v/>
      </c>
      <c r="B357" s="2">
        <f>HYPERLINK("https://www.shelhealth.com/products/flonase-nasal-spray-120-metered-sprays-total-360-sprays", "https://www.shelhealth.com/products/flonase-nasal-spray-120-metered-sprays-total-360-sprays")</f>
        <v/>
      </c>
      <c r="C357" t="inlineStr">
        <is>
          <t>Flonase Allergy Relief Nasal Spray - 120 Metered Sprays - Total 360 sprays</t>
        </is>
      </c>
      <c r="D357" t="inlineStr">
        <is>
          <t>Flonase Allergy Relief Nasal Spray, 24 Hour Non Drowsy Allergy Medicine, Metered Nasal Spray - 144 Sprays (Pack of 2) + Pack of Tissues- Fall and Seasonal Allergy Relief</t>
        </is>
      </c>
      <c r="E357" s="2">
        <f>HYPERLINK("https://www.amazon.com/Flonase-Allergy-Relief-Medicine-Metered/dp/B09J196SZS/ref=sr_1_2?keywords=Flonase+Allergy+Relief+Nasal+Spray+-+120+Metered+Sprays+-+Total+360+sprays&amp;qid=1695169989&amp;rdc=1&amp;sr=8-2", "https://www.amazon.com/Flonase-Allergy-Relief-Medicine-Metered/dp/B09J196SZS/ref=sr_1_2?keywords=Flonase+Allergy+Relief+Nasal+Spray+-+120+Metered+Sprays+-+Total+360+sprays&amp;qid=1695169989&amp;rdc=1&amp;sr=8-2")</f>
        <v/>
      </c>
      <c r="F357" t="inlineStr">
        <is>
          <t>B09J196SZS</t>
        </is>
      </c>
      <c r="G357">
        <f>_xludf.IMAGE("https://www.shelhealth.com/cdn/shop/products/flonase-allergy-relief-nasal-spray-120-metered-sprays-total-360-shelhealth-987.jpg?v=1663337214&amp;width=1946")</f>
        <v/>
      </c>
      <c r="H357">
        <f>_xludf.IMAGE("https://m.media-amazon.com/images/I/81JC-4ASxHL._AC_UL320_.jpg")</f>
        <v/>
      </c>
      <c r="K357" t="inlineStr">
        <is>
          <t>72.99</t>
        </is>
      </c>
      <c r="L357" t="n">
        <v>32.75</v>
      </c>
      <c r="M357" s="1" t="inlineStr">
        <is>
          <t>-55.13%</t>
        </is>
      </c>
      <c r="N357" s="3" t="n">
        <v>-55.13</v>
      </c>
      <c r="O357" t="n">
        <v>4.8</v>
      </c>
      <c r="P357" t="n">
        <v>787</v>
      </c>
      <c r="R357" t="inlineStr">
        <is>
          <t>InStock</t>
        </is>
      </c>
      <c r="S357" t="inlineStr">
        <is>
          <t>72.99</t>
        </is>
      </c>
      <c r="T357" t="inlineStr">
        <is>
          <t>3752452128820</t>
        </is>
      </c>
    </row>
    <row r="358" hidden="1" ht="15.75" customHeight="1">
      <c r="A358" s="2">
        <f>HYPERLINK("https://www.shelhealth.com/products/flonase-nasal-spray-120-metered-sprays-total-360-sprays", "https://www.shelhealth.com/products/flonase-nasal-spray-120-metered-sprays-total-360-sprays")</f>
        <v/>
      </c>
      <c r="B358" s="2">
        <f>HYPERLINK("https://www.shelhealth.com/products/flonase-nasal-spray-120-metered-sprays-total-360-sprays", "https://www.shelhealth.com/products/flonase-nasal-spray-120-metered-sprays-total-360-sprays")</f>
        <v/>
      </c>
      <c r="C358" t="inlineStr">
        <is>
          <t>Flonase Allergy Relief Nasal Spray - 120 Metered Sprays - Total 360 sprays</t>
        </is>
      </c>
      <c r="D358" t="inlineStr">
        <is>
          <t>Flonase Sensimist Allergy Relief Nasal Spray Non-Drowsy Allergy Medicine for Kids and Allergy Medicine for Adults, Gentle Mist Multipack - 120 Sprays Total (2 Bottles of 60 Sprays)</t>
        </is>
      </c>
      <c r="E358" s="2">
        <f>HYPERLINK("https://www.amazon.com/Flonase-Sensimist-Allergy-Medicine-Multipack/dp/B0896LQY6Y/ref=sr_1_5?keywords=Flonase+Allergy+Relief+Nasal+Spray+-+120+Metered+Sprays+-+Total+360+sprays&amp;qid=1695169989&amp;sr=8-5", "https://www.amazon.com/Flonase-Sensimist-Allergy-Medicine-Multipack/dp/B0896LQY6Y/ref=sr_1_5?keywords=Flonase+Allergy+Relief+Nasal+Spray+-+120+Metered+Sprays+-+Total+360+sprays&amp;qid=1695169989&amp;sr=8-5")</f>
        <v/>
      </c>
      <c r="F358" t="inlineStr">
        <is>
          <t>B0896LQY6Y</t>
        </is>
      </c>
      <c r="G358">
        <f>_xludf.IMAGE("https://www.shelhealth.com/cdn/shop/products/flonase-allergy-relief-nasal-spray-120-metered-sprays-total-360-shelhealth-987.jpg?v=1663337214&amp;width=1946")</f>
        <v/>
      </c>
      <c r="H358">
        <f>_xludf.IMAGE("https://m.media-amazon.com/images/I/8144rY9D7lL._AC_UL320_.jpg")</f>
        <v/>
      </c>
      <c r="K358" t="inlineStr">
        <is>
          <t>72.99</t>
        </is>
      </c>
      <c r="L358" t="n">
        <v>31.05</v>
      </c>
      <c r="M358" s="1" t="inlineStr">
        <is>
          <t>-57.46%</t>
        </is>
      </c>
      <c r="N358" s="3" t="n">
        <v>-57.46</v>
      </c>
      <c r="O358" t="n">
        <v>4.8</v>
      </c>
      <c r="P358" t="n">
        <v>1449</v>
      </c>
      <c r="R358" t="inlineStr">
        <is>
          <t>InStock</t>
        </is>
      </c>
      <c r="S358" t="inlineStr">
        <is>
          <t>72.99</t>
        </is>
      </c>
      <c r="T358" t="inlineStr">
        <is>
          <t>3752452128820</t>
        </is>
      </c>
    </row>
    <row r="359" hidden="1" ht="15.75" customHeight="1">
      <c r="A359" s="2">
        <f>HYPERLINK("https://www.shelhealth.com/products/flonase-sensimist-24hr-spray-gentle-mist-scent-free-360-sprays", "https://www.shelhealth.com/products/flonase-sensimist-24hr-spray-gentle-mist-scent-free-360-sprays")</f>
        <v/>
      </c>
      <c r="B359" s="2">
        <f>HYPERLINK("https://www.shelhealth.com/products/flonase-sensimist-24hr-spray-gentle-mist-scent-free-360-sprays", "https://www.shelhealth.com/products/flonase-sensimist-24hr-spray-gentle-mist-scent-free-360-sprays")</f>
        <v/>
      </c>
      <c r="C359" t="inlineStr">
        <is>
          <t>Flonase Sensimist 24hr Allergy Spray, Gentle Mist, Scent-Free 360 Sprays</t>
        </is>
      </c>
      <c r="D359" t="inlineStr">
        <is>
          <t>Flonase Sensimist Gentle Mist, Scent-Free Allergy Relief Spray 120 Sprays - 2Pack</t>
        </is>
      </c>
      <c r="E359" s="2">
        <f>HYPERLINK("https://www.amazon.com/Flonase-Sensimist-Allergy-Relief-Sprays/dp/B071S3SZ1K/ref=sr_1_1?keywords=Flonase+Sensimist+24hr+Allergy+Spray%2C+Gentle+Mist%2C+Scent-Free+360+Sprays&amp;qid=1695169989&amp;sr=8-1", "https://www.amazon.com/Flonase-Sensimist-Allergy-Relief-Sprays/dp/B071S3SZ1K/ref=sr_1_1?keywords=Flonase+Sensimist+24hr+Allergy+Spray%2C+Gentle+Mist%2C+Scent-Free+360+Sprays&amp;qid=1695169989&amp;sr=8-1")</f>
        <v/>
      </c>
      <c r="F359" t="inlineStr">
        <is>
          <t>B071S3SZ1K</t>
        </is>
      </c>
      <c r="G359">
        <f>_xludf.IMAGE("https://www.shelhealth.com/cdn/shop/products/flonase-sensimist-24hr-allergy-spray-gentle-mist-scent-free-360-sprays-shelhealth-533.jpg?v=1663337207&amp;width=1946")</f>
        <v/>
      </c>
      <c r="H359">
        <f>_xludf.IMAGE("https://m.media-amazon.com/images/I/71tYc3IlGaL._AC_UL320_.jpg")</f>
        <v/>
      </c>
      <c r="K359" t="inlineStr">
        <is>
          <t>82.99</t>
        </is>
      </c>
      <c r="L359" t="n">
        <v>34</v>
      </c>
      <c r="M359" s="1" t="inlineStr">
        <is>
          <t>-59.03%</t>
        </is>
      </c>
      <c r="N359" s="3" t="n">
        <v>-59.03</v>
      </c>
      <c r="O359" t="n">
        <v>4.7</v>
      </c>
      <c r="P359" t="n">
        <v>262</v>
      </c>
      <c r="R359" t="inlineStr">
        <is>
          <t>InStock</t>
        </is>
      </c>
      <c r="S359" t="inlineStr">
        <is>
          <t>82.99</t>
        </is>
      </c>
      <c r="T359" t="inlineStr">
        <is>
          <t>3752450359348</t>
        </is>
      </c>
    </row>
    <row r="360" hidden="1" ht="15.75" customHeight="1">
      <c r="A360" s="2">
        <f>HYPERLINK("https://www.shelhealth.com/products/neosporin-maximum-strength-ointment-2-ounces", "https://www.shelhealth.com/products/neosporin-maximum-strength-ointment-2-ounces")</f>
        <v/>
      </c>
      <c r="B360" s="2">
        <f>HYPERLINK("https://www.shelhealth.com/products/neosporin-maximum-strength-ointment-2-ounces", "https://www.shelhealth.com/products/neosporin-maximum-strength-ointment-2-ounces")</f>
        <v/>
      </c>
      <c r="C360" t="inlineStr">
        <is>
          <t>Neosporin Maximum Strength Ointment, 2 Ounces</t>
        </is>
      </c>
      <c r="D360" t="inlineStr">
        <is>
          <t>Neosporin + Lidocaine First Aid Antibiotic Ointment, Maximum Strength &amp; Fast-Acting Topical Pain Reliever, 24-Hour Infection Protection That Numbs Away The Pain, Bacitracin Zinc, 0.5 oz</t>
        </is>
      </c>
      <c r="E360" s="2">
        <f>HYPERLINK("https://www.amazon.com/Neosporin-Antibiotic-Fast-Acting-Protection-Bacitracin/dp/B0BQKSH6QC/ref=sr_1_3?keywords=Neosporin+Maximum+Strength+Ointment%2C+2+Ounces&amp;qid=1695170023&amp;sr=8-3", "https://www.amazon.com/Neosporin-Antibiotic-Fast-Acting-Protection-Bacitracin/dp/B0BQKSH6QC/ref=sr_1_3?keywords=Neosporin+Maximum+Strength+Ointment%2C+2+Ounces&amp;qid=1695170023&amp;sr=8-3")</f>
        <v/>
      </c>
      <c r="F360" t="inlineStr">
        <is>
          <t>B0BQKSH6QC</t>
        </is>
      </c>
      <c r="G360">
        <f>_xludf.IMAGE("https://www.shelhealth.com/cdn/shop/products/neosporin-maximum-strength-ointment-2-ounces-shelhealth-235.jpg?v=1663337007&amp;width=1946")</f>
        <v/>
      </c>
      <c r="H360">
        <f>_xludf.IMAGE("https://m.media-amazon.com/images/I/712uotnI7KL._AC_UL320_.jpg")</f>
        <v/>
      </c>
      <c r="K360" t="inlineStr">
        <is>
          <t>19.99</t>
        </is>
      </c>
      <c r="L360" t="n">
        <v>7.66</v>
      </c>
      <c r="M360" s="1" t="inlineStr">
        <is>
          <t>-61.68%</t>
        </is>
      </c>
      <c r="N360" s="3" t="n">
        <v>-61.68</v>
      </c>
      <c r="O360" t="n">
        <v>4.8</v>
      </c>
      <c r="P360" t="n">
        <v>885</v>
      </c>
      <c r="R360" t="inlineStr">
        <is>
          <t>InStock</t>
        </is>
      </c>
      <c r="S360" t="inlineStr">
        <is>
          <t>19.99</t>
        </is>
      </c>
      <c r="T360" t="inlineStr">
        <is>
          <t>3735877124148</t>
        </is>
      </c>
    </row>
    <row r="361" hidden="1" ht="15.75" customHeight="1">
      <c r="A361" s="2">
        <f>HYPERLINK("https://www.shelhealth.com/products/zyrtec-allergy-antihistamine-10-mg-tablets-100-tablets", "https://www.shelhealth.com/products/zyrtec-allergy-antihistamine-10-mg-tablets-100-tablets")</f>
        <v/>
      </c>
      <c r="B361" s="2">
        <f>HYPERLINK("https://www.shelhealth.com/products/zyrtec-allergy-antihistamine-10-mg-tablets-100-tablets", "https://www.shelhealth.com/products/zyrtec-allergy-antihistamine-10-mg-tablets-100-tablets")</f>
        <v/>
      </c>
      <c r="C361" t="inlineStr">
        <is>
          <t>Zyrtec Allergy Tablets, 10 mg- 100 tabs.</t>
        </is>
      </c>
      <c r="D361" t="inlineStr">
        <is>
          <t>GoodSense All Day Allergy, Compare to Zyrtec, Cetirizine Hydrochloride Tablets, 10 mg, Antihistamine, 365 Count</t>
        </is>
      </c>
      <c r="E361" s="2">
        <f>HYPERLINK("https://www.amazon.com/GoodSense-Allergy-Cetirizine-Tablets-Antihistamine/dp/B00G9E1GYA/ref=sr_1_10?keywords=Zyrtec+Allergy+Tablets%2C+10+mg-+100+tabs.&amp;qid=1695169989&amp;sr=8-10", "https://www.amazon.com/GoodSense-Allergy-Cetirizine-Tablets-Antihistamine/dp/B00G9E1GYA/ref=sr_1_10?keywords=Zyrtec+Allergy+Tablets%2C+10+mg-+100+tabs.&amp;qid=1695169989&amp;sr=8-10")</f>
        <v/>
      </c>
      <c r="F361" t="inlineStr">
        <is>
          <t>B00G9E1GYA</t>
        </is>
      </c>
      <c r="G361">
        <f>_xludf.IMAGE("https://www.shelhealth.com/cdn/shop/products/zyrtec-allergy-tablets-10-mg-100-tabs-shelhealth-934.jpg?v=1663337050&amp;width=1946")</f>
        <v/>
      </c>
      <c r="H361">
        <f>_xludf.IMAGE("https://m.media-amazon.com/images/I/61JjqkNUCLL._AC_UL320_.jpg")</f>
        <v/>
      </c>
      <c r="K361" t="inlineStr">
        <is>
          <t>54.99</t>
        </is>
      </c>
      <c r="L361" t="n">
        <v>15.99</v>
      </c>
      <c r="M361" s="1" t="inlineStr">
        <is>
          <t>-70.92%</t>
        </is>
      </c>
      <c r="N361" s="3" t="n">
        <v>-70.92</v>
      </c>
      <c r="O361" t="n">
        <v>4.7</v>
      </c>
      <c r="P361" t="n">
        <v>47517</v>
      </c>
      <c r="R361" t="inlineStr">
        <is>
          <t>InStock</t>
        </is>
      </c>
      <c r="S361" t="inlineStr">
        <is>
          <t>54.99</t>
        </is>
      </c>
      <c r="T361" t="inlineStr">
        <is>
          <t>3736889589812</t>
        </is>
      </c>
    </row>
    <row r="362" hidden="1" ht="15.75" customHeight="1">
      <c r="A362" s="2">
        <f>HYPERLINK("https://www.shelhealth.com/products/zyrtec-allergy-antihistamine-10-mg-tablets-100-tablets", "https://www.shelhealth.com/products/zyrtec-allergy-antihistamine-10-mg-tablets-100-tablets")</f>
        <v/>
      </c>
      <c r="B362" s="2">
        <f>HYPERLINK("https://www.shelhealth.com/products/zyrtec-allergy-antihistamine-10-mg-tablets-100-tablets", "https://www.shelhealth.com/products/zyrtec-allergy-antihistamine-10-mg-tablets-100-tablets")</f>
        <v/>
      </c>
      <c r="C362" t="inlineStr">
        <is>
          <t>Zyrtec Allergy Tablets, 10 mg- 100 tabs.</t>
        </is>
      </c>
      <c r="D362" t="inlineStr">
        <is>
          <t>Cetirizine 10 mg Antihistamine Tablets Generic for Zyrtec 24 Hour Allergy Tablets 100 Tablets per Bottle Pack of 2 Total 200 Tablets</t>
        </is>
      </c>
      <c r="E362" s="2">
        <f>HYPERLINK("https://www.amazon.com/Cetirizine-Antihistamine-Tablets-Generic-Pack/dp/B00P9QKEXI/ref=sr_1_5?keywords=Zyrtec+Allergy+Tablets%2C+10+mg-+100+tabs.&amp;qid=1695169989&amp;sr=8-5", "https://www.amazon.com/Cetirizine-Antihistamine-Tablets-Generic-Pack/dp/B00P9QKEXI/ref=sr_1_5?keywords=Zyrtec+Allergy+Tablets%2C+10+mg-+100+tabs.&amp;qid=1695169989&amp;sr=8-5")</f>
        <v/>
      </c>
      <c r="F362" t="inlineStr">
        <is>
          <t>B00P9QKEXI</t>
        </is>
      </c>
      <c r="G362">
        <f>_xludf.IMAGE("https://www.shelhealth.com/cdn/shop/products/zyrtec-allergy-tablets-10-mg-100-tabs-shelhealth-934.jpg?v=1663337050&amp;width=1946")</f>
        <v/>
      </c>
      <c r="H362">
        <f>_xludf.IMAGE("https://m.media-amazon.com/images/I/51SuG7ijXJL._AC_UL320_.jpg")</f>
        <v/>
      </c>
      <c r="K362" t="inlineStr">
        <is>
          <t>54.99</t>
        </is>
      </c>
      <c r="L362" t="n">
        <v>13.88</v>
      </c>
      <c r="M362" s="1" t="inlineStr">
        <is>
          <t>-74.76%</t>
        </is>
      </c>
      <c r="N362" s="3" t="n">
        <v>-74.76000000000001</v>
      </c>
      <c r="O362" t="n">
        <v>4.7</v>
      </c>
      <c r="P362" t="n">
        <v>1077</v>
      </c>
      <c r="R362" t="inlineStr">
        <is>
          <t>InStock</t>
        </is>
      </c>
      <c r="S362" t="inlineStr">
        <is>
          <t>54.99</t>
        </is>
      </c>
      <c r="T362" t="inlineStr">
        <is>
          <t>3736889589812</t>
        </is>
      </c>
    </row>
    <row r="363" hidden="1" ht="15.75" customHeight="1">
      <c r="A363" s="2">
        <f>HYPERLINK("https://www.shelhealth.com/products/zyrtec-allergy-liquid-gel-10-mg-65-count", "https://www.shelhealth.com/products/zyrtec-allergy-liquid-gel-10-mg-65-count")</f>
        <v/>
      </c>
      <c r="B363" s="2">
        <f>HYPERLINK("https://www.shelhealth.com/products/zyrtec-allergy-liquid-gel-10-mg-65-count", "https://www.shelhealth.com/products/zyrtec-allergy-liquid-gel-10-mg-65-count")</f>
        <v/>
      </c>
      <c r="C363" t="inlineStr">
        <is>
          <t>Zyrtec Allergy Liquid Gel - 10 Mg. 65 Count.</t>
        </is>
      </c>
      <c r="D363" t="inlineStr">
        <is>
          <t>A+Health Cetirizine Hcl 10 Mg Liquid Gels, Antihistamine for 24 Hour Allergy Relief, 65 Count</t>
        </is>
      </c>
      <c r="E363" s="2">
        <f>HYPERLINK("https://www.amazon.com/Health-Cetirizine-10-Softgels-65Count/dp/B07Q478D4V/ref=sr_1_1?keywords=Zyrtec+Allergy+Liquid+Gel+-+10+Mg.+65+Count.&amp;qid=1695169994&amp;sr=8-1", "https://www.amazon.com/Health-Cetirizine-10-Softgels-65Count/dp/B07Q478D4V/ref=sr_1_1?keywords=Zyrtec+Allergy+Liquid+Gel+-+10+Mg.+65+Count.&amp;qid=1695169994&amp;sr=8-1")</f>
        <v/>
      </c>
      <c r="F363" t="inlineStr">
        <is>
          <t>B07Q478D4V</t>
        </is>
      </c>
      <c r="G363">
        <f>_xludf.IMAGE("https://www.shelhealth.com/cdn/shop/products/zyrtec-allergy-liquid-gel-10-mg-65-count-shelhealth-172.jpg?v=1663337186&amp;width=1946")</f>
        <v/>
      </c>
      <c r="H363">
        <f>_xludf.IMAGE("https://m.media-amazon.com/images/I/71trSAeDM-L._AC_UL320_.jpg")</f>
        <v/>
      </c>
      <c r="K363" t="inlineStr">
        <is>
          <t>48.99</t>
        </is>
      </c>
      <c r="L363" t="n">
        <v>9</v>
      </c>
      <c r="M363" s="1" t="inlineStr">
        <is>
          <t>-81.63%</t>
        </is>
      </c>
      <c r="N363" s="3" t="n">
        <v>-81.63</v>
      </c>
      <c r="O363" t="n">
        <v>4.7</v>
      </c>
      <c r="P363" t="n">
        <v>798</v>
      </c>
      <c r="R363" t="inlineStr">
        <is>
          <t>InStock</t>
        </is>
      </c>
      <c r="S363" t="inlineStr">
        <is>
          <t>48.99</t>
        </is>
      </c>
      <c r="T363" t="inlineStr">
        <is>
          <t>3752448327732</t>
        </is>
      </c>
    </row>
    <row r="364" ht="75" customHeight="1">
      <c r="A364" s="2">
        <f>HYPERLINK("https://www.shelhealth.com/products/kirkland-signature-natural-citrus-body-wash-2pk-27-ounce", "https://www.shelhealth.com/products/kirkland-signature-natural-citrus-body-wash-2pk-27-ounce")</f>
        <v/>
      </c>
      <c r="B364" s="2">
        <f>HYPERLINK("https://www.shelhealth.com/products/kirkland-signature-natural-citrus-body-wash-2pk-27-ounce", "https://www.shelhealth.com/products/kirkland-signature-natural-citrus-body-wash-2pk-27-ounce")</f>
        <v/>
      </c>
      <c r="C364" t="inlineStr">
        <is>
          <t>Kirkland Signature Natural Citrus Body Wash 2pk, 27 Ounce</t>
        </is>
      </c>
      <c r="D364" t="inlineStr">
        <is>
          <t>5 Wholesale Lots 2 Pack Kirkland Signature Body Wash Natural Citrus 27oz, 10 Bottles Total</t>
        </is>
      </c>
      <c r="E364" s="2">
        <f>HYPERLINK("https://www.amazon.com/Wholesale-Kirkland-Signature-Natural-Bottles/dp/B00N0A9Z6C/ref=sr_1_2?keywords=Kirkland+Signature+Natural+Citrus+Body+Wash+2pk%2C+27+Ounce&amp;qid=1695170050&amp;sr=8-2", "https://www.amazon.com/Wholesale-Kirkland-Signature-Natural-Bottles/dp/B00N0A9Z6C/ref=sr_1_2?keywords=Kirkland+Signature+Natural+Citrus+Body+Wash+2pk%2C+27+Ounce&amp;qid=1695170050&amp;sr=8-2")</f>
        <v/>
      </c>
      <c r="F364" t="inlineStr">
        <is>
          <t>B00N0A9Z6C</t>
        </is>
      </c>
      <c r="G364">
        <f>_xlfn.IMAGE("https://www.shelhealth.com/cdn/shop/products/kirkland-signature-natural-citrus-body-wash-2pk-27-ounce-shelhealth-109.jpg?v=1663338659&amp;width=1946")</f>
        <v/>
      </c>
      <c r="H364">
        <f>_xlfn.IMAGE("https://m.media-amazon.com/images/I/41yx6WAnBWL._AC_UL320_.jpg")</f>
        <v/>
      </c>
      <c r="K364" t="inlineStr">
        <is>
          <t>16.99</t>
        </is>
      </c>
      <c r="L364" t="n">
        <v>206.99</v>
      </c>
      <c r="M364" s="1" t="inlineStr">
        <is>
          <t>1,118.30%</t>
        </is>
      </c>
      <c r="N364" s="5" t="n">
        <v>1118.3</v>
      </c>
      <c r="O364" t="n">
        <v>5</v>
      </c>
      <c r="P364" t="n">
        <v>1</v>
      </c>
      <c r="R364" t="inlineStr">
        <is>
          <t>InStock</t>
        </is>
      </c>
      <c r="S364" t="inlineStr">
        <is>
          <t>16.99</t>
        </is>
      </c>
      <c r="T364" t="inlineStr">
        <is>
          <t>3787478007860</t>
        </is>
      </c>
    </row>
    <row r="365" ht="75" customHeight="1">
      <c r="A365" s="2">
        <f>HYPERLINK("https://www.shelhealth.com/products/pro-sanitize-advanced-hand-sanitizer-8-fl-oz", "https://www.shelhealth.com/products/pro-sanitize-advanced-hand-sanitizer-8-fl-oz")</f>
        <v/>
      </c>
      <c r="B365" s="2">
        <f>HYPERLINK("https://www.shelhealth.com/products/pro-sanitize-advanced-hand-sanitizer-8-fl-oz", "https://www.shelhealth.com/products/pro-sanitize-advanced-hand-sanitizer-8-fl-oz")</f>
        <v/>
      </c>
      <c r="C365" t="inlineStr">
        <is>
          <t>Pro Sanitize Advanced Hand Sanitizer, 8 fl oz.</t>
        </is>
      </c>
      <c r="D365" t="inlineStr">
        <is>
          <t>Purell Advanced Hand Sanitizer Naturals with Plant Based Alcohol, Citrus Scent, 8 fl oz Pump Bottle (Pack of 12) - 9626-12-CMR</t>
        </is>
      </c>
      <c r="E365" s="2">
        <f>HYPERLINK("https://www.amazon.com/Naturals-Advanced-Sanitizer-Conditioners-Essential/dp/B06XPQCDFX/ref=sr_1_6?keywords=Pro+Sanitize+Advanced+Hand+Sanitizer%2C+8+fl+oz.&amp;qid=1695170133&amp;sr=8-6", "https://www.amazon.com/Naturals-Advanced-Sanitizer-Conditioners-Essential/dp/B06XPQCDFX/ref=sr_1_6?keywords=Pro+Sanitize+Advanced+Hand+Sanitizer%2C+8+fl+oz.&amp;qid=1695170133&amp;sr=8-6")</f>
        <v/>
      </c>
      <c r="F365" t="inlineStr">
        <is>
          <t>B06XPQCDFX</t>
        </is>
      </c>
      <c r="G365">
        <f>_xlfn.IMAGE("https://www.shelhealth.com/cdn/shop/products/pro-sanitize-advanced-hand-sanitizer-8-fl-oz-shelhealth-947.jpg?v=1663620109&amp;width=1946")</f>
        <v/>
      </c>
      <c r="H365">
        <f>_xlfn.IMAGE("https://m.media-amazon.com/images/I/81JtUSE-g7L._AC_UL320_.jpg")</f>
        <v/>
      </c>
      <c r="K365" t="inlineStr">
        <is>
          <t>5.99</t>
        </is>
      </c>
      <c r="L365" t="n">
        <v>32.99</v>
      </c>
      <c r="M365" s="1" t="inlineStr">
        <is>
          <t>450.75%</t>
        </is>
      </c>
      <c r="N365" s="3" t="n">
        <v>450.75</v>
      </c>
      <c r="O365" t="n">
        <v>4.8</v>
      </c>
      <c r="P365" t="n">
        <v>297</v>
      </c>
      <c r="R365" t="inlineStr">
        <is>
          <t>OutOfStock</t>
        </is>
      </c>
      <c r="S365" t="inlineStr">
        <is>
          <t>5.99</t>
        </is>
      </c>
      <c r="T365" t="inlineStr">
        <is>
          <t>4728013815897</t>
        </is>
      </c>
    </row>
    <row r="366" ht="75" customHeight="1">
      <c r="A366" s="2">
        <f>HYPERLINK("https://www.shelhealth.com/products/pro-sanitize-advanced-hand-sanitizer-8-fl-oz", "https://www.shelhealth.com/products/pro-sanitize-advanced-hand-sanitizer-8-fl-oz")</f>
        <v/>
      </c>
      <c r="B366" s="2">
        <f>HYPERLINK("https://www.shelhealth.com/products/pro-sanitize-advanced-hand-sanitizer-8-fl-oz", "https://www.shelhealth.com/products/pro-sanitize-advanced-hand-sanitizer-8-fl-oz")</f>
        <v/>
      </c>
      <c r="C366" t="inlineStr">
        <is>
          <t>Pro Sanitize Advanced Hand Sanitizer, 8 fl oz.</t>
        </is>
      </c>
      <c r="D366" t="inlineStr">
        <is>
          <t>Clean Revolution Liquid Gel Hand Sanitizer, 128 Fl. Oz Refill Supply Container| Gentle &amp; Aloe Enriched | 70% USP Medical Grade Ethanol, Medical Facility Compliant | Eliminates 99.9% of Germs</t>
        </is>
      </c>
      <c r="E366" s="2" t="n"/>
      <c r="F366" t="inlineStr">
        <is>
          <t>B0C7YHBC9Z</t>
        </is>
      </c>
      <c r="G366">
        <f>_xlfn.IMAGE("https://www.shelhealth.com/cdn/shop/products/pro-sanitize-advanced-hand-sanitizer-8-fl-oz-shelhealth-947.jpg?v=1663620109&amp;width=1946")</f>
        <v/>
      </c>
      <c r="H366">
        <f>_xlfn.IMAGE("https://m.media-amazon.com/images/I/61i8Grt4f6L._AC_UL320_.jpg")</f>
        <v/>
      </c>
      <c r="K366" t="inlineStr">
        <is>
          <t>5.99</t>
        </is>
      </c>
      <c r="L366" t="n">
        <v>32.75</v>
      </c>
      <c r="M366" s="1" t="inlineStr">
        <is>
          <t>446.74%</t>
        </is>
      </c>
      <c r="N366" s="3" t="n">
        <v>446.74</v>
      </c>
      <c r="O366" t="n">
        <v>5</v>
      </c>
      <c r="P366" t="n">
        <v>1</v>
      </c>
      <c r="R366" t="inlineStr">
        <is>
          <t>OutOfStock</t>
        </is>
      </c>
      <c r="S366" t="inlineStr">
        <is>
          <t>5.99</t>
        </is>
      </c>
      <c r="T366" t="inlineStr">
        <is>
          <t>4728013815897</t>
        </is>
      </c>
    </row>
    <row r="367" ht="75" customHeight="1">
      <c r="A367" s="2">
        <f>HYPERLINK("https://www.shelhealth.com/products/dial-gold-antibacterial-bar-soap-22-ct-4-oz", "https://www.shelhealth.com/products/dial-gold-antibacterial-bar-soap-22-ct-4-oz")</f>
        <v/>
      </c>
      <c r="B367" s="2">
        <f>HYPERLINK("https://www.shelhealth.com/products/dial-gold-antibacterial-bar-soap-22-ct-4-oz", "https://www.shelhealth.com/products/dial-gold-antibacterial-bar-soap-22-ct-4-oz")</f>
        <v/>
      </c>
      <c r="C367" t="inlineStr">
        <is>
          <t>Dial Gold Antibacterial Bar Soap, 22 ct./4 oz.</t>
        </is>
      </c>
      <c r="D367" t="inlineStr">
        <is>
          <t>Dial Gold Antibacterial Deodorant Bar Soap, Clean Rinsing, Non-Drying, 4 OZ (Pack of 72)</t>
        </is>
      </c>
      <c r="E367" s="2">
        <f>HYPERLINK("https://www.amazon.com/Dial-1601061-Antibacterial-Deodorant-Wrapped/dp/B007IX89BE/ref=sr_1_3?keywords=Dial+Gold+Antibacterial+Bar+Soap%2C+22+ct.%2F4+oz.&amp;qid=1695170040&amp;sr=8-3", "https://www.amazon.com/Dial-1601061-Antibacterial-Deodorant-Wrapped/dp/B007IX89BE/ref=sr_1_3?keywords=Dial+Gold+Antibacterial+Bar+Soap%2C+22+ct.%2F4+oz.&amp;qid=1695170040&amp;sr=8-3")</f>
        <v/>
      </c>
      <c r="F367" t="inlineStr">
        <is>
          <t>B007IX89BE</t>
        </is>
      </c>
      <c r="G367">
        <f>_xlfn.IMAGE("https://www.shelhealth.com/cdn/shop/products/dial-gold-antibacterial-bar-soap-22-ct-4-oz-shelhealth-711.jpg?v=1663354241&amp;width=1946")</f>
        <v/>
      </c>
      <c r="H367">
        <f>_xlfn.IMAGE("https://m.media-amazon.com/images/I/61HQRRQhKFL._AC_UL320_.jpg")</f>
        <v/>
      </c>
      <c r="K367" t="inlineStr">
        <is>
          <t>19.99</t>
        </is>
      </c>
      <c r="L367" t="n">
        <v>89.98999999999999</v>
      </c>
      <c r="M367" s="1" t="inlineStr">
        <is>
          <t>350.18%</t>
        </is>
      </c>
      <c r="N367" s="3" t="n">
        <v>350.18</v>
      </c>
      <c r="O367" t="n">
        <v>4.8</v>
      </c>
      <c r="P367" t="n">
        <v>80</v>
      </c>
      <c r="R367" t="inlineStr">
        <is>
          <t>OutOfStock</t>
        </is>
      </c>
      <c r="S367" t="inlineStr">
        <is>
          <t>19.99</t>
        </is>
      </c>
      <c r="T367" t="inlineStr">
        <is>
          <t>4167534379060</t>
        </is>
      </c>
    </row>
    <row r="368" ht="75" customHeight="1">
      <c r="A368" s="2">
        <f>HYPERLINK("https://www.shelhealth.com/products/purell-advanced-hand-sanitizer-refreshing-gel-clean-scent-1-liter-pump-bottle-pack-of-2", "https://www.shelhealth.com/products/purell-advanced-hand-sanitizer-refreshing-gel-clean-scent-1-liter-pump-bottle-pack-of-2")</f>
        <v/>
      </c>
      <c r="B368" s="2">
        <f>HYPERLINK("https://www.shelhealth.com/products/purell-advanced-hand-sanitizer-refreshing-gel-clean-scent-1-liter-pump-bottle-pack-of-2", "https://www.shelhealth.com/products/purell-advanced-hand-sanitizer-refreshing-gel-clean-scent-1-liter-pump-bottle-pack-of-2")</f>
        <v/>
      </c>
      <c r="C368" t="inlineStr">
        <is>
          <t>PURELL Advanced Hand Sanitizer Refreshing Gel, Clean Scent, 1 Liter Pump Bottle (Pack of 2)</t>
        </is>
      </c>
      <c r="D368" t="inlineStr">
        <is>
          <t>Purell Advanced Hand Sanitizer Refreshing Gel, Clean Scent, 20 fl oz Pump Bottle (Pack of 12)- 3023-12</t>
        </is>
      </c>
      <c r="E368" s="2">
        <f>HYPERLINK("https://www.amazon.com/PURELL-Advanced-Sanitizer-Refreshing-Bottles/dp/B00012QFPG/ref=sr_1_5?keywords=PURELL+Advanced+Hand+Sanitizer+Refreshing+Gel%2C+Clean+Scent%2C+1+Liter+Pump+Bottle+%28Pack+of+2%29&amp;qid=1695170062&amp;sr=8-5", "https://www.amazon.com/PURELL-Advanced-Sanitizer-Refreshing-Bottles/dp/B00012QFPG/ref=sr_1_5?keywords=PURELL+Advanced+Hand+Sanitizer+Refreshing+Gel%2C+Clean+Scent%2C+1+Liter+Pump+Bottle+%28Pack+of+2%29&amp;qid=1695170062&amp;sr=8-5")</f>
        <v/>
      </c>
      <c r="F368" t="inlineStr">
        <is>
          <t>B00012QFPG</t>
        </is>
      </c>
      <c r="G368">
        <f>_xlfn.IMAGE("https://www.shelhealth.com/cdn/shop/products/purell-advanced-hand-sanitizer-refreshing-gel-clean-scent-1-liter-pump-bottle-pack-of-2-shelhealth-488.jpg?v=1663352376&amp;width=1946")</f>
        <v/>
      </c>
      <c r="H368">
        <f>_xlfn.IMAGE("https://m.media-amazon.com/images/I/81GfHwn2UwL._AC_UL320_.jpg")</f>
        <v/>
      </c>
      <c r="K368" t="inlineStr">
        <is>
          <t>21.99</t>
        </is>
      </c>
      <c r="L368" t="n">
        <v>77.75</v>
      </c>
      <c r="M368" s="1" t="inlineStr">
        <is>
          <t>253.57%</t>
        </is>
      </c>
      <c r="N368" s="3" t="n">
        <v>253.57</v>
      </c>
      <c r="O368" t="n">
        <v>4.8</v>
      </c>
      <c r="P368" t="n">
        <v>1263</v>
      </c>
      <c r="R368" t="inlineStr">
        <is>
          <t>OutOfStock</t>
        </is>
      </c>
      <c r="S368" t="inlineStr">
        <is>
          <t>21.99</t>
        </is>
      </c>
      <c r="T368" t="inlineStr">
        <is>
          <t>4158258446388</t>
        </is>
      </c>
    </row>
    <row r="369" ht="75" customHeight="1">
      <c r="A369" s="2">
        <f>HYPERLINK("https://www.shelhealth.com/products/764302102014-nubian-heritage-bar-soap-lemongrass-and-tea-tree-with-orange-peel-5-oz", "https://www.shelhealth.com/products/764302102014-nubian-heritage-bar-soap-lemongrass-and-tea-tree-with-orange-peel-5-oz")</f>
        <v/>
      </c>
      <c r="B369" s="2">
        <f>HYPERLINK("https://www.shelhealth.com/products/764302102014-nubian-heritage-bar-soap-lemongrass-and-tea-tree-with-orange-peel-5-oz", "https://www.shelhealth.com/products/764302102014-nubian-heritage-bar-soap-lemongrass-and-tea-tree-with-orange-peel-5-oz")</f>
        <v/>
      </c>
      <c r="C369" t="inlineStr">
        <is>
          <t>Nubian Heritage Bar Soap Lemongrass And Tea Tree With Orange Peel, 5 Oz (Case of 4)</t>
        </is>
      </c>
      <c r="D369" t="inlineStr">
        <is>
          <t>Pack of 12 x Nubian Heritage Bar Soap Lemongrass And Tea Tree With Orange Peel - 5 oz by Nubian Heritage</t>
        </is>
      </c>
      <c r="E369" s="2">
        <f>HYPERLINK("https://www.amazon.com/Pack-Nubian-Heritage-Lemongrass-Orange/dp/B01KYQ3ROA/ref=sr_1_3?keywords=Nubian+Heritage+Bar+Soap+Lemongrass+And+Tea+Tree+With+Orange+Peel%2C+5+Oz+%28Case+of+4%29&amp;qid=1695170092&amp;sr=8-3", "https://www.amazon.com/Pack-Nubian-Heritage-Lemongrass-Orange/dp/B01KYQ3ROA/ref=sr_1_3?keywords=Nubian+Heritage+Bar+Soap+Lemongrass+And+Tea+Tree+With+Orange+Peel%2C+5+Oz+%28Case+of+4%29&amp;qid=1695170092&amp;sr=8-3")</f>
        <v/>
      </c>
      <c r="F369" t="inlineStr">
        <is>
          <t>B01KYQ3ROA</t>
        </is>
      </c>
      <c r="G369">
        <f>_xlfn.IMAGE("https://www.shelhealth.com/cdn/shop/products/nubian-heritage-bar-soap-lemongrass-and-tea-tree-with-orange-peel-5-oz-case-of-4-shelhealth-531.jpg?v=1677072161&amp;width=1946")</f>
        <v/>
      </c>
      <c r="H369">
        <f>_xlfn.IMAGE("https://m.media-amazon.com/images/I/41+BG1GNSuL._AC_UL320_.jpg")</f>
        <v/>
      </c>
      <c r="K369" t="inlineStr">
        <is>
          <t>21.99</t>
        </is>
      </c>
      <c r="L369" t="n">
        <v>67.31</v>
      </c>
      <c r="M369" s="1" t="inlineStr">
        <is>
          <t>206.09%</t>
        </is>
      </c>
      <c r="N369" s="3" t="n">
        <v>206.09</v>
      </c>
      <c r="O369" t="n">
        <v>5</v>
      </c>
      <c r="P369" t="n">
        <v>1</v>
      </c>
      <c r="R369" t="inlineStr">
        <is>
          <t>OutOfStock</t>
        </is>
      </c>
      <c r="S369" t="inlineStr">
        <is>
          <t>21.99</t>
        </is>
      </c>
      <c r="T369" t="inlineStr">
        <is>
          <t>7241883582652</t>
        </is>
      </c>
    </row>
    <row r="370" ht="75" customHeight="1">
      <c r="A370" s="2">
        <f>HYPERLINK("https://www.shelhealth.com/products/home-and-body-soap-culture-set-of-4-21-5-fl-oz-bottles", "https://www.shelhealth.com/products/home-and-body-soap-culture-set-of-4-21-5-fl-oz-bottles")</f>
        <v/>
      </c>
      <c r="B370" s="2">
        <f>HYPERLINK("https://www.shelhealth.com/products/home-and-body-soap-culture-set-of-4-21-5-fl-oz-bottles", "https://www.shelhealth.com/products/home-and-body-soap-culture-set-of-4-21-5-fl-oz-bottles")</f>
        <v/>
      </c>
      <c r="C370" t="inlineStr">
        <is>
          <t>Home And Body Soap Culture, set of 4 - 21.5 fl. oz. bottles</t>
        </is>
      </c>
      <c r="D370" t="inlineStr">
        <is>
          <t>Soap Culture Hand Soap Collection. Gift set of 4 x 21.5 oz bottles, 21.5 Fl Oz (Pack of 4)</t>
        </is>
      </c>
      <c r="E370" s="2">
        <f>HYPERLINK("https://www.amazon.com/Soap-Culture-Hand-Collection-bottles/dp/B09NDZMJPX/ref=sr_1_1?keywords=Home+And+Body+Soap+Culture%2C+set+of+4+-+21.5+fl.+oz.+bottles&amp;qid=1695170135&amp;sr=8-1", "https://www.amazon.com/Soap-Culture-Hand-Collection-bottles/dp/B09NDZMJPX/ref=sr_1_1?keywords=Home+And+Body+Soap+Culture%2C+set+of+4+-+21.5+fl.+oz.+bottles&amp;qid=1695170135&amp;sr=8-1")</f>
        <v/>
      </c>
      <c r="F370" t="inlineStr">
        <is>
          <t>B09NDZMJPX</t>
        </is>
      </c>
      <c r="G370">
        <f>_xlfn.IMAGE("https://www.shelhealth.com/cdn/shop/products/home-and-body-soap-culture-set-of-4-21-5-fl-oz-bottles-shelhealth-139.jpg?v=1663750072&amp;width=1946")</f>
        <v/>
      </c>
      <c r="H370">
        <f>_xlfn.IMAGE("https://m.media-amazon.com/images/I/81Lhpy-SjzL._AC_UL320_.jpg")</f>
        <v/>
      </c>
      <c r="K370" t="inlineStr">
        <is>
          <t>21.99</t>
        </is>
      </c>
      <c r="L370" t="n">
        <v>65</v>
      </c>
      <c r="M370" s="1" t="inlineStr">
        <is>
          <t>195.59%</t>
        </is>
      </c>
      <c r="N370" s="3" t="n">
        <v>195.59</v>
      </c>
      <c r="O370" t="n">
        <v>4.6</v>
      </c>
      <c r="P370" t="n">
        <v>203</v>
      </c>
      <c r="R370" t="inlineStr">
        <is>
          <t>OutOfStock</t>
        </is>
      </c>
      <c r="S370" t="inlineStr">
        <is>
          <t>21.99</t>
        </is>
      </c>
      <c r="T370" t="inlineStr">
        <is>
          <t>7538061148392</t>
        </is>
      </c>
    </row>
    <row r="371" ht="75" customHeight="1">
      <c r="A371" s="2">
        <f>HYPERLINK("https://www.shelhealth.com/products/pro-sanitize-advanced-hand-sanitizer-8-fl-oz", "https://www.shelhealth.com/products/pro-sanitize-advanced-hand-sanitizer-8-fl-oz")</f>
        <v/>
      </c>
      <c r="B371" s="2">
        <f>HYPERLINK("https://www.shelhealth.com/products/pro-sanitize-advanced-hand-sanitizer-8-fl-oz", "https://www.shelhealth.com/products/pro-sanitize-advanced-hand-sanitizer-8-fl-oz")</f>
        <v/>
      </c>
      <c r="C371" t="inlineStr">
        <is>
          <t>Pro Sanitize Advanced Hand Sanitizer, 8 fl oz.</t>
        </is>
      </c>
      <c r="D371" t="inlineStr">
        <is>
          <t>PURELL Advanced Hand Sanitizer Soothing Gel, Fresh Scent, with Aloe and Vitamin E- 8 fl oz Pump Bottle (Pack of 2) - 9674-06-EC2PK</t>
        </is>
      </c>
      <c r="E371" s="2">
        <f>HYPERLINK("https://www.amazon.com/PURELL-Advanced-Sanitizer-Soothing-Vitamin/dp/B01LXS6RYF/ref=sr_1_5?keywords=Pro+Sanitize+Advanced+Hand+Sanitizer%2C+8+fl+oz.&amp;qid=1695170133&amp;sr=8-5", "https://www.amazon.com/PURELL-Advanced-Sanitizer-Soothing-Vitamin/dp/B01LXS6RYF/ref=sr_1_5?keywords=Pro+Sanitize+Advanced+Hand+Sanitizer%2C+8+fl+oz.&amp;qid=1695170133&amp;sr=8-5")</f>
        <v/>
      </c>
      <c r="F371" t="inlineStr">
        <is>
          <t>B01LXS6RYF</t>
        </is>
      </c>
      <c r="G371">
        <f>_xlfn.IMAGE("https://www.shelhealth.com/cdn/shop/products/pro-sanitize-advanced-hand-sanitizer-8-fl-oz-shelhealth-947.jpg?v=1663620109&amp;width=1946")</f>
        <v/>
      </c>
      <c r="H371">
        <f>_xlfn.IMAGE("https://m.media-amazon.com/images/I/81ugyrLkyCL._AC_UL320_.jpg")</f>
        <v/>
      </c>
      <c r="K371" t="inlineStr">
        <is>
          <t>5.99</t>
        </is>
      </c>
      <c r="L371" t="n">
        <v>16.25</v>
      </c>
      <c r="M371" s="1" t="inlineStr">
        <is>
          <t>171.29%</t>
        </is>
      </c>
      <c r="N371" s="3" t="n">
        <v>171.29</v>
      </c>
      <c r="O371" t="n">
        <v>4.8</v>
      </c>
      <c r="P371" t="n">
        <v>11305</v>
      </c>
      <c r="R371" t="inlineStr">
        <is>
          <t>OutOfStock</t>
        </is>
      </c>
      <c r="S371" t="inlineStr">
        <is>
          <t>5.99</t>
        </is>
      </c>
      <c r="T371" t="inlineStr">
        <is>
          <t>4728013815897</t>
        </is>
      </c>
    </row>
    <row r="372" ht="75" customHeight="1">
      <c r="A372" s="2">
        <f>HYPERLINK("https://www.shelhealth.com/products/764302102014-nubian-heritage-lemongrass-tea-tree-bar-soap-5-oz", "https://www.shelhealth.com/products/764302102014-nubian-heritage-lemongrass-tea-tree-bar-soap-5-oz")</f>
        <v/>
      </c>
      <c r="B372" s="2">
        <f>HYPERLINK("https://www.shelhealth.com/products/764302102014-nubian-heritage-lemongrass-tea-tree-bar-soap-5-oz", "https://www.shelhealth.com/products/764302102014-nubian-heritage-lemongrass-tea-tree-bar-soap-5-oz")</f>
        <v/>
      </c>
      <c r="C372" t="inlineStr">
        <is>
          <t>Nubian Heritage Lemongrass &amp; Tea Tree Bar Soap, 5 Oz (Case of 3)</t>
        </is>
      </c>
      <c r="D372" t="inlineStr">
        <is>
          <t>Nubian Heritage Lemongrass &amp; Tea Tree Bar Soap, 5 oz (Pack of 12)</t>
        </is>
      </c>
      <c r="E372" s="2">
        <f>HYPERLINK("https://www.amazon.com/Nubian-Lemongrass-Tree-Soap-Pack/dp/B002LN8QWS/ref=sr_1_2?keywords=Nubian+Heritage+Lemongrass+%26+Tea+Tree+Bar+Soap%2C+5+Oz+%28Case+of+3%29&amp;qid=1695170098&amp;sr=8-2", "https://www.amazon.com/Nubian-Lemongrass-Tree-Soap-Pack/dp/B002LN8QWS/ref=sr_1_2?keywords=Nubian+Heritage+Lemongrass+%26+Tea+Tree+Bar+Soap%2C+5+Oz+%28Case+of+3%29&amp;qid=1695170098&amp;sr=8-2")</f>
        <v/>
      </c>
      <c r="F372" t="inlineStr">
        <is>
          <t>B002LN8QWS</t>
        </is>
      </c>
      <c r="G372">
        <f>_xlfn.IMAGE("https://www.shelhealth.com/cdn/shop/files/nubian-heritage-lemongrass-tea-tree-bar-soap-5-oz-case-of-3-beauty-body-care-shelhealth-969.jpg?v=1686533861&amp;width=1946")</f>
        <v/>
      </c>
      <c r="H372">
        <f>_xlfn.IMAGE("https://m.media-amazon.com/images/I/71W1P-K4gAL._AC_UL320_.jpg")</f>
        <v/>
      </c>
      <c r="K372" t="inlineStr">
        <is>
          <t>21.99</t>
        </is>
      </c>
      <c r="L372" t="n">
        <v>58.53</v>
      </c>
      <c r="M372" s="1" t="inlineStr">
        <is>
          <t>166.17%</t>
        </is>
      </c>
      <c r="N372" s="3" t="n">
        <v>166.17</v>
      </c>
      <c r="O372" t="n">
        <v>4.6</v>
      </c>
      <c r="P372" t="n">
        <v>160</v>
      </c>
      <c r="R372" t="inlineStr">
        <is>
          <t>InStock</t>
        </is>
      </c>
      <c r="S372" t="inlineStr">
        <is>
          <t>21.99</t>
        </is>
      </c>
      <c r="T372" t="inlineStr">
        <is>
          <t>7241886007484</t>
        </is>
      </c>
    </row>
    <row r="373" ht="75" customHeight="1">
      <c r="A373" s="2">
        <f>HYPERLINK("https://www.shelhealth.com/products/irish-spring-deodorant-soap-original-scent-20-ct", "https://www.shelhealth.com/products/irish-spring-deodorant-soap-original-scent-20-ct")</f>
        <v/>
      </c>
      <c r="B373" s="2">
        <f>HYPERLINK("https://www.shelhealth.com/products/irish-spring-deodorant-soap-original-scent-20-ct", "https://www.shelhealth.com/products/irish-spring-deodorant-soap-original-scent-20-ct")</f>
        <v/>
      </c>
      <c r="C373" t="inlineStr">
        <is>
          <t>Irish Spring Deodorant Soap Original Scent - 20 ct</t>
        </is>
      </c>
      <c r="D373" t="inlineStr">
        <is>
          <t>Irish Spring Deodorant Soap Original - 3.99 Oz Each Bar Soap x 20 Count Bar …</t>
        </is>
      </c>
      <c r="E373" s="2">
        <f>HYPERLINK("https://www.amazon.com/Irish-Spring-Deodorant-Soap-Original/dp/B079H3WGZT/ref=sr_1_5?keywords=Irish+Spring+Deodorant+Soap+Original+Scent+-+20+ct&amp;qid=1695170040&amp;sr=8-5", "https://www.amazon.com/Irish-Spring-Deodorant-Soap-Original/dp/B079H3WGZT/ref=sr_1_5?keywords=Irish+Spring+Deodorant+Soap+Original+Scent+-+20+ct&amp;qid=1695170040&amp;sr=8-5")</f>
        <v/>
      </c>
      <c r="F373" t="inlineStr">
        <is>
          <t>B079H3WGZT</t>
        </is>
      </c>
      <c r="G373">
        <f>_xlfn.IMAGE("https://www.shelhealth.com/cdn/shop/products/irish-spring-deodorant-soap-original-scent-20-ct-shelhealth-168.jpg?v=1663338562&amp;width=1946")</f>
        <v/>
      </c>
      <c r="H373">
        <f>_xlfn.IMAGE("https://m.media-amazon.com/images/I/71Uio0pk9lL._AC_UL320_.jpg")</f>
        <v/>
      </c>
      <c r="K373" t="inlineStr">
        <is>
          <t>14.99</t>
        </is>
      </c>
      <c r="L373" t="n">
        <v>38.99</v>
      </c>
      <c r="M373" s="1" t="inlineStr">
        <is>
          <t>160.11%</t>
        </is>
      </c>
      <c r="N373" s="3" t="n">
        <v>160.11</v>
      </c>
      <c r="O373" t="n">
        <v>4.3</v>
      </c>
      <c r="P373" t="n">
        <v>152</v>
      </c>
      <c r="R373" t="inlineStr">
        <is>
          <t>OutOfStock</t>
        </is>
      </c>
      <c r="S373" t="inlineStr">
        <is>
          <t>14.99</t>
        </is>
      </c>
      <c r="T373" t="inlineStr">
        <is>
          <t>3785919627316</t>
        </is>
      </c>
    </row>
    <row r="374" ht="75" customHeight="1">
      <c r="A374" s="2">
        <f>HYPERLINK("https://www.shelhealth.com/products/pro-sanitize-advanced-hand-sanitizer-8-fl-oz", "https://www.shelhealth.com/products/pro-sanitize-advanced-hand-sanitizer-8-fl-oz")</f>
        <v/>
      </c>
      <c r="B374" s="2">
        <f>HYPERLINK("https://www.shelhealth.com/products/pro-sanitize-advanced-hand-sanitizer-8-fl-oz", "https://www.shelhealth.com/products/pro-sanitize-advanced-hand-sanitizer-8-fl-oz")</f>
        <v/>
      </c>
      <c r="C374" t="inlineStr">
        <is>
          <t>Pro Sanitize Advanced Hand Sanitizer, 8 fl oz.</t>
        </is>
      </c>
      <c r="D374" t="inlineStr">
        <is>
          <t>Purell Advanced Hand Sanitizer Refreshing Gel Design Series, Clean Scent, 8 Fl Oz Pump Bottle (Pack of 4), 9652-06-ECDECO</t>
        </is>
      </c>
      <c r="E374" s="2">
        <f>HYPERLINK("https://www.amazon.com/PURELL-Advanced-Sanitizer-Refreshing-Design/dp/B00U2KYU7C/ref=sr_1_10?keywords=Pro+Sanitize+Advanced+Hand+Sanitizer%2C+8+fl+oz.&amp;qid=1695170133&amp;sr=8-10", "https://www.amazon.com/PURELL-Advanced-Sanitizer-Refreshing-Design/dp/B00U2KYU7C/ref=sr_1_10?keywords=Pro+Sanitize+Advanced+Hand+Sanitizer%2C+8+fl+oz.&amp;qid=1695170133&amp;sr=8-10")</f>
        <v/>
      </c>
      <c r="F374" t="inlineStr">
        <is>
          <t>B00U2KYU7C</t>
        </is>
      </c>
      <c r="G374">
        <f>_xlfn.IMAGE("https://www.shelhealth.com/cdn/shop/products/pro-sanitize-advanced-hand-sanitizer-8-fl-oz-shelhealth-947.jpg?v=1663620109&amp;width=1946")</f>
        <v/>
      </c>
      <c r="H374">
        <f>_xlfn.IMAGE("https://m.media-amazon.com/images/I/817-30u1ZSL._AC_UL320_.jpg")</f>
        <v/>
      </c>
      <c r="K374" t="inlineStr">
        <is>
          <t>5.99</t>
        </is>
      </c>
      <c r="L374" t="n">
        <v>15.03</v>
      </c>
      <c r="M374" s="1" t="inlineStr">
        <is>
          <t>150.92%</t>
        </is>
      </c>
      <c r="N374" s="3" t="n">
        <v>150.92</v>
      </c>
      <c r="O374" t="n">
        <v>4.8</v>
      </c>
      <c r="P374" t="n">
        <v>7373</v>
      </c>
      <c r="R374" t="inlineStr">
        <is>
          <t>OutOfStock</t>
        </is>
      </c>
      <c r="S374" t="inlineStr">
        <is>
          <t>5.99</t>
        </is>
      </c>
      <c r="T374" t="inlineStr">
        <is>
          <t>4728013815897</t>
        </is>
      </c>
    </row>
    <row r="375" ht="75" customHeight="1">
      <c r="A375" s="2">
        <f>HYPERLINK("https://www.shelhealth.com/products/purell-hand-sanitizer-variety-pack-44-oz", "https://www.shelhealth.com/products/purell-hand-sanitizer-variety-pack-44-oz")</f>
        <v/>
      </c>
      <c r="B375" s="2">
        <f>HYPERLINK("https://www.shelhealth.com/products/purell-hand-sanitizer-variety-pack-44-oz", "https://www.shelhealth.com/products/purell-hand-sanitizer-variety-pack-44-oz")</f>
        <v/>
      </c>
      <c r="C375" t="inlineStr">
        <is>
          <t>Purell Hand Sanitizer Variety Pack, 44 oz.</t>
        </is>
      </c>
      <c r="D375" t="inlineStr">
        <is>
          <t>Purell Advanced Hand Sanitizer Variety Pack, Naturals and Refreshing Gel, 1 fl oz Travel Size Flip Cap Bottle with JELLY WRAP Carrier (Pack of 36) - 3900-36-CMRFRAG</t>
        </is>
      </c>
      <c r="E375" s="2">
        <f>HYPERLINK("https://www.amazon.com/Advanced-Sanitizer-Naturals-Refreshing-portable/dp/B07PDT9H7K/ref=sr_1_4?keywords=Purell+Hand+Sanitizer+Variety+Pack%2C+44+oz.&amp;qid=1695170040&amp;sr=8-4", "https://www.amazon.com/Advanced-Sanitizer-Naturals-Refreshing-portable/dp/B07PDT9H7K/ref=sr_1_4?keywords=Purell+Hand+Sanitizer+Variety+Pack%2C+44+oz.&amp;qid=1695170040&amp;sr=8-4")</f>
        <v/>
      </c>
      <c r="F375" t="inlineStr">
        <is>
          <t>B07PDT9H7K</t>
        </is>
      </c>
      <c r="G375">
        <f>_xlfn.IMAGE("https://www.shelhealth.com/cdn/shop/products/purell-hand-sanitizer-variety-pack-44-oz-shelhealth-699.jpg?v=1663352227&amp;width=1946")</f>
        <v/>
      </c>
      <c r="H375">
        <f>_xlfn.IMAGE("https://m.media-amazon.com/images/I/81aH8Bld0lL._AC_UY218_.jpg")</f>
        <v/>
      </c>
      <c r="K375" t="inlineStr">
        <is>
          <t>21.99</t>
        </is>
      </c>
      <c r="L375" t="n">
        <v>53.53</v>
      </c>
      <c r="M375" s="1" t="inlineStr">
        <is>
          <t>143.43%</t>
        </is>
      </c>
      <c r="N375" s="3" t="n">
        <v>143.43</v>
      </c>
      <c r="O375" t="n">
        <v>4.7</v>
      </c>
      <c r="P375" t="n">
        <v>510</v>
      </c>
      <c r="R375" t="inlineStr">
        <is>
          <t>OutOfStock</t>
        </is>
      </c>
      <c r="S375" t="inlineStr">
        <is>
          <t>21.99</t>
        </is>
      </c>
      <c r="T375" t="inlineStr">
        <is>
          <t>4115771850804</t>
        </is>
      </c>
    </row>
    <row r="376" ht="75" customHeight="1">
      <c r="A376" s="2">
        <f>HYPERLINK("https://www.shelhealth.com/products/065743233849-live-clean-sanitizer-hand-with-aloe-2-oz", "https://www.shelhealth.com/products/065743233849-live-clean-sanitizer-hand-with-aloe-2-oz")</f>
        <v/>
      </c>
      <c r="B376" s="2">
        <f>HYPERLINK("https://www.shelhealth.com/products/065743233849-live-clean-sanitizer-hand-with-aloe-2-oz", "https://www.shelhealth.com/products/065743233849-live-clean-sanitizer-hand-with-aloe-2-oz")</f>
        <v/>
      </c>
      <c r="C376" t="inlineStr">
        <is>
          <t>Live Clean Sanitizer Hand With Aloe, 2 Oz (Case of 4)</t>
        </is>
      </c>
      <c r="D376" t="inlineStr">
        <is>
          <t>Live Clean Hand Sanitizer Lotion, Coconut &amp; Organic Aloe, 2 Oz (Pack of 12)</t>
        </is>
      </c>
      <c r="E376" s="2">
        <f>HYPERLINK("https://www.amazon.com/Live-Clean-Sanitizer-Coconut-Organic/dp/B08NGNYTBG/ref=sr_1_1?keywords=Live+Clean+Sanitizer+Hand+With+Aloe%2C+2+Oz+%28Case+of+4%29&amp;qid=1695170123&amp;sr=8-1", "https://www.amazon.com/Live-Clean-Sanitizer-Coconut-Organic/dp/B08NGNYTBG/ref=sr_1_1?keywords=Live+Clean+Sanitizer+Hand+With+Aloe%2C+2+Oz+%28Case+of+4%29&amp;qid=1695170123&amp;sr=8-1")</f>
        <v/>
      </c>
      <c r="F376" t="inlineStr">
        <is>
          <t>B08NGNYTBG</t>
        </is>
      </c>
      <c r="G376">
        <f>_xlfn.IMAGE("https://www.shelhealth.com/cdn/shop/files/live-clean-sanitizer-hand-with-aloe-2-oz-case-of-4-beauty-body-care-shelhealth-213.jpg?v=1686142254&amp;width=1946")</f>
        <v/>
      </c>
      <c r="H376">
        <f>_xlfn.IMAGE("https://m.media-amazon.com/images/I/714mLP96oqL._AC_UL320_.jpg")</f>
        <v/>
      </c>
      <c r="K376" t="inlineStr">
        <is>
          <t>13.99</t>
        </is>
      </c>
      <c r="L376" t="n">
        <v>33.44</v>
      </c>
      <c r="M376" s="1" t="inlineStr">
        <is>
          <t>139.03%</t>
        </is>
      </c>
      <c r="N376" s="3" t="n">
        <v>139.03</v>
      </c>
      <c r="O376" t="n">
        <v>4.1</v>
      </c>
      <c r="P376" t="n">
        <v>33</v>
      </c>
      <c r="R376" t="inlineStr">
        <is>
          <t>OutOfStock</t>
        </is>
      </c>
      <c r="S376" t="inlineStr">
        <is>
          <t>13.99</t>
        </is>
      </c>
      <c r="T376" t="inlineStr">
        <is>
          <t>7241791865020</t>
        </is>
      </c>
    </row>
    <row r="377" hidden="1" ht="15.75" customHeight="1">
      <c r="A377" s="2">
        <f>HYPERLINK("https://www.shelhealth.com/products/pro-sanitize-advanced-hand-sanitizer-8-fl-oz", "https://www.shelhealth.com/products/pro-sanitize-advanced-hand-sanitizer-8-fl-oz")</f>
        <v/>
      </c>
      <c r="B377" s="2">
        <f>HYPERLINK("https://www.shelhealth.com/products/pro-sanitize-advanced-hand-sanitizer-8-fl-oz", "https://www.shelhealth.com/products/pro-sanitize-advanced-hand-sanitizer-8-fl-oz")</f>
        <v/>
      </c>
      <c r="C377" t="inlineStr">
        <is>
          <t>Pro Sanitize Advanced Hand Sanitizer, 8 fl oz.</t>
        </is>
      </c>
      <c r="D377" t="inlineStr">
        <is>
          <t>Purell Advanced Hand Sanitizer, Refreshing Gel, 8 fl oz Sanitizer Table Top Pump Bottles (Pack of 2) - 9652-06-EC2PK</t>
        </is>
      </c>
      <c r="E377" s="2">
        <f>HYPERLINK("https://www.amazon.com/PURELL-Advanced-Sanitizer-Refreshing-Bottles/dp/B01M4GBIWB/ref=sr_1_8?keywords=Pro+Sanitize+Advanced+Hand+Sanitizer%2C+8+fl+oz.&amp;qid=1695170133&amp;sr=8-8", "https://www.amazon.com/PURELL-Advanced-Sanitizer-Refreshing-Bottles/dp/B01M4GBIWB/ref=sr_1_8?keywords=Pro+Sanitize+Advanced+Hand+Sanitizer%2C+8+fl+oz.&amp;qid=1695170133&amp;sr=8-8")</f>
        <v/>
      </c>
      <c r="F377" t="inlineStr">
        <is>
          <t>B01M4GBIWB</t>
        </is>
      </c>
      <c r="G377">
        <f>_xludf.IMAGE("https://www.shelhealth.com/cdn/shop/products/pro-sanitize-advanced-hand-sanitizer-8-fl-oz-shelhealth-947.jpg?v=1663620109&amp;width=1946")</f>
        <v/>
      </c>
      <c r="H377">
        <f>_xludf.IMAGE("https://m.media-amazon.com/images/I/71EJe7a+qlL._AC_UL320_.jpg")</f>
        <v/>
      </c>
      <c r="K377" t="inlineStr">
        <is>
          <t>5.99</t>
        </is>
      </c>
      <c r="L377" t="n">
        <v>13.74</v>
      </c>
      <c r="M377" s="1" t="inlineStr">
        <is>
          <t>129.38%</t>
        </is>
      </c>
      <c r="N377" s="3" t="n">
        <v>129.38</v>
      </c>
      <c r="O377" t="n">
        <v>4.5</v>
      </c>
      <c r="P377" t="n">
        <v>355</v>
      </c>
      <c r="R377" t="inlineStr">
        <is>
          <t>OutOfStock</t>
        </is>
      </c>
      <c r="S377" t="inlineStr">
        <is>
          <t>5.99</t>
        </is>
      </c>
      <c r="T377" t="inlineStr">
        <is>
          <t>4728013815897</t>
        </is>
      </c>
    </row>
    <row r="378" ht="75" customHeight="1">
      <c r="A378" s="2">
        <f>HYPERLINK("https://www.shelhealth.com/products/dove-beauty-bar-white-4-oz-16-bar", "https://www.shelhealth.com/products/dove-beauty-bar-white-4-oz-16-bar")</f>
        <v/>
      </c>
      <c r="B378" s="2">
        <f>HYPERLINK("https://www.shelhealth.com/products/dove-beauty-bar-white-4-oz-16-bar", "https://www.shelhealth.com/products/dove-beauty-bar-white-4-oz-16-bar")</f>
        <v/>
      </c>
      <c r="C378" t="inlineStr">
        <is>
          <t>Dove Beauty Bar, White 4 oz, 16 Bar</t>
        </is>
      </c>
      <c r="D378" t="inlineStr">
        <is>
          <t>Dove Beauty Bar, White 4 Ounce, 8 Bar (Pack of 3)</t>
        </is>
      </c>
      <c r="E378" s="2">
        <f>HYPERLINK("https://www.amazon.com/Dove-Beauty-White-Ounce-Pack/dp/B001ET7IP6/ref=sr_1_10?keywords=Dove+Beauty+Bar%2C+White+4+oz%2C+16+Bar&amp;qid=1695170051&amp;sr=8-10", "https://www.amazon.com/Dove-Beauty-White-Ounce-Pack/dp/B001ET7IP6/ref=sr_1_10?keywords=Dove+Beauty+Bar%2C+White+4+oz%2C+16+Bar&amp;qid=1695170051&amp;sr=8-10")</f>
        <v/>
      </c>
      <c r="F378" t="inlineStr">
        <is>
          <t>B001ET7IP6</t>
        </is>
      </c>
      <c r="G378">
        <f>_xlfn.IMAGE("https://www.shelhealth.com/cdn/shop/products/dove-beauty-bar-white-4-oz-16-shelhealth-224.jpg?v=1663338544&amp;width=1946")</f>
        <v/>
      </c>
      <c r="H378">
        <f>_xlfn.IMAGE("https://m.media-amazon.com/images/I/81ZKnoOZ8oL._AC_UL320_.jpg")</f>
        <v/>
      </c>
      <c r="K378" t="inlineStr">
        <is>
          <t>22.99</t>
        </is>
      </c>
      <c r="L378" t="n">
        <v>49.72</v>
      </c>
      <c r="M378" s="1" t="inlineStr">
        <is>
          <t>116.27%</t>
        </is>
      </c>
      <c r="N378" s="3" t="n">
        <v>116.27</v>
      </c>
      <c r="O378" t="n">
        <v>4</v>
      </c>
      <c r="P378" t="n">
        <v>30</v>
      </c>
      <c r="R378" t="inlineStr">
        <is>
          <t>InStock</t>
        </is>
      </c>
      <c r="S378" t="inlineStr">
        <is>
          <t>22.99</t>
        </is>
      </c>
      <c r="T378" t="inlineStr">
        <is>
          <t>3785897050164</t>
        </is>
      </c>
    </row>
    <row r="379" ht="75" customHeight="1">
      <c r="A379" s="2">
        <f>HYPERLINK("https://www.shelhealth.com/products/764302102014-nubian-heritage-lemongrass-tea-tree-bar-soap-5-oz", "https://www.shelhealth.com/products/764302102014-nubian-heritage-lemongrass-tea-tree-bar-soap-5-oz")</f>
        <v/>
      </c>
      <c r="B379" s="2">
        <f>HYPERLINK("https://www.shelhealth.com/products/764302102014-nubian-heritage-lemongrass-tea-tree-bar-soap-5-oz", "https://www.shelhealth.com/products/764302102014-nubian-heritage-lemongrass-tea-tree-bar-soap-5-oz")</f>
        <v/>
      </c>
      <c r="C379" t="inlineStr">
        <is>
          <t>Nubian Heritage Lemongrass &amp; Tea Tree Bar Soap, 5 Oz (Case of 3)</t>
        </is>
      </c>
      <c r="D379" t="inlineStr">
        <is>
          <t>Nubian Heritage Lemongrass &amp; Tea Tree Bar Soap, 5 oz (Pack of 8)</t>
        </is>
      </c>
      <c r="E379" s="2">
        <f>HYPERLINK("https://www.amazon.com/Nubian-Heritage-Soap-Lmngrs-Tree/dp/B005FAISBI/ref=sr_1_3?keywords=Nubian+Heritage+Lemongrass+%26+Tea+Tree+Bar+Soap%2C+5+Oz+%28Case+of+3%29&amp;qid=1695170098&amp;sr=8-3", "https://www.amazon.com/Nubian-Heritage-Soap-Lmngrs-Tree/dp/B005FAISBI/ref=sr_1_3?keywords=Nubian+Heritage+Lemongrass+%26+Tea+Tree+Bar+Soap%2C+5+Oz+%28Case+of+3%29&amp;qid=1695170098&amp;sr=8-3")</f>
        <v/>
      </c>
      <c r="F379" t="inlineStr">
        <is>
          <t>B005FAISBI</t>
        </is>
      </c>
      <c r="G379">
        <f>_xlfn.IMAGE("https://www.shelhealth.com/cdn/shop/files/nubian-heritage-lemongrass-tea-tree-bar-soap-5-oz-case-of-3-beauty-body-care-shelhealth-969.jpg?v=1686533861&amp;width=1946")</f>
        <v/>
      </c>
      <c r="H379">
        <f>_xlfn.IMAGE("https://m.media-amazon.com/images/I/61JXeiUCOVL._AC_UL320_.jpg")</f>
        <v/>
      </c>
      <c r="K379" t="inlineStr">
        <is>
          <t>21.99</t>
        </is>
      </c>
      <c r="L379" t="n">
        <v>44.93</v>
      </c>
      <c r="M379" s="1" t="inlineStr">
        <is>
          <t>104.32%</t>
        </is>
      </c>
      <c r="N379" s="3" t="n">
        <v>104.32</v>
      </c>
      <c r="O379" t="n">
        <v>4.2</v>
      </c>
      <c r="P379" t="n">
        <v>18</v>
      </c>
      <c r="R379" t="inlineStr">
        <is>
          <t>InStock</t>
        </is>
      </c>
      <c r="S379" t="inlineStr">
        <is>
          <t>21.99</t>
        </is>
      </c>
      <c r="T379" t="inlineStr">
        <is>
          <t>7241886007484</t>
        </is>
      </c>
    </row>
    <row r="380" ht="75" customHeight="1">
      <c r="A380" s="2">
        <f>HYPERLINK("https://www.shelhealth.com/products/808124111660-mrs-meyers-clean-day-soap-hand-foam-lavender-10-oz", "https://www.shelhealth.com/products/808124111660-mrs-meyers-clean-day-soap-hand-foam-lavender-10-oz")</f>
        <v/>
      </c>
      <c r="B380" s="2">
        <f>HYPERLINK("https://www.shelhealth.com/products/808124111660-mrs-meyers-clean-day-soap-hand-foam-lavender-10-oz", "https://www.shelhealth.com/products/808124111660-mrs-meyers-clean-day-soap-hand-foam-lavender-10-oz")</f>
        <v/>
      </c>
      <c r="C380" t="inlineStr">
        <is>
          <t>MRS MEYERS CLEAN DAY Soap Hand Foam Lavender, 10 oz (Case of 3)</t>
        </is>
      </c>
      <c r="D380" t="inlineStr">
        <is>
          <t>MRS. MEYER'S CLEAN DAY Foaming Hand Soap, 10 Oz. Variety Pack of 6 Scents (Lemon Verbena, Lavender, Rainwater, Watermelon, Apple, Plumberry Scents) Bundle of 6 Items</t>
        </is>
      </c>
      <c r="E380" s="2">
        <f>HYPERLINK("https://www.amazon.com/MRS-MEYERS-CLEAN-DAY-Watermelon/dp/B0BLJ1Z2CH/ref=sr_1_3?keywords=MRS+MEYERS+CLEAN+DAY+Soap+Hand+Foam+Lavender%2C+10+oz+%28Case+of+3%29&amp;qid=1695170141&amp;sr=8-3", "https://www.amazon.com/MRS-MEYERS-CLEAN-DAY-Watermelon/dp/B0BLJ1Z2CH/ref=sr_1_3?keywords=MRS+MEYERS+CLEAN+DAY+Soap+Hand+Foam+Lavender%2C+10+oz+%28Case+of+3%29&amp;qid=1695170141&amp;sr=8-3")</f>
        <v/>
      </c>
      <c r="F380" t="inlineStr">
        <is>
          <t>B0BLJ1Z2CH</t>
        </is>
      </c>
      <c r="G380">
        <f>_xlfn.IMAGE("https://www.shelhealth.com/cdn/shop/files/mrs-meyers-clean-day-soap-hand-foam-lavender-10-oz-case-of-3-beauty-body-care-shelhealth-696.jpg?v=1689702393&amp;width=1946")</f>
        <v/>
      </c>
      <c r="H380">
        <f>_xlfn.IMAGE("https://m.media-amazon.com/images/I/61B21uSL+jL._AC_UL320_.jpg")</f>
        <v/>
      </c>
      <c r="K380" t="inlineStr">
        <is>
          <t>22.99</t>
        </is>
      </c>
      <c r="L380" t="n">
        <v>44.95</v>
      </c>
      <c r="M380" s="1" t="inlineStr">
        <is>
          <t>95.52%</t>
        </is>
      </c>
      <c r="N380" s="3" t="n">
        <v>95.52</v>
      </c>
      <c r="O380" t="n">
        <v>4.3</v>
      </c>
      <c r="P380" t="n">
        <v>50</v>
      </c>
      <c r="R380" t="inlineStr">
        <is>
          <t>OutOfStock</t>
        </is>
      </c>
      <c r="S380" t="inlineStr">
        <is>
          <t>22.99</t>
        </is>
      </c>
      <c r="T380" t="inlineStr">
        <is>
          <t>7574209822952</t>
        </is>
      </c>
    </row>
    <row r="381" ht="75" customHeight="1">
      <c r="A381" s="2">
        <f>HYPERLINK("https://www.shelhealth.com/products/808124121669-mrs-meyers-clean-day-soap-hand-foam-verbena-10-oz", "https://www.shelhealth.com/products/808124121669-mrs-meyers-clean-day-soap-hand-foam-verbena-10-oz")</f>
        <v/>
      </c>
      <c r="B381" s="2">
        <f>HYPERLINK("https://www.shelhealth.com/products/808124121669-mrs-meyers-clean-day-soap-hand-foam-verbena-10-oz", "https://www.shelhealth.com/products/808124121669-mrs-meyers-clean-day-soap-hand-foam-verbena-10-oz")</f>
        <v/>
      </c>
      <c r="C381" t="inlineStr">
        <is>
          <t>MRS MEYERS CLEAN DAY Soap Hand Foam Verbena, 10 oz (Case of 3)</t>
        </is>
      </c>
      <c r="D381" t="inlineStr">
        <is>
          <t>MRS. MEYER'S CLEAN DAY Foaming Hand Soap, 10 Oz. Variety Pack of 6 Scents (Lemon Verbena, Lavender, Rainwater, Watermelon, Apple, Plumberry Scents) Bundle of 6 Items</t>
        </is>
      </c>
      <c r="E381" s="2">
        <f>HYPERLINK("https://www.amazon.com/MRS-MEYERS-CLEAN-DAY-Watermelon/dp/B0BLJ1Z2CH/ref=sr_1_2?keywords=MRS+MEYERS+CLEAN+DAY+Soap+Hand+Foam+Verbena%2C+10+oz+%28Case+of+3%29&amp;qid=1695170075&amp;sr=8-2", "https://www.amazon.com/MRS-MEYERS-CLEAN-DAY-Watermelon/dp/B0BLJ1Z2CH/ref=sr_1_2?keywords=MRS+MEYERS+CLEAN+DAY+Soap+Hand+Foam+Verbena%2C+10+oz+%28Case+of+3%29&amp;qid=1695170075&amp;sr=8-2")</f>
        <v/>
      </c>
      <c r="F381" t="inlineStr">
        <is>
          <t>B0BLJ1Z2CH</t>
        </is>
      </c>
      <c r="G381">
        <f>_xlfn.IMAGE("https://www.shelhealth.com/cdn/shop/files/mrs-meyers-clean-day-soap-hand-foam-verbena-10-oz-case-of-3-beauty-body-care-shelhealth-796.jpg?v=1686219983&amp;width=1946")</f>
        <v/>
      </c>
      <c r="H381">
        <f>_xlfn.IMAGE("https://m.media-amazon.com/images/I/61B21uSL+jL._AC_UL320_.jpg")</f>
        <v/>
      </c>
      <c r="K381" t="inlineStr">
        <is>
          <t>22.99</t>
        </is>
      </c>
      <c r="L381" t="n">
        <v>44.95</v>
      </c>
      <c r="M381" s="1" t="inlineStr">
        <is>
          <t>95.52%</t>
        </is>
      </c>
      <c r="N381" s="3" t="n">
        <v>95.52</v>
      </c>
      <c r="O381" t="n">
        <v>4.3</v>
      </c>
      <c r="P381" t="n">
        <v>50</v>
      </c>
      <c r="R381" t="inlineStr">
        <is>
          <t>OutOfStock</t>
        </is>
      </c>
      <c r="S381" t="inlineStr">
        <is>
          <t>22.99</t>
        </is>
      </c>
      <c r="T381" t="inlineStr">
        <is>
          <t>7574209855720</t>
        </is>
      </c>
    </row>
    <row r="382" ht="75" customHeight="1">
      <c r="A382" s="2">
        <f>HYPERLINK("https://www.shelhealth.com/products/olay-ultra-moisture-beauty-bars-soap-16-ct-3-75-oz", "https://www.shelhealth.com/products/olay-ultra-moisture-beauty-bars-soap-16-ct-3-75-oz")</f>
        <v/>
      </c>
      <c r="B382" s="2">
        <f>HYPERLINK("https://www.shelhealth.com/products/olay-ultra-moisture-beauty-bars-soap-16-ct-3-75-oz", "https://www.shelhealth.com/products/olay-ultra-moisture-beauty-bars-soap-16-ct-3-75-oz")</f>
        <v/>
      </c>
      <c r="C382" t="inlineStr">
        <is>
          <t>Olay Ultra Moisture Beauty Bars Soap, 16 ct./3.75 oz.</t>
        </is>
      </c>
      <c r="D382" t="inlineStr">
        <is>
          <t>Olay Ultra Moisture Beauty Bars 16 count (4 oz each)</t>
        </is>
      </c>
      <c r="E382" s="2">
        <f>HYPERLINK("https://www.amazon.com/Olay-Ultra-Moisture-Beauty-count/dp/B00CCPXLG6/ref=sr_1_1?keywords=Olay+Ultra+Moisture+Beauty+Bars+Soap%2C+16+ct.%2F3.75+oz.&amp;qid=1695170062&amp;sr=8-1", "https://www.amazon.com/Olay-Ultra-Moisture-Beauty-count/dp/B00CCPXLG6/ref=sr_1_1?keywords=Olay+Ultra+Moisture+Beauty+Bars+Soap%2C+16+ct.%2F3.75+oz.&amp;qid=1695170062&amp;sr=8-1")</f>
        <v/>
      </c>
      <c r="F382" t="inlineStr">
        <is>
          <t>B00CCPXLG6</t>
        </is>
      </c>
      <c r="G382">
        <f>_xlfn.IMAGE("https://www.shelhealth.com/cdn/shop/products/olay-ultra-moisture-beauty-bars-soap-16-ct-3-75-oz-shelhealth-299.jpg?v=1663354235&amp;width=1946")</f>
        <v/>
      </c>
      <c r="H382">
        <f>_xlfn.IMAGE("https://m.media-amazon.com/images/I/71B-LafN2XL._AC_UL320_.jpg")</f>
        <v/>
      </c>
      <c r="K382" t="inlineStr">
        <is>
          <t>21.99</t>
        </is>
      </c>
      <c r="L382" t="n">
        <v>41</v>
      </c>
      <c r="M382" s="1" t="inlineStr">
        <is>
          <t>86.45%</t>
        </is>
      </c>
      <c r="N382" s="3" t="n">
        <v>86.45</v>
      </c>
      <c r="O382" t="n">
        <v>4.8</v>
      </c>
      <c r="P382" t="n">
        <v>1030</v>
      </c>
      <c r="R382" t="inlineStr">
        <is>
          <t>InStock</t>
        </is>
      </c>
      <c r="S382" t="inlineStr">
        <is>
          <t>21.99</t>
        </is>
      </c>
      <c r="T382" t="inlineStr">
        <is>
          <t>4167533592628</t>
        </is>
      </c>
    </row>
    <row r="383" ht="75" customHeight="1">
      <c r="A383" s="2">
        <f>HYPERLINK("https://www.shelhealth.com/products/841320102582-alaffia-authentic-african-black-soap-all-in-one-rosewater-peony-32-fo", "https://www.shelhealth.com/products/841320102582-alaffia-authentic-african-black-soap-all-in-one-rosewater-peony-32-fo")</f>
        <v/>
      </c>
      <c r="B383" s="2">
        <f>HYPERLINK("https://www.shelhealth.com/products/841320102582-alaffia-authentic-african-black-soap-all-in-one-rosewater-peony-32-fo", "https://www.shelhealth.com/products/841320102582-alaffia-authentic-african-black-soap-all-in-one-rosewater-peony-32-fo")</f>
        <v/>
      </c>
      <c r="C383" t="inlineStr">
        <is>
          <t>ALAFFIA Authentic African Black Soap All In One Rosewater Peony, 32 fo</t>
        </is>
      </c>
      <c r="D383" t="inlineStr">
        <is>
          <t>Alaffia All in One Rosewater Peony Authentic African Black Soap, 32 FZ</t>
        </is>
      </c>
      <c r="E383" s="2">
        <f>HYPERLINK("https://www.amazon.com/Alaffia-Black-Authentic-African-Rosewater/dp/B07ZG7V4X3/ref=sr_1_3?keywords=ALAFFIA+Authentic+African+Black+Soap+All+In+One+Rosewater+Peony%2C+32+fo&amp;qid=1695170059&amp;sr=8-3", "https://www.amazon.com/Alaffia-Black-Authentic-African-Rosewater/dp/B07ZG7V4X3/ref=sr_1_3?keywords=ALAFFIA+Authentic+African+Black+Soap+All+In+One+Rosewater+Peony%2C+32+fo&amp;qid=1695170059&amp;sr=8-3")</f>
        <v/>
      </c>
      <c r="F383" t="inlineStr">
        <is>
          <t>B07ZG7V4X3</t>
        </is>
      </c>
      <c r="G383">
        <f>_xlfn.IMAGE("https://www.shelhealth.com/cdn/shop/files/alaffia-authentic-african-black-soap-all-in-one-rosewater-peony-32-fo-beauty-body-care-shelhealth-342.jpg?v=1693365783&amp;width=1946")</f>
        <v/>
      </c>
      <c r="H383">
        <f>_xlfn.IMAGE("https://m.media-amazon.com/images/I/61b3cII-jQL._AC_UL320_.jpg")</f>
        <v/>
      </c>
      <c r="K383" t="inlineStr">
        <is>
          <t>14.99</t>
        </is>
      </c>
      <c r="L383" t="n">
        <v>27</v>
      </c>
      <c r="M383" s="1" t="inlineStr">
        <is>
          <t>80.12%</t>
        </is>
      </c>
      <c r="N383" s="3" t="n">
        <v>80.12</v>
      </c>
      <c r="O383" t="n">
        <v>4.5</v>
      </c>
      <c r="P383" t="n">
        <v>244</v>
      </c>
      <c r="R383" t="inlineStr">
        <is>
          <t>InStock</t>
        </is>
      </c>
      <c r="S383" t="inlineStr">
        <is>
          <t>14.99</t>
        </is>
      </c>
      <c r="T383" t="inlineStr">
        <is>
          <t>7573948498152</t>
        </is>
      </c>
    </row>
    <row r="384" ht="75" customHeight="1">
      <c r="A384" s="2">
        <f>HYPERLINK("https://www.shelhealth.com/products/dove-body-wash-deep-moisture-24-oz-pack-of-3", "https://www.shelhealth.com/products/dove-body-wash-deep-moisture-24-oz-pack-of-3")</f>
        <v/>
      </c>
      <c r="B384" s="2">
        <f>HYPERLINK("https://www.shelhealth.com/products/dove-body-wash-deep-moisture-24-oz-pack-of-3", "https://www.shelhealth.com/products/dove-body-wash-deep-moisture-24-oz-pack-of-3")</f>
        <v/>
      </c>
      <c r="C384" t="inlineStr">
        <is>
          <t>Dove Body Wash Deep Moisture 24 oz, Pack of 3</t>
        </is>
      </c>
      <c r="D384" t="inlineStr">
        <is>
          <t>Dove go fresh Cool Moisture Body Wash, Value Pack, 24 Ounce, 3 Count</t>
        </is>
      </c>
      <c r="E384" s="2">
        <f>HYPERLINK("https://www.amazon.com/fresh-Moisture-Value-Ounce-Count/dp/B004AUEVAG/ref=sr_1_5?keywords=Dove+Body+Wash+Deep+Moisture+24+oz%2C+Pack+of+3&amp;qid=1695170040&amp;sr=8-5", "https://www.amazon.com/fresh-Moisture-Value-Ounce-Count/dp/B004AUEVAG/ref=sr_1_5?keywords=Dove+Body+Wash+Deep+Moisture+24+oz%2C+Pack+of+3&amp;qid=1695170040&amp;sr=8-5")</f>
        <v/>
      </c>
      <c r="F384" t="inlineStr">
        <is>
          <t>B004AUEVAG</t>
        </is>
      </c>
      <c r="G384">
        <f>_xlfn.IMAGE("https://www.shelhealth.com/cdn/shop/products/dove-body-wash-deep-moisture-24-oz-pack-of-3-shelhealth-243.jpg?v=1663338569&amp;width=1946")</f>
        <v/>
      </c>
      <c r="H384">
        <f>_xlfn.IMAGE("https://m.media-amazon.com/images/I/814VWZsqP5L._AC_UL320_.jpg")</f>
        <v/>
      </c>
      <c r="K384" t="inlineStr">
        <is>
          <t>21.99</t>
        </is>
      </c>
      <c r="L384" t="n">
        <v>38.99</v>
      </c>
      <c r="M384" s="1" t="inlineStr">
        <is>
          <t>77.31%</t>
        </is>
      </c>
      <c r="N384" s="3" t="n">
        <v>77.31</v>
      </c>
      <c r="O384" t="n">
        <v>4.6</v>
      </c>
      <c r="P384" t="n">
        <v>148</v>
      </c>
      <c r="R384" t="inlineStr">
        <is>
          <t>InStock</t>
        </is>
      </c>
      <c r="S384" t="inlineStr">
        <is>
          <t>21.99</t>
        </is>
      </c>
      <c r="T384" t="inlineStr">
        <is>
          <t>3785937059892</t>
        </is>
      </c>
    </row>
    <row r="385" ht="75" customHeight="1">
      <c r="A385" s="2">
        <f>HYPERLINK("https://www.shelhealth.com/products/856885201984-south-of-france-hand-wash-foam-blooming-jasmine-8-oz", "https://www.shelhealth.com/products/856885201984-south-of-france-hand-wash-foam-blooming-jasmine-8-oz")</f>
        <v/>
      </c>
      <c r="B385" s="2">
        <f>HYPERLINK("https://www.shelhealth.com/products/856885201984-south-of-france-hand-wash-foam-blooming-jasmine-8-oz", "https://www.shelhealth.com/products/856885201984-south-of-france-hand-wash-foam-blooming-jasmine-8-oz")</f>
        <v/>
      </c>
      <c r="C385" t="inlineStr">
        <is>
          <t>South Of France Hand Wash Foam Blooming Jasmine, 8 Oz (Case of 4)</t>
        </is>
      </c>
      <c r="D385" t="inlineStr">
        <is>
          <t>Blooming Jasmine Foaming Hand Soap by South of France Clean Body Care | Hydrating Organic Agave Nectar Wash | 8 oz Pump Bottle – 6 Pack</t>
        </is>
      </c>
      <c r="E385" s="2">
        <f>HYPERLINK("https://www.amazon.com/South-France-Body-Care-Hydrating/dp/B0B5VRSB7C/ref=sr_1_6?keywords=South+Of+France+Hand+Wash+Foam+Blooming+Jasmine%2C+8+Oz+%28Case+of+4%29&amp;qid=1695170061&amp;sr=8-6", "https://www.amazon.com/South-France-Body-Care-Hydrating/dp/B0B5VRSB7C/ref=sr_1_6?keywords=South+Of+France+Hand+Wash+Foam+Blooming+Jasmine%2C+8+Oz+%28Case+of+4%29&amp;qid=1695170061&amp;sr=8-6")</f>
        <v/>
      </c>
      <c r="F385" t="inlineStr">
        <is>
          <t>B0B5VRSB7C</t>
        </is>
      </c>
      <c r="G385">
        <f>_xlfn.IMAGE("https://www.shelhealth.com/cdn/shop/files/south-of-france-hand-wash-foam-blooming-jasmine-8-oz-case-4-beauty-body-care-shelhealth-581.jpg?v=1686202480&amp;width=1946")</f>
        <v/>
      </c>
      <c r="H385">
        <f>_xlfn.IMAGE("https://m.media-amazon.com/images/I/81TyrZNCSaL._AC_UL320_.jpg")</f>
        <v/>
      </c>
      <c r="K385" t="inlineStr">
        <is>
          <t>17.99</t>
        </is>
      </c>
      <c r="L385" t="n">
        <v>30.31</v>
      </c>
      <c r="M385" s="1" t="inlineStr">
        <is>
          <t>68.48%</t>
        </is>
      </c>
      <c r="N385" s="3" t="n">
        <v>68.48</v>
      </c>
      <c r="O385" t="n">
        <v>5</v>
      </c>
      <c r="P385" t="n">
        <v>2</v>
      </c>
      <c r="R385" t="inlineStr">
        <is>
          <t>OutOfStock</t>
        </is>
      </c>
      <c r="S385" t="inlineStr">
        <is>
          <t>17.99</t>
        </is>
      </c>
      <c r="T385" t="inlineStr">
        <is>
          <t>7242004201660</t>
        </is>
      </c>
    </row>
    <row r="386" ht="75" customHeight="1">
      <c r="A386" s="2">
        <f>HYPERLINK("https://www.shelhealth.com/products/dove-purely-pampering-shea-butter-beauty-bar-16-ct-4-oz", "https://www.shelhealth.com/products/dove-purely-pampering-shea-butter-beauty-bar-16-ct-4-oz")</f>
        <v/>
      </c>
      <c r="B386" s="2">
        <f>HYPERLINK("https://www.shelhealth.com/products/dove-purely-pampering-shea-butter-beauty-bar-16-ct-4-oz", "https://www.shelhealth.com/products/dove-purely-pampering-shea-butter-beauty-bar-16-ct-4-oz")</f>
        <v/>
      </c>
      <c r="C386" t="inlineStr">
        <is>
          <t>Dove Purely Pampering Shea Butter Beauty Bar, 16 ct./4 oz.</t>
        </is>
      </c>
      <c r="D386" t="inlineStr">
        <is>
          <t>Dove Purely Pampering Shea Butter Beauty Bar, White Vanilla, 1 Count (Pack of 24)</t>
        </is>
      </c>
      <c r="E386" s="2">
        <f>HYPERLINK("https://www.amazon.com/Dove-Purely-Pampering-Butter-Beauty/dp/B01H07PKCS/ref=sr_1_6?keywords=Dove+Purely+Pampering+Shea+Butter+Beauty+Bar%2C+16+ct.%2F4+oz.&amp;qid=1695170047&amp;sr=8-6", "https://www.amazon.com/Dove-Purely-Pampering-Butter-Beauty/dp/B01H07PKCS/ref=sr_1_6?keywords=Dove+Purely+Pampering+Shea+Butter+Beauty+Bar%2C+16+ct.%2F4+oz.&amp;qid=1695170047&amp;sr=8-6")</f>
        <v/>
      </c>
      <c r="F386" t="inlineStr">
        <is>
          <t>B01H07PKCS</t>
        </is>
      </c>
      <c r="G386">
        <f>_xlfn.IMAGE("https://www.shelhealth.com/cdn/shop/products/dove-purely-pampering-shea-butter-beauty-bar-16-ct-4-oz-shelhealth-401.jpg?v=1663354627&amp;width=1946")</f>
        <v/>
      </c>
      <c r="H386">
        <f>_xlfn.IMAGE("https://m.media-amazon.com/images/I/71CgQ5JVZ3L._AC_UL320_.jpg")</f>
        <v/>
      </c>
      <c r="K386" t="inlineStr">
        <is>
          <t>23.99</t>
        </is>
      </c>
      <c r="L386" t="n">
        <v>40.05</v>
      </c>
      <c r="M386" s="1" t="inlineStr">
        <is>
          <t>66.94%</t>
        </is>
      </c>
      <c r="N386" s="3" t="n">
        <v>66.94</v>
      </c>
      <c r="O386" t="n">
        <v>4.8</v>
      </c>
      <c r="P386" t="n">
        <v>1937</v>
      </c>
      <c r="R386" t="inlineStr">
        <is>
          <t>InStock</t>
        </is>
      </c>
      <c r="S386" t="inlineStr">
        <is>
          <t>23.99</t>
        </is>
      </c>
      <c r="T386" t="inlineStr">
        <is>
          <t>4167683506228</t>
        </is>
      </c>
    </row>
    <row r="387" ht="75" customHeight="1">
      <c r="A387" s="2">
        <f>HYPERLINK("https://www.shelhealth.com/products/841320102582-alaffia-authentic-african-black-soap-all-in-one-rosewater-peony-32-fo", "https://www.shelhealth.com/products/841320102582-alaffia-authentic-african-black-soap-all-in-one-rosewater-peony-32-fo")</f>
        <v/>
      </c>
      <c r="B387" s="2">
        <f>HYPERLINK("https://www.shelhealth.com/products/841320102582-alaffia-authentic-african-black-soap-all-in-one-rosewater-peony-32-fo", "https://www.shelhealth.com/products/841320102582-alaffia-authentic-african-black-soap-all-in-one-rosewater-peony-32-fo")</f>
        <v/>
      </c>
      <c r="C387" t="inlineStr">
        <is>
          <t>ALAFFIA Authentic African Black Soap All In One Rosewater Peony, 32 fo</t>
        </is>
      </c>
      <c r="D387" t="inlineStr">
        <is>
          <t>Alaffia, Authentic African Black Soap Liquid, All-in-One Body Wash for All Skin Types, Lavender Ylang Ylang, Ethically Traded, Non-GMO, 16 Fl Oz</t>
        </is>
      </c>
      <c r="E387" s="2">
        <f>HYPERLINK("https://www.amazon.com/Alaffia-Authentic-All-One-Parabens/dp/B00NT0IU00/ref=sr_1_7?keywords=ALAFFIA+Authentic+African+Black+Soap+All+In+One+Rosewater+Peony%2C+32+fo&amp;qid=1695170059&amp;sr=8-7", "https://www.amazon.com/Alaffia-Authentic-All-One-Parabens/dp/B00NT0IU00/ref=sr_1_7?keywords=ALAFFIA+Authentic+African+Black+Soap+All+In+One+Rosewater+Peony%2C+32+fo&amp;qid=1695170059&amp;sr=8-7")</f>
        <v/>
      </c>
      <c r="F387" t="inlineStr">
        <is>
          <t>B00NT0IU00</t>
        </is>
      </c>
      <c r="G387">
        <f>_xlfn.IMAGE("https://www.shelhealth.com/cdn/shop/files/alaffia-authentic-african-black-soap-all-in-one-rosewater-peony-32-fo-beauty-body-care-shelhealth-342.jpg?v=1693365783&amp;width=1946")</f>
        <v/>
      </c>
      <c r="H387">
        <f>_xlfn.IMAGE("https://m.media-amazon.com/images/I/71eV7oK9L6L._AC_UL320_.jpg")</f>
        <v/>
      </c>
      <c r="K387" t="inlineStr">
        <is>
          <t>14.99</t>
        </is>
      </c>
      <c r="L387" t="n">
        <v>24.99</v>
      </c>
      <c r="M387" s="1" t="inlineStr">
        <is>
          <t>66.71%</t>
        </is>
      </c>
      <c r="N387" s="3" t="n">
        <v>66.70999999999999</v>
      </c>
      <c r="O387" t="n">
        <v>4.2</v>
      </c>
      <c r="P387" t="n">
        <v>96</v>
      </c>
      <c r="R387" t="inlineStr">
        <is>
          <t>InStock</t>
        </is>
      </c>
      <c r="S387" t="inlineStr">
        <is>
          <t>14.99</t>
        </is>
      </c>
      <c r="T387" t="inlineStr">
        <is>
          <t>7573948498152</t>
        </is>
      </c>
    </row>
    <row r="388" ht="75" customHeight="1">
      <c r="A388" s="2">
        <f>HYPERLINK("https://www.shelhealth.com/products/dove-purely-pampering-shea-butter-beauty-bar-16-ct-4-oz", "https://www.shelhealth.com/products/dove-purely-pampering-shea-butter-beauty-bar-16-ct-4-oz")</f>
        <v/>
      </c>
      <c r="B388" s="2">
        <f>HYPERLINK("https://www.shelhealth.com/products/dove-purely-pampering-shea-butter-beauty-bar-16-ct-4-oz", "https://www.shelhealth.com/products/dove-purely-pampering-shea-butter-beauty-bar-16-ct-4-oz")</f>
        <v/>
      </c>
      <c r="C388" t="inlineStr">
        <is>
          <t>Dove Purely Pampering Shea Butter Beauty Bar, 16 ct./4 oz.</t>
        </is>
      </c>
      <c r="D388" t="inlineStr">
        <is>
          <t>Dove Purely Pampering Shea Butter Beauty Bar, 2 Bar (Pack of 4)</t>
        </is>
      </c>
      <c r="E388" s="2">
        <f>HYPERLINK("https://www.amazon.com/Dove-Purely-Pampering-Butter-Beauty/dp/B008L2UO8M/ref=sr_1_3?keywords=Dove+Purely+Pampering+Shea+Butter+Beauty+Bar%2C+16+ct.%2F4+oz.&amp;qid=1695170047&amp;sr=8-3", "https://www.amazon.com/Dove-Purely-Pampering-Butter-Beauty/dp/B008L2UO8M/ref=sr_1_3?keywords=Dove+Purely+Pampering+Shea+Butter+Beauty+Bar%2C+16+ct.%2F4+oz.&amp;qid=1695170047&amp;sr=8-3")</f>
        <v/>
      </c>
      <c r="F388" t="inlineStr">
        <is>
          <t>B008L2UO8M</t>
        </is>
      </c>
      <c r="G388">
        <f>_xlfn.IMAGE("https://www.shelhealth.com/cdn/shop/products/dove-purely-pampering-shea-butter-beauty-bar-16-ct-4-oz-shelhealth-401.jpg?v=1663354627&amp;width=1946")</f>
        <v/>
      </c>
      <c r="H388">
        <f>_xlfn.IMAGE("https://m.media-amazon.com/images/I/61x8jNbgVWL._AC_UL320_.jpg")</f>
        <v/>
      </c>
      <c r="K388" t="inlineStr">
        <is>
          <t>23.99</t>
        </is>
      </c>
      <c r="L388" t="n">
        <v>39.99</v>
      </c>
      <c r="M388" s="1" t="inlineStr">
        <is>
          <t>66.69%</t>
        </is>
      </c>
      <c r="N388" s="3" t="n">
        <v>66.69</v>
      </c>
      <c r="O388" t="n">
        <v>5</v>
      </c>
      <c r="P388" t="n">
        <v>1</v>
      </c>
      <c r="R388" t="inlineStr">
        <is>
          <t>InStock</t>
        </is>
      </c>
      <c r="S388" t="inlineStr">
        <is>
          <t>23.99</t>
        </is>
      </c>
      <c r="T388" t="inlineStr">
        <is>
          <t>4167683506228</t>
        </is>
      </c>
    </row>
    <row r="389" hidden="1" ht="15.75" customHeight="1">
      <c r="A389" s="2">
        <f>HYPERLINK("https://www.shelhealth.com/products/dove-sensitive-skin-unscented-4-oz-bar-soaps-16-count", "https://www.shelhealth.com/products/dove-sensitive-skin-unscented-4-oz-bar-soaps-16-count")</f>
        <v/>
      </c>
      <c r="B389" s="2">
        <f>HYPERLINK("https://www.shelhealth.com/products/dove-sensitive-skin-unscented-4-oz-bar-soaps-16-count", "https://www.shelhealth.com/products/dove-sensitive-skin-unscented-4-oz-bar-soaps-16-count")</f>
        <v/>
      </c>
      <c r="C389" t="inlineStr">
        <is>
          <t>Dove Sensitive Skin Unscented 4 OZ Bar Soaps, 16 Count</t>
        </is>
      </c>
      <c r="D389" t="inlineStr">
        <is>
          <t>(18 Pack) Dove Sensitive Skin Unscented beauty bar 4oz each</t>
        </is>
      </c>
      <c r="E389" s="2">
        <f>HYPERLINK("https://www.amazon.com/Pack-Dove-Sensitive-Unscented-beauty/dp/B01I3SZOKQ/ref=sr_1_7?keywords=Dove+Sensitive+Skin+Unscented+4+OZ+Bar+Soaps%2C+16+Count&amp;qid=1695170044&amp;sr=8-7", "https://www.amazon.com/Pack-Dove-Sensitive-Unscented-beauty/dp/B01I3SZOKQ/ref=sr_1_7?keywords=Dove+Sensitive+Skin+Unscented+4+OZ+Bar+Soaps%2C+16+Count&amp;qid=1695170044&amp;sr=8-7")</f>
        <v/>
      </c>
      <c r="F389" t="inlineStr">
        <is>
          <t>B01I3SZOKQ</t>
        </is>
      </c>
      <c r="G389">
        <f>_xludf.IMAGE("https://www.shelhealth.com/cdn/shop/products/dove-sensitive-skin-unscented-4-oz-bar-soaps-16-count-shelhealth-867.jpg?v=1663338579&amp;width=1946")</f>
        <v/>
      </c>
      <c r="H389">
        <f>_xludf.IMAGE("https://m.media-amazon.com/images/I/51X+92-HhjL._AC_UL320_.jpg")</f>
        <v/>
      </c>
      <c r="K389" t="inlineStr">
        <is>
          <t>23.99</t>
        </is>
      </c>
      <c r="L389" t="n">
        <v>37.74</v>
      </c>
      <c r="M389" s="1" t="inlineStr">
        <is>
          <t>57.32%</t>
        </is>
      </c>
      <c r="N389" s="3" t="n">
        <v>57.32</v>
      </c>
      <c r="O389" t="n">
        <v>2.7</v>
      </c>
      <c r="P389" t="n">
        <v>7</v>
      </c>
      <c r="R389" t="inlineStr">
        <is>
          <t>InStock</t>
        </is>
      </c>
      <c r="S389" t="inlineStr">
        <is>
          <t>23.99</t>
        </is>
      </c>
      <c r="T389" t="inlineStr">
        <is>
          <t>3785941090356</t>
        </is>
      </c>
    </row>
    <row r="390" hidden="1" ht="15.75" customHeight="1">
      <c r="A390" s="2">
        <f>HYPERLINK("https://www.shelhealth.com/products/germ-x-moisturizing-original-hand-sanitizer-67-6-fl-oz", "https://www.shelhealth.com/products/germ-x-moisturizing-original-hand-sanitizer-67-6-fl-oz")</f>
        <v/>
      </c>
      <c r="B390" s="2">
        <f>HYPERLINK("https://www.shelhealth.com/products/germ-x-moisturizing-original-hand-sanitizer-67-6-fl-oz", "https://www.shelhealth.com/products/germ-x-moisturizing-original-hand-sanitizer-67-6-fl-oz")</f>
        <v/>
      </c>
      <c r="C390" t="inlineStr">
        <is>
          <t>germ-x moisturizing original hand sanitizer, 67.6 fl oz.</t>
        </is>
      </c>
      <c r="D390" t="inlineStr">
        <is>
          <t>Germ-x Advanced Hand Sanitizer, Original, 12 fl oz (Pack of 2)</t>
        </is>
      </c>
      <c r="E390" s="2">
        <f>HYPERLINK("https://www.amazon.com/Germ-x-Advanced-Hand-Sanitizer-Original/dp/B078J54GXC/ref=sr_1_2?keywords=germ-x+moisturizing+original+hand+sanitizer%2C+67.6+fl+oz.&amp;qid=1695170044&amp;sr=8-2", "https://www.amazon.com/Germ-x-Advanced-Hand-Sanitizer-Original/dp/B078J54GXC/ref=sr_1_2?keywords=germ-x+moisturizing+original+hand+sanitizer%2C+67.6+fl+oz.&amp;qid=1695170044&amp;sr=8-2")</f>
        <v/>
      </c>
      <c r="F390" t="inlineStr">
        <is>
          <t>B078J54GXC</t>
        </is>
      </c>
      <c r="G390">
        <f>_xludf.IMAGE("https://www.shelhealth.com/cdn/shop/products/germ-x-moisturizing-original-hand-sanitizer-67-6-fl-oz-shelhealth-739.jpg?v=1663370821&amp;width=1946")</f>
        <v/>
      </c>
      <c r="H390">
        <f>_xludf.IMAGE("https://m.media-amazon.com/images/I/61y4Fsjoz9L._AC_UL320_.jpg")</f>
        <v/>
      </c>
      <c r="K390" t="inlineStr">
        <is>
          <t>16.99</t>
        </is>
      </c>
      <c r="L390" t="n">
        <v>26.49</v>
      </c>
      <c r="M390" s="1" t="inlineStr">
        <is>
          <t>55.92%</t>
        </is>
      </c>
      <c r="N390" s="3" t="n">
        <v>55.92</v>
      </c>
      <c r="O390" t="n">
        <v>4.7</v>
      </c>
      <c r="P390" t="n">
        <v>891</v>
      </c>
      <c r="R390" t="inlineStr">
        <is>
          <t>OutOfStock</t>
        </is>
      </c>
      <c r="S390" t="inlineStr">
        <is>
          <t>16.99</t>
        </is>
      </c>
      <c r="T390" t="inlineStr">
        <is>
          <t>4666545143897</t>
        </is>
      </c>
    </row>
    <row r="391" hidden="1" ht="15.75" customHeight="1">
      <c r="A391" s="2">
        <f>HYPERLINK("https://www.shelhealth.com/products/858293002948-sea-weed-bath-company-detox-scrub-exfoliating-6-oz", "https://www.shelhealth.com/products/858293002948-sea-weed-bath-company-detox-scrub-exfoliating-6-oz")</f>
        <v/>
      </c>
      <c r="B391" s="2">
        <f>HYPERLINK("https://www.shelhealth.com/products/858293002948-sea-weed-bath-company-detox-scrub-exfoliating-6-oz", "https://www.shelhealth.com/products/858293002948-sea-weed-bath-company-detox-scrub-exfoliating-6-oz")</f>
        <v/>
      </c>
      <c r="C391" t="inlineStr">
        <is>
          <t>Sea Weed Bath Company Detox Scrub Exfoliating, 6 Oz</t>
        </is>
      </c>
      <c r="D391" t="inlineStr">
        <is>
          <t>The Seaweed Bath Co. Detox Exfoliating Body Scrub, Refresh Scent (Orange, Eucalyptus &amp; Cedar), with French Clay &amp; Coffee Extract, 6 Oz</t>
        </is>
      </c>
      <c r="E391" s="2">
        <f>HYPERLINK("https://www.amazon.com/Seaweed-Bath-Co-Exfoliating-Eucalyptus/dp/B0B76FWFPG/ref=sr_1_2?keywords=seaweed+bath+company+detox+scrub+exfoliating%2C+6+oz&amp;qid=1695170128&amp;sr=8-2", "https://www.amazon.com/Seaweed-Bath-Co-Exfoliating-Eucalyptus/dp/B0B76FWFPG/ref=sr_1_2?keywords=seaweed+bath+company+detox+scrub+exfoliating%2C+6+oz&amp;qid=1695170128&amp;sr=8-2")</f>
        <v/>
      </c>
      <c r="F391" t="inlineStr">
        <is>
          <t>B0B76FWFPG</t>
        </is>
      </c>
      <c r="G391">
        <f>_xludf.IMAGE("https://www.shelhealth.com/cdn/shop/files/sea-weed-bath-company-detox-scrub-exfoliating-6-oz-beauty-body-care-the-seaweed-co-shelhealth-436.jpg?v=1693361967&amp;width=1946")</f>
        <v/>
      </c>
      <c r="H391">
        <f>_xludf.IMAGE("https://m.media-amazon.com/images/I/71EfIiYqp2L._AC_UL320_.jpg")</f>
        <v/>
      </c>
      <c r="K391" t="inlineStr">
        <is>
          <t>12.99</t>
        </is>
      </c>
      <c r="L391" t="n">
        <v>19.95</v>
      </c>
      <c r="M391" s="1" t="inlineStr">
        <is>
          <t>53.58%</t>
        </is>
      </c>
      <c r="N391" s="3" t="n">
        <v>53.58</v>
      </c>
      <c r="O391" t="n">
        <v>4.4</v>
      </c>
      <c r="P391" t="n">
        <v>6</v>
      </c>
      <c r="R391" t="inlineStr">
        <is>
          <t>OutOfStock</t>
        </is>
      </c>
      <c r="S391" t="inlineStr">
        <is>
          <t>12.99</t>
        </is>
      </c>
      <c r="T391" t="inlineStr">
        <is>
          <t>7241980117180</t>
        </is>
      </c>
    </row>
    <row r="392" hidden="1" ht="15.75" customHeight="1">
      <c r="A392" s="2">
        <f>HYPERLINK("https://www.shelhealth.com/products/a-care-disposable-face-shield-10-pack", "https://www.shelhealth.com/products/a-care-disposable-face-shield-10-pack")</f>
        <v/>
      </c>
      <c r="B392" s="2">
        <f>HYPERLINK("https://www.shelhealth.com/products/a-care-disposable-face-shield-10-pack", "https://www.shelhealth.com/products/a-care-disposable-face-shield-10-pack")</f>
        <v/>
      </c>
      <c r="C392" t="inlineStr">
        <is>
          <t>A Care Disposable Face Shield, 10 Pack.</t>
        </is>
      </c>
      <c r="D392" t="inlineStr">
        <is>
          <t>Jackson Safety Disposable Face Shield Mask, 14360 - Pack of 25 - Disposable for Medical Protection, Healthcare Workers, Full Coverage for Men, Women, 8.66”x 12.5”, Splash and Fog Resistant Window</t>
        </is>
      </c>
      <c r="E392" s="2">
        <f>HYPERLINK("https://www.amazon.com/Jackson-Safety-Disposable-Shield-14360/dp/B092DZJX64/ref=sr_1_8?keywords=A+Care+Disposable+Face+Shield%2C+10+Pack.&amp;qid=1695170142&amp;sr=8-8", "https://www.amazon.com/Jackson-Safety-Disposable-Shield-14360/dp/B092DZJX64/ref=sr_1_8?keywords=A+Care+Disposable+Face+Shield%2C+10+Pack.&amp;qid=1695170142&amp;sr=8-8")</f>
        <v/>
      </c>
      <c r="F392" t="inlineStr">
        <is>
          <t>B092DZJX64</t>
        </is>
      </c>
      <c r="G392">
        <f>_xludf.IMAGE("https://www.shelhealth.com/cdn/shop/products/a-care-disposable-face-shield-10-pack-shelhealth-281.jpg?v=1663373450&amp;width=1946")</f>
        <v/>
      </c>
      <c r="H392">
        <f>_xludf.IMAGE("https://m.media-amazon.com/images/I/61rCQO7-8FL._AC_UY218_.jpg")</f>
        <v/>
      </c>
      <c r="K392" t="inlineStr">
        <is>
          <t>43.99</t>
        </is>
      </c>
      <c r="L392" t="n">
        <v>67</v>
      </c>
      <c r="M392" s="1" t="inlineStr">
        <is>
          <t>52.31%</t>
        </is>
      </c>
      <c r="N392" s="3" t="n">
        <v>52.31</v>
      </c>
      <c r="O392" t="n">
        <v>3.6</v>
      </c>
      <c r="P392" t="n">
        <v>95</v>
      </c>
      <c r="R392" t="inlineStr">
        <is>
          <t>OutOfStock</t>
        </is>
      </c>
      <c r="S392" t="inlineStr">
        <is>
          <t>43.99</t>
        </is>
      </c>
      <c r="T392" t="inlineStr">
        <is>
          <t>4706392506457</t>
        </is>
      </c>
    </row>
    <row r="393" hidden="1" ht="15.75" customHeight="1">
      <c r="A393" s="2">
        <f>HYPERLINK("https://www.shelhealth.com/products/dial-gold-antibacterial-bar-soap-22-ct-4-oz", "https://www.shelhealth.com/products/dial-gold-antibacterial-bar-soap-22-ct-4-oz")</f>
        <v/>
      </c>
      <c r="B393" s="2">
        <f>HYPERLINK("https://www.shelhealth.com/products/dial-gold-antibacterial-bar-soap-22-ct-4-oz", "https://www.shelhealth.com/products/dial-gold-antibacterial-bar-soap-22-ct-4-oz")</f>
        <v/>
      </c>
      <c r="C393" t="inlineStr">
        <is>
          <t>Dial Gold Antibacterial Bar Soap, 22 ct./4 oz.</t>
        </is>
      </c>
      <c r="D393" t="inlineStr">
        <is>
          <t>Dial Antibacterial Deodorant Gold Bar Soap, 4 Ounce (Pack of 20) Net Wt 5.LBS</t>
        </is>
      </c>
      <c r="E393" s="2">
        <f>HYPERLINK("https://www.amazon.com/Dial-Antibacterial-Deodorant-Ounce-5-LBS/dp/B002771T86/ref=sr_1_9?keywords=Dial+Gold+Antibacterial+Bar+Soap%2C+22+ct.%2F4+oz.&amp;qid=1695170040&amp;sr=8-9", "https://www.amazon.com/Dial-Antibacterial-Deodorant-Ounce-5-LBS/dp/B002771T86/ref=sr_1_9?keywords=Dial+Gold+Antibacterial+Bar+Soap%2C+22+ct.%2F4+oz.&amp;qid=1695170040&amp;sr=8-9")</f>
        <v/>
      </c>
      <c r="F393" t="inlineStr">
        <is>
          <t>B002771T86</t>
        </is>
      </c>
      <c r="G393">
        <f>_xludf.IMAGE("https://www.shelhealth.com/cdn/shop/products/dial-gold-antibacterial-bar-soap-22-ct-4-oz-shelhealth-711.jpg?v=1663354241&amp;width=1946")</f>
        <v/>
      </c>
      <c r="H393">
        <f>_xludf.IMAGE("https://m.media-amazon.com/images/I/71D19Se2JQL._AC_UL320_.jpg")</f>
        <v/>
      </c>
      <c r="K393" t="inlineStr">
        <is>
          <t>19.99</t>
        </is>
      </c>
      <c r="L393" t="n">
        <v>29.98</v>
      </c>
      <c r="M393" s="1" t="inlineStr">
        <is>
          <t>49.97%</t>
        </is>
      </c>
      <c r="N393" s="3" t="n">
        <v>49.97</v>
      </c>
      <c r="O393" t="n">
        <v>4.8</v>
      </c>
      <c r="P393" t="n">
        <v>1256</v>
      </c>
      <c r="R393" t="inlineStr">
        <is>
          <t>OutOfStock</t>
        </is>
      </c>
      <c r="S393" t="inlineStr">
        <is>
          <t>19.99</t>
        </is>
      </c>
      <c r="T393" t="inlineStr">
        <is>
          <t>4167534379060</t>
        </is>
      </c>
    </row>
    <row r="394" hidden="1" ht="15.75" customHeight="1">
      <c r="A394" s="2">
        <f>HYPERLINK("https://www.shelhealth.com/products/dove-beauty-bar-white-4-oz-16-bar", "https://www.shelhealth.com/products/dove-beauty-bar-white-4-oz-16-bar")</f>
        <v/>
      </c>
      <c r="B394" s="2">
        <f>HYPERLINK("https://www.shelhealth.com/products/dove-beauty-bar-white-4-oz-16-bar", "https://www.shelhealth.com/products/dove-beauty-bar-white-4-oz-16-bar")</f>
        <v/>
      </c>
      <c r="C394" t="inlineStr">
        <is>
          <t>Dove Beauty Bar, White 4 oz, 16 Bar</t>
        </is>
      </c>
      <c r="D394" t="inlineStr">
        <is>
          <t>Dove Beauty Bar White 4 oz, 6 Bar (Pack of 2)</t>
        </is>
      </c>
      <c r="E394" s="2">
        <f>HYPERLINK("https://www.amazon.com/Dove-Beauty-Bar-White-Pack/dp/B00HAPHXBC/ref=sr_1_9?keywords=Dove+Beauty+Bar%2C+White+4+oz%2C+16+Bar&amp;qid=1695170051&amp;sr=8-9", "https://www.amazon.com/Dove-Beauty-Bar-White-Pack/dp/B00HAPHXBC/ref=sr_1_9?keywords=Dove+Beauty+Bar%2C+White+4+oz%2C+16+Bar&amp;qid=1695170051&amp;sr=8-9")</f>
        <v/>
      </c>
      <c r="F394" t="inlineStr">
        <is>
          <t>B00HAPHXBC</t>
        </is>
      </c>
      <c r="G394">
        <f>_xludf.IMAGE("https://www.shelhealth.com/cdn/shop/products/dove-beauty-bar-white-4-oz-16-shelhealth-224.jpg?v=1663338544&amp;width=1946")</f>
        <v/>
      </c>
      <c r="H394">
        <f>_xludf.IMAGE("https://m.media-amazon.com/images/I/61wzGFXTLYL._AC_UL320_.jpg")</f>
        <v/>
      </c>
      <c r="K394" t="inlineStr">
        <is>
          <t>22.99</t>
        </is>
      </c>
      <c r="L394" t="n">
        <v>34.14</v>
      </c>
      <c r="M394" s="1" t="inlineStr">
        <is>
          <t>48.50%</t>
        </is>
      </c>
      <c r="N394" s="3" t="n">
        <v>48.5</v>
      </c>
      <c r="O394" t="n">
        <v>4.5</v>
      </c>
      <c r="P394" t="n">
        <v>2</v>
      </c>
      <c r="R394" t="inlineStr">
        <is>
          <t>InStock</t>
        </is>
      </c>
      <c r="S394" t="inlineStr">
        <is>
          <t>22.99</t>
        </is>
      </c>
      <c r="T394" t="inlineStr">
        <is>
          <t>3785897050164</t>
        </is>
      </c>
    </row>
    <row r="395" hidden="1" ht="15.75" customHeight="1">
      <c r="A395" s="2">
        <f>HYPERLINK("https://www.shelhealth.com/products/856885200819-south-of-france-lavender-fields-hand-wash-8-oz", "https://www.shelhealth.com/products/856885200819-south-of-france-lavender-fields-hand-wash-8-oz")</f>
        <v/>
      </c>
      <c r="B395" s="2">
        <f>HYPERLINK("https://www.shelhealth.com/products/856885200819-south-of-france-lavender-fields-hand-wash-8-oz", "https://www.shelhealth.com/products/856885200819-south-of-france-lavender-fields-hand-wash-8-oz")</f>
        <v/>
      </c>
      <c r="C395" t="inlineStr">
        <is>
          <t>South Of France Lavender Fields Hand Wash, 8 Oz (Case of 4)</t>
        </is>
      </c>
      <c r="D395" t="inlineStr">
        <is>
          <t>Lavender Fields Foaming Hand Wash by SoF Body Care (Formerly South of France Body Care) | Hydrating Organic Agave Nectar | 8 oz Pump Bottle Each |6 Bottles</t>
        </is>
      </c>
      <c r="E395" s="2">
        <f>HYPERLINK("https://www.amazon.com/Body-Care-South-France-Hydrating/dp/B0C7W98VD1/ref=sr_1_10?keywords=South+Of+France+Lavender+Fields+Hand+Wash%2C+8+Oz+%28Case+of+4%29&amp;qid=1695170058&amp;sr=8-10", "https://www.amazon.com/Body-Care-South-France-Hydrating/dp/B0C7W98VD1/ref=sr_1_10?keywords=South+Of+France+Lavender+Fields+Hand+Wash%2C+8+Oz+%28Case+of+4%29&amp;qid=1695170058&amp;sr=8-10")</f>
        <v/>
      </c>
      <c r="F395" t="inlineStr">
        <is>
          <t>B0C7W98VD1</t>
        </is>
      </c>
      <c r="G395">
        <f>_xludf.IMAGE("https://www.shelhealth.com/cdn/shop/files/south-of-france-lavender-fields-hand-wash-8-oz-case-4-beauty-body-care-shelhealth-857.jpg?v=1688533870&amp;width=1946")</f>
        <v/>
      </c>
      <c r="H395">
        <f>_xludf.IMAGE("https://m.media-amazon.com/images/I/91WWboc+ZCL._AC_UL320_.jpg")</f>
        <v/>
      </c>
      <c r="K395" t="inlineStr">
        <is>
          <t>17.99</t>
        </is>
      </c>
      <c r="L395" t="n">
        <v>25.94</v>
      </c>
      <c r="M395" s="1" t="inlineStr">
        <is>
          <t>44.19%</t>
        </is>
      </c>
      <c r="N395" s="3" t="n">
        <v>44.19</v>
      </c>
      <c r="O395" t="n">
        <v>4.5</v>
      </c>
      <c r="P395" t="n">
        <v>898</v>
      </c>
      <c r="R395" t="inlineStr">
        <is>
          <t>InStock</t>
        </is>
      </c>
      <c r="S395" t="inlineStr">
        <is>
          <t>17.99</t>
        </is>
      </c>
      <c r="T395" t="inlineStr">
        <is>
          <t>7242004398268</t>
        </is>
      </c>
    </row>
    <row r="396" hidden="1" ht="15.75" customHeight="1">
      <c r="A396" s="2">
        <f>HYPERLINK("https://www.shelhealth.com/products/856885200109-south-of-france-soap-bar-orange-blossom-honey-6-oz", "https://www.shelhealth.com/products/856885200109-south-of-france-soap-bar-orange-blossom-honey-6-oz")</f>
        <v/>
      </c>
      <c r="B396" s="2">
        <f>HYPERLINK("https://www.shelhealth.com/products/856885200109-south-of-france-soap-bar-orange-blossom-honey-6-oz", "https://www.shelhealth.com/products/856885200109-south-of-france-soap-bar-orange-blossom-honey-6-oz")</f>
        <v/>
      </c>
      <c r="C396" t="inlineStr">
        <is>
          <t>South Of France Soap Bar Orange Blossom Honey, 6 Oz (Case of 4)</t>
        </is>
      </c>
      <c r="D396" t="inlineStr">
        <is>
          <t>Orange Blossom &amp; Honey Bar Soap by SoF Body Care (Formerly South of France Body Care) | Triple-Milled Soap with Shea Butter + Essential Oils| Non-GMO Body Soap | 6 oz Bar | 6 Bars</t>
        </is>
      </c>
      <c r="E396" s="2">
        <f>HYPERLINK("https://www.amazon.com/Body-Care-South-France-Triple-Milled/dp/B0BLHZN3QL/ref=sr_1_4?keywords=South+Of+France+Soap+Bar+Orange+Blossom+Honey%2C+6+Oz+%28Case+of+4%29&amp;qid=1695170113&amp;sr=8-4", "https://www.amazon.com/Body-Care-South-France-Triple-Milled/dp/B0BLHZN3QL/ref=sr_1_4?keywords=South+Of+France+Soap+Bar+Orange+Blossom+Honey%2C+6+Oz+%28Case+of+4%29&amp;qid=1695170113&amp;sr=8-4")</f>
        <v/>
      </c>
      <c r="F396" t="inlineStr">
        <is>
          <t>B0BLHZN3QL</t>
        </is>
      </c>
      <c r="G396">
        <f>_xludf.IMAGE("https://www.shelhealth.com/cdn/shop/files/south-of-france-soap-bar-orange-blossom-honey-6-oz-case-4-beauty-body-care-shelhealth-560.jpg?v=1688533636&amp;width=1946")</f>
        <v/>
      </c>
      <c r="H396">
        <f>_xludf.IMAGE("https://m.media-amazon.com/images/I/91OAjDdkXVL._AC_UL320_.jpg")</f>
        <v/>
      </c>
      <c r="K396" t="inlineStr">
        <is>
          <t>17.99</t>
        </is>
      </c>
      <c r="L396" t="n">
        <v>25.94</v>
      </c>
      <c r="M396" s="1" t="inlineStr">
        <is>
          <t>44.19%</t>
        </is>
      </c>
      <c r="N396" s="3" t="n">
        <v>44.19</v>
      </c>
      <c r="O396" t="n">
        <v>4.4</v>
      </c>
      <c r="P396" t="n">
        <v>559</v>
      </c>
      <c r="R396" t="inlineStr">
        <is>
          <t>InStock</t>
        </is>
      </c>
      <c r="S396" t="inlineStr">
        <is>
          <t>17.99</t>
        </is>
      </c>
      <c r="T396" t="inlineStr">
        <is>
          <t>7242004791484</t>
        </is>
      </c>
    </row>
    <row r="397" hidden="1" ht="15.75" customHeight="1">
      <c r="A397" s="2">
        <f>HYPERLINK("https://www.shelhealth.com/products/718334312118-desert-essence-soap-bar-lavender-5-oz", "https://www.shelhealth.com/products/718334312118-desert-essence-soap-bar-lavender-5-oz")</f>
        <v/>
      </c>
      <c r="B397" s="2">
        <f>HYPERLINK("https://www.shelhealth.com/products/718334312118-desert-essence-soap-bar-lavender-5-oz", "https://www.shelhealth.com/products/718334312118-desert-essence-soap-bar-lavender-5-oz")</f>
        <v/>
      </c>
      <c r="C397" t="inlineStr">
        <is>
          <t>Desert Essence Soap Bar Lavender, 5 Oz (Case of 4)</t>
        </is>
      </c>
      <c r="D397" t="inlineStr">
        <is>
          <t>Desert Essence Bar Soap - Lemongrass - 5 oz - (Pack of 3)</t>
        </is>
      </c>
      <c r="E397" s="2">
        <f>HYPERLINK("https://www.amazon.com/Desert-Essence-Bar-Soap-Lemongrass/dp/B072JKNY61/ref=sr_1_4?keywords=Desert+Essence+Soap+Bar+Lavender%2C+5+Oz+%28Case+of+4%29&amp;qid=1695170100&amp;sr=8-4", "https://www.amazon.com/Desert-Essence-Bar-Soap-Lemongrass/dp/B072JKNY61/ref=sr_1_4?keywords=Desert+Essence+Soap+Bar+Lavender%2C+5+Oz+%28Case+of+4%29&amp;qid=1695170100&amp;sr=8-4")</f>
        <v/>
      </c>
      <c r="F397" t="inlineStr">
        <is>
          <t>B072JKNY61</t>
        </is>
      </c>
      <c r="G397">
        <f>_xludf.IMAGE("https://www.shelhealth.com/cdn/shop/files/desert-essence-soap-bar-lavender-5-oz-case-of-4-beauty-body-care-shelhealth-466.jpg?v=1686195031&amp;width=1946")</f>
        <v/>
      </c>
      <c r="H397">
        <f>_xludf.IMAGE("https://m.media-amazon.com/images/I/71GxrI6RAxL._AC_UL320_.jpg")</f>
        <v/>
      </c>
      <c r="K397" t="inlineStr">
        <is>
          <t>17.99</t>
        </is>
      </c>
      <c r="L397" t="n">
        <v>25.64</v>
      </c>
      <c r="M397" s="1" t="inlineStr">
        <is>
          <t>42.52%</t>
        </is>
      </c>
      <c r="N397" s="3" t="n">
        <v>42.52</v>
      </c>
      <c r="O397" t="n">
        <v>4.7</v>
      </c>
      <c r="P397" t="n">
        <v>6</v>
      </c>
      <c r="R397" t="inlineStr">
        <is>
          <t>OutOfStock</t>
        </is>
      </c>
      <c r="S397" t="inlineStr">
        <is>
          <t>17.99</t>
        </is>
      </c>
      <c r="T397" t="inlineStr">
        <is>
          <t>7241592701116</t>
        </is>
      </c>
    </row>
    <row r="398" hidden="1" ht="15.75" customHeight="1">
      <c r="A398" s="2">
        <f>HYPERLINK("https://www.shelhealth.com/products/051381902216-aura-cacia-clear-body-soak-18-5-oz", "https://www.shelhealth.com/products/051381902216-aura-cacia-clear-body-soak-18-5-oz")</f>
        <v/>
      </c>
      <c r="B398" s="2">
        <f>HYPERLINK("https://www.shelhealth.com/products/051381902216-aura-cacia-clear-body-soak-18-5-oz", "https://www.shelhealth.com/products/051381902216-aura-cacia-clear-body-soak-18-5-oz")</f>
        <v/>
      </c>
      <c r="C398" t="inlineStr">
        <is>
          <t>Aura Cacia Clear Body Soak, 18.5 Oz</t>
        </is>
      </c>
      <c r="D398" t="inlineStr">
        <is>
          <t>Aura Cacia Body Soak - Recover - 18.5 oz</t>
        </is>
      </c>
      <c r="E398" s="2">
        <f>HYPERLINK("https://www.amazon.com/Aura-Cacia-Body-Soak-Recover/dp/B0105ZDQ50/ref=sr_1_4?keywords=Aura+Cacia+Clear+Body+Soak%2C+18.5+Oz&amp;qid=1695170127&amp;sr=8-4", "https://www.amazon.com/Aura-Cacia-Body-Soak-Recover/dp/B0105ZDQ50/ref=sr_1_4?keywords=Aura+Cacia+Clear+Body+Soak%2C+18.5+Oz&amp;qid=1695170127&amp;sr=8-4")</f>
        <v/>
      </c>
      <c r="F398" t="inlineStr">
        <is>
          <t>B0105ZDQ50</t>
        </is>
      </c>
      <c r="G398">
        <f>_xludf.IMAGE("https://www.shelhealth.com/cdn/shop/products/aura-cacia-clear-body-soak-18-5-oz-shelhealth-121.jpg?v=1663666777&amp;width=1946")</f>
        <v/>
      </c>
      <c r="H398">
        <f>_xludf.IMAGE("https://m.media-amazon.com/images/I/619Xnwn-ywL._AC_UL320_.jpg")</f>
        <v/>
      </c>
      <c r="K398" t="inlineStr">
        <is>
          <t>13.99</t>
        </is>
      </c>
      <c r="L398" t="n">
        <v>19.72</v>
      </c>
      <c r="M398" s="1" t="inlineStr">
        <is>
          <t>40.96%</t>
        </is>
      </c>
      <c r="N398" s="3" t="n">
        <v>40.96</v>
      </c>
      <c r="O398" t="n">
        <v>5</v>
      </c>
      <c r="P398" t="n">
        <v>1</v>
      </c>
      <c r="R398" t="inlineStr">
        <is>
          <t>InStock</t>
        </is>
      </c>
      <c r="S398" t="inlineStr">
        <is>
          <t>13.99</t>
        </is>
      </c>
      <c r="T398" t="inlineStr">
        <is>
          <t>7241462841532</t>
        </is>
      </c>
    </row>
    <row r="399" hidden="1" ht="15.75" customHeight="1">
      <c r="A399" s="2">
        <f>HYPERLINK("https://www.shelhealth.com/products/germ-x-moisturizing-original-hand-sanitizer-67-6-fl-oz", "https://www.shelhealth.com/products/germ-x-moisturizing-original-hand-sanitizer-67-6-fl-oz")</f>
        <v/>
      </c>
      <c r="B399" s="2">
        <f>HYPERLINK("https://www.shelhealth.com/products/germ-x-moisturizing-original-hand-sanitizer-67-6-fl-oz", "https://www.shelhealth.com/products/germ-x-moisturizing-original-hand-sanitizer-67-6-fl-oz")</f>
        <v/>
      </c>
      <c r="C399" t="inlineStr">
        <is>
          <t>germ-x moisturizing original hand sanitizer, 67.6 fl oz.</t>
        </is>
      </c>
      <c r="D399" t="inlineStr">
        <is>
          <t>Germ-X Original Hand Sanitizer, Back to School Supplies, Non-Drying Moisturizing Gel with Vitamin E, Instant and No Rinse Formula, Large Family-Size Flip Top Bottle, 32 Fl Oz (Pack of 4)</t>
        </is>
      </c>
      <c r="E399" s="2">
        <f>HYPERLINK("https://www.amazon.com/Germ-X-Sanitizer-Original-Fluid-Ounce/dp/B085V653L5/ref=sr_1_1?keywords=germ-x+moisturizing+original+hand+sanitizer%2C+67.6+fl+oz.&amp;qid=1695170044&amp;sr=8-1", "https://www.amazon.com/Germ-X-Sanitizer-Original-Fluid-Ounce/dp/B085V653L5/ref=sr_1_1?keywords=germ-x+moisturizing+original+hand+sanitizer%2C+67.6+fl+oz.&amp;qid=1695170044&amp;sr=8-1")</f>
        <v/>
      </c>
      <c r="F399" t="inlineStr">
        <is>
          <t>B085V653L5</t>
        </is>
      </c>
      <c r="G399">
        <f>_xludf.IMAGE("https://www.shelhealth.com/cdn/shop/products/germ-x-moisturizing-original-hand-sanitizer-67-6-fl-oz-shelhealth-739.jpg?v=1663370821&amp;width=1946")</f>
        <v/>
      </c>
      <c r="H399">
        <f>_xludf.IMAGE("https://m.media-amazon.com/images/I/81IPVP6mccL._AC_UL320_.jpg")</f>
        <v/>
      </c>
      <c r="K399" t="inlineStr">
        <is>
          <t>16.99</t>
        </is>
      </c>
      <c r="L399" t="n">
        <v>23.88</v>
      </c>
      <c r="M399" s="1" t="inlineStr">
        <is>
          <t>40.55%</t>
        </is>
      </c>
      <c r="N399" s="3" t="n">
        <v>40.55</v>
      </c>
      <c r="O399" t="n">
        <v>4.8</v>
      </c>
      <c r="P399" t="n">
        <v>66668</v>
      </c>
      <c r="R399" t="inlineStr">
        <is>
          <t>OutOfStock</t>
        </is>
      </c>
      <c r="S399" t="inlineStr">
        <is>
          <t>16.99</t>
        </is>
      </c>
      <c r="T399" t="inlineStr">
        <is>
          <t>4666545143897</t>
        </is>
      </c>
    </row>
    <row r="400" hidden="1" ht="15.75" customHeight="1">
      <c r="A400" s="2">
        <f>HYPERLINK("https://www.shelhealth.com/products/cetaphil-gentle-cleansing-bar-for-dry-sensitive-skin-4-50-ounce-packs-of-6", "https://www.shelhealth.com/products/cetaphil-gentle-cleansing-bar-for-dry-sensitive-skin-4-50-ounce-packs-of-6")</f>
        <v/>
      </c>
      <c r="B400" s="2">
        <f>HYPERLINK("https://www.shelhealth.com/products/cetaphil-gentle-cleansing-bar-for-dry-sensitive-skin-4-50-ounce-packs-of-6", "https://www.shelhealth.com/products/cetaphil-gentle-cleansing-bar-for-dry-sensitive-skin-4-50-ounce-packs-of-6")</f>
        <v/>
      </c>
      <c r="C400" t="inlineStr">
        <is>
          <t>Cetaphil Gentle Cleansing Bar for Dry/Sensitive Skin 4.50 Ounce (Packs of 6)</t>
        </is>
      </c>
      <c r="D400" t="inlineStr">
        <is>
          <t>Cetaphil Gentle Cleansing Bar for Dry/Sensitive Skin 4.50 oz (Packs of 7)</t>
        </is>
      </c>
      <c r="E400" s="2">
        <f>HYPERLINK("https://www.amazon.com/Cetaphil-Gentle-Cleansing-Sensitive-Packs/dp/B01IADZBN4/ref=sr_1_2?keywords=Cetaphil+Gentle+Cleansing+Bar+for+Dry%2FSensitive+Skin+4.50+Ounce+%28Packs+of+6%29&amp;qid=1695170042&amp;sr=8-2", "https://www.amazon.com/Cetaphil-Gentle-Cleansing-Sensitive-Packs/dp/B01IADZBN4/ref=sr_1_2?keywords=Cetaphil+Gentle+Cleansing+Bar+for+Dry%2FSensitive+Skin+4.50+Ounce+%28Packs+of+6%29&amp;qid=1695170042&amp;sr=8-2")</f>
        <v/>
      </c>
      <c r="F400" t="inlineStr">
        <is>
          <t>B01IADZBN4</t>
        </is>
      </c>
      <c r="G400">
        <f>_xludf.IMAGE("https://www.shelhealth.com/cdn/shop/products/cetaphil-gentle-cleansing-bar-for-drysensitive-skin-4-50-ounce-packs-of-6-shelhealth-820.jpg?v=1663353879&amp;width=1946")</f>
        <v/>
      </c>
      <c r="H400">
        <f>_xludf.IMAGE("https://m.media-amazon.com/images/I/91W1V2FATPL._AC_UL320_.jpg")</f>
        <v/>
      </c>
      <c r="K400" t="inlineStr">
        <is>
          <t>27.99</t>
        </is>
      </c>
      <c r="L400" t="n">
        <v>39.28</v>
      </c>
      <c r="M400" s="1" t="inlineStr">
        <is>
          <t>40.34%</t>
        </is>
      </c>
      <c r="N400" s="3" t="n">
        <v>40.34</v>
      </c>
      <c r="O400" t="n">
        <v>4.6</v>
      </c>
      <c r="P400" t="n">
        <v>445</v>
      </c>
      <c r="R400" t="inlineStr">
        <is>
          <t>InStock</t>
        </is>
      </c>
      <c r="S400" t="inlineStr">
        <is>
          <t>27.99</t>
        </is>
      </c>
      <c r="T400" t="inlineStr">
        <is>
          <t>4164550328372</t>
        </is>
      </c>
    </row>
    <row r="401" hidden="1" ht="15.75" customHeight="1">
      <c r="A401" s="2">
        <f>HYPERLINK("https://www.shelhealth.com/products/dove-body-wash-deep-moisture-24-oz-pack-of-3", "https://www.shelhealth.com/products/dove-body-wash-deep-moisture-24-oz-pack-of-3")</f>
        <v/>
      </c>
      <c r="B401" s="2">
        <f>HYPERLINK("https://www.shelhealth.com/products/dove-body-wash-deep-moisture-24-oz-pack-of-3", "https://www.shelhealth.com/products/dove-body-wash-deep-moisture-24-oz-pack-of-3")</f>
        <v/>
      </c>
      <c r="C401" t="inlineStr">
        <is>
          <t>Dove Body Wash Deep Moisture 24 oz, Pack of 3</t>
        </is>
      </c>
      <c r="D401" t="inlineStr">
        <is>
          <t>Dove Deep Moisture Deeply Nourishing Body Wash, 16.9 Fl Oz (Pack of 6)</t>
        </is>
      </c>
      <c r="E401" s="2">
        <f>HYPERLINK("https://www.amazon.com/Dove-Moisture-Deeply-Nourishing-500ml/dp/B00P7PHTBG/ref=sr_1_10?keywords=Dove+Body+Wash+Deep+Moisture+24+oz%2C+Pack+of+3&amp;qid=1695170040&amp;sr=8-10", "https://www.amazon.com/Dove-Moisture-Deeply-Nourishing-500ml/dp/B00P7PHTBG/ref=sr_1_10?keywords=Dove+Body+Wash+Deep+Moisture+24+oz%2C+Pack+of+3&amp;qid=1695170040&amp;sr=8-10")</f>
        <v/>
      </c>
      <c r="F401" t="inlineStr">
        <is>
          <t>B00P7PHTBG</t>
        </is>
      </c>
      <c r="G401">
        <f>_xludf.IMAGE("https://www.shelhealth.com/cdn/shop/products/dove-body-wash-deep-moisture-24-oz-pack-of-3-shelhealth-243.jpg?v=1663338569&amp;width=1946")</f>
        <v/>
      </c>
      <c r="H401">
        <f>_xludf.IMAGE("https://m.media-amazon.com/images/I/81Q2q1R4PsL._AC_UL320_.jpg")</f>
        <v/>
      </c>
      <c r="K401" t="inlineStr">
        <is>
          <t>21.99</t>
        </is>
      </c>
      <c r="L401" t="n">
        <v>30.85</v>
      </c>
      <c r="M401" s="1" t="inlineStr">
        <is>
          <t>40.29%</t>
        </is>
      </c>
      <c r="N401" s="3" t="n">
        <v>40.29</v>
      </c>
      <c r="O401" t="n">
        <v>4.6</v>
      </c>
      <c r="P401" t="n">
        <v>4075</v>
      </c>
      <c r="R401" t="inlineStr">
        <is>
          <t>InStock</t>
        </is>
      </c>
      <c r="S401" t="inlineStr">
        <is>
          <t>21.99</t>
        </is>
      </c>
      <c r="T401" t="inlineStr">
        <is>
          <t>3785937059892</t>
        </is>
      </c>
    </row>
    <row r="402" hidden="1" ht="15.75" customHeight="1">
      <c r="A402" s="2">
        <f>HYPERLINK("https://www.shelhealth.com/products/dove-sensitive-skin-unscented-4-oz-bar-soaps-16-count", "https://www.shelhealth.com/products/dove-sensitive-skin-unscented-4-oz-bar-soaps-16-count")</f>
        <v/>
      </c>
      <c r="B402" s="2">
        <f>HYPERLINK("https://www.shelhealth.com/products/dove-sensitive-skin-unscented-4-oz-bar-soaps-16-count", "https://www.shelhealth.com/products/dove-sensitive-skin-unscented-4-oz-bar-soaps-16-count")</f>
        <v/>
      </c>
      <c r="C402" t="inlineStr">
        <is>
          <t>Dove Sensitive Skin Unscented 4 OZ Bar Soaps, 16 Count</t>
        </is>
      </c>
      <c r="D402" t="inlineStr">
        <is>
          <t>Dove Sensitive Skin Unscented Hypo-Allergenic Beauty Bar 4 oz, 2 ea (Pack of 6)</t>
        </is>
      </c>
      <c r="E402" s="2">
        <f>HYPERLINK("https://www.amazon.com/Dove-Sensitive-Unscented-Hypo-Allergenic-Beauty/dp/B00V45O90M/ref=sr_1_2?keywords=Dove+Sensitive+Skin+Unscented+4+OZ+Bar+Soaps%2C+16+Count&amp;qid=1695170044&amp;sr=8-2", "https://www.amazon.com/Dove-Sensitive-Unscented-Hypo-Allergenic-Beauty/dp/B00V45O90M/ref=sr_1_2?keywords=Dove+Sensitive+Skin+Unscented+4+OZ+Bar+Soaps%2C+16+Count&amp;qid=1695170044&amp;sr=8-2")</f>
        <v/>
      </c>
      <c r="F402" t="inlineStr">
        <is>
          <t>B00V45O90M</t>
        </is>
      </c>
      <c r="G402">
        <f>_xludf.IMAGE("https://www.shelhealth.com/cdn/shop/products/dove-sensitive-skin-unscented-4-oz-bar-soaps-16-count-shelhealth-867.jpg?v=1663338579&amp;width=1946")</f>
        <v/>
      </c>
      <c r="H402">
        <f>_xludf.IMAGE("https://m.media-amazon.com/images/I/61dqMvQYs2L._AC_UL320_.jpg")</f>
        <v/>
      </c>
      <c r="K402" t="inlineStr">
        <is>
          <t>23.99</t>
        </is>
      </c>
      <c r="L402" t="n">
        <v>32.4</v>
      </c>
      <c r="M402" s="1" t="inlineStr">
        <is>
          <t>35.06%</t>
        </is>
      </c>
      <c r="N402" s="3" t="n">
        <v>35.06</v>
      </c>
      <c r="O402" t="n">
        <v>5</v>
      </c>
      <c r="P402" t="n">
        <v>1</v>
      </c>
      <c r="R402" t="inlineStr">
        <is>
          <t>InStock</t>
        </is>
      </c>
      <c r="S402" t="inlineStr">
        <is>
          <t>23.99</t>
        </is>
      </c>
      <c r="T402" t="inlineStr">
        <is>
          <t>3785941090356</t>
        </is>
      </c>
    </row>
    <row r="403" hidden="1" ht="15.75" customHeight="1">
      <c r="A403" s="2">
        <f>HYPERLINK("https://www.shelhealth.com/products/irish-spring-deodorant-soap-original-scent-20-ct", "https://www.shelhealth.com/products/irish-spring-deodorant-soap-original-scent-20-ct")</f>
        <v/>
      </c>
      <c r="B403" s="2">
        <f>HYPERLINK("https://www.shelhealth.com/products/irish-spring-deodorant-soap-original-scent-20-ct", "https://www.shelhealth.com/products/irish-spring-deodorant-soap-original-scent-20-ct")</f>
        <v/>
      </c>
      <c r="C403" t="inlineStr">
        <is>
          <t>Irish Spring Deodorant Soap Original Scent - 20 ct</t>
        </is>
      </c>
      <c r="D403" t="inlineStr">
        <is>
          <t>Irish Spring Deodorant Soap Scent, 20 Count, Original 75 Ounce</t>
        </is>
      </c>
      <c r="E403" s="2">
        <f>HYPERLINK("https://www.amazon.com/Irish-Spring-Deodorant-Original-Scent/dp/B075RGWG1D/ref=sr_1_1?keywords=Irish+Spring+Deodorant+Soap+Original+Scent+-+20+ct&amp;qid=1695170040&amp;sr=8-1", "https://www.amazon.com/Irish-Spring-Deodorant-Original-Scent/dp/B075RGWG1D/ref=sr_1_1?keywords=Irish+Spring+Deodorant+Soap+Original+Scent+-+20+ct&amp;qid=1695170040&amp;sr=8-1")</f>
        <v/>
      </c>
      <c r="F403" t="inlineStr">
        <is>
          <t>B075RGWG1D</t>
        </is>
      </c>
      <c r="G403">
        <f>_xludf.IMAGE("https://www.shelhealth.com/cdn/shop/products/irish-spring-deodorant-soap-original-scent-20-ct-shelhealth-168.jpg?v=1663338562&amp;width=1946")</f>
        <v/>
      </c>
      <c r="H403">
        <f>_xludf.IMAGE("https://m.media-amazon.com/images/I/81cvvjy6DIL._AC_UL320_.jpg")</f>
        <v/>
      </c>
      <c r="K403" t="inlineStr">
        <is>
          <t>14.99</t>
        </is>
      </c>
      <c r="L403" t="n">
        <v>19.99</v>
      </c>
      <c r="M403" s="1" t="inlineStr">
        <is>
          <t>33.36%</t>
        </is>
      </c>
      <c r="N403" s="3" t="n">
        <v>33.36</v>
      </c>
      <c r="O403" t="n">
        <v>4.5</v>
      </c>
      <c r="P403" t="n">
        <v>5656</v>
      </c>
      <c r="R403" t="inlineStr">
        <is>
          <t>OutOfStock</t>
        </is>
      </c>
      <c r="S403" t="inlineStr">
        <is>
          <t>14.99</t>
        </is>
      </c>
      <c r="T403" t="inlineStr">
        <is>
          <t>3785919627316</t>
        </is>
      </c>
    </row>
    <row r="404" hidden="1" ht="15.75" customHeight="1">
      <c r="A404" s="2">
        <f>HYPERLINK("https://www.shelhealth.com/products/813724022407-j-r-watkins-hand-soap-vanilla-mint-9-fo", "https://www.shelhealth.com/products/813724022407-j-r-watkins-hand-soap-vanilla-mint-9-fo")</f>
        <v/>
      </c>
      <c r="B404" s="2">
        <f>HYPERLINK("https://www.shelhealth.com/products/813724022407-j-r-watkins-hand-soap-vanilla-mint-9-fo", "https://www.shelhealth.com/products/813724022407-j-r-watkins-hand-soap-vanilla-mint-9-fo")</f>
        <v/>
      </c>
      <c r="C404" t="inlineStr">
        <is>
          <t>J R WATKINS Hand Soap Vanilla Mint, 9 fo (Case of 4)</t>
        </is>
      </c>
      <c r="D404" t="inlineStr">
        <is>
          <t>J.R. Watkins Foaming Hand Soap For Bathroom or Kitchen, Scented, USA Made And Cruelty Free, 9 Fl Oz, Vanilla Mint, 3 Pack</t>
        </is>
      </c>
      <c r="E404" s="2">
        <f>HYPERLINK("https://www.amazon.com/J-R-Watkins-Foaming-Handsoap-Bathroom/dp/B07XH6JX7V/ref=sr_1_2?keywords=J+R+WATKINS+Hand+Soap+Vanilla+Mint%2C+9+fo+%28Case+of+4%29&amp;qid=1695170074&amp;sr=8-2", "https://www.amazon.com/J-R-Watkins-Foaming-Handsoap-Bathroom/dp/B07XH6JX7V/ref=sr_1_2?keywords=J+R+WATKINS+Hand+Soap+Vanilla+Mint%2C+9+fo+%28Case+of+4%29&amp;qid=1695170074&amp;sr=8-2")</f>
        <v/>
      </c>
      <c r="F404" t="inlineStr">
        <is>
          <t>B07XH6JX7V</t>
        </is>
      </c>
      <c r="G404">
        <f>_xludf.IMAGE("https://www.shelhealth.com/cdn/shop/files/j-r-watkins-hand-soap-vanilla-mint-9-fo-case-of-4-beauty-body-care-shelhealth-724.jpg?v=1686214489&amp;width=1946")</f>
        <v/>
      </c>
      <c r="H404">
        <f>_xludf.IMAGE("https://m.media-amazon.com/images/I/710Zv--n7bL._AC_UL320_.jpg")</f>
        <v/>
      </c>
      <c r="K404" t="inlineStr">
        <is>
          <t>25.99</t>
        </is>
      </c>
      <c r="L404" t="n">
        <v>34</v>
      </c>
      <c r="M404" s="1" t="inlineStr">
        <is>
          <t>30.82%</t>
        </is>
      </c>
      <c r="N404" s="3" t="n">
        <v>30.82</v>
      </c>
      <c r="O404" t="n">
        <v>4.7</v>
      </c>
      <c r="P404" t="n">
        <v>1208</v>
      </c>
      <c r="R404" t="inlineStr">
        <is>
          <t>OutOfStock</t>
        </is>
      </c>
      <c r="S404" t="inlineStr">
        <is>
          <t>25.99</t>
        </is>
      </c>
      <c r="T404" t="inlineStr">
        <is>
          <t>7574122594536</t>
        </is>
      </c>
    </row>
    <row r="405" hidden="1" ht="15.75" customHeight="1">
      <c r="A405" s="2">
        <f>HYPERLINK("https://www.shelhealth.com/products/dial-gold-antibacterial-bar-soap-22-ct-4-oz", "https://www.shelhealth.com/products/dial-gold-antibacterial-bar-soap-22-ct-4-oz")</f>
        <v/>
      </c>
      <c r="B405" s="2">
        <f>HYPERLINK("https://www.shelhealth.com/products/dial-gold-antibacterial-bar-soap-22-ct-4-oz", "https://www.shelhealth.com/products/dial-gold-antibacterial-bar-soap-22-ct-4-oz")</f>
        <v/>
      </c>
      <c r="C405" t="inlineStr">
        <is>
          <t>Dial Gold Antibacterial Bar Soap, 22 ct./4 oz.</t>
        </is>
      </c>
      <c r="D405" t="inlineStr">
        <is>
          <t>Dial Antibacterial Bar Soap, Gold, 8 bars , 4 Count (Pack of 1)</t>
        </is>
      </c>
      <c r="E405" s="2">
        <f>HYPERLINK("https://www.amazon.com/Dial-Antibacterial-Soap-Gold-Count/dp/B084ZHTMYW/ref=sr_1_2?keywords=Dial+Gold+Antibacterial+Bar+Soap%2C+22+ct.%2F4+oz.&amp;qid=1695170040&amp;sr=8-2", "https://www.amazon.com/Dial-Antibacterial-Soap-Gold-Count/dp/B084ZHTMYW/ref=sr_1_2?keywords=Dial+Gold+Antibacterial+Bar+Soap%2C+22+ct.%2F4+oz.&amp;qid=1695170040&amp;sr=8-2")</f>
        <v/>
      </c>
      <c r="F405" t="inlineStr">
        <is>
          <t>B084ZHTMYW</t>
        </is>
      </c>
      <c r="G405">
        <f>_xludf.IMAGE("https://www.shelhealth.com/cdn/shop/products/dial-gold-antibacterial-bar-soap-22-ct-4-oz-shelhealth-711.jpg?v=1663354241&amp;width=1946")</f>
        <v/>
      </c>
      <c r="H405">
        <f>_xludf.IMAGE("https://m.media-amazon.com/images/I/81hMuiD9cOL._AC_UL320_.jpg")</f>
        <v/>
      </c>
      <c r="K405" t="inlineStr">
        <is>
          <t>19.99</t>
        </is>
      </c>
      <c r="L405" t="n">
        <v>25.88</v>
      </c>
      <c r="M405" s="1" t="inlineStr">
        <is>
          <t>29.46%</t>
        </is>
      </c>
      <c r="N405" s="3" t="n">
        <v>29.46</v>
      </c>
      <c r="O405" t="n">
        <v>4.7</v>
      </c>
      <c r="P405" t="n">
        <v>7099</v>
      </c>
      <c r="R405" t="inlineStr">
        <is>
          <t>OutOfStock</t>
        </is>
      </c>
      <c r="S405" t="inlineStr">
        <is>
          <t>19.99</t>
        </is>
      </c>
      <c r="T405" t="inlineStr">
        <is>
          <t>4167534379060</t>
        </is>
      </c>
    </row>
    <row r="406" hidden="1" ht="15.75" customHeight="1">
      <c r="A406" s="2">
        <f>HYPERLINK("https://www.shelhealth.com/products/dove-sensitive-skin-unscented-4-oz-bar-soaps-16-count", "https://www.shelhealth.com/products/dove-sensitive-skin-unscented-4-oz-bar-soaps-16-count")</f>
        <v/>
      </c>
      <c r="B406" s="2">
        <f>HYPERLINK("https://www.shelhealth.com/products/dove-sensitive-skin-unscented-4-oz-bar-soaps-16-count", "https://www.shelhealth.com/products/dove-sensitive-skin-unscented-4-oz-bar-soaps-16-count")</f>
        <v/>
      </c>
      <c r="C406" t="inlineStr">
        <is>
          <t>Dove Sensitive Skin Unscented 4 OZ Bar Soaps, 16 Count</t>
        </is>
      </c>
      <c r="D406" t="inlineStr">
        <is>
          <t>Dove Sensitive Skin Unscented Hypo-Allergenic Beauty Bar 4 oz, 2 ea (Pack of 8)</t>
        </is>
      </c>
      <c r="E406" s="2">
        <f>HYPERLINK("https://www.amazon.com/Dove-Sensitive-Unscented-Hypo-Allergenic-Beauty/dp/B01IA95I0O/ref=sr_1_3?keywords=Dove+Sensitive+Skin+Unscented+4+OZ+Bar+Soaps%2C+16+Count&amp;qid=1695170044&amp;sr=8-3", "https://www.amazon.com/Dove-Sensitive-Unscented-Hypo-Allergenic-Beauty/dp/B01IA95I0O/ref=sr_1_3?keywords=Dove+Sensitive+Skin+Unscented+4+OZ+Bar+Soaps%2C+16+Count&amp;qid=1695170044&amp;sr=8-3")</f>
        <v/>
      </c>
      <c r="F406" t="inlineStr">
        <is>
          <t>B01IA95I0O</t>
        </is>
      </c>
      <c r="G406">
        <f>_xludf.IMAGE("https://www.shelhealth.com/cdn/shop/products/dove-sensitive-skin-unscented-4-oz-bar-soaps-16-count-shelhealth-867.jpg?v=1663338579&amp;width=1946")</f>
        <v/>
      </c>
      <c r="H406">
        <f>_xludf.IMAGE("https://m.media-amazon.com/images/I/6110toy-x1L._AC_UL320_.jpg")</f>
        <v/>
      </c>
      <c r="K406" t="inlineStr">
        <is>
          <t>23.99</t>
        </is>
      </c>
      <c r="L406" t="n">
        <v>30.98</v>
      </c>
      <c r="M406" s="1" t="inlineStr">
        <is>
          <t>29.14%</t>
        </is>
      </c>
      <c r="N406" s="3" t="n">
        <v>29.14</v>
      </c>
      <c r="O406" t="n">
        <v>4.5</v>
      </c>
      <c r="P406" t="n">
        <v>5</v>
      </c>
      <c r="R406" t="inlineStr">
        <is>
          <t>InStock</t>
        </is>
      </c>
      <c r="S406" t="inlineStr">
        <is>
          <t>23.99</t>
        </is>
      </c>
      <c r="T406" t="inlineStr">
        <is>
          <t>3785941090356</t>
        </is>
      </c>
    </row>
    <row r="407" hidden="1" ht="15.75" customHeight="1">
      <c r="A407" s="2">
        <f>HYPERLINK("https://www.shelhealth.com/products/718334312088-desert-essence-soap-bar-lemongrass-5-oz", "https://www.shelhealth.com/products/718334312088-desert-essence-soap-bar-lemongrass-5-oz")</f>
        <v/>
      </c>
      <c r="B407" s="2">
        <f>HYPERLINK("https://www.shelhealth.com/products/718334312088-desert-essence-soap-bar-lemongrass-5-oz", "https://www.shelhealth.com/products/718334312088-desert-essence-soap-bar-lemongrass-5-oz")</f>
        <v/>
      </c>
      <c r="C407" t="inlineStr">
        <is>
          <t>Desert Essence Soap Bar Lemongrass, 5 Oz (Case of 4)</t>
        </is>
      </c>
      <c r="D407" t="inlineStr">
        <is>
          <t>Desert Essence Bar Soap - Lemongrass - 5 oz - (Pack of 3)</t>
        </is>
      </c>
      <c r="E407" s="2">
        <f>HYPERLINK("https://www.amazon.com/Desert-Essence-Bar-Soap-Lemongrass/dp/B072JKNY61/ref=sr_1_3?keywords=Desert+Essence+Soap+Bar+Lemongrass%2C+5+Oz+%28Case+of+4%29&amp;qid=1695170087&amp;sr=8-3", "https://www.amazon.com/Desert-Essence-Bar-Soap-Lemongrass/dp/B072JKNY61/ref=sr_1_3?keywords=Desert+Essence+Soap+Bar+Lemongrass%2C+5+Oz+%28Case+of+4%29&amp;qid=1695170087&amp;sr=8-3")</f>
        <v/>
      </c>
      <c r="F407" t="inlineStr">
        <is>
          <t>B072JKNY61</t>
        </is>
      </c>
      <c r="G407">
        <f>_xludf.IMAGE("https://www.shelhealth.com/cdn/shop/files/desert-essence-soap-bar-lemongrass-5-oz-case-of-4-beauty-body-care-shelhealth-683.jpg?v=1686525266&amp;width=1946")</f>
        <v/>
      </c>
      <c r="H407">
        <f>_xludf.IMAGE("https://m.media-amazon.com/images/I/71GxrI6RAxL._AC_UL320_.jpg")</f>
        <v/>
      </c>
      <c r="K407" t="inlineStr">
        <is>
          <t>19.99</t>
        </is>
      </c>
      <c r="L407" t="n">
        <v>25.64</v>
      </c>
      <c r="M407" s="1" t="inlineStr">
        <is>
          <t>28.26%</t>
        </is>
      </c>
      <c r="N407" s="3" t="n">
        <v>28.26</v>
      </c>
      <c r="O407" t="n">
        <v>4.7</v>
      </c>
      <c r="P407" t="n">
        <v>6</v>
      </c>
      <c r="R407" t="inlineStr">
        <is>
          <t>InStock</t>
        </is>
      </c>
      <c r="S407" t="inlineStr">
        <is>
          <t>19.99</t>
        </is>
      </c>
      <c r="T407" t="inlineStr">
        <is>
          <t>7241592799420</t>
        </is>
      </c>
    </row>
    <row r="408" hidden="1" ht="15.75" customHeight="1">
      <c r="A408" s="2">
        <f>HYPERLINK("https://www.shelhealth.com/products/718334312071-desert-essence-soap-bar-peppermint-5-oz", "https://www.shelhealth.com/products/718334312071-desert-essence-soap-bar-peppermint-5-oz")</f>
        <v/>
      </c>
      <c r="B408" s="2">
        <f>HYPERLINK("https://www.shelhealth.com/products/718334312071-desert-essence-soap-bar-peppermint-5-oz", "https://www.shelhealth.com/products/718334312071-desert-essence-soap-bar-peppermint-5-oz")</f>
        <v/>
      </c>
      <c r="C408" t="inlineStr">
        <is>
          <t>Desert Essence Soap Bar Peppermint, 5 Oz (Case of 4)</t>
        </is>
      </c>
      <c r="D408" t="inlineStr">
        <is>
          <t>Desert Essence Bar Soap - Lemongrass - 5 oz - (Pack of 3)</t>
        </is>
      </c>
      <c r="E408" s="2">
        <f>HYPERLINK("https://www.amazon.com/Desert-Essence-Bar-Soap-Lemongrass/dp/B072JKNY61/ref=sr_1_2?keywords=Desert+Essence+Soap+Bar+Peppermint%2C+5+Oz+%28Case+of+4%29&amp;qid=1695170081&amp;sr=8-2", "https://www.amazon.com/Desert-Essence-Bar-Soap-Lemongrass/dp/B072JKNY61/ref=sr_1_2?keywords=Desert+Essence+Soap+Bar+Peppermint%2C+5+Oz+%28Case+of+4%29&amp;qid=1695170081&amp;sr=8-2")</f>
        <v/>
      </c>
      <c r="F408" t="inlineStr">
        <is>
          <t>B072JKNY61</t>
        </is>
      </c>
      <c r="G408">
        <f>_xludf.IMAGE("https://www.shelhealth.com/cdn/shop/files/desert-essence-soap-bar-peppermint-5-oz-case-of-4-beauty-body-care-shelhealth-198.jpg?v=1686525269&amp;width=1946")</f>
        <v/>
      </c>
      <c r="H408">
        <f>_xludf.IMAGE("https://m.media-amazon.com/images/I/71GxrI6RAxL._AC_UL320_.jpg")</f>
        <v/>
      </c>
      <c r="K408" t="inlineStr">
        <is>
          <t>19.99</t>
        </is>
      </c>
      <c r="L408" t="n">
        <v>25.64</v>
      </c>
      <c r="M408" s="1" t="inlineStr">
        <is>
          <t>28.26%</t>
        </is>
      </c>
      <c r="N408" s="3" t="n">
        <v>28.26</v>
      </c>
      <c r="O408" t="n">
        <v>4.7</v>
      </c>
      <c r="P408" t="n">
        <v>6</v>
      </c>
      <c r="R408" t="inlineStr">
        <is>
          <t>InStock</t>
        </is>
      </c>
      <c r="S408" t="inlineStr">
        <is>
          <t>19.99</t>
        </is>
      </c>
      <c r="T408" t="inlineStr">
        <is>
          <t>7241592930492</t>
        </is>
      </c>
    </row>
    <row r="409" hidden="1" ht="15.75" customHeight="1">
      <c r="A409" s="2">
        <f>HYPERLINK("https://www.shelhealth.com/products/purell-advanced-hand-sanitizer-refreshing-gel-clean-scent-1-liter-pump-bottle-pack-of-2", "https://www.shelhealth.com/products/purell-advanced-hand-sanitizer-refreshing-gel-clean-scent-1-liter-pump-bottle-pack-of-2")</f>
        <v/>
      </c>
      <c r="B409" s="2">
        <f>HYPERLINK("https://www.shelhealth.com/products/purell-advanced-hand-sanitizer-refreshing-gel-clean-scent-1-liter-pump-bottle-pack-of-2", "https://www.shelhealth.com/products/purell-advanced-hand-sanitizer-refreshing-gel-clean-scent-1-liter-pump-bottle-pack-of-2")</f>
        <v/>
      </c>
      <c r="C409" t="inlineStr">
        <is>
          <t>PURELL Advanced Hand Sanitizer Refreshing Gel, Clean Scent, 1 Liter Pump Bottle (Pack of 2)</t>
        </is>
      </c>
      <c r="D409" t="inlineStr">
        <is>
          <t>Purell Advanced Hand Sanitizer Refreshing Gel, Clean Scent, 1 Liter Pump Bottle (Pack of 2) - 3080-02-EC</t>
        </is>
      </c>
      <c r="E409" s="2">
        <f>HYPERLINK("https://www.amazon.com/PURELL-Advanced-Sanitizer-Refreshing-Bottle/dp/B017CSUVBU/ref=sr_1_3?keywords=PURELL+Advanced+Hand+Sanitizer+Refreshing+Gel%2C+Clean+Scent%2C+1+Liter+Pump+Bottle+%28Pack+of+2%29&amp;qid=1695170062&amp;sr=8-3", "https://www.amazon.com/PURELL-Advanced-Sanitizer-Refreshing-Bottle/dp/B017CSUVBU/ref=sr_1_3?keywords=PURELL+Advanced+Hand+Sanitizer+Refreshing+Gel%2C+Clean+Scent%2C+1+Liter+Pump+Bottle+%28Pack+of+2%29&amp;qid=1695170062&amp;sr=8-3")</f>
        <v/>
      </c>
      <c r="F409" t="inlineStr">
        <is>
          <t>B017CSUVBU</t>
        </is>
      </c>
      <c r="G409">
        <f>_xludf.IMAGE("https://www.shelhealth.com/cdn/shop/products/purell-advanced-hand-sanitizer-refreshing-gel-clean-scent-1-liter-pump-bottle-pack-of-2-shelhealth-488.jpg?v=1663352376&amp;width=1946")</f>
        <v/>
      </c>
      <c r="H409">
        <f>_xludf.IMAGE("https://m.media-amazon.com/images/I/81tmZ090L9L._AC_UL320_.jpg")</f>
        <v/>
      </c>
      <c r="K409" t="inlineStr">
        <is>
          <t>21.99</t>
        </is>
      </c>
      <c r="L409" t="n">
        <v>28</v>
      </c>
      <c r="M409" s="1" t="inlineStr">
        <is>
          <t>27.33%</t>
        </is>
      </c>
      <c r="N409" s="3" t="n">
        <v>27.33</v>
      </c>
      <c r="O409" t="n">
        <v>4.8</v>
      </c>
      <c r="P409" t="n">
        <v>829</v>
      </c>
      <c r="R409" t="inlineStr">
        <is>
          <t>OutOfStock</t>
        </is>
      </c>
      <c r="S409" t="inlineStr">
        <is>
          <t>21.99</t>
        </is>
      </c>
      <c r="T409" t="inlineStr">
        <is>
          <t>4158258446388</t>
        </is>
      </c>
    </row>
    <row r="410" hidden="1" ht="15.75" customHeight="1">
      <c r="A410" s="2">
        <f>HYPERLINK("https://www.shelhealth.com/products/764302119005-nubian-heritage-honey-black-seed-soap-5-oz", "https://www.shelhealth.com/products/764302119005-nubian-heritage-honey-black-seed-soap-5-oz")</f>
        <v/>
      </c>
      <c r="B410" s="2">
        <f>HYPERLINK("https://www.shelhealth.com/products/764302119005-nubian-heritage-honey-black-seed-soap-5-oz", "https://www.shelhealth.com/products/764302119005-nubian-heritage-honey-black-seed-soap-5-oz")</f>
        <v/>
      </c>
      <c r="C410" t="inlineStr">
        <is>
          <t>Nubian Heritage Honey &amp; Black Seed Soap, 5 Oz (Case of 3)</t>
        </is>
      </c>
      <c r="D410" t="inlineStr">
        <is>
          <t>Nubian Heritage Honey &amp; Black Seed Soap 5 oz ( Pack of 4)</t>
        </is>
      </c>
      <c r="E410" s="2">
        <f>HYPERLINK("https://www.amazon.com/Nubian-Heritage-Honey-Black-Seed/dp/B001E11RYC/ref=sr_1_3?keywords=Nubian+Heritage+Honey&amp;qid=1695170089&amp;sr=8-3", "https://www.amazon.com/Nubian-Heritage-Honey-Black-Seed/dp/B001E11RYC/ref=sr_1_3?keywords=Nubian+Heritage+Honey&amp;qid=1695170089&amp;sr=8-3")</f>
        <v/>
      </c>
      <c r="F410" t="inlineStr">
        <is>
          <t>B001E11RYC</t>
        </is>
      </c>
      <c r="G410">
        <f>_xludf.IMAGE("https://www.shelhealth.com/cdn/shop/files/nubian-heritage-honey-black-seed-soap-5-oz-case-of-3-beauty-body-care-shelhealth-586.jpg?v=1686533878&amp;width=1946")</f>
        <v/>
      </c>
      <c r="H410">
        <f>_xludf.IMAGE("https://m.media-amazon.com/images/I/71y2yzp4TjL._AC_UL320_.jpg")</f>
        <v/>
      </c>
      <c r="K410" t="inlineStr">
        <is>
          <t>18.99</t>
        </is>
      </c>
      <c r="L410" t="n">
        <v>24.12</v>
      </c>
      <c r="M410" s="1" t="inlineStr">
        <is>
          <t>27.01%</t>
        </is>
      </c>
      <c r="N410" s="3" t="n">
        <v>27.01</v>
      </c>
      <c r="O410" t="n">
        <v>4.6</v>
      </c>
      <c r="P410" t="n">
        <v>88</v>
      </c>
      <c r="R410" t="inlineStr">
        <is>
          <t>InStock</t>
        </is>
      </c>
      <c r="S410" t="inlineStr">
        <is>
          <t>18.99</t>
        </is>
      </c>
      <c r="T410" t="inlineStr">
        <is>
          <t>7241885843644</t>
        </is>
      </c>
    </row>
    <row r="411" hidden="1" ht="15.75" customHeight="1">
      <c r="A411" s="2">
        <f>HYPERLINK("https://www.shelhealth.com/products/051381902216-aura-cacia-clear-body-soak-18-5-oz", "https://www.shelhealth.com/products/051381902216-aura-cacia-clear-body-soak-18-5-oz")</f>
        <v/>
      </c>
      <c r="B411" s="2">
        <f>HYPERLINK("https://www.shelhealth.com/products/051381902216-aura-cacia-clear-body-soak-18-5-oz", "https://www.shelhealth.com/products/051381902216-aura-cacia-clear-body-soak-18-5-oz")</f>
        <v/>
      </c>
      <c r="C411" t="inlineStr">
        <is>
          <t>Aura Cacia Clear Body Soak, 18.5 Oz</t>
        </is>
      </c>
      <c r="D411" t="inlineStr">
        <is>
          <t>Aura Cacia Body Soak - Soothe - 18.5 oz</t>
        </is>
      </c>
      <c r="E411" s="2">
        <f>HYPERLINK("https://www.amazon.com/Aura-Cacia-Body-Soak-Soothe/dp/B0105ZDKII/ref=sr_1_2?keywords=Aura+Cacia+Clear+Body+Soak%2C+18.5+Oz&amp;qid=1695170127&amp;sr=8-2", "https://www.amazon.com/Aura-Cacia-Body-Soak-Soothe/dp/B0105ZDKII/ref=sr_1_2?keywords=Aura+Cacia+Clear+Body+Soak%2C+18.5+Oz&amp;qid=1695170127&amp;sr=8-2")</f>
        <v/>
      </c>
      <c r="F411" t="inlineStr">
        <is>
          <t>B0105ZDKII</t>
        </is>
      </c>
      <c r="G411">
        <f>_xludf.IMAGE("https://www.shelhealth.com/cdn/shop/products/aura-cacia-clear-body-soak-18-5-oz-shelhealth-121.jpg?v=1663666777&amp;width=1946")</f>
        <v/>
      </c>
      <c r="H411">
        <f>_xludf.IMAGE("https://m.media-amazon.com/images/I/61iIz7vRC0L._AC_UL320_.jpg")</f>
        <v/>
      </c>
      <c r="K411" t="inlineStr">
        <is>
          <t>13.99</t>
        </is>
      </c>
      <c r="L411" t="n">
        <v>17.66</v>
      </c>
      <c r="M411" s="1" t="inlineStr">
        <is>
          <t>26.23%</t>
        </is>
      </c>
      <c r="N411" s="3" t="n">
        <v>26.23</v>
      </c>
      <c r="O411" t="n">
        <v>5</v>
      </c>
      <c r="P411" t="n">
        <v>3</v>
      </c>
      <c r="R411" t="inlineStr">
        <is>
          <t>InStock</t>
        </is>
      </c>
      <c r="S411" t="inlineStr">
        <is>
          <t>13.99</t>
        </is>
      </c>
      <c r="T411" t="inlineStr">
        <is>
          <t>7241462841532</t>
        </is>
      </c>
    </row>
    <row r="412" hidden="1" ht="15.75" customHeight="1">
      <c r="A412" s="2">
        <f>HYPERLINK("https://www.shelhealth.com/products/hand-in-hand-hand-soap-citrus-grove-grapefruit-orange-blossom-3-x-10-fl-oz", "https://www.shelhealth.com/products/hand-in-hand-hand-soap-citrus-grove-grapefruit-orange-blossom-3-x-10-fl-oz")</f>
        <v/>
      </c>
      <c r="B412" s="2">
        <f>HYPERLINK("https://www.shelhealth.com/products/hand-in-hand-hand-soap-citrus-grove-grapefruit-orange-blossom-3-x-10-fl-oz", "https://www.shelhealth.com/products/hand-in-hand-hand-soap-citrus-grove-grapefruit-orange-blossom-3-x-10-fl-oz")</f>
        <v/>
      </c>
      <c r="C412" t="inlineStr">
        <is>
          <t>Hand in Hand Hand Soap Citrus Grove - Grapefruit &amp; Orange Blossom, 3 x 10 fl. oz.</t>
        </is>
      </c>
      <c r="D412" t="inlineStr">
        <is>
          <t>Grove Co. Hydrating Gel Hand Soap Refills (3 x 13 Fl Oz) Plastic-Free Liquid Hands Cleaner Refill Set, Leaves Hands Soft and Clean, 100% Natural Lemon &amp; Eucalyptus + Lavender &amp; Thyme + Orange &amp; Rosemary Fragrance</t>
        </is>
      </c>
      <c r="E412" s="2">
        <f>HYPERLINK("https://www.amazon.com/Grove-Co-Hydrating-Plastic-Free-Eucalyptus/dp/B0C5YYQN2B/ref=sr_1_5?keywords=Hand+in+Hand+Hand+Soap+Citrus+Grove+-+Grapefruit&amp;qid=1695170137&amp;sr=8-5", "https://www.amazon.com/Grove-Co-Hydrating-Plastic-Free-Eucalyptus/dp/B0C5YYQN2B/ref=sr_1_5?keywords=Hand+in+Hand+Hand+Soap+Citrus+Grove+-+Grapefruit&amp;qid=1695170137&amp;sr=8-5")</f>
        <v/>
      </c>
      <c r="F412" t="inlineStr">
        <is>
          <t>B0C5YYQN2B</t>
        </is>
      </c>
      <c r="G412">
        <f>_xludf.IMAGE("https://www.shelhealth.com/cdn/shop/products/hand-in-soap-citrus-grove-grapefruit-orange-blossom-3-x-10-fl-oz-shelhealth-273.jpg?v=1664847037&amp;width=1946")</f>
        <v/>
      </c>
      <c r="H412">
        <f>_xludf.IMAGE("https://m.media-amazon.com/images/I/81Yx-LCilHL._AC_UL320_.jpg")</f>
        <v/>
      </c>
      <c r="K412" t="inlineStr">
        <is>
          <t>19.99</t>
        </is>
      </c>
      <c r="L412" t="n">
        <v>24.99</v>
      </c>
      <c r="M412" s="1" t="inlineStr">
        <is>
          <t>25.01%</t>
        </is>
      </c>
      <c r="N412" s="3" t="n">
        <v>25.01</v>
      </c>
      <c r="O412" t="n">
        <v>4.5</v>
      </c>
      <c r="P412" t="n">
        <v>152</v>
      </c>
      <c r="R412" t="inlineStr">
        <is>
          <t>InStock</t>
        </is>
      </c>
      <c r="S412" t="inlineStr">
        <is>
          <t>19.99</t>
        </is>
      </c>
      <c r="T412" t="inlineStr">
        <is>
          <t>7682859663592</t>
        </is>
      </c>
    </row>
    <row r="413" hidden="1" ht="15.75" customHeight="1">
      <c r="A413" s="2">
        <f>HYPERLINK("https://www.shelhealth.com/products/856885200093-south-of-france-french-milled-oval-soap-lavender-fields-6-oz", "https://www.shelhealth.com/products/856885200093-south-of-france-french-milled-oval-soap-lavender-fields-6-oz")</f>
        <v/>
      </c>
      <c r="B413" s="2">
        <f>HYPERLINK("https://www.shelhealth.com/products/856885200093-south-of-france-french-milled-oval-soap-lavender-fields-6-oz", "https://www.shelhealth.com/products/856885200093-south-of-france-french-milled-oval-soap-lavender-fields-6-oz")</f>
        <v/>
      </c>
      <c r="C413" t="inlineStr">
        <is>
          <t>South Of France French Milled Oval Soap Lavender Fields, 6 Oz (Case of 4)</t>
        </is>
      </c>
      <c r="D413" t="inlineStr">
        <is>
          <t>South Of France Bar Soap - Lavender Fields - French Milled Oval Soap - 6 oz (Pack of 4)</t>
        </is>
      </c>
      <c r="E413" s="2">
        <f>HYPERLINK("https://www.amazon.com/South-France-Bar-Soap-Lavender/dp/B071YXTQ4R/ref=sr_1_1?keywords=South+Of+France+French+Milled+Oval+Soap+Lavender+Fields%2C+6+Oz+%28Case+of+4%29&amp;qid=1695170098&amp;sr=8-1", "https://www.amazon.com/South-France-Bar-Soap-Lavender/dp/B071YXTQ4R/ref=sr_1_1?keywords=South+Of+France+French+Milled+Oval+Soap+Lavender+Fields%2C+6+Oz+%28Case+of+4%29&amp;qid=1695170098&amp;sr=8-1")</f>
        <v/>
      </c>
      <c r="F413" t="inlineStr">
        <is>
          <t>B071YXTQ4R</t>
        </is>
      </c>
      <c r="G413">
        <f>_xludf.IMAGE("https://www.shelhealth.com/cdn/shop/files/south-of-france-french-milled-oval-soap-lavender-fields-6-oz-case-4-beauty-body-care-shelhealth-841.jpg?v=1688533617&amp;width=1946")</f>
        <v/>
      </c>
      <c r="H413">
        <f>_xludf.IMAGE("https://m.media-amazon.com/images/I/71RfimntoRL._AC_UL320_.jpg")</f>
        <v/>
      </c>
      <c r="K413" t="inlineStr">
        <is>
          <t>17.99</t>
        </is>
      </c>
      <c r="L413" t="n">
        <v>21.99</v>
      </c>
      <c r="M413" s="1" t="inlineStr">
        <is>
          <t>22.23%</t>
        </is>
      </c>
      <c r="N413" s="3" t="n">
        <v>22.23</v>
      </c>
      <c r="O413" t="n">
        <v>4.6</v>
      </c>
      <c r="P413" t="n">
        <v>277</v>
      </c>
      <c r="R413" t="inlineStr">
        <is>
          <t>InStock</t>
        </is>
      </c>
      <c r="S413" t="inlineStr">
        <is>
          <t>17.99</t>
        </is>
      </c>
      <c r="T413" t="inlineStr">
        <is>
          <t>7242003677372</t>
        </is>
      </c>
    </row>
    <row r="414" hidden="1" ht="15.75" customHeight="1">
      <c r="A414" s="2">
        <f>HYPERLINK("https://www.shelhealth.com/products/australian-botanical-bar-soap-valencia-orange-sea-salt-8-x-6-8-oz", "https://www.shelhealth.com/products/australian-botanical-bar-soap-valencia-orange-sea-salt-8-x-6-8-oz")</f>
        <v/>
      </c>
      <c r="B414" s="2">
        <f>HYPERLINK("https://www.shelhealth.com/products/australian-botanical-bar-soap-valencia-orange-sea-salt-8-x-6-8-oz", "https://www.shelhealth.com/products/australian-botanical-bar-soap-valencia-orange-sea-salt-8-x-6-8-oz")</f>
        <v/>
      </c>
      <c r="C414" t="inlineStr">
        <is>
          <t>Australian Botanical Bar Soap Valencia Orange &amp; Sea Salt, 8 x 6.8 oz.</t>
        </is>
      </c>
      <c r="D414" t="inlineStr">
        <is>
          <t>Australian Botanical Soap, Sea Salt with Ocean Minerals and Valencia Orange Soaps | All Skin Types | Shea Butter Enriches | 6.8 oz. (193g) | 4 Bars of Each - 8 Pack</t>
        </is>
      </c>
      <c r="E414" s="2">
        <f>HYPERLINK("https://www.amazon.com/Australian-Botanical-Soap-Minerals-Valencia/dp/B0BQKSPXLR/ref=sr_1_1?keywords=Australian+Botanical+Bar+Soap+Valencia+Orange+%26+Sea+Salt%2C+8+x+6.8+oz.&amp;qid=1695170058&amp;sr=8-1", "https://www.amazon.com/Australian-Botanical-Soap-Minerals-Valencia/dp/B0BQKSPXLR/ref=sr_1_1?keywords=Australian+Botanical+Bar+Soap+Valencia+Orange+%26+Sea+Salt%2C+8+x+6.8+oz.&amp;qid=1695170058&amp;sr=8-1")</f>
        <v/>
      </c>
      <c r="F414" t="inlineStr">
        <is>
          <t>B0BQKSPXLR</t>
        </is>
      </c>
      <c r="G414">
        <f>_xludf.IMAGE("https://www.shelhealth.com/cdn/shop/files/australian-botanical-bar-soap-valencia-orange-sea-salt-8-x-6-oz-shelhealth-942.jpg?v=1687804926&amp;width=1946")</f>
        <v/>
      </c>
      <c r="H414">
        <f>_xludf.IMAGE("https://m.media-amazon.com/images/I/71bZiZ4ewIL._AC_UL320_.jpg")</f>
        <v/>
      </c>
      <c r="K414" t="inlineStr">
        <is>
          <t>24.99</t>
        </is>
      </c>
      <c r="L414" t="n">
        <v>30.49</v>
      </c>
      <c r="M414" s="1" t="inlineStr">
        <is>
          <t>22.01%</t>
        </is>
      </c>
      <c r="N414" s="3" t="n">
        <v>22.01</v>
      </c>
      <c r="O414" t="n">
        <v>4.1</v>
      </c>
      <c r="P414" t="n">
        <v>7</v>
      </c>
      <c r="R414" t="inlineStr">
        <is>
          <t>InStock</t>
        </is>
      </c>
      <c r="S414" t="inlineStr">
        <is>
          <t>24.99</t>
        </is>
      </c>
      <c r="T414" t="inlineStr">
        <is>
          <t>8254717526248</t>
        </is>
      </c>
    </row>
    <row r="415" hidden="1" ht="15.75" customHeight="1">
      <c r="A415" s="2">
        <f>HYPERLINK("https://www.shelhealth.com/products/856885200123-south-of-france-soap-bar-green-tea-6-oz", "https://www.shelhealth.com/products/856885200123-south-of-france-soap-bar-green-tea-6-oz")</f>
        <v/>
      </c>
      <c r="B415" s="2">
        <f>HYPERLINK("https://www.shelhealth.com/products/856885200123-south-of-france-soap-bar-green-tea-6-oz", "https://www.shelhealth.com/products/856885200123-south-of-france-soap-bar-green-tea-6-oz")</f>
        <v/>
      </c>
      <c r="C415" t="inlineStr">
        <is>
          <t>South Of France Soap Bar Green Tea, 6 Oz (Case of 4)</t>
        </is>
      </c>
      <c r="D415" t="inlineStr">
        <is>
          <t>South of France Natural Body Care Triple Milled Large 6OZ Bar Soap (Green Tea, 4 Bars)</t>
        </is>
      </c>
      <c r="E415" s="2">
        <f>HYPERLINK("https://www.amazon.com/Green-Tea-France-Natural-Triple/dp/B07L41LX22/ref=sr_1_1?keywords=South+Of+France+Soap+Bar+Green+Tea%2C+6+Oz+%28Case+of+4%29&amp;qid=1695170092&amp;sr=8-1", "https://www.amazon.com/Green-Tea-France-Natural-Triple/dp/B07L41LX22/ref=sr_1_1?keywords=South+Of+France+Soap+Bar+Green+Tea%2C+6+Oz+%28Case+of+4%29&amp;qid=1695170092&amp;sr=8-1")</f>
        <v/>
      </c>
      <c r="F415" t="inlineStr">
        <is>
          <t>B07L41LX22</t>
        </is>
      </c>
      <c r="G415">
        <f>_xludf.IMAGE("https://www.shelhealth.com/cdn/shop/files/south-of-france-soap-bar-green-tea-6-oz-case-4-beauty-body-care-shelhealth-818.jpg?v=1688533872&amp;width=1946")</f>
        <v/>
      </c>
      <c r="H415">
        <f>_xludf.IMAGE("https://m.media-amazon.com/images/I/81rk08KECXL._AC_UL320_.jpg")</f>
        <v/>
      </c>
      <c r="K415" t="inlineStr">
        <is>
          <t>17.99</t>
        </is>
      </c>
      <c r="L415" t="n">
        <v>21.92</v>
      </c>
      <c r="M415" s="1" t="inlineStr">
        <is>
          <t>21.85%</t>
        </is>
      </c>
      <c r="N415" s="3" t="n">
        <v>21.85</v>
      </c>
      <c r="O415" t="n">
        <v>4.4</v>
      </c>
      <c r="P415" t="n">
        <v>559</v>
      </c>
      <c r="R415" t="inlineStr">
        <is>
          <t>InStock</t>
        </is>
      </c>
      <c r="S415" t="inlineStr">
        <is>
          <t>17.99</t>
        </is>
      </c>
      <c r="T415" t="inlineStr">
        <is>
          <t>7242004660412</t>
        </is>
      </c>
    </row>
    <row r="416" hidden="1" ht="15.75" customHeight="1">
      <c r="A416" s="2">
        <f>HYPERLINK("https://www.shelhealth.com/products/dove-beauty-bar-white-4-oz-16-bar", "https://www.shelhealth.com/products/dove-beauty-bar-white-4-oz-16-bar")</f>
        <v/>
      </c>
      <c r="B416" s="2">
        <f>HYPERLINK("https://www.shelhealth.com/products/dove-beauty-bar-white-4-oz-16-bar", "https://www.shelhealth.com/products/dove-beauty-bar-white-4-oz-16-bar")</f>
        <v/>
      </c>
      <c r="C416" t="inlineStr">
        <is>
          <t>Dove Beauty Bar, White 4 oz, 16 Bar</t>
        </is>
      </c>
      <c r="D416" t="inlineStr">
        <is>
          <t>Dove Purely Pampering 16-4 OZ Shea Butter Bar Soaps, Warm Vanilla Scent, 64 OZ, White</t>
        </is>
      </c>
      <c r="E416" s="2">
        <f>HYPERLINK("https://www.amazon.com/Dove-Purely-Pampering-Butter-Vanilla/dp/B00OSLGWFY/ref=sr_1_4?keywords=Dove+Beauty+Bar%2C+White+4+oz%2C+16+Bar&amp;qid=1695170051&amp;sr=8-4", "https://www.amazon.com/Dove-Purely-Pampering-Butter-Vanilla/dp/B00OSLGWFY/ref=sr_1_4?keywords=Dove+Beauty+Bar%2C+White+4+oz%2C+16+Bar&amp;qid=1695170051&amp;sr=8-4")</f>
        <v/>
      </c>
      <c r="F416" t="inlineStr">
        <is>
          <t>B00OSLGWFY</t>
        </is>
      </c>
      <c r="G416">
        <f>_xludf.IMAGE("https://www.shelhealth.com/cdn/shop/products/dove-beauty-bar-white-4-oz-16-shelhealth-224.jpg?v=1663338544&amp;width=1946")</f>
        <v/>
      </c>
      <c r="H416">
        <f>_xludf.IMAGE("https://m.media-amazon.com/images/I/61SmUZdBHgL._AC_UL320_.jpg")</f>
        <v/>
      </c>
      <c r="K416" t="inlineStr">
        <is>
          <t>22.99</t>
        </is>
      </c>
      <c r="L416" t="n">
        <v>27.98</v>
      </c>
      <c r="M416" s="1" t="inlineStr">
        <is>
          <t>21.71%</t>
        </is>
      </c>
      <c r="N416" s="3" t="n">
        <v>21.71</v>
      </c>
      <c r="O416" t="n">
        <v>4.8</v>
      </c>
      <c r="P416" t="n">
        <v>154</v>
      </c>
      <c r="R416" t="inlineStr">
        <is>
          <t>InStock</t>
        </is>
      </c>
      <c r="S416" t="inlineStr">
        <is>
          <t>22.99</t>
        </is>
      </c>
      <c r="T416" t="inlineStr">
        <is>
          <t>3785897050164</t>
        </is>
      </c>
    </row>
    <row r="417" hidden="1" ht="15.75" customHeight="1">
      <c r="A417" s="2">
        <f>HYPERLINK("https://www.shelhealth.com/products/051381902216-aura-cacia-clear-body-soak-18-5-oz", "https://www.shelhealth.com/products/051381902216-aura-cacia-clear-body-soak-18-5-oz")</f>
        <v/>
      </c>
      <c r="B417" s="2">
        <f>HYPERLINK("https://www.shelhealth.com/products/051381902216-aura-cacia-clear-body-soak-18-5-oz", "https://www.shelhealth.com/products/051381902216-aura-cacia-clear-body-soak-18-5-oz")</f>
        <v/>
      </c>
      <c r="C417" t="inlineStr">
        <is>
          <t>Aura Cacia Clear Body Soak, 18.5 Oz</t>
        </is>
      </c>
      <c r="D417" t="inlineStr">
        <is>
          <t>Aura Cacia Cleanse Body Soak | 18.5 oz.</t>
        </is>
      </c>
      <c r="E417" s="2">
        <f>HYPERLINK("https://www.amazon.com/Aura-Cacia-Cleanse-Tangarine-Ounce/dp/B00Z23FZDC/ref=sr_1_3?keywords=Aura+Cacia+Clear+Body+Soak%2C+18.5+Oz&amp;qid=1695170127&amp;sr=8-3", "https://www.amazon.com/Aura-Cacia-Cleanse-Tangarine-Ounce/dp/B00Z23FZDC/ref=sr_1_3?keywords=Aura+Cacia+Clear+Body+Soak%2C+18.5+Oz&amp;qid=1695170127&amp;sr=8-3")</f>
        <v/>
      </c>
      <c r="F417" t="inlineStr">
        <is>
          <t>B00Z23FZDC</t>
        </is>
      </c>
      <c r="G417">
        <f>_xludf.IMAGE("https://www.shelhealth.com/cdn/shop/products/aura-cacia-clear-body-soak-18-5-oz-shelhealth-121.jpg?v=1663666777&amp;width=1946")</f>
        <v/>
      </c>
      <c r="H417">
        <f>_xludf.IMAGE("https://m.media-amazon.com/images/I/7124W8vsRvL._AC_UL320_.jpg")</f>
        <v/>
      </c>
      <c r="K417" t="inlineStr">
        <is>
          <t>13.99</t>
        </is>
      </c>
      <c r="L417" t="n">
        <v>16.99</v>
      </c>
      <c r="M417" s="1" t="inlineStr">
        <is>
          <t>21.44%</t>
        </is>
      </c>
      <c r="N417" s="3" t="n">
        <v>21.44</v>
      </c>
      <c r="O417" t="n">
        <v>1</v>
      </c>
      <c r="P417" t="n">
        <v>6</v>
      </c>
      <c r="R417" t="inlineStr">
        <is>
          <t>InStock</t>
        </is>
      </c>
      <c r="S417" t="inlineStr">
        <is>
          <t>13.99</t>
        </is>
      </c>
      <c r="T417" t="inlineStr">
        <is>
          <t>7241462841532</t>
        </is>
      </c>
    </row>
    <row r="418" hidden="1" ht="15.75" customHeight="1">
      <c r="A418" s="2">
        <f>HYPERLINK("https://www.shelhealth.com/products/berkley-jensen-liquid-hand-soap-with-aloe-vera-2-ct-64-oz", "https://www.shelhealth.com/products/berkley-jensen-liquid-hand-soap-with-aloe-vera-2-ct-64-oz")</f>
        <v/>
      </c>
      <c r="B418" s="2">
        <f>HYPERLINK("https://www.shelhealth.com/products/berkley-jensen-liquid-hand-soap-with-aloe-vera-2-ct-64-oz", "https://www.shelhealth.com/products/berkley-jensen-liquid-hand-soap-with-aloe-vera-2-ct-64-oz")</f>
        <v/>
      </c>
      <c r="C418" t="inlineStr">
        <is>
          <t>Berkley Jensen Liquid Hand Soap with Aloe Vera, 2 ct./64 oz.</t>
        </is>
      </c>
      <c r="D418" t="inlineStr">
        <is>
          <t>Berkley Jensen Liquid Hand Soap with Aloe Vera, 2 ct./64 oz.</t>
        </is>
      </c>
      <c r="E418" s="2">
        <f>HYPERLINK("https://www.amazon.com/Berkley-Jensen-Liquid-Hand-Soap/dp/B07RDB14MZ/ref=sr_1_1?keywords=Berkley+Jensen+Liquid+Hand+Soap+with+Aloe+Vera%2C+2+ct.%2F64+oz.&amp;qid=1695170040&amp;sr=8-1", "https://www.amazon.com/Berkley-Jensen-Liquid-Hand-Soap/dp/B07RDB14MZ/ref=sr_1_1?keywords=Berkley+Jensen+Liquid+Hand+Soap+with+Aloe+Vera%2C+2+ct.%2F64+oz.&amp;qid=1695170040&amp;sr=8-1")</f>
        <v/>
      </c>
      <c r="F418" t="inlineStr">
        <is>
          <t>B07RDB14MZ</t>
        </is>
      </c>
      <c r="G418">
        <f>_xludf.IMAGE("https://www.shelhealth.com/cdn/shop/products/berkley-jensen-liquid-hand-soap-with-aloe-vera-2-ct-64-oz-shelhealth-660.jpg?v=1663354664&amp;width=1946")</f>
        <v/>
      </c>
      <c r="H418">
        <f>_xludf.IMAGE("https://m.media-amazon.com/images/I/319+kndUAtL._AC_UL320_.jpg")</f>
        <v/>
      </c>
      <c r="K418" t="inlineStr">
        <is>
          <t>23.99</t>
        </is>
      </c>
      <c r="L418" t="n">
        <v>28.98</v>
      </c>
      <c r="M418" s="1" t="inlineStr">
        <is>
          <t>20.80%</t>
        </is>
      </c>
      <c r="N418" s="3" t="n">
        <v>20.8</v>
      </c>
      <c r="O418" t="n">
        <v>3.5</v>
      </c>
      <c r="P418" t="n">
        <v>3</v>
      </c>
      <c r="R418" t="inlineStr">
        <is>
          <t>InStock</t>
        </is>
      </c>
      <c r="S418" t="inlineStr">
        <is>
          <t>23.99</t>
        </is>
      </c>
      <c r="T418" t="inlineStr">
        <is>
          <t>4167689535540</t>
        </is>
      </c>
    </row>
    <row r="419" hidden="1" ht="15.75" customHeight="1">
      <c r="A419" s="2">
        <f>HYPERLINK("https://www.shelhealth.com/products/dove-body-wash-deep-moisture-24-oz-pack-of-3", "https://www.shelhealth.com/products/dove-body-wash-deep-moisture-24-oz-pack-of-3")</f>
        <v/>
      </c>
      <c r="B419" s="2">
        <f>HYPERLINK("https://www.shelhealth.com/products/dove-body-wash-deep-moisture-24-oz-pack-of-3", "https://www.shelhealth.com/products/dove-body-wash-deep-moisture-24-oz-pack-of-3")</f>
        <v/>
      </c>
      <c r="C419" t="inlineStr">
        <is>
          <t>Dove Body Wash Deep Moisture 24 oz, Pack of 3</t>
        </is>
      </c>
      <c r="D419" t="inlineStr">
        <is>
          <t>Dove Deep Moisture Nourishing Body Wash, 24 oz, Pack of 3</t>
        </is>
      </c>
      <c r="E419" s="2">
        <f>HYPERLINK("https://www.amazon.com/Dove-Deep-Moisture-Nourishing-Body/dp/B07NJ1LXDZ/ref=sr_1_1?keywords=Dove+Body+Wash+Deep+Moisture+24+oz%2C+Pack+of+3&amp;qid=1695170040&amp;sr=8-1", "https://www.amazon.com/Dove-Deep-Moisture-Nourishing-Body/dp/B07NJ1LXDZ/ref=sr_1_1?keywords=Dove+Body+Wash+Deep+Moisture+24+oz%2C+Pack+of+3&amp;qid=1695170040&amp;sr=8-1")</f>
        <v/>
      </c>
      <c r="F419" t="inlineStr">
        <is>
          <t>B07NJ1LXDZ</t>
        </is>
      </c>
      <c r="G419">
        <f>_xludf.IMAGE("https://www.shelhealth.com/cdn/shop/products/dove-body-wash-deep-moisture-24-oz-pack-of-3-shelhealth-243.jpg?v=1663338569&amp;width=1946")</f>
        <v/>
      </c>
      <c r="H419">
        <f>_xludf.IMAGE("https://m.media-amazon.com/images/I/71sfm3DkM+L._AC_UL320_.jpg")</f>
        <v/>
      </c>
      <c r="K419" t="inlineStr">
        <is>
          <t>21.99</t>
        </is>
      </c>
      <c r="L419" t="n">
        <v>26.5</v>
      </c>
      <c r="M419" s="1" t="inlineStr">
        <is>
          <t>20.51%</t>
        </is>
      </c>
      <c r="N419" s="3" t="n">
        <v>20.51</v>
      </c>
      <c r="O419" t="n">
        <v>4.8</v>
      </c>
      <c r="P419" t="n">
        <v>159</v>
      </c>
      <c r="R419" t="inlineStr">
        <is>
          <t>InStock</t>
        </is>
      </c>
      <c r="S419" t="inlineStr">
        <is>
          <t>21.99</t>
        </is>
      </c>
      <c r="T419" t="inlineStr">
        <is>
          <t>3785937059892</t>
        </is>
      </c>
    </row>
    <row r="420" hidden="1" ht="15.75" customHeight="1">
      <c r="A420" s="2">
        <f>HYPERLINK("https://www.shelhealth.com/products/718334312132-desert-essence-soap-bar-island-mango-5-oz", "https://www.shelhealth.com/products/718334312132-desert-essence-soap-bar-island-mango-5-oz")</f>
        <v/>
      </c>
      <c r="B420" s="2">
        <f>HYPERLINK("https://www.shelhealth.com/products/718334312132-desert-essence-soap-bar-island-mango-5-oz", "https://www.shelhealth.com/products/718334312132-desert-essence-soap-bar-island-mango-5-oz")</f>
        <v/>
      </c>
      <c r="C420" t="inlineStr">
        <is>
          <t>Desert Essence Soap Bar Island Mango, 5 Oz (Case of 4)</t>
        </is>
      </c>
      <c r="D420" t="inlineStr">
        <is>
          <t>Desert Essence, Island Mango Soap Bar 5 oz (Pack of 4) - Non-GMO - Gluten Free - Vegan - Cruelty Free - Sustainable Palm Oil -Mango Seed Butter &amp; Aloe - Softens &amp; Cleanses Skin - Tropical Mango Scent</t>
        </is>
      </c>
      <c r="E420" s="2">
        <f>HYPERLINK("https://www.amazon.com/Desert-Essence-Island-Mango-Soap/dp/B0BXV4P8NY/ref=sr_1_1?keywords=Desert+Essence+Soap+Bar+Island+Mango%2C+5+Oz+%28Case+of+4%29&amp;qid=1695170086&amp;sr=8-1", "https://www.amazon.com/Desert-Essence-Island-Mango-Soap/dp/B0BXV4P8NY/ref=sr_1_1?keywords=Desert+Essence+Soap+Bar+Island+Mango%2C+5+Oz+%28Case+of+4%29&amp;qid=1695170086&amp;sr=8-1")</f>
        <v/>
      </c>
      <c r="F420" t="inlineStr">
        <is>
          <t>B0BXV4P8NY</t>
        </is>
      </c>
      <c r="G420">
        <f>_xludf.IMAGE("https://www.shelhealth.com/cdn/shop/files/desert-essence-soap-bar-island-mango-5-oz-case-of-4-beauty-body-care-shelhealth-855.jpg?v=1686195032&amp;width=1946")</f>
        <v/>
      </c>
      <c r="H420">
        <f>_xludf.IMAGE("https://m.media-amazon.com/images/I/71od5wmNstL._AC_UL320_.jpg")</f>
        <v/>
      </c>
      <c r="K420" t="inlineStr">
        <is>
          <t>17.99</t>
        </is>
      </c>
      <c r="L420" t="n">
        <v>21.56</v>
      </c>
      <c r="M420" s="1" t="inlineStr">
        <is>
          <t>19.84%</t>
        </is>
      </c>
      <c r="N420" s="3" t="n">
        <v>19.84</v>
      </c>
      <c r="O420" t="n">
        <v>4.5</v>
      </c>
      <c r="P420" t="n">
        <v>474</v>
      </c>
      <c r="R420" t="inlineStr">
        <is>
          <t>OutOfStock</t>
        </is>
      </c>
      <c r="S420" t="inlineStr">
        <is>
          <t>17.99</t>
        </is>
      </c>
      <c r="T420" t="inlineStr">
        <is>
          <t>7241592602812</t>
        </is>
      </c>
    </row>
    <row r="421" hidden="1" ht="15.75" customHeight="1">
      <c r="A421" s="2">
        <f>HYPERLINK("https://www.shelhealth.com/products/718334312125-desert-essence-soap-bar-exfoliating-italian-lemon-5-oz", "https://www.shelhealth.com/products/718334312125-desert-essence-soap-bar-exfoliating-italian-lemon-5-oz")</f>
        <v/>
      </c>
      <c r="B421" s="2">
        <f>HYPERLINK("https://www.shelhealth.com/products/718334312125-desert-essence-soap-bar-exfoliating-italian-lemon-5-oz", "https://www.shelhealth.com/products/718334312125-desert-essence-soap-bar-exfoliating-italian-lemon-5-oz")</f>
        <v/>
      </c>
      <c r="C421" t="inlineStr">
        <is>
          <t>Desert Essence Soap Bar Exfoliating Italian Lemon, 5 Oz (Case of 4)</t>
        </is>
      </c>
      <c r="D421" t="inlineStr">
        <is>
          <t>Desert Essence, Exfoliating Italian Lemon Soap Bar 5 oz (Pack of 4) Sustainable Palm Oil - Lemon Oil &amp; Jojoba Oil - Cleanses &amp; Exfoliates Skin - Energizes Senses</t>
        </is>
      </c>
      <c r="E421" s="2">
        <f>HYPERLINK("https://www.amazon.com/Desert-Essence-Exfoliating-Italian-Sustainable/dp/B0BXV7YLNS/ref=sr_1_1?keywords=Desert+Essence+Soap+Bar+Exfoliating+Italian+Lemon%2C+5+Oz+%28Case+of+4%29&amp;qid=1695170086&amp;sr=8-1", "https://www.amazon.com/Desert-Essence-Exfoliating-Italian-Sustainable/dp/B0BXV7YLNS/ref=sr_1_1?keywords=Desert+Essence+Soap+Bar+Exfoliating+Italian+Lemon%2C+5+Oz+%28Case+of+4%29&amp;qid=1695170086&amp;sr=8-1")</f>
        <v/>
      </c>
      <c r="F421" t="inlineStr">
        <is>
          <t>B0BXV7YLNS</t>
        </is>
      </c>
      <c r="G421">
        <f>_xludf.IMAGE("https://www.shelhealth.com/cdn/shop/files/desert-essence-soap-bar-exfoliating-italian-lemon-5-oz-case-of-4-beauty-body-care-shelhealth-876.jpg?v=1686195032&amp;width=1946")</f>
        <v/>
      </c>
      <c r="H421">
        <f>_xludf.IMAGE("https://m.media-amazon.com/images/I/81oRedAurxL._AC_UL320_.jpg")</f>
        <v/>
      </c>
      <c r="K421" t="inlineStr">
        <is>
          <t>17.99</t>
        </is>
      </c>
      <c r="L421" t="n">
        <v>21.56</v>
      </c>
      <c r="M421" s="1" t="inlineStr">
        <is>
          <t>19.84%</t>
        </is>
      </c>
      <c r="N421" s="3" t="n">
        <v>19.84</v>
      </c>
      <c r="O421" t="n">
        <v>5</v>
      </c>
      <c r="P421" t="n">
        <v>1</v>
      </c>
      <c r="R421" t="inlineStr">
        <is>
          <t>OutOfStock</t>
        </is>
      </c>
      <c r="S421" t="inlineStr">
        <is>
          <t>17.99</t>
        </is>
      </c>
      <c r="T421" t="inlineStr">
        <is>
          <t>7241592504508</t>
        </is>
      </c>
    </row>
    <row r="422" hidden="1" ht="15.75" customHeight="1">
      <c r="A422" s="2">
        <f>HYPERLINK("https://www.shelhealth.com/products/856885200833-south-of-france-hand-wash-orange-blossom-honey-8-oz", "https://www.shelhealth.com/products/856885200833-south-of-france-hand-wash-orange-blossom-honey-8-oz")</f>
        <v/>
      </c>
      <c r="B422" s="2">
        <f>HYPERLINK("https://www.shelhealth.com/products/856885200833-south-of-france-hand-wash-orange-blossom-honey-8-oz", "https://www.shelhealth.com/products/856885200833-south-of-france-hand-wash-orange-blossom-honey-8-oz")</f>
        <v/>
      </c>
      <c r="C422" t="inlineStr">
        <is>
          <t>South Of France Hand Wash Orange Blossom Honey, 8 Oz (Case of 4)</t>
        </is>
      </c>
      <c r="D422" t="inlineStr">
        <is>
          <t>Hand Wash Liquid, Orange Blossom Honey 8 Oz by South Of France Soaps (Pack of 3)</t>
        </is>
      </c>
      <c r="E422" s="2">
        <f>HYPERLINK("https://www.amazon.com/Liquid-Orange-Blossom-South-France/dp/B00JHGYDJM/ref=sr_1_6?keywords=South+Of+France+Hand+Wash+Orange+Blossom+Honey%2C+8+Oz+%28Case+of+4%29&amp;qid=1695170057&amp;sr=8-6", "https://www.amazon.com/Liquid-Orange-Blossom-South-France/dp/B00JHGYDJM/ref=sr_1_6?keywords=South+Of+France+Hand+Wash+Orange+Blossom+Honey%2C+8+Oz+%28Case+of+4%29&amp;qid=1695170057&amp;sr=8-6")</f>
        <v/>
      </c>
      <c r="F422" t="inlineStr">
        <is>
          <t>B00JHGYDJM</t>
        </is>
      </c>
      <c r="G422">
        <f>_xludf.IMAGE("https://www.shelhealth.com/cdn/shop/files/south-of-france-hand-wash-orange-blossom-honey-8-oz-case-4-beauty-body-care-shelhealth-727.jpg?v=1686481233&amp;width=1946")</f>
        <v/>
      </c>
      <c r="H422">
        <f>_xludf.IMAGE("https://m.media-amazon.com/images/I/21fe6KPswwL._AC_UL320_.jpg")</f>
        <v/>
      </c>
      <c r="K422" t="inlineStr">
        <is>
          <t>17.99</t>
        </is>
      </c>
      <c r="L422" t="n">
        <v>21.54</v>
      </c>
      <c r="M422" s="1" t="inlineStr">
        <is>
          <t>19.73%</t>
        </is>
      </c>
      <c r="N422" s="3" t="n">
        <v>19.73</v>
      </c>
      <c r="O422" t="n">
        <v>3.2</v>
      </c>
      <c r="P422" t="n">
        <v>3</v>
      </c>
      <c r="R422" t="inlineStr">
        <is>
          <t>InStock</t>
        </is>
      </c>
      <c r="S422" t="inlineStr">
        <is>
          <t>17.99</t>
        </is>
      </c>
      <c r="T422" t="inlineStr">
        <is>
          <t>7242004365500</t>
        </is>
      </c>
    </row>
    <row r="423" hidden="1" ht="15.75" customHeight="1">
      <c r="A423" s="2">
        <f>HYPERLINK("https://www.shelhealth.com/products/dove-body-wash-deep-moisture-24-oz-pack-of-3", "https://www.shelhealth.com/products/dove-body-wash-deep-moisture-24-oz-pack-of-3")</f>
        <v/>
      </c>
      <c r="B423" s="2">
        <f>HYPERLINK("https://www.shelhealth.com/products/dove-body-wash-deep-moisture-24-oz-pack-of-3", "https://www.shelhealth.com/products/dove-body-wash-deep-moisture-24-oz-pack-of-3")</f>
        <v/>
      </c>
      <c r="C423" t="inlineStr">
        <is>
          <t>Dove Body Wash Deep Moisture 24 oz, Pack of 3</t>
        </is>
      </c>
      <c r="D423" t="inlineStr">
        <is>
          <t>Dove Deep Moisture Body Wash (3/ 24 Oz Net Wt 72 Oz),, ()</t>
        </is>
      </c>
      <c r="E423" s="2">
        <f>HYPERLINK("https://www.amazon.com/Dove-Deep-Moisture-Count-Ounce/dp/B00OSLFLVK/ref=sr_1_2?keywords=Dove+Body+Wash+Deep+Moisture+24+oz%2C+Pack+of+3&amp;qid=1695170040&amp;sr=8-2", "https://www.amazon.com/Dove-Deep-Moisture-Count-Ounce/dp/B00OSLFLVK/ref=sr_1_2?keywords=Dove+Body+Wash+Deep+Moisture+24+oz%2C+Pack+of+3&amp;qid=1695170040&amp;sr=8-2")</f>
        <v/>
      </c>
      <c r="F423" t="inlineStr">
        <is>
          <t>B00OSLFLVK</t>
        </is>
      </c>
      <c r="G423">
        <f>_xludf.IMAGE("https://www.shelhealth.com/cdn/shop/products/dove-body-wash-deep-moisture-24-oz-pack-of-3-shelhealth-243.jpg?v=1663338569&amp;width=1946")</f>
        <v/>
      </c>
      <c r="H423">
        <f>_xludf.IMAGE("https://m.media-amazon.com/images/I/91elK1l27xL._AC_UL320_.jpg")</f>
        <v/>
      </c>
      <c r="K423" t="inlineStr">
        <is>
          <t>21.99</t>
        </is>
      </c>
      <c r="L423" t="n">
        <v>25.8</v>
      </c>
      <c r="M423" s="1" t="inlineStr">
        <is>
          <t>17.33%</t>
        </is>
      </c>
      <c r="N423" s="3" t="n">
        <v>17.33</v>
      </c>
      <c r="O423" t="n">
        <v>4.1</v>
      </c>
      <c r="P423" t="n">
        <v>28</v>
      </c>
      <c r="R423" t="inlineStr">
        <is>
          <t>InStock</t>
        </is>
      </c>
      <c r="S423" t="inlineStr">
        <is>
          <t>21.99</t>
        </is>
      </c>
      <c r="T423" t="inlineStr">
        <is>
          <t>3785937059892</t>
        </is>
      </c>
    </row>
    <row r="424" hidden="1" ht="15.75" customHeight="1">
      <c r="A424" s="2">
        <f>HYPERLINK("https://www.shelhealth.com/products/dove-purely-pampering-shea-butter-beauty-bar-16-ct-4-oz", "https://www.shelhealth.com/products/dove-purely-pampering-shea-butter-beauty-bar-16-ct-4-oz")</f>
        <v/>
      </c>
      <c r="B424" s="2">
        <f>HYPERLINK("https://www.shelhealth.com/products/dove-purely-pampering-shea-butter-beauty-bar-16-ct-4-oz", "https://www.shelhealth.com/products/dove-purely-pampering-shea-butter-beauty-bar-16-ct-4-oz")</f>
        <v/>
      </c>
      <c r="C424" t="inlineStr">
        <is>
          <t>Dove Purely Pampering Shea Butter Beauty Bar, 16 ct./4 oz.</t>
        </is>
      </c>
      <c r="D424" t="inlineStr">
        <is>
          <t>Dove Purely Pampering 16-4 OZ Shea Butter Bar Soaps, Warm Vanilla Scent, 64 OZ, White</t>
        </is>
      </c>
      <c r="E424" s="2">
        <f>HYPERLINK("https://www.amazon.com/Dove-Purely-Pampering-Butter-Vanilla/dp/B00OSLGWFY/ref=sr_1_5?keywords=Dove+Purely+Pampering+Shea+Butter+Beauty+Bar%2C+16+ct.%2F4+oz.&amp;qid=1695170047&amp;sr=8-5", "https://www.amazon.com/Dove-Purely-Pampering-Butter-Vanilla/dp/B00OSLGWFY/ref=sr_1_5?keywords=Dove+Purely+Pampering+Shea+Butter+Beauty+Bar%2C+16+ct.%2F4+oz.&amp;qid=1695170047&amp;sr=8-5")</f>
        <v/>
      </c>
      <c r="F424" t="inlineStr">
        <is>
          <t>B00OSLGWFY</t>
        </is>
      </c>
      <c r="G424">
        <f>_xludf.IMAGE("https://www.shelhealth.com/cdn/shop/products/dove-purely-pampering-shea-butter-beauty-bar-16-ct-4-oz-shelhealth-401.jpg?v=1663354627&amp;width=1946")</f>
        <v/>
      </c>
      <c r="H424">
        <f>_xludf.IMAGE("https://m.media-amazon.com/images/I/61SmUZdBHgL._AC_UL320_.jpg")</f>
        <v/>
      </c>
      <c r="K424" t="inlineStr">
        <is>
          <t>23.99</t>
        </is>
      </c>
      <c r="L424" t="n">
        <v>27.98</v>
      </c>
      <c r="M424" s="1" t="inlineStr">
        <is>
          <t>16.63%</t>
        </is>
      </c>
      <c r="N424" s="3" t="n">
        <v>16.63</v>
      </c>
      <c r="O424" t="n">
        <v>4.8</v>
      </c>
      <c r="P424" t="n">
        <v>154</v>
      </c>
      <c r="R424" t="inlineStr">
        <is>
          <t>InStock</t>
        </is>
      </c>
      <c r="S424" t="inlineStr">
        <is>
          <t>23.99</t>
        </is>
      </c>
      <c r="T424" t="inlineStr">
        <is>
          <t>4167683506228</t>
        </is>
      </c>
    </row>
    <row r="425" hidden="1" ht="15.75" customHeight="1">
      <c r="A425" s="2">
        <f>HYPERLINK("https://www.shelhealth.com/products/856885200116-south-of-france-french-milled-oval-soap-lemon-verbena-6-oz", "https://www.shelhealth.com/products/856885200116-south-of-france-french-milled-oval-soap-lemon-verbena-6-oz")</f>
        <v/>
      </c>
      <c r="B425" s="2">
        <f>HYPERLINK("https://www.shelhealth.com/products/856885200116-south-of-france-french-milled-oval-soap-lemon-verbena-6-oz", "https://www.shelhealth.com/products/856885200116-south-of-france-french-milled-oval-soap-lemon-verbena-6-oz")</f>
        <v/>
      </c>
      <c r="C425" t="inlineStr">
        <is>
          <t>South Of France French Milled Oval Soap Lemon Verbena, 6 Oz (Case of 4)</t>
        </is>
      </c>
      <c r="D425" t="inlineStr">
        <is>
          <t>Lemon Verbena Clean Bar Soap by South of France Clean Body Care | Triple-Milled French Soap with Organic Shea Butter + Essential Oils | Vegan, Non-GMO Body Soap | 6 oz Bar – 4 Pack</t>
        </is>
      </c>
      <c r="E425" s="2">
        <f>HYPERLINK("https://www.amazon.com/Lemon-Verbena-France-Natural-Triple/dp/B07L44H8FG/ref=sr_1_2?keywords=South+Of+France+French+Milled+Oval+Soap+Lemon+Verbena%2C+6+Oz+%28Case+of+4%29&amp;qid=1695170096&amp;sr=8-2", "https://www.amazon.com/Lemon-Verbena-France-Natural-Triple/dp/B07L44H8FG/ref=sr_1_2?keywords=South+Of+France+French+Milled+Oval+Soap+Lemon+Verbena%2C+6+Oz+%28Case+of+4%29&amp;qid=1695170096&amp;sr=8-2")</f>
        <v/>
      </c>
      <c r="F425" t="inlineStr">
        <is>
          <t>B07L44H8FG</t>
        </is>
      </c>
      <c r="G425">
        <f>_xludf.IMAGE("https://www.shelhealth.com/cdn/shop/files/south-of-france-french-milled-oval-soap-lemon-verbena-6-oz-case-4-beauty-body-care-shelhealth-349.jpg?v=1688533629&amp;width=1946")</f>
        <v/>
      </c>
      <c r="H425">
        <f>_xludf.IMAGE("https://m.media-amazon.com/images/I/81OezC4lIsL._AC_UL320_.jpg")</f>
        <v/>
      </c>
      <c r="K425" t="inlineStr">
        <is>
          <t>17.99</t>
        </is>
      </c>
      <c r="L425" t="n">
        <v>20.95</v>
      </c>
      <c r="M425" s="1" t="inlineStr">
        <is>
          <t>16.45%</t>
        </is>
      </c>
      <c r="N425" s="3" t="n">
        <v>16.45</v>
      </c>
      <c r="O425" t="n">
        <v>4.5</v>
      </c>
      <c r="P425" t="n">
        <v>705</v>
      </c>
      <c r="R425" t="inlineStr">
        <is>
          <t>InStock</t>
        </is>
      </c>
      <c r="S425" t="inlineStr">
        <is>
          <t>17.99</t>
        </is>
      </c>
      <c r="T425" t="inlineStr">
        <is>
          <t>7242003808444</t>
        </is>
      </c>
    </row>
    <row r="426" hidden="1" ht="15.75" customHeight="1">
      <c r="A426" s="2">
        <f>HYPERLINK("https://www.shelhealth.com/products/813424022745-acure-scrub-body-coffee-energzg-6-fo", "https://www.shelhealth.com/products/813424022745-acure-scrub-body-coffee-energzg-6-fo")</f>
        <v/>
      </c>
      <c r="B426" s="2">
        <f>HYPERLINK("https://www.shelhealth.com/products/813424022745-acure-scrub-body-coffee-energzg-6-fo", "https://www.shelhealth.com/products/813424022745-acure-scrub-body-coffee-energzg-6-fo")</f>
        <v/>
      </c>
      <c r="C426" t="inlineStr">
        <is>
          <t>ACURE Scrub Body Coffee Energzg, 6 fo</t>
        </is>
      </c>
      <c r="D426" t="inlineStr">
        <is>
          <t>Acure Energizing Coffee Body Scrub, Vegan, 6 Fluid Ounce (Pack of 1)</t>
        </is>
      </c>
      <c r="E426" s="2">
        <f>HYPERLINK("https://www.amazon.com/Acure-Energizing-Coffee-Scrub-Vegan/dp/B0BDZHJB7N/ref=sr_1_2?keywords=acure+scrub+body+coffee+energizag%2C+6+fo&amp;qid=1695170151&amp;sr=8-2", "https://www.amazon.com/Acure-Energizing-Coffee-Scrub-Vegan/dp/B0BDZHJB7N/ref=sr_1_2?keywords=acure+scrub+body+coffee+energizag%2C+6+fo&amp;qid=1695170151&amp;sr=8-2")</f>
        <v/>
      </c>
      <c r="F426" t="inlineStr">
        <is>
          <t>B0BDZHJB7N</t>
        </is>
      </c>
      <c r="G426">
        <f>_xludf.IMAGE("https://www.shelhealth.com/cdn/shop/files/acure-scrub-body-coffee-energzg-6-fo-beauty-care-shelhealth-550.jpg?v=1686140719&amp;width=1946")</f>
        <v/>
      </c>
      <c r="H426">
        <f>_xludf.IMAGE("https://m.media-amazon.com/images/I/71ldBboB9vL._AC_UL320_.jpg")</f>
        <v/>
      </c>
      <c r="K426" t="inlineStr">
        <is>
          <t>16.99</t>
        </is>
      </c>
      <c r="L426" t="n">
        <v>19.69</v>
      </c>
      <c r="M426" s="1" t="inlineStr">
        <is>
          <t>15.89%</t>
        </is>
      </c>
      <c r="N426" s="3" t="n">
        <v>15.89</v>
      </c>
      <c r="O426" t="n">
        <v>3</v>
      </c>
      <c r="P426" t="n">
        <v>1</v>
      </c>
      <c r="R426" t="inlineStr">
        <is>
          <t>InStock</t>
        </is>
      </c>
      <c r="S426" t="inlineStr">
        <is>
          <t>16.99</t>
        </is>
      </c>
      <c r="T426" t="inlineStr">
        <is>
          <t>7573945909480</t>
        </is>
      </c>
    </row>
    <row r="427" hidden="1" ht="15.75" customHeight="1">
      <c r="A427" s="2">
        <f>HYPERLINK("https://www.shelhealth.com/products/065743233863-live-clean-hand-sanitizer-aloe-16-oz", "https://www.shelhealth.com/products/065743233863-live-clean-hand-sanitizer-aloe-16-oz")</f>
        <v/>
      </c>
      <c r="B427" s="2">
        <f>HYPERLINK("https://www.shelhealth.com/products/065743233863-live-clean-hand-sanitizer-aloe-16-oz", "https://www.shelhealth.com/products/065743233863-live-clean-hand-sanitizer-aloe-16-oz")</f>
        <v/>
      </c>
      <c r="C427" t="inlineStr">
        <is>
          <t>LIVE CLEAN Hand Sanitizer Aloe, 16 oz (Case of 3)</t>
        </is>
      </c>
      <c r="D427" t="inlineStr">
        <is>
          <t>Live Clean Hand Sanitizer Lotion, Coconut &amp; Organic Aloe, 2 Oz (Pack of 12)</t>
        </is>
      </c>
      <c r="E427" s="2">
        <f>HYPERLINK("https://www.amazon.com/Live-Clean-Sanitizer-Coconut-Organic/dp/B08NGNYTBG/ref=sr_1_6?keywords=LIVE+CLEAN+Hand+Sanitizer+Aloe%2C+16+oz+%28Case+of+3%29&amp;qid=1695170110&amp;sr=8-6", "https://www.amazon.com/Live-Clean-Sanitizer-Coconut-Organic/dp/B08NGNYTBG/ref=sr_1_6?keywords=LIVE+CLEAN+Hand+Sanitizer+Aloe%2C+16+oz+%28Case+of+3%29&amp;qid=1695170110&amp;sr=8-6")</f>
        <v/>
      </c>
      <c r="F427" t="inlineStr">
        <is>
          <t>B08NGNYTBG</t>
        </is>
      </c>
      <c r="G427">
        <f>_xludf.IMAGE("https://www.shelhealth.com/cdn/shop/files/live-clean-hand-sanitizer-aloe-16-oz-case-of-3-beauty-body-care-shelhealth-751.jpg?v=1686216777&amp;width=1946")</f>
        <v/>
      </c>
      <c r="H427">
        <f>_xludf.IMAGE("https://m.media-amazon.com/images/I/714mLP96oqL._AC_UL320_.jpg")</f>
        <v/>
      </c>
      <c r="K427" t="inlineStr">
        <is>
          <t>28.99</t>
        </is>
      </c>
      <c r="L427" t="n">
        <v>33.44</v>
      </c>
      <c r="M427" s="1" t="inlineStr">
        <is>
          <t>15.35%</t>
        </is>
      </c>
      <c r="N427" s="3" t="n">
        <v>15.35</v>
      </c>
      <c r="O427" t="n">
        <v>4.1</v>
      </c>
      <c r="P427" t="n">
        <v>33</v>
      </c>
      <c r="R427" t="inlineStr">
        <is>
          <t>OutOfStock</t>
        </is>
      </c>
      <c r="S427" t="inlineStr">
        <is>
          <t>28.99</t>
        </is>
      </c>
      <c r="T427" t="inlineStr">
        <is>
          <t>7574157721832</t>
        </is>
      </c>
    </row>
    <row r="428" hidden="1" ht="15.75" customHeight="1">
      <c r="A428" s="2">
        <f>HYPERLINK("https://www.shelhealth.com/products/856885200109-south-of-france-soap-bar-orange-blossom-honey-6-oz", "https://www.shelhealth.com/products/856885200109-south-of-france-soap-bar-orange-blossom-honey-6-oz")</f>
        <v/>
      </c>
      <c r="B428" s="2">
        <f>HYPERLINK("https://www.shelhealth.com/products/856885200109-south-of-france-soap-bar-orange-blossom-honey-6-oz", "https://www.shelhealth.com/products/856885200109-south-of-france-soap-bar-orange-blossom-honey-6-oz")</f>
        <v/>
      </c>
      <c r="C428" t="inlineStr">
        <is>
          <t>South Of France Soap Bar Orange Blossom Honey, 6 Oz (Case of 4)</t>
        </is>
      </c>
      <c r="D428" t="inlineStr">
        <is>
          <t>South of France Bar Soap - Orange Blossom Honey - Full Size - 6 oz - (Pack of 3)</t>
        </is>
      </c>
      <c r="E428" s="2">
        <f>HYPERLINK("https://www.amazon.com/South-France-Bar-Soap-Blossom/dp/B071JC8W52/ref=sr_1_5?keywords=South+Of+France+Soap+Bar+Orange+Blossom+Honey%2C+6+Oz+%28Case+of+4%29&amp;qid=1695170113&amp;sr=8-5", "https://www.amazon.com/South-France-Bar-Soap-Blossom/dp/B071JC8W52/ref=sr_1_5?keywords=South+Of+France+Soap+Bar+Orange+Blossom+Honey%2C+6+Oz+%28Case+of+4%29&amp;qid=1695170113&amp;sr=8-5")</f>
        <v/>
      </c>
      <c r="F428" t="inlineStr">
        <is>
          <t>B071JC8W52</t>
        </is>
      </c>
      <c r="G428">
        <f>_xludf.IMAGE("https://www.shelhealth.com/cdn/shop/files/south-of-france-soap-bar-orange-blossom-honey-6-oz-case-4-beauty-body-care-shelhealth-560.jpg?v=1688533636&amp;width=1946")</f>
        <v/>
      </c>
      <c r="H428">
        <f>_xludf.IMAGE("https://m.media-amazon.com/images/I/71w50-b8mRL._AC_UL320_.jpg")</f>
        <v/>
      </c>
      <c r="K428" t="inlineStr">
        <is>
          <t>17.99</t>
        </is>
      </c>
      <c r="L428" t="n">
        <v>20.52</v>
      </c>
      <c r="M428" s="1" t="inlineStr">
        <is>
          <t>14.06%</t>
        </is>
      </c>
      <c r="N428" s="3" t="n">
        <v>14.06</v>
      </c>
      <c r="O428" t="n">
        <v>3.4</v>
      </c>
      <c r="P428" t="n">
        <v>6</v>
      </c>
      <c r="R428" t="inlineStr">
        <is>
          <t>InStock</t>
        </is>
      </c>
      <c r="S428" t="inlineStr">
        <is>
          <t>17.99</t>
        </is>
      </c>
      <c r="T428" t="inlineStr">
        <is>
          <t>7242004791484</t>
        </is>
      </c>
    </row>
    <row r="429" hidden="1" ht="15.75" customHeight="1">
      <c r="A429" s="2">
        <f>HYPERLINK("https://www.shelhealth.com/products/856885200123-south-of-france-soap-bar-green-tea-6-oz", "https://www.shelhealth.com/products/856885200123-south-of-france-soap-bar-green-tea-6-oz")</f>
        <v/>
      </c>
      <c r="B429" s="2">
        <f>HYPERLINK("https://www.shelhealth.com/products/856885200123-south-of-france-soap-bar-green-tea-6-oz", "https://www.shelhealth.com/products/856885200123-south-of-france-soap-bar-green-tea-6-oz")</f>
        <v/>
      </c>
      <c r="C429" t="inlineStr">
        <is>
          <t>South Of France Soap Bar Green Tea, 6 Oz (Case of 4)</t>
        </is>
      </c>
      <c r="D429" t="inlineStr">
        <is>
          <t>Bar Soap Oval, Green Tea 6 Oz by South Of France Soaps (Pack of 3)</t>
        </is>
      </c>
      <c r="E429" s="2">
        <f>HYPERLINK("https://www.amazon.com/Soap-Green-South-France-Soaps/dp/B00JHGY2OS/ref=sr_1_5?keywords=South+Of+France+Soap+Bar+Green+Tea%2C+6+Oz+%28Case+of+4%29&amp;qid=1695170092&amp;sr=8-5", "https://www.amazon.com/Soap-Green-South-France-Soaps/dp/B00JHGY2OS/ref=sr_1_5?keywords=South+Of+France+Soap+Bar+Green+Tea%2C+6+Oz+%28Case+of+4%29&amp;qid=1695170092&amp;sr=8-5")</f>
        <v/>
      </c>
      <c r="F429" t="inlineStr">
        <is>
          <t>B00JHGY2OS</t>
        </is>
      </c>
      <c r="G429">
        <f>_xludf.IMAGE("https://www.shelhealth.com/cdn/shop/files/south-of-france-soap-bar-green-tea-6-oz-case-4-beauty-body-care-shelhealth-818.jpg?v=1688533872&amp;width=1946")</f>
        <v/>
      </c>
      <c r="H429">
        <f>_xludf.IMAGE("https://m.media-amazon.com/images/I/61MqcAasoaL._AC_UL320_.jpg")</f>
        <v/>
      </c>
      <c r="K429" t="inlineStr">
        <is>
          <t>17.99</t>
        </is>
      </c>
      <c r="L429" t="n">
        <v>20.52</v>
      </c>
      <c r="M429" s="1" t="inlineStr">
        <is>
          <t>14.06%</t>
        </is>
      </c>
      <c r="N429" s="3" t="n">
        <v>14.06</v>
      </c>
      <c r="O429" t="n">
        <v>4.3</v>
      </c>
      <c r="P429" t="n">
        <v>42</v>
      </c>
      <c r="R429" t="inlineStr">
        <is>
          <t>InStock</t>
        </is>
      </c>
      <c r="S429" t="inlineStr">
        <is>
          <t>17.99</t>
        </is>
      </c>
      <c r="T429" t="inlineStr">
        <is>
          <t>7242004660412</t>
        </is>
      </c>
    </row>
    <row r="430" hidden="1" ht="15.75" customHeight="1">
      <c r="A430" s="2">
        <f>HYPERLINK("https://www.shelhealth.com/products/dove-sensitive-skin-unscented-4-oz-bar-soaps-16-count", "https://www.shelhealth.com/products/dove-sensitive-skin-unscented-4-oz-bar-soaps-16-count")</f>
        <v/>
      </c>
      <c r="B430" s="2">
        <f>HYPERLINK("https://www.shelhealth.com/products/dove-sensitive-skin-unscented-4-oz-bar-soaps-16-count", "https://www.shelhealth.com/products/dove-sensitive-skin-unscented-4-oz-bar-soaps-16-count")</f>
        <v/>
      </c>
      <c r="C430" t="inlineStr">
        <is>
          <t>Dove Sensitive Skin Unscented 4 OZ Bar Soaps, 16 Count</t>
        </is>
      </c>
      <c r="D430" t="inlineStr">
        <is>
          <t>Dove Sensitive Skin - Unscented/Fragrance Free Hypo-Allergenic Beauty Bar, 3.73 oz / 106 g x 16 Pack</t>
        </is>
      </c>
      <c r="E430" s="2">
        <f>HYPERLINK("https://www.amazon.com/Dove-Sensitive-Skin-Unscented-Hypo-Allergenic/dp/B08DRSWKY2/ref=sr_1_5?keywords=Dove+Sensitive+Skin+Unscented+4+OZ+Bar+Soaps%2C+16+Count&amp;qid=1695170044&amp;sr=8-5", "https://www.amazon.com/Dove-Sensitive-Skin-Unscented-Hypo-Allergenic/dp/B08DRSWKY2/ref=sr_1_5?keywords=Dove+Sensitive+Skin+Unscented+4+OZ+Bar+Soaps%2C+16+Count&amp;qid=1695170044&amp;sr=8-5")</f>
        <v/>
      </c>
      <c r="F430" t="inlineStr">
        <is>
          <t>B08DRSWKY2</t>
        </is>
      </c>
      <c r="G430">
        <f>_xludf.IMAGE("https://www.shelhealth.com/cdn/shop/products/dove-sensitive-skin-unscented-4-oz-bar-soaps-16-count-shelhealth-867.jpg?v=1663338579&amp;width=1946")</f>
        <v/>
      </c>
      <c r="H430">
        <f>_xludf.IMAGE("https://m.media-amazon.com/images/I/710S73upSvL._AC_UL320_.jpg")</f>
        <v/>
      </c>
      <c r="K430" t="inlineStr">
        <is>
          <t>23.99</t>
        </is>
      </c>
      <c r="L430" t="n">
        <v>27.1</v>
      </c>
      <c r="M430" s="1" t="inlineStr">
        <is>
          <t>12.96%</t>
        </is>
      </c>
      <c r="N430" s="3" t="n">
        <v>12.96</v>
      </c>
      <c r="O430" t="n">
        <v>4.7</v>
      </c>
      <c r="P430" t="n">
        <v>24</v>
      </c>
      <c r="R430" t="inlineStr">
        <is>
          <t>InStock</t>
        </is>
      </c>
      <c r="S430" t="inlineStr">
        <is>
          <t>23.99</t>
        </is>
      </c>
      <c r="T430" t="inlineStr">
        <is>
          <t>3785941090356</t>
        </is>
      </c>
    </row>
    <row r="431" hidden="1" ht="15.75" customHeight="1">
      <c r="A431" s="2">
        <f>HYPERLINK("https://www.shelhealth.com/products/dove-sensitive-skin-beauty-bar-16-ct-4-oz", "https://www.shelhealth.com/products/dove-sensitive-skin-beauty-bar-16-ct-4-oz")</f>
        <v/>
      </c>
      <c r="B431" s="2">
        <f>HYPERLINK("https://www.shelhealth.com/products/dove-sensitive-skin-beauty-bar-16-ct-4-oz", "https://www.shelhealth.com/products/dove-sensitive-skin-beauty-bar-16-ct-4-oz")</f>
        <v/>
      </c>
      <c r="C431" t="inlineStr">
        <is>
          <t>Dove Sensitive Skin Beauty Bar, 16 ct./4 oz.</t>
        </is>
      </c>
      <c r="D431" t="inlineStr">
        <is>
          <t>Dove Sensitive Skin - Unscented/Fragrance Free Hypo-Allergenic Beauty Bar, 3.73 oz / 106 g x 16 Pack</t>
        </is>
      </c>
      <c r="E431" s="2">
        <f>HYPERLINK("https://www.amazon.com/Dove-Sensitive-Skin-Unscented-Hypo-Allergenic/dp/B08DRSWKY2/ref=sr_1_2?keywords=Dove+Sensitive+Skin+Beauty+Bar%2C+16+ct.%2F4+oz.&amp;qid=1695170040&amp;sr=8-2", "https://www.amazon.com/Dove-Sensitive-Skin-Unscented-Hypo-Allergenic/dp/B08DRSWKY2/ref=sr_1_2?keywords=Dove+Sensitive+Skin+Beauty+Bar%2C+16+ct.%2F4+oz.&amp;qid=1695170040&amp;sr=8-2")</f>
        <v/>
      </c>
      <c r="F431" t="inlineStr">
        <is>
          <t>B08DRSWKY2</t>
        </is>
      </c>
      <c r="G431">
        <f>_xludf.IMAGE("https://www.shelhealth.com/cdn/shop/products/dove-sensitive-skin-beauty-bar-16-ct-4-oz-shelhealth-468.jpg?v=1663354369&amp;width=1946")</f>
        <v/>
      </c>
      <c r="H431">
        <f>_xludf.IMAGE("https://m.media-amazon.com/images/I/710S73upSvL._AC_UL320_.jpg")</f>
        <v/>
      </c>
      <c r="K431" t="inlineStr">
        <is>
          <t>23.99</t>
        </is>
      </c>
      <c r="L431" t="n">
        <v>27.1</v>
      </c>
      <c r="M431" s="1" t="inlineStr">
        <is>
          <t>12.96%</t>
        </is>
      </c>
      <c r="N431" s="3" t="n">
        <v>12.96</v>
      </c>
      <c r="O431" t="n">
        <v>4.7</v>
      </c>
      <c r="P431" t="n">
        <v>24</v>
      </c>
      <c r="R431" t="inlineStr">
        <is>
          <t>InStock</t>
        </is>
      </c>
      <c r="S431" t="inlineStr">
        <is>
          <t>23.99</t>
        </is>
      </c>
      <c r="T431" t="inlineStr">
        <is>
          <t>4167571472436</t>
        </is>
      </c>
    </row>
    <row r="432" hidden="1" ht="15.75" customHeight="1">
      <c r="A432" s="2">
        <f>HYPERLINK("https://www.shelhealth.com/products/dove-sensitive-skin-beauty-bar-16-ct-4-oz", "https://www.shelhealth.com/products/dove-sensitive-skin-beauty-bar-16-ct-4-oz")</f>
        <v/>
      </c>
      <c r="B432" s="2">
        <f>HYPERLINK("https://www.shelhealth.com/products/dove-sensitive-skin-beauty-bar-16-ct-4-oz", "https://www.shelhealth.com/products/dove-sensitive-skin-beauty-bar-16-ct-4-oz")</f>
        <v/>
      </c>
      <c r="C432" t="inlineStr">
        <is>
          <t>Dove Sensitive Skin Beauty Bar, 16 ct./4 oz.</t>
        </is>
      </c>
      <c r="D432" t="inlineStr">
        <is>
          <t>Dove Beauty Bar More Moisturizing Than Bar Soap Sensitive Skin Effectively Washes Away Bacteria, Nourishes Your Skin 3.75 oz 16 Bars</t>
        </is>
      </c>
      <c r="E432" s="2">
        <f>HYPERLINK("https://www.amazon.com/Dove-Beauty-Bar-Sensitive-Skin/dp/B00NPNV26A/ref=sr_1_4?keywords=Dove+Sensitive+Skin+Beauty+Bar%2C+16+ct.%2F4+oz.&amp;qid=1695170040&amp;sr=8-4", "https://www.amazon.com/Dove-Beauty-Bar-Sensitive-Skin/dp/B00NPNV26A/ref=sr_1_4?keywords=Dove+Sensitive+Skin+Beauty+Bar%2C+16+ct.%2F4+oz.&amp;qid=1695170040&amp;sr=8-4")</f>
        <v/>
      </c>
      <c r="F432" t="inlineStr">
        <is>
          <t>B00NPNV26A</t>
        </is>
      </c>
      <c r="G432">
        <f>_xludf.IMAGE("https://www.shelhealth.com/cdn/shop/products/dove-sensitive-skin-beauty-bar-16-ct-4-oz-shelhealth-468.jpg?v=1663354369&amp;width=1946")</f>
        <v/>
      </c>
      <c r="H432">
        <f>_xludf.IMAGE("https://m.media-amazon.com/images/I/714md1mqjFL._AC_UL320_.jpg")</f>
        <v/>
      </c>
      <c r="K432" t="inlineStr">
        <is>
          <t>23.99</t>
        </is>
      </c>
      <c r="L432" t="n">
        <v>26.99</v>
      </c>
      <c r="M432" s="1" t="inlineStr">
        <is>
          <t>12.51%</t>
        </is>
      </c>
      <c r="N432" s="3" t="n">
        <v>12.51</v>
      </c>
      <c r="O432" t="n">
        <v>4.8</v>
      </c>
      <c r="P432" t="n">
        <v>539</v>
      </c>
      <c r="R432" t="inlineStr">
        <is>
          <t>InStock</t>
        </is>
      </c>
      <c r="S432" t="inlineStr">
        <is>
          <t>23.99</t>
        </is>
      </c>
      <c r="T432" t="inlineStr">
        <is>
          <t>4167571472436</t>
        </is>
      </c>
    </row>
    <row r="433" hidden="1" ht="15.75" customHeight="1">
      <c r="A433" s="2">
        <f>HYPERLINK("https://www.shelhealth.com/products/olay-ultra-moisture-beauty-bars-soap-16-ct-3-75-oz", "https://www.shelhealth.com/products/olay-ultra-moisture-beauty-bars-soap-16-ct-3-75-oz")</f>
        <v/>
      </c>
      <c r="B433" s="2">
        <f>HYPERLINK("https://www.shelhealth.com/products/olay-ultra-moisture-beauty-bars-soap-16-ct-3-75-oz", "https://www.shelhealth.com/products/olay-ultra-moisture-beauty-bars-soap-16-ct-3-75-oz")</f>
        <v/>
      </c>
      <c r="C433" t="inlineStr">
        <is>
          <t>Olay Ultra Moisture Beauty Bars Soap, 16 ct./3.75 oz.</t>
        </is>
      </c>
      <c r="D433" t="inlineStr">
        <is>
          <t>Olay Beauty Bar Ultra Moisture with Shea Butter Soap, 3.17 Oz (12 Bars), package may vary</t>
        </is>
      </c>
      <c r="E433" s="2">
        <f>HYPERLINK("https://www.amazon.com/Olay-Beauty-Ultra-Moisture-Butter/dp/B00J9X7Y8U/ref=sr_1_3?keywords=Olay+Ultra+Moisture+Beauty+Bars+Soap%2C+16+ct.%2F3.75+oz.&amp;qid=1695170062&amp;sr=8-3", "https://www.amazon.com/Olay-Beauty-Ultra-Moisture-Butter/dp/B00J9X7Y8U/ref=sr_1_3?keywords=Olay+Ultra+Moisture+Beauty+Bars+Soap%2C+16+ct.%2F3.75+oz.&amp;qid=1695170062&amp;sr=8-3")</f>
        <v/>
      </c>
      <c r="F433" t="inlineStr">
        <is>
          <t>B00J9X7Y8U</t>
        </is>
      </c>
      <c r="G433">
        <f>_xludf.IMAGE("https://www.shelhealth.com/cdn/shop/products/olay-ultra-moisture-beauty-bars-soap-16-ct-3-75-oz-shelhealth-299.jpg?v=1663354235&amp;width=1946")</f>
        <v/>
      </c>
      <c r="H433">
        <f>_xludf.IMAGE("https://m.media-amazon.com/images/I/51nqt+yN2aL._AC_UL320_.jpg")</f>
        <v/>
      </c>
      <c r="K433" t="inlineStr">
        <is>
          <t>21.99</t>
        </is>
      </c>
      <c r="L433" t="n">
        <v>24.45</v>
      </c>
      <c r="M433" s="1" t="inlineStr">
        <is>
          <t>11.19%</t>
        </is>
      </c>
      <c r="N433" s="3" t="n">
        <v>11.19</v>
      </c>
      <c r="O433" t="n">
        <v>4.6</v>
      </c>
      <c r="P433" t="n">
        <v>15</v>
      </c>
      <c r="R433" t="inlineStr">
        <is>
          <t>InStock</t>
        </is>
      </c>
      <c r="S433" t="inlineStr">
        <is>
          <t>21.99</t>
        </is>
      </c>
      <c r="T433" t="inlineStr">
        <is>
          <t>4167533592628</t>
        </is>
      </c>
    </row>
    <row r="434" hidden="1" ht="15.75" customHeight="1">
      <c r="A434" s="2">
        <f>HYPERLINK("https://www.shelhealth.com/products/856885200390-south-of-france-cherry-blossom-soap-bar-6-oz", "https://www.shelhealth.com/products/856885200390-south-of-france-cherry-blossom-soap-bar-6-oz")</f>
        <v/>
      </c>
      <c r="B434" s="2">
        <f>HYPERLINK("https://www.shelhealth.com/products/856885200390-south-of-france-cherry-blossom-soap-bar-6-oz", "https://www.shelhealth.com/products/856885200390-south-of-france-cherry-blossom-soap-bar-6-oz")</f>
        <v/>
      </c>
      <c r="C434" t="inlineStr">
        <is>
          <t>SOUTH OF FRANCE Cherry Blossom Soap Bar, 6 oz (Case of 4)</t>
        </is>
      </c>
      <c r="D434" t="inlineStr">
        <is>
          <t>Cherry Blossom Clean Bar Soap by South of France Clean Body Care | Triple-Milled French Soap with Organic Shea Butter + Essential Oils | Vegan, Non-GMO Body Soap | 6 oz Bar – 4 Pack</t>
        </is>
      </c>
      <c r="E434" s="2">
        <f>HYPERLINK("https://www.amazon.com/Cherry-Blossom-France-Natural-Triple/dp/B07PNRTGJW/ref=sr_1_1?keywords=SOUTH+OF+FRANCE+Cherry+Blossom+Soap+Bar%2C+6+oz+%28Case+of+4%29&amp;qid=1695170117&amp;sr=8-1", "https://www.amazon.com/Cherry-Blossom-France-Natural-Triple/dp/B07PNRTGJW/ref=sr_1_1?keywords=SOUTH+OF+FRANCE+Cherry+Blossom+Soap+Bar%2C+6+oz+%28Case+of+4%29&amp;qid=1695170117&amp;sr=8-1")</f>
        <v/>
      </c>
      <c r="F434" t="inlineStr">
        <is>
          <t>B07PNRTGJW</t>
        </is>
      </c>
      <c r="G434">
        <f>_xludf.IMAGE("https://www.shelhealth.com/cdn/shop/files/south-of-france-cherry-blossom-soap-bar-6-oz-case-4-beauty-body-care-shelhealth-140.jpg?v=1688718643&amp;width=1946")</f>
        <v/>
      </c>
      <c r="H434">
        <f>_xludf.IMAGE("https://m.media-amazon.com/images/I/81EzmTXTehL._AC_UL320_.jpg")</f>
        <v/>
      </c>
      <c r="K434" t="inlineStr">
        <is>
          <t>17.99</t>
        </is>
      </c>
      <c r="L434" t="n">
        <v>19.94</v>
      </c>
      <c r="M434" s="1" t="inlineStr">
        <is>
          <t>10.84%</t>
        </is>
      </c>
      <c r="N434" s="3" t="n">
        <v>10.84</v>
      </c>
      <c r="O434" t="n">
        <v>4.9</v>
      </c>
      <c r="P434" t="n">
        <v>44</v>
      </c>
      <c r="R434" t="inlineStr">
        <is>
          <t>InStock</t>
        </is>
      </c>
      <c r="S434" t="inlineStr">
        <is>
          <t>17.99</t>
        </is>
      </c>
      <c r="T434" t="inlineStr">
        <is>
          <t>7574301016296</t>
        </is>
      </c>
    </row>
    <row r="435" hidden="1" ht="15.75" customHeight="1">
      <c r="A435" s="2">
        <f>HYPERLINK("https://www.shelhealth.com/products/856885200093-south-of-france-french-milled-oval-soap-lavender-fields-6-oz", "https://www.shelhealth.com/products/856885200093-south-of-france-french-milled-oval-soap-lavender-fields-6-oz")</f>
        <v/>
      </c>
      <c r="B435" s="2">
        <f>HYPERLINK("https://www.shelhealth.com/products/856885200093-south-of-france-french-milled-oval-soap-lavender-fields-6-oz", "https://www.shelhealth.com/products/856885200093-south-of-france-french-milled-oval-soap-lavender-fields-6-oz")</f>
        <v/>
      </c>
      <c r="C435" t="inlineStr">
        <is>
          <t>South Of France French Milled Oval Soap Lavender Fields, 6 Oz (Case of 4)</t>
        </is>
      </c>
      <c r="D435" t="inlineStr">
        <is>
          <t>Lavender Fields Clean Bar Soap by South of France Clean Body Care | Triple-Milled French Soap with Organic Shea Butter + Essential Oils | Vegan, Non-GMO Body Soap | 6 oz Bar – 4 Pack</t>
        </is>
      </c>
      <c r="E435" s="2">
        <f>HYPERLINK("https://www.amazon.com/Lavendar-Fields-France-Natural-Triple/dp/B07PTC87XW/ref=sr_1_6?keywords=South+Of+France+French+Milled+Oval+Soap+Lavender+Fields%2C+6+Oz+%28Case+of+4%29&amp;qid=1695170098&amp;sr=8-6", "https://www.amazon.com/Lavendar-Fields-France-Natural-Triple/dp/B07PTC87XW/ref=sr_1_6?keywords=South+Of+France+French+Milled+Oval+Soap+Lavender+Fields%2C+6+Oz+%28Case+of+4%29&amp;qid=1695170098&amp;sr=8-6")</f>
        <v/>
      </c>
      <c r="F435" t="inlineStr">
        <is>
          <t>B07PTC87XW</t>
        </is>
      </c>
      <c r="G435">
        <f>_xludf.IMAGE("https://www.shelhealth.com/cdn/shop/files/south-of-france-french-milled-oval-soap-lavender-fields-6-oz-case-4-beauty-body-care-shelhealth-841.jpg?v=1688533617&amp;width=1946")</f>
        <v/>
      </c>
      <c r="H435">
        <f>_xludf.IMAGE("https://m.media-amazon.com/images/I/81sxgTfcMDL._AC_UL320_.jpg")</f>
        <v/>
      </c>
      <c r="K435" t="inlineStr">
        <is>
          <t>17.99</t>
        </is>
      </c>
      <c r="L435" t="n">
        <v>19.9</v>
      </c>
      <c r="M435" s="1" t="inlineStr">
        <is>
          <t>10.62%</t>
        </is>
      </c>
      <c r="N435" s="3" t="n">
        <v>10.62</v>
      </c>
      <c r="O435" t="n">
        <v>4.5</v>
      </c>
      <c r="P435" t="n">
        <v>705</v>
      </c>
      <c r="R435" t="inlineStr">
        <is>
          <t>InStock</t>
        </is>
      </c>
      <c r="S435" t="inlineStr">
        <is>
          <t>17.99</t>
        </is>
      </c>
      <c r="T435" t="inlineStr">
        <is>
          <t>7242003677372</t>
        </is>
      </c>
    </row>
    <row r="436" hidden="1" ht="15.75" customHeight="1">
      <c r="A436" s="2">
        <f>HYPERLINK("https://www.shelhealth.com/products/hand-in-hand-hand-soap-sea-salt-sweetmint-eucalyptus-3-x-10-fl-oz", "https://www.shelhealth.com/products/hand-in-hand-hand-soap-sea-salt-sweetmint-eucalyptus-3-x-10-fl-oz")</f>
        <v/>
      </c>
      <c r="B436" s="2">
        <f>HYPERLINK("https://www.shelhealth.com/products/hand-in-hand-hand-soap-sea-salt-sweetmint-eucalyptus-3-x-10-fl-oz", "https://www.shelhealth.com/products/hand-in-hand-hand-soap-sea-salt-sweetmint-eucalyptus-3-x-10-fl-oz")</f>
        <v/>
      </c>
      <c r="C436" t="inlineStr">
        <is>
          <t>Hand in Hand Hand Soap Sea Salt - Sweetmint &amp; Eucalyptus, 3 x 10 fl. oz.</t>
        </is>
      </c>
      <c r="D436" t="inlineStr">
        <is>
          <t>Hand in Hand Nourishing Liquid Hand Soap, 10 Fl Oz, Sweet Mint &amp; Eucalyptus, Sea Salt Scent, 4 Pack</t>
        </is>
      </c>
      <c r="E436" s="2">
        <f>HYPERLINK("https://www.amazon.com/Hand-Nourishing-Liquid-Sweet-Eucalyptus/dp/B09D8NG7QD/ref=sr_1_1?keywords=Hand+in+Hand+Hand+Soap+Sea+Salt+-+Sweetmint&amp;qid=1695170133&amp;sr=8-1", "https://www.amazon.com/Hand-Nourishing-Liquid-Sweet-Eucalyptus/dp/B09D8NG7QD/ref=sr_1_1?keywords=Hand+in+Hand+Hand+Soap+Sea+Salt+-+Sweetmint&amp;qid=1695170133&amp;sr=8-1")</f>
        <v/>
      </c>
      <c r="F436" t="inlineStr">
        <is>
          <t>B09D8NG7QD</t>
        </is>
      </c>
      <c r="G436">
        <f>_xludf.IMAGE("https://www.shelhealth.com/cdn/shop/products/hand-in-soap-sea-salt-sweetmint-eucalyptus-3-x-10-fl-oz-shelhealth-647.jpg?v=1664847044&amp;width=1946")</f>
        <v/>
      </c>
      <c r="H436">
        <f>_xludf.IMAGE("https://m.media-amazon.com/images/I/71r4G3k-BRL._AC_UL320_.jpg")</f>
        <v/>
      </c>
      <c r="K436" t="inlineStr">
        <is>
          <t>19.99</t>
        </is>
      </c>
      <c r="L436" t="n">
        <v>21.99</v>
      </c>
      <c r="M436" s="1" t="inlineStr">
        <is>
          <t>10.01%</t>
        </is>
      </c>
      <c r="N436" s="3" t="n">
        <v>10.01</v>
      </c>
      <c r="O436" t="n">
        <v>4.1</v>
      </c>
      <c r="P436" t="n">
        <v>1157</v>
      </c>
      <c r="R436" t="inlineStr">
        <is>
          <t>InStock</t>
        </is>
      </c>
      <c r="S436" t="inlineStr">
        <is>
          <t>19.99</t>
        </is>
      </c>
      <c r="T436" t="inlineStr">
        <is>
          <t>7682860253416</t>
        </is>
      </c>
    </row>
    <row r="437" hidden="1" ht="15.75" customHeight="1">
      <c r="A437" s="2">
        <f>HYPERLINK("https://www.shelhealth.com/products/856885200109-south-of-france-soap-bar-orange-blossom-honey-6-oz", "https://www.shelhealth.com/products/856885200109-south-of-france-soap-bar-orange-blossom-honey-6-oz")</f>
        <v/>
      </c>
      <c r="B437" s="2">
        <f>HYPERLINK("https://www.shelhealth.com/products/856885200109-south-of-france-soap-bar-orange-blossom-honey-6-oz", "https://www.shelhealth.com/products/856885200109-south-of-france-soap-bar-orange-blossom-honey-6-oz")</f>
        <v/>
      </c>
      <c r="C437" t="inlineStr">
        <is>
          <t>South Of France Soap Bar Orange Blossom Honey, 6 Oz (Case of 4)</t>
        </is>
      </c>
      <c r="D437" t="inlineStr">
        <is>
          <t>Orange Blossom Honey Clean Bar Soap by South of France Clean Body Care | Triple-Milled French Soap with Organic Shea Butter + Essential Oils | Non-GMO Body Soap | 6 oz Bar – 4 Pack</t>
        </is>
      </c>
      <c r="E437" s="2">
        <f>HYPERLINK("https://www.amazon.com/South-France-Bar-Soap-Blossom/dp/B0725DWLRY/ref=sr_1_1?keywords=South+Of+France+Soap+Bar+Orange+Blossom+Honey%2C+6+Oz+%28Case+of+4%29&amp;qid=1695170113&amp;sr=8-1", "https://www.amazon.com/South-France-Bar-Soap-Blossom/dp/B0725DWLRY/ref=sr_1_1?keywords=South+Of+France+Soap+Bar+Orange+Blossom+Honey%2C+6+Oz+%28Case+of+4%29&amp;qid=1695170113&amp;sr=8-1")</f>
        <v/>
      </c>
      <c r="F437" t="inlineStr">
        <is>
          <t>B0725DWLRY</t>
        </is>
      </c>
      <c r="G437">
        <f>_xludf.IMAGE("https://www.shelhealth.com/cdn/shop/files/south-of-france-soap-bar-orange-blossom-honey-6-oz-case-4-beauty-body-care-shelhealth-560.jpg?v=1688533636&amp;width=1946")</f>
        <v/>
      </c>
      <c r="H437">
        <f>_xludf.IMAGE("https://m.media-amazon.com/images/I/818lJ-U9WsL._AC_UL320_.jpg")</f>
        <v/>
      </c>
      <c r="K437" t="inlineStr">
        <is>
          <t>17.99</t>
        </is>
      </c>
      <c r="L437" t="n">
        <v>19.77</v>
      </c>
      <c r="M437" s="1" t="inlineStr">
        <is>
          <t>9.89%</t>
        </is>
      </c>
      <c r="N437" s="3" t="n">
        <v>9.890000000000001</v>
      </c>
      <c r="O437" t="n">
        <v>4.4</v>
      </c>
      <c r="P437" t="n">
        <v>53</v>
      </c>
      <c r="R437" t="inlineStr">
        <is>
          <t>InStock</t>
        </is>
      </c>
      <c r="S437" t="inlineStr">
        <is>
          <t>17.99</t>
        </is>
      </c>
      <c r="T437" t="inlineStr">
        <is>
          <t>7242004791484</t>
        </is>
      </c>
    </row>
    <row r="438" hidden="1" ht="15.75" customHeight="1">
      <c r="A438" s="2">
        <f>HYPERLINK("https://www.shelhealth.com/products/182741000287-a-la-maison-rosemary-mint-bar-soap-8-8-oz", "https://www.shelhealth.com/products/182741000287-a-la-maison-rosemary-mint-bar-soap-8-8-oz")</f>
        <v/>
      </c>
      <c r="B438" s="2">
        <f>HYPERLINK("https://www.shelhealth.com/products/182741000287-a-la-maison-rosemary-mint-bar-soap-8-8-oz", "https://www.shelhealth.com/products/182741000287-a-la-maison-rosemary-mint-bar-soap-8-8-oz")</f>
        <v/>
      </c>
      <c r="C438" t="inlineStr">
        <is>
          <t>A La Maison Rosemary Mint Bar Soap, 8.8 Oz (Case of 4)</t>
        </is>
      </c>
      <c r="D438" t="inlineStr">
        <is>
          <t>A LA MAISON Rosemary Mint Bar Soap - Triple French Milled Natural Moisturizing Hand Soap Bar (12 Bars of Soap, 3.5 oz)</t>
        </is>
      </c>
      <c r="E438" s="2">
        <f>HYPERLINK("https://www.amazon.com/Maison-Rosemary-Mint-Soap-Total/dp/B08HJLP9C1/ref=sr_1_1?keywords=A+La+Maison+Rosemary+Mint+Bar+Soap%2C+8.8+Oz+%28Case+of+4%29&amp;qid=1695170083&amp;sr=8-1", "https://www.amazon.com/Maison-Rosemary-Mint-Soap-Total/dp/B08HJLP9C1/ref=sr_1_1?keywords=A+La+Maison+Rosemary+Mint+Bar+Soap%2C+8.8+Oz+%28Case+of+4%29&amp;qid=1695170083&amp;sr=8-1")</f>
        <v/>
      </c>
      <c r="F438" t="inlineStr">
        <is>
          <t>B08HJLP9C1</t>
        </is>
      </c>
      <c r="G438">
        <f>_xludf.IMAGE("https://www.shelhealth.com/cdn/shop/files/a-la-maison-rosemary-mint-bar-soap-8-oz-case-of-4-beauty-body-care-de-provence-shelhealth-517.jpg?v=1686143668&amp;width=1946")</f>
        <v/>
      </c>
      <c r="H438">
        <f>_xludf.IMAGE("https://m.media-amazon.com/images/I/71dEfqi4tbL._AC_UL320_.jpg")</f>
        <v/>
      </c>
      <c r="K438" t="inlineStr">
        <is>
          <t>20.99</t>
        </is>
      </c>
      <c r="L438" t="n">
        <v>22.99</v>
      </c>
      <c r="M438" s="1" t="inlineStr">
        <is>
          <t>9.53%</t>
        </is>
      </c>
      <c r="N438" s="3" t="n">
        <v>9.529999999999999</v>
      </c>
      <c r="O438" t="n">
        <v>4.6</v>
      </c>
      <c r="P438" t="n">
        <v>2612</v>
      </c>
      <c r="R438" t="inlineStr">
        <is>
          <t>OutOfStock</t>
        </is>
      </c>
      <c r="S438" t="inlineStr">
        <is>
          <t>20.99</t>
        </is>
      </c>
      <c r="T438" t="inlineStr">
        <is>
          <t>7241414049980</t>
        </is>
      </c>
    </row>
    <row r="439" hidden="1" ht="15.75" customHeight="1">
      <c r="A439" s="2">
        <f>HYPERLINK("https://www.shelhealth.com/products/wet-ones-antibacterial-hand-wipes-9-pk-20-ct", "https://www.shelhealth.com/products/wet-ones-antibacterial-hand-wipes-9-pk-20-ct")</f>
        <v/>
      </c>
      <c r="B439" s="2">
        <f>HYPERLINK("https://www.shelhealth.com/products/wet-ones-antibacterial-hand-wipes-9-pk-20-ct", "https://www.shelhealth.com/products/wet-ones-antibacterial-hand-wipes-9-pk-20-ct")</f>
        <v/>
      </c>
      <c r="C439" t="inlineStr">
        <is>
          <t>Wet Ones Antibacterial Hand Wipes, 9 pk./20 ct.</t>
        </is>
      </c>
      <c r="D439" t="inlineStr">
        <is>
          <t>Wet Ones AntibacterialHand Wipes,Tropical Splash Wipes | Travel Wipes Case, Antibacterial Wipes| 20 ct. Travel Size Wipes (10 pack)</t>
        </is>
      </c>
      <c r="E439" s="2">
        <f>HYPERLINK("https://www.amazon.com/Wet-Ones-Citrus-Antibacterial-Wipes/dp/B01KJA5SV6/ref=sr_1_6?keywords=Wet+Ones+Antibacterial+Hand+Wipes%2C+9+pk.%2F20+ct.&amp;qid=1695170048&amp;rdc=1&amp;sr=8-6", "https://www.amazon.com/Wet-Ones-Citrus-Antibacterial-Wipes/dp/B01KJA5SV6/ref=sr_1_6?keywords=Wet+Ones+Antibacterial+Hand+Wipes%2C+9+pk.%2F20+ct.&amp;qid=1695170048&amp;rdc=1&amp;sr=8-6")</f>
        <v/>
      </c>
      <c r="F439" t="inlineStr">
        <is>
          <t>B01KJA5SV6</t>
        </is>
      </c>
      <c r="G439">
        <f>_xludf.IMAGE("https://www.shelhealth.com/cdn/shop/products/wet-ones-antibacterial-hand-wipes-9-pk-20-ct-shelhealth-150.jpg?v=1663352149&amp;width=1946")</f>
        <v/>
      </c>
      <c r="H439">
        <f>_xludf.IMAGE("https://m.media-amazon.com/images/I/71kb57WPF6L._AC_UL320_.jpg")</f>
        <v/>
      </c>
      <c r="K439" t="inlineStr">
        <is>
          <t>17.99</t>
        </is>
      </c>
      <c r="L439" t="n">
        <v>19.7</v>
      </c>
      <c r="M439" s="1" t="inlineStr">
        <is>
          <t>9.51%</t>
        </is>
      </c>
      <c r="N439" s="3" t="n">
        <v>9.51</v>
      </c>
      <c r="O439" t="n">
        <v>4.8</v>
      </c>
      <c r="P439" t="n">
        <v>9317</v>
      </c>
      <c r="R439" t="inlineStr">
        <is>
          <t>OutOfStock</t>
        </is>
      </c>
      <c r="S439" t="inlineStr">
        <is>
          <t>17.99</t>
        </is>
      </c>
      <c r="T439" t="inlineStr">
        <is>
          <t>4115688521780</t>
        </is>
      </c>
    </row>
    <row r="440" hidden="1" ht="15.75" customHeight="1">
      <c r="A440" s="2">
        <f>HYPERLINK("https://www.shelhealth.com/products/wet-ones-antibacterial-hand-wipes-9-pk-20-ct", "https://www.shelhealth.com/products/wet-ones-antibacterial-hand-wipes-9-pk-20-ct")</f>
        <v/>
      </c>
      <c r="B440" s="2">
        <f>HYPERLINK("https://www.shelhealth.com/products/wet-ones-antibacterial-hand-wipes-9-pk-20-ct", "https://www.shelhealth.com/products/wet-ones-antibacterial-hand-wipes-9-pk-20-ct")</f>
        <v/>
      </c>
      <c r="C440" t="inlineStr">
        <is>
          <t>Wet Ones Antibacterial Hand Wipes, 9 pk./20 ct.</t>
        </is>
      </c>
      <c r="D440" t="inlineStr">
        <is>
          <t>Wet Ones AntibacterialHand Wipes,Fresh Scent Wipes | Travel Wipes Case, Antibacterial Wipes| 20 ct. Travel Size Wipes (10 pack)</t>
        </is>
      </c>
      <c r="E440" s="2">
        <f>HYPERLINK("https://www.amazon.com/Wet-Ones-Antibacterial-Wipes-Count/dp/B01KJA4WHW/ref=sr_1_2?keywords=Wet+Ones+Antibacterial+Hand+Wipes%2C+9+pk.%2F20+ct.&amp;qid=1695170048&amp;rdc=1&amp;sr=8-2", "https://www.amazon.com/Wet-Ones-Antibacterial-Wipes-Count/dp/B01KJA4WHW/ref=sr_1_2?keywords=Wet+Ones+Antibacterial+Hand+Wipes%2C+9+pk.%2F20+ct.&amp;qid=1695170048&amp;rdc=1&amp;sr=8-2")</f>
        <v/>
      </c>
      <c r="F440" t="inlineStr">
        <is>
          <t>B01KJA4WHW</t>
        </is>
      </c>
      <c r="G440">
        <f>_xludf.IMAGE("https://www.shelhealth.com/cdn/shop/products/wet-ones-antibacterial-hand-wipes-9-pk-20-ct-shelhealth-150.jpg?v=1663352149&amp;width=1946")</f>
        <v/>
      </c>
      <c r="H440">
        <f>_xludf.IMAGE("https://m.media-amazon.com/images/I/71Z-YEU+tlL._AC_UL320_.jpg")</f>
        <v/>
      </c>
      <c r="K440" t="inlineStr">
        <is>
          <t>17.99</t>
        </is>
      </c>
      <c r="L440" t="n">
        <v>19.7</v>
      </c>
      <c r="M440" s="1" t="inlineStr">
        <is>
          <t>9.51%</t>
        </is>
      </c>
      <c r="N440" s="3" t="n">
        <v>9.51</v>
      </c>
      <c r="O440" t="n">
        <v>4.8</v>
      </c>
      <c r="P440" t="n">
        <v>15598</v>
      </c>
      <c r="R440" t="inlineStr">
        <is>
          <t>OutOfStock</t>
        </is>
      </c>
      <c r="S440" t="inlineStr">
        <is>
          <t>17.99</t>
        </is>
      </c>
      <c r="T440" t="inlineStr">
        <is>
          <t>4115688521780</t>
        </is>
      </c>
    </row>
    <row r="441" hidden="1" ht="15.75" customHeight="1">
      <c r="A441" s="2">
        <f>HYPERLINK("https://www.shelhealth.com/products/718334312088-desert-essence-soap-bar-lemongrass-5-oz", "https://www.shelhealth.com/products/718334312088-desert-essence-soap-bar-lemongrass-5-oz")</f>
        <v/>
      </c>
      <c r="B441" s="2">
        <f>HYPERLINK("https://www.shelhealth.com/products/718334312088-desert-essence-soap-bar-lemongrass-5-oz", "https://www.shelhealth.com/products/718334312088-desert-essence-soap-bar-lemongrass-5-oz")</f>
        <v/>
      </c>
      <c r="C441" t="inlineStr">
        <is>
          <t>Desert Essence Soap Bar Lemongrass, 5 Oz (Case of 4)</t>
        </is>
      </c>
      <c r="D441" t="inlineStr">
        <is>
          <t>Desert Essence, Lemongrass Soap Bar 5 oz (Pack of 4) - Non-GMO Certified - Gluten Free - Vegan - Cruelty Free - Sustainable Palm Oil - Lemongrass Oil &amp; Jojoba Oil - Cleanses, Softens &amp; Awakens</t>
        </is>
      </c>
      <c r="E441" s="2">
        <f>HYPERLINK("https://www.amazon.com/Desert-Essence-Lemongrass-Soap-Pack/dp/B0BXTWC9DW/ref=sr_1_1?keywords=Desert+Essence+Soap+Bar+Lemongrass%2C+5+Oz+%28Case+of+4%29&amp;qid=1695170087&amp;sr=8-1", "https://www.amazon.com/Desert-Essence-Lemongrass-Soap-Pack/dp/B0BXTWC9DW/ref=sr_1_1?keywords=Desert+Essence+Soap+Bar+Lemongrass%2C+5+Oz+%28Case+of+4%29&amp;qid=1695170087&amp;sr=8-1")</f>
        <v/>
      </c>
      <c r="F441" t="inlineStr">
        <is>
          <t>B0BXTWC9DW</t>
        </is>
      </c>
      <c r="G441">
        <f>_xludf.IMAGE("https://www.shelhealth.com/cdn/shop/files/desert-essence-soap-bar-lemongrass-5-oz-case-of-4-beauty-body-care-shelhealth-683.jpg?v=1686525266&amp;width=1946")</f>
        <v/>
      </c>
      <c r="H441">
        <f>_xludf.IMAGE("https://m.media-amazon.com/images/I/819lPjT-dgL._AC_UL320_.jpg")</f>
        <v/>
      </c>
      <c r="K441" t="inlineStr">
        <is>
          <t>19.99</t>
        </is>
      </c>
      <c r="L441" t="n">
        <v>21.56</v>
      </c>
      <c r="M441" s="1" t="inlineStr">
        <is>
          <t>7.85%</t>
        </is>
      </c>
      <c r="N441" s="3" t="n">
        <v>7.85</v>
      </c>
      <c r="O441" t="n">
        <v>4.5</v>
      </c>
      <c r="P441" t="n">
        <v>474</v>
      </c>
      <c r="R441" t="inlineStr">
        <is>
          <t>InStock</t>
        </is>
      </c>
      <c r="S441" t="inlineStr">
        <is>
          <t>19.99</t>
        </is>
      </c>
      <c r="T441" t="inlineStr">
        <is>
          <t>7241592799420</t>
        </is>
      </c>
    </row>
    <row r="442" hidden="1" ht="15.75" customHeight="1">
      <c r="A442" s="2">
        <f>HYPERLINK("https://www.shelhealth.com/products/718334312071-desert-essence-soap-bar-peppermint-5-oz", "https://www.shelhealth.com/products/718334312071-desert-essence-soap-bar-peppermint-5-oz")</f>
        <v/>
      </c>
      <c r="B442" s="2">
        <f>HYPERLINK("https://www.shelhealth.com/products/718334312071-desert-essence-soap-bar-peppermint-5-oz", "https://www.shelhealth.com/products/718334312071-desert-essence-soap-bar-peppermint-5-oz")</f>
        <v/>
      </c>
      <c r="C442" t="inlineStr">
        <is>
          <t>Desert Essence Soap Bar Peppermint, 5 Oz (Case of 4)</t>
        </is>
      </c>
      <c r="D442" t="inlineStr">
        <is>
          <t>Desert Essence, Peppermint Soap Bar 5 oz (Pack of 4) - Non-GMO, Gluten Free, Vegan, Cruelty Free - Sustainable Palm Oil - Peppermint Oil &amp; Eco-Harvest Tea Tree Oil - Cleanses, Soothes &amp; Softens Skin</t>
        </is>
      </c>
      <c r="E442" s="2">
        <f>HYPERLINK("https://www.amazon.com/Desert-Essence-Peppermint-Soap-Pack/dp/B0BXTZD7GS/ref=sr_1_1?keywords=Desert+Essence+Soap+Bar+Peppermint%2C+5+Oz+%28Case+of+4%29&amp;qid=1695170081&amp;sr=8-1", "https://www.amazon.com/Desert-Essence-Peppermint-Soap-Pack/dp/B0BXTZD7GS/ref=sr_1_1?keywords=Desert+Essence+Soap+Bar+Peppermint%2C+5+Oz+%28Case+of+4%29&amp;qid=1695170081&amp;sr=8-1")</f>
        <v/>
      </c>
      <c r="F442" t="inlineStr">
        <is>
          <t>B0BXTZD7GS</t>
        </is>
      </c>
      <c r="G442">
        <f>_xludf.IMAGE("https://www.shelhealth.com/cdn/shop/files/desert-essence-soap-bar-peppermint-5-oz-case-of-4-beauty-body-care-shelhealth-198.jpg?v=1686525269&amp;width=1946")</f>
        <v/>
      </c>
      <c r="H442">
        <f>_xludf.IMAGE("https://m.media-amazon.com/images/I/81vyf0C6ncL._AC_UL320_.jpg")</f>
        <v/>
      </c>
      <c r="K442" t="inlineStr">
        <is>
          <t>19.99</t>
        </is>
      </c>
      <c r="L442" t="n">
        <v>21.56</v>
      </c>
      <c r="M442" s="1" t="inlineStr">
        <is>
          <t>7.85%</t>
        </is>
      </c>
      <c r="N442" s="3" t="n">
        <v>7.85</v>
      </c>
      <c r="O442" t="n">
        <v>5</v>
      </c>
      <c r="P442" t="n">
        <v>4</v>
      </c>
      <c r="R442" t="inlineStr">
        <is>
          <t>InStock</t>
        </is>
      </c>
      <c r="S442" t="inlineStr">
        <is>
          <t>19.99</t>
        </is>
      </c>
      <c r="T442" t="inlineStr">
        <is>
          <t>7241592930492</t>
        </is>
      </c>
    </row>
    <row r="443" hidden="1" ht="15.75" customHeight="1">
      <c r="A443" s="2">
        <f>HYPERLINK("https://www.shelhealth.com/products/718334312095-desert-essence-soap-bar-creamy-coconut-5-oz", "https://www.shelhealth.com/products/718334312095-desert-essence-soap-bar-creamy-coconut-5-oz")</f>
        <v/>
      </c>
      <c r="B443" s="2">
        <f>HYPERLINK("https://www.shelhealth.com/products/718334312095-desert-essence-soap-bar-creamy-coconut-5-oz", "https://www.shelhealth.com/products/718334312095-desert-essence-soap-bar-creamy-coconut-5-oz")</f>
        <v/>
      </c>
      <c r="C443" t="inlineStr">
        <is>
          <t>Desert Essence Soap Bar Creamy Coconut, 5 Oz (Case of 4)</t>
        </is>
      </c>
      <c r="D443" t="inlineStr">
        <is>
          <t>Desert Essence, Creamy Coconut Soap Bar 5 oz (Pack of 4) - Non-GMO - Gluten Free - Vegan - Colloidal Oatmeal &amp; Jojoba Seed Powder - Cleanses with Delicious Coconut Scent</t>
        </is>
      </c>
      <c r="E443" s="2">
        <f>HYPERLINK("https://www.amazon.com/Desert-Essence-Creamy-Coconut-Soap/dp/B0BXTW15FG/ref=sr_1_1?keywords=Desert+Essence+Soap+Bar+Creamy+Coconut%2C+5+Oz+%28Case+of+4%29&amp;qid=1695170087&amp;sr=8-1", "https://www.amazon.com/Desert-Essence-Creamy-Coconut-Soap/dp/B0BXTW15FG/ref=sr_1_1?keywords=Desert+Essence+Soap+Bar+Creamy+Coconut%2C+5+Oz+%28Case+of+4%29&amp;qid=1695170087&amp;sr=8-1")</f>
        <v/>
      </c>
      <c r="F443" t="inlineStr">
        <is>
          <t>B0BXTW15FG</t>
        </is>
      </c>
      <c r="G443">
        <f>_xludf.IMAGE("https://www.shelhealth.com/cdn/shop/files/desert-essence-soap-bar-creamy-coconut-5-oz-case-of-4-beauty-body-care-shelhealth-722.jpg?v=1686525273&amp;width=1946")</f>
        <v/>
      </c>
      <c r="H443">
        <f>_xludf.IMAGE("https://m.media-amazon.com/images/I/81Bkla-eX7L._AC_UL320_.jpg")</f>
        <v/>
      </c>
      <c r="K443" t="inlineStr">
        <is>
          <t>19.99</t>
        </is>
      </c>
      <c r="L443" t="n">
        <v>21.56</v>
      </c>
      <c r="M443" s="1" t="inlineStr">
        <is>
          <t>7.85%</t>
        </is>
      </c>
      <c r="N443" s="3" t="n">
        <v>7.85</v>
      </c>
      <c r="O443" t="n">
        <v>1</v>
      </c>
      <c r="P443" t="n">
        <v>1</v>
      </c>
      <c r="R443" t="inlineStr">
        <is>
          <t>InStock</t>
        </is>
      </c>
      <c r="S443" t="inlineStr">
        <is>
          <t>19.99</t>
        </is>
      </c>
      <c r="T443" t="inlineStr">
        <is>
          <t>7241592340668</t>
        </is>
      </c>
    </row>
    <row r="444" hidden="1" ht="15.75" customHeight="1">
      <c r="A444" s="2">
        <f>HYPERLINK("https://www.shelhealth.com/products/856885200123-south-of-france-soap-bar-green-tea-6-oz", "https://www.shelhealth.com/products/856885200123-south-of-france-soap-bar-green-tea-6-oz")</f>
        <v/>
      </c>
      <c r="B444" s="2">
        <f>HYPERLINK("https://www.shelhealth.com/products/856885200123-south-of-france-soap-bar-green-tea-6-oz", "https://www.shelhealth.com/products/856885200123-south-of-france-soap-bar-green-tea-6-oz")</f>
        <v/>
      </c>
      <c r="C444" t="inlineStr">
        <is>
          <t>South Of France Soap Bar Green Tea, 6 Oz (Case of 4)</t>
        </is>
      </c>
      <c r="D444" t="inlineStr">
        <is>
          <t>South of France Bar Soap - Green Tea - Full Size - 6 oz - (Pack of 3)</t>
        </is>
      </c>
      <c r="E444" s="2">
        <f>HYPERLINK("https://www.amazon.com/South-France-Bar-Soap-Green/dp/B071JC8SSB/ref=sr_1_2?keywords=South+Of+France+Soap+Bar+Green+Tea%2C+6+Oz+%28Case+of+4%29&amp;qid=1695170092&amp;sr=8-2", "https://www.amazon.com/South-France-Bar-Soap-Green/dp/B071JC8SSB/ref=sr_1_2?keywords=South+Of+France+Soap+Bar+Green+Tea%2C+6+Oz+%28Case+of+4%29&amp;qid=1695170092&amp;sr=8-2")</f>
        <v/>
      </c>
      <c r="F444" t="inlineStr">
        <is>
          <t>B071JC8SSB</t>
        </is>
      </c>
      <c r="G444">
        <f>_xludf.IMAGE("https://www.shelhealth.com/cdn/shop/files/south-of-france-soap-bar-green-tea-6-oz-case-4-beauty-body-care-shelhealth-818.jpg?v=1688533872&amp;width=1946")</f>
        <v/>
      </c>
      <c r="H444">
        <f>_xludf.IMAGE("https://m.media-amazon.com/images/I/71ih+sd5miL._AC_UL320_.jpg")</f>
        <v/>
      </c>
      <c r="K444" t="inlineStr">
        <is>
          <t>17.99</t>
        </is>
      </c>
      <c r="L444" t="n">
        <v>19.38</v>
      </c>
      <c r="M444" s="1" t="inlineStr">
        <is>
          <t>7.73%</t>
        </is>
      </c>
      <c r="N444" s="3" t="n">
        <v>7.73</v>
      </c>
      <c r="O444" t="n">
        <v>4.5</v>
      </c>
      <c r="P444" t="n">
        <v>3</v>
      </c>
      <c r="R444" t="inlineStr">
        <is>
          <t>InStock</t>
        </is>
      </c>
      <c r="S444" t="inlineStr">
        <is>
          <t>17.99</t>
        </is>
      </c>
      <c r="T444" t="inlineStr">
        <is>
          <t>7242004660412</t>
        </is>
      </c>
    </row>
    <row r="445" hidden="1" ht="15.75" customHeight="1">
      <c r="A445" s="2">
        <f>HYPERLINK("https://www.shelhealth.com/products/856885200185-south-of-france-blooming-jasmine-bar-soap-6-oz", "https://www.shelhealth.com/products/856885200185-south-of-france-blooming-jasmine-bar-soap-6-oz")</f>
        <v/>
      </c>
      <c r="B445" s="2">
        <f>HYPERLINK("https://www.shelhealth.com/products/856885200185-south-of-france-blooming-jasmine-bar-soap-6-oz", "https://www.shelhealth.com/products/856885200185-south-of-france-blooming-jasmine-bar-soap-6-oz")</f>
        <v/>
      </c>
      <c r="C445" t="inlineStr">
        <is>
          <t>South Of France Blooming Jasmine Bar Soap, 6 Oz (Case of 4)</t>
        </is>
      </c>
      <c r="D445" t="inlineStr">
        <is>
          <t>Blooming Jasmine Clean Bar Soap by South of France Clean Body Care | Triple-Milled French Soap with Organic Shea Butter + Essential Oils | Vegan, Non-GMO Body Soap | 6 oz Bar – 4 Pack</t>
        </is>
      </c>
      <c r="E445" s="2">
        <f>HYPERLINK("https://www.amazon.com/Blooming-Jasmine-France-Natural-Triple/dp/B07L411N9H/ref=sr_1_3?keywords=South+Of+France+Blooming+Jasmine+Bar+Soap%2C+6+Oz+%28Case+of+4%29&amp;qid=1695170102&amp;sr=8-3", "https://www.amazon.com/Blooming-Jasmine-France-Natural-Triple/dp/B07L411N9H/ref=sr_1_3?keywords=South+Of+France+Blooming+Jasmine+Bar+Soap%2C+6+Oz+%28Case+of+4%29&amp;qid=1695170102&amp;sr=8-3")</f>
        <v/>
      </c>
      <c r="F445" t="inlineStr">
        <is>
          <t>B07L411N9H</t>
        </is>
      </c>
      <c r="G445">
        <f>_xludf.IMAGE("https://www.shelhealth.com/cdn/shop/files/south-of-france-blooming-jasmine-bar-soap-6-oz-case-4-beauty-body-care-shelhealth-852.jpg?v=1688533742&amp;width=1946")</f>
        <v/>
      </c>
      <c r="H445">
        <f>_xludf.IMAGE("https://m.media-amazon.com/images/I/81hc48p084L._AC_UL320_.jpg")</f>
        <v/>
      </c>
      <c r="K445" t="inlineStr">
        <is>
          <t>17.99</t>
        </is>
      </c>
      <c r="L445" t="n">
        <v>18.99</v>
      </c>
      <c r="M445" s="1" t="inlineStr">
        <is>
          <t>5.56%</t>
        </is>
      </c>
      <c r="N445" s="3" t="n">
        <v>5.56</v>
      </c>
      <c r="O445" t="n">
        <v>4.5</v>
      </c>
      <c r="P445" t="n">
        <v>705</v>
      </c>
      <c r="R445" t="inlineStr">
        <is>
          <t>InStock</t>
        </is>
      </c>
      <c r="S445" t="inlineStr">
        <is>
          <t>17.99</t>
        </is>
      </c>
      <c r="T445" t="inlineStr">
        <is>
          <t>7242003611836</t>
        </is>
      </c>
    </row>
    <row r="446" hidden="1" ht="15.75" customHeight="1">
      <c r="A446" s="2">
        <f>HYPERLINK("https://www.shelhealth.com/products/856885200147-south-of-france-soap-bar-climbing-wild-rose-6-oz", "https://www.shelhealth.com/products/856885200147-south-of-france-soap-bar-climbing-wild-rose-6-oz")</f>
        <v/>
      </c>
      <c r="B446" s="2">
        <f>HYPERLINK("https://www.shelhealth.com/products/856885200147-south-of-france-soap-bar-climbing-wild-rose-6-oz", "https://www.shelhealth.com/products/856885200147-south-of-france-soap-bar-climbing-wild-rose-6-oz")</f>
        <v/>
      </c>
      <c r="C446" t="inlineStr">
        <is>
          <t>South Of France Soap Bar Climbing Wild Rose, 6 Oz (Case of 4)</t>
        </is>
      </c>
      <c r="D446" t="inlineStr">
        <is>
          <t>Climbing Wild Rose Clean Bar Soap by South of France Clean Body Care | Triple-Milled French Soap with Organic Shea Butter + Essential Oils | Vegan, Non-GMO Body Soap | 6 oz Bar – 4 Pack</t>
        </is>
      </c>
      <c r="E446" s="2">
        <f>HYPERLINK("https://www.amazon.com/South-France-Body-Care-Triple-Milled/dp/B07L42QJ7T/ref=sr_1_1?keywords=South+Of+France+Soap+Bar+Climbing+Wild+Rose%2C+6+Oz+%28Case+of+4%29&amp;qid=1695170098&amp;sr=8-1", "https://www.amazon.com/South-France-Body-Care-Triple-Milled/dp/B07L42QJ7T/ref=sr_1_1?keywords=South+Of+France+Soap+Bar+Climbing+Wild+Rose%2C+6+Oz+%28Case+of+4%29&amp;qid=1695170098&amp;sr=8-1")</f>
        <v/>
      </c>
      <c r="F446" t="inlineStr">
        <is>
          <t>B07L42QJ7T</t>
        </is>
      </c>
      <c r="G446">
        <f>_xludf.IMAGE("https://www.shelhealth.com/cdn/shop/files/south-of-france-soap-bar-climbing-wild-rose-6-oz-case-4-beauty-body-care-shelhealth-867.jpg?v=1687416908&amp;width=1946")</f>
        <v/>
      </c>
      <c r="H446">
        <f>_xludf.IMAGE("https://m.media-amazon.com/images/I/811wVyA+bvL._AC_UL320_.jpg")</f>
        <v/>
      </c>
      <c r="K446" t="inlineStr">
        <is>
          <t>17.99</t>
        </is>
      </c>
      <c r="L446" t="n">
        <v>18.99</v>
      </c>
      <c r="M446" s="1" t="inlineStr">
        <is>
          <t>5.56%</t>
        </is>
      </c>
      <c r="N446" s="3" t="n">
        <v>5.56</v>
      </c>
      <c r="O446" t="n">
        <v>4.5</v>
      </c>
      <c r="P446" t="n">
        <v>705</v>
      </c>
      <c r="R446" t="inlineStr">
        <is>
          <t>InStock</t>
        </is>
      </c>
      <c r="S446" t="inlineStr">
        <is>
          <t>17.99</t>
        </is>
      </c>
      <c r="T446" t="inlineStr">
        <is>
          <t>7242004529340</t>
        </is>
      </c>
    </row>
    <row r="447" hidden="1" ht="15.75" customHeight="1">
      <c r="A447" s="2">
        <f>HYPERLINK("https://www.shelhealth.com/products/dove-beauty-bar-white-4-oz-16-bar", "https://www.shelhealth.com/products/dove-beauty-bar-white-4-oz-16-bar")</f>
        <v/>
      </c>
      <c r="B447" s="2">
        <f>HYPERLINK("https://www.shelhealth.com/products/dove-beauty-bar-white-4-oz-16-bar", "https://www.shelhealth.com/products/dove-beauty-bar-white-4-oz-16-bar")</f>
        <v/>
      </c>
      <c r="C447" t="inlineStr">
        <is>
          <t>Dove Beauty Bar, White 4 oz, 16 Bar</t>
        </is>
      </c>
      <c r="D447" t="inlineStr">
        <is>
          <t>Dove Beauty Bar, White 4 oz, 16 Bar</t>
        </is>
      </c>
      <c r="E447" s="2">
        <f>HYPERLINK("https://www.amazon.com/Dove-Beauty-Bar-White-16/dp/B005HO0A1I/ref=sr_1_2?keywords=Dove+Beauty+Bar%2C+White+4+oz%2C+16+Bar&amp;qid=1695170051&amp;sr=8-2", "https://www.amazon.com/Dove-Beauty-Bar-White-16/dp/B005HO0A1I/ref=sr_1_2?keywords=Dove+Beauty+Bar%2C+White+4+oz%2C+16+Bar&amp;qid=1695170051&amp;sr=8-2")</f>
        <v/>
      </c>
      <c r="F447" t="inlineStr">
        <is>
          <t>B005HO0A1I</t>
        </is>
      </c>
      <c r="G447">
        <f>_xludf.IMAGE("https://www.shelhealth.com/cdn/shop/products/dove-beauty-bar-white-4-oz-16-shelhealth-224.jpg?v=1663338544&amp;width=1946")</f>
        <v/>
      </c>
      <c r="H447">
        <f>_xludf.IMAGE("https://m.media-amazon.com/images/I/811973429FL._AC_UL320_.jpg")</f>
        <v/>
      </c>
      <c r="K447" t="inlineStr">
        <is>
          <t>22.99</t>
        </is>
      </c>
      <c r="L447" t="n">
        <v>23.99</v>
      </c>
      <c r="M447" s="1" t="inlineStr">
        <is>
          <t>4.35%</t>
        </is>
      </c>
      <c r="N447" s="3" t="n">
        <v>4.35</v>
      </c>
      <c r="O447" t="n">
        <v>4.5</v>
      </c>
      <c r="P447" t="n">
        <v>1156</v>
      </c>
      <c r="R447" t="inlineStr">
        <is>
          <t>InStock</t>
        </is>
      </c>
      <c r="S447" t="inlineStr">
        <is>
          <t>22.99</t>
        </is>
      </c>
      <c r="T447" t="inlineStr">
        <is>
          <t>3785897050164</t>
        </is>
      </c>
    </row>
    <row r="448" hidden="1" ht="15.75" customHeight="1">
      <c r="A448" s="2">
        <f>HYPERLINK("https://www.shelhealth.com/products/856885200819-south-of-france-lavender-fields-hand-wash-8-oz", "https://www.shelhealth.com/products/856885200819-south-of-france-lavender-fields-hand-wash-8-oz")</f>
        <v/>
      </c>
      <c r="B448" s="2">
        <f>HYPERLINK("https://www.shelhealth.com/products/856885200819-south-of-france-lavender-fields-hand-wash-8-oz", "https://www.shelhealth.com/products/856885200819-south-of-france-lavender-fields-hand-wash-8-oz")</f>
        <v/>
      </c>
      <c r="C448" t="inlineStr">
        <is>
          <t>South Of France Lavender Fields Hand Wash, 8 Oz (Case of 4)</t>
        </is>
      </c>
      <c r="D448" t="inlineStr">
        <is>
          <t>South of France Soothing Lavender Fields Hand Wash, Gluten Free, Cruelty Free, 8 Ounce (Pack of 3)</t>
        </is>
      </c>
      <c r="E448" s="2">
        <f>HYPERLINK("https://www.amazon.com/South-France-Lavender-Fields-Ounce/dp/B0771XK147/ref=sr_1_2?keywords=South+Of+France+Lavender+Fields+Hand+Wash%2C+8+Oz+%28Case+of+4%29&amp;qid=1695170058&amp;sr=8-2", "https://www.amazon.com/South-France-Lavender-Fields-Ounce/dp/B0771XK147/ref=sr_1_2?keywords=South+Of+France+Lavender+Fields+Hand+Wash%2C+8+Oz+%28Case+of+4%29&amp;qid=1695170058&amp;sr=8-2")</f>
        <v/>
      </c>
      <c r="F448" t="inlineStr">
        <is>
          <t>B0771XK147</t>
        </is>
      </c>
      <c r="G448">
        <f>_xludf.IMAGE("https://www.shelhealth.com/cdn/shop/files/south-of-france-lavender-fields-hand-wash-8-oz-case-4-beauty-body-care-shelhealth-857.jpg?v=1688533870&amp;width=1946")</f>
        <v/>
      </c>
      <c r="H448">
        <f>_xludf.IMAGE("https://m.media-amazon.com/images/I/81Oub42YknL._AC_UL320_.jpg")</f>
        <v/>
      </c>
      <c r="K448" t="inlineStr">
        <is>
          <t>17.99</t>
        </is>
      </c>
      <c r="L448" t="n">
        <v>18.65</v>
      </c>
      <c r="M448" s="1" t="inlineStr">
        <is>
          <t>3.67%</t>
        </is>
      </c>
      <c r="N448" s="3" t="n">
        <v>3.67</v>
      </c>
      <c r="O448" t="n">
        <v>5</v>
      </c>
      <c r="P448" t="n">
        <v>1</v>
      </c>
      <c r="R448" t="inlineStr">
        <is>
          <t>InStock</t>
        </is>
      </c>
      <c r="S448" t="inlineStr">
        <is>
          <t>17.99</t>
        </is>
      </c>
      <c r="T448" t="inlineStr">
        <is>
          <t>7242004398268</t>
        </is>
      </c>
    </row>
    <row r="449" hidden="1" ht="15.75" customHeight="1">
      <c r="A449" s="2">
        <f>HYPERLINK("https://www.shelhealth.com/products/softsoap-liquid-hand-soap-refill-aquarium-series-2-pk-64-oz", "https://www.shelhealth.com/products/softsoap-liquid-hand-soap-refill-aquarium-series-2-pk-64-oz")</f>
        <v/>
      </c>
      <c r="B449" s="2">
        <f>HYPERLINK("https://www.shelhealth.com/products/softsoap-liquid-hand-soap-refill-aquarium-series-2-pk-64-oz", "https://www.shelhealth.com/products/softsoap-liquid-hand-soap-refill-aquarium-series-2-pk-64-oz")</f>
        <v/>
      </c>
      <c r="C449" t="inlineStr">
        <is>
          <t>Softsoap Liquid Hand Soap Refill, Aquarium Series, 2 pk./64 oz.</t>
        </is>
      </c>
      <c r="D449" t="inlineStr">
        <is>
          <t>Softsoap Clear Liquid Hand Soap, 2 pk./64 oz.</t>
        </is>
      </c>
      <c r="E449" s="2">
        <f>HYPERLINK("https://www.amazon.com/Softsoap-Clear-Liquid-Hand-Soap/dp/B06ZXY3PHV/ref=sr_1_2?keywords=Softsoap+Liquid+Hand+Soap+Refill%2C+Aquarium+Series%2C+2+pk.%2F64+oz.&amp;qid=1695170040&amp;sr=8-2", "https://www.amazon.com/Softsoap-Clear-Liquid-Hand-Soap/dp/B06ZXY3PHV/ref=sr_1_2?keywords=Softsoap+Liquid+Hand+Soap+Refill%2C+Aquarium+Series%2C+2+pk.%2F64+oz.&amp;qid=1695170040&amp;sr=8-2")</f>
        <v/>
      </c>
      <c r="F449" t="inlineStr">
        <is>
          <t>B06ZXY3PHV</t>
        </is>
      </c>
      <c r="G449">
        <f>_xludf.IMAGE("https://www.shelhealth.com/cdn/shop/products/softsoap-liquid-hand-soap-refill-aquarium-series-2-pk-64-oz-shelhealth-497.jpg?v=1663354350&amp;width=1946")</f>
        <v/>
      </c>
      <c r="H449">
        <f>_xludf.IMAGE("https://m.media-amazon.com/images/I/61O1MYTGF1L._AC_UL320_.jpg")</f>
        <v/>
      </c>
      <c r="K449" t="inlineStr">
        <is>
          <t>27.99</t>
        </is>
      </c>
      <c r="L449" t="n">
        <v>28.9</v>
      </c>
      <c r="M449" s="1" t="inlineStr">
        <is>
          <t>3.25%</t>
        </is>
      </c>
      <c r="N449" s="3" t="n">
        <v>3.25</v>
      </c>
      <c r="O449" t="n">
        <v>4.7</v>
      </c>
      <c r="P449" t="n">
        <v>1065</v>
      </c>
      <c r="R449" t="inlineStr">
        <is>
          <t>InStock</t>
        </is>
      </c>
      <c r="S449" t="inlineStr">
        <is>
          <t>27.99</t>
        </is>
      </c>
      <c r="T449" t="inlineStr">
        <is>
          <t>4167566721076</t>
        </is>
      </c>
    </row>
    <row r="450" hidden="1" ht="15.75" customHeight="1">
      <c r="A450" s="2">
        <f>HYPERLINK("https://www.shelhealth.com/products/856885200147-south-of-france-soap-bar-climbing-wild-rose-6-oz", "https://www.shelhealth.com/products/856885200147-south-of-france-soap-bar-climbing-wild-rose-6-oz")</f>
        <v/>
      </c>
      <c r="B450" s="2">
        <f>HYPERLINK("https://www.shelhealth.com/products/856885200147-south-of-france-soap-bar-climbing-wild-rose-6-oz", "https://www.shelhealth.com/products/856885200147-south-of-france-soap-bar-climbing-wild-rose-6-oz")</f>
        <v/>
      </c>
      <c r="C450" t="inlineStr">
        <is>
          <t>South Of France Soap Bar Climbing Wild Rose, 6 Oz (Case of 4)</t>
        </is>
      </c>
      <c r="D450" t="inlineStr">
        <is>
          <t>South of France Bar Soap - Climbing Wild Rose - Full Size - 6 oz - (Pack of 3)</t>
        </is>
      </c>
      <c r="E450" s="2">
        <f>HYPERLINK("https://www.amazon.com/South-France-Bar-Soap-Climbing/dp/B071W9GNBM/ref=sr_1_4?keywords=South+Of+France+Soap+Bar+Climbing+Wild+Rose%2C+6+Oz+%28Case+of+4%29&amp;qid=1695170098&amp;sr=8-4", "https://www.amazon.com/South-France-Bar-Soap-Climbing/dp/B071W9GNBM/ref=sr_1_4?keywords=South+Of+France+Soap+Bar+Climbing+Wild+Rose%2C+6+Oz+%28Case+of+4%29&amp;qid=1695170098&amp;sr=8-4")</f>
        <v/>
      </c>
      <c r="F450" t="inlineStr">
        <is>
          <t>B071W9GNBM</t>
        </is>
      </c>
      <c r="G450">
        <f>_xludf.IMAGE("https://www.shelhealth.com/cdn/shop/files/south-of-france-soap-bar-climbing-wild-rose-6-oz-case-4-beauty-body-care-shelhealth-867.jpg?v=1687416908&amp;width=1946")</f>
        <v/>
      </c>
      <c r="H450">
        <f>_xludf.IMAGE("https://m.media-amazon.com/images/I/71byShhOPKL._AC_UL320_.jpg")</f>
        <v/>
      </c>
      <c r="K450" t="inlineStr">
        <is>
          <t>17.99</t>
        </is>
      </c>
      <c r="L450" t="n">
        <v>18.5</v>
      </c>
      <c r="M450" s="1" t="inlineStr">
        <is>
          <t>2.83%</t>
        </is>
      </c>
      <c r="N450" s="3" t="n">
        <v>2.83</v>
      </c>
      <c r="O450" t="n">
        <v>4.8</v>
      </c>
      <c r="P450" t="n">
        <v>20</v>
      </c>
      <c r="R450" t="inlineStr">
        <is>
          <t>InStock</t>
        </is>
      </c>
      <c r="S450" t="inlineStr">
        <is>
          <t>17.99</t>
        </is>
      </c>
      <c r="T450" t="inlineStr">
        <is>
          <t>7242004529340</t>
        </is>
      </c>
    </row>
    <row r="451" hidden="1" ht="15.75" customHeight="1">
      <c r="A451" s="2">
        <f>HYPERLINK("https://www.shelhealth.com/products/softsoap-liquid-hand-soap-refill-aquarium-series-2-pk-64-oz", "https://www.shelhealth.com/products/softsoap-liquid-hand-soap-refill-aquarium-series-2-pk-64-oz")</f>
        <v/>
      </c>
      <c r="B451" s="2">
        <f>HYPERLINK("https://www.shelhealth.com/products/softsoap-liquid-hand-soap-refill-aquarium-series-2-pk-64-oz", "https://www.shelhealth.com/products/softsoap-liquid-hand-soap-refill-aquarium-series-2-pk-64-oz")</f>
        <v/>
      </c>
      <c r="C451" t="inlineStr">
        <is>
          <t>Softsoap Liquid Hand Soap Refill, Aquarium Series, 2 pk./64 oz.</t>
        </is>
      </c>
      <c r="D451" t="inlineStr">
        <is>
          <t>Softsoap Liquid Hand Soap, Aquarium Series, Basic Pack, Unscented, 64 Fl Oz (Pack of 2)</t>
        </is>
      </c>
      <c r="E451" s="2">
        <f>HYPERLINK("https://www.amazon.com/Softsoap-Liquid-Aquarium-64-Ounce-Refill/dp/B00CF40WGG/ref=sr_1_1?keywords=Softsoap+Liquid+Hand+Soap+Refill%2C+Aquarium+Series%2C+2+pk.%2F64+oz.&amp;qid=1695170040&amp;sr=8-1", "https://www.amazon.com/Softsoap-Liquid-Aquarium-64-Ounce-Refill/dp/B00CF40WGG/ref=sr_1_1?keywords=Softsoap+Liquid+Hand+Soap+Refill%2C+Aquarium+Series%2C+2+pk.%2F64+oz.&amp;qid=1695170040&amp;sr=8-1")</f>
        <v/>
      </c>
      <c r="F451" t="inlineStr">
        <is>
          <t>B00CF40WGG</t>
        </is>
      </c>
      <c r="G451">
        <f>_xludf.IMAGE("https://www.shelhealth.com/cdn/shop/products/softsoap-liquid-hand-soap-refill-aquarium-series-2-pk-64-oz-shelhealth-497.jpg?v=1663354350&amp;width=1946")</f>
        <v/>
      </c>
      <c r="H451">
        <f>_xludf.IMAGE("https://m.media-amazon.com/images/I/71hUznBEBtL._AC_UL320_.jpg")</f>
        <v/>
      </c>
      <c r="K451" t="inlineStr">
        <is>
          <t>27.99</t>
        </is>
      </c>
      <c r="L451" t="n">
        <v>28.5</v>
      </c>
      <c r="M451" s="1" t="inlineStr">
        <is>
          <t>1.82%</t>
        </is>
      </c>
      <c r="N451" s="3" t="n">
        <v>1.82</v>
      </c>
      <c r="O451" t="n">
        <v>4.7</v>
      </c>
      <c r="P451" t="n">
        <v>3509</v>
      </c>
      <c r="R451" t="inlineStr">
        <is>
          <t>InStock</t>
        </is>
      </c>
      <c r="S451" t="inlineStr">
        <is>
          <t>27.99</t>
        </is>
      </c>
      <c r="T451" t="inlineStr">
        <is>
          <t>4167566721076</t>
        </is>
      </c>
    </row>
    <row r="452" hidden="1" ht="15.75" customHeight="1">
      <c r="A452" s="2">
        <f>HYPERLINK("https://www.shelhealth.com/products/hand-in-hand-hand-soap-citrus-grove-grapefruit-orange-blossom-3-x-10-fl-oz", "https://www.shelhealth.com/products/hand-in-hand-hand-soap-citrus-grove-grapefruit-orange-blossom-3-x-10-fl-oz")</f>
        <v/>
      </c>
      <c r="B452" s="2">
        <f>HYPERLINK("https://www.shelhealth.com/products/hand-in-hand-hand-soap-citrus-grove-grapefruit-orange-blossom-3-x-10-fl-oz", "https://www.shelhealth.com/products/hand-in-hand-hand-soap-citrus-grove-grapefruit-orange-blossom-3-x-10-fl-oz")</f>
        <v/>
      </c>
      <c r="C452" t="inlineStr">
        <is>
          <t>Hand in Hand Hand Soap Citrus Grove - Grapefruit &amp; Orange Blossom, 3 x 10 fl. oz.</t>
        </is>
      </c>
      <c r="D452" t="inlineStr">
        <is>
          <t>Grove Co. Hydrating Gel Hand Soap Refills (3 x 13 Fl Oz) Plastic-Free Liquid Hands Cleaner Refill Set, Leaves Hands Soft and Clean, 100% Natural Lavender Blossom &amp; Thyme Fragrance</t>
        </is>
      </c>
      <c r="E452" s="2">
        <f>HYPERLINK("https://www.amazon.com/Grove-Co-Hydrating-Plastic-Free-Fragrance/dp/B0BSR2NZXS/ref=sr_1_7?keywords=Hand+in+Hand+Hand+Soap+Citrus+Grove+-+Grapefruit&amp;qid=1695170137&amp;sr=8-7", "https://www.amazon.com/Grove-Co-Hydrating-Plastic-Free-Fragrance/dp/B0BSR2NZXS/ref=sr_1_7?keywords=Hand+in+Hand+Hand+Soap+Citrus+Grove+-+Grapefruit&amp;qid=1695170137&amp;sr=8-7")</f>
        <v/>
      </c>
      <c r="F452" t="inlineStr">
        <is>
          <t>B0BSR2NZXS</t>
        </is>
      </c>
      <c r="G452">
        <f>_xludf.IMAGE("https://www.shelhealth.com/cdn/shop/products/hand-in-soap-citrus-grove-grapefruit-orange-blossom-3-x-10-fl-oz-shelhealth-273.jpg?v=1664847037&amp;width=1946")</f>
        <v/>
      </c>
      <c r="H452">
        <f>_xludf.IMAGE("https://m.media-amazon.com/images/I/81xT7zvV4CL._AC_UL320_.jpg")</f>
        <v/>
      </c>
      <c r="K452" t="inlineStr">
        <is>
          <t>19.99</t>
        </is>
      </c>
      <c r="L452" t="n">
        <v>19.99</v>
      </c>
      <c r="M452" s="1" t="inlineStr">
        <is>
          <t>0.00%</t>
        </is>
      </c>
      <c r="N452" s="3" t="n">
        <v>0</v>
      </c>
      <c r="O452" t="n">
        <v>4.7</v>
      </c>
      <c r="P452" t="n">
        <v>26</v>
      </c>
      <c r="R452" t="inlineStr">
        <is>
          <t>InStock</t>
        </is>
      </c>
      <c r="S452" t="inlineStr">
        <is>
          <t>19.99</t>
        </is>
      </c>
      <c r="T452" t="inlineStr">
        <is>
          <t>7682859663592</t>
        </is>
      </c>
    </row>
    <row r="453" hidden="1" ht="15.75" customHeight="1">
      <c r="A453" s="2">
        <f>HYPERLINK("https://www.shelhealth.com/products/dove-white-bar-16-pk-64-oz", "https://www.shelhealth.com/products/dove-white-bar-16-pk-64-oz")</f>
        <v/>
      </c>
      <c r="B453" s="2">
        <f>HYPERLINK("https://www.shelhealth.com/products/dove-white-bar-16-pk-64-oz", "https://www.shelhealth.com/products/dove-white-bar-16-pk-64-oz")</f>
        <v/>
      </c>
      <c r="C453" t="inlineStr">
        <is>
          <t>Dove White Bar, 16 pk./64 oz.</t>
        </is>
      </c>
      <c r="D453" t="inlineStr">
        <is>
          <t>Dove Beauty Bar, White 4 oz, 16 Bar</t>
        </is>
      </c>
      <c r="E453" s="2">
        <f>HYPERLINK("https://www.amazon.com/Dove-Beauty-Bar-White-16/dp/B005HO0A1I/ref=sr_1_1?keywords=Dove+White+Bar%2C+16+pk.%2F64+oz.&amp;qid=1695170140&amp;sr=8-1", "https://www.amazon.com/Dove-Beauty-Bar-White-16/dp/B005HO0A1I/ref=sr_1_1?keywords=Dove+White+Bar%2C+16+pk.%2F64+oz.&amp;qid=1695170140&amp;sr=8-1")</f>
        <v/>
      </c>
      <c r="F453" t="inlineStr">
        <is>
          <t>B005HO0A1I</t>
        </is>
      </c>
      <c r="G453">
        <f>_xludf.IMAGE("https://www.shelhealth.com/cdn/shop/products/dove-white-bar-16-pk-64-oz-shelhealth-915.jpg?v=1663354378&amp;width=1946")</f>
        <v/>
      </c>
      <c r="H453">
        <f>_xludf.IMAGE("https://m.media-amazon.com/images/I/811973429FL._AC_UL320_.jpg")</f>
        <v/>
      </c>
      <c r="K453" t="inlineStr">
        <is>
          <t>23.99</t>
        </is>
      </c>
      <c r="L453" t="n">
        <v>23.99</v>
      </c>
      <c r="M453" s="1" t="inlineStr">
        <is>
          <t>0.00%</t>
        </is>
      </c>
      <c r="N453" s="3" t="n">
        <v>0</v>
      </c>
      <c r="O453" t="n">
        <v>4.5</v>
      </c>
      <c r="P453" t="n">
        <v>1156</v>
      </c>
      <c r="R453" t="inlineStr">
        <is>
          <t>InStock</t>
        </is>
      </c>
      <c r="S453" t="inlineStr">
        <is>
          <t>23.99</t>
        </is>
      </c>
      <c r="T453" t="inlineStr">
        <is>
          <t>4167572422708</t>
        </is>
      </c>
    </row>
    <row r="454" hidden="1" ht="15.75" customHeight="1">
      <c r="A454" s="2">
        <f>HYPERLINK("https://www.shelhealth.com/products/dove-pink-beauty-bar-16-pk-4-oz", "https://www.shelhealth.com/products/dove-pink-beauty-bar-16-pk-4-oz")</f>
        <v/>
      </c>
      <c r="B454" s="2">
        <f>HYPERLINK("https://www.shelhealth.com/products/dove-pink-beauty-bar-16-pk-4-oz", "https://www.shelhealth.com/products/dove-pink-beauty-bar-16-pk-4-oz")</f>
        <v/>
      </c>
      <c r="C454" t="inlineStr">
        <is>
          <t>Dove Pink Beauty Bar, 16 pk./4 oz.</t>
        </is>
      </c>
      <c r="D454" t="inlineStr">
        <is>
          <t>Dove Beauty Bar, White 4 oz, 16 Bar</t>
        </is>
      </c>
      <c r="E454" s="2">
        <f>HYPERLINK("https://www.amazon.com/Dove-Beauty-Bar-White-16/dp/B005HO0A1I/ref=sr_1_6?keywords=Dove+Pink+Beauty+Bar%2C+16+pk.%2F4+oz.&amp;qid=1695170061&amp;sr=8-6", "https://www.amazon.com/Dove-Beauty-Bar-White-16/dp/B005HO0A1I/ref=sr_1_6?keywords=Dove+Pink+Beauty+Bar%2C+16+pk.%2F4+oz.&amp;qid=1695170061&amp;sr=8-6")</f>
        <v/>
      </c>
      <c r="F454" t="inlineStr">
        <is>
          <t>B005HO0A1I</t>
        </is>
      </c>
      <c r="G454">
        <f>_xludf.IMAGE("https://www.shelhealth.com/cdn/shop/products/dove-pink-beauty-bar-16-pk-4-oz-shelhealth-241.jpg?v=1663354638&amp;width=1946")</f>
        <v/>
      </c>
      <c r="H454">
        <f>_xludf.IMAGE("https://m.media-amazon.com/images/I/811973429FL._AC_UL320_.jpg")</f>
        <v/>
      </c>
      <c r="K454" t="inlineStr">
        <is>
          <t>23.99</t>
        </is>
      </c>
      <c r="L454" t="n">
        <v>23.99</v>
      </c>
      <c r="M454" s="1" t="inlineStr">
        <is>
          <t>0.00%</t>
        </is>
      </c>
      <c r="N454" s="3" t="n">
        <v>0</v>
      </c>
      <c r="O454" t="n">
        <v>4.5</v>
      </c>
      <c r="P454" t="n">
        <v>1156</v>
      </c>
      <c r="R454" t="inlineStr">
        <is>
          <t>InStock</t>
        </is>
      </c>
      <c r="S454" t="inlineStr">
        <is>
          <t>23.99</t>
        </is>
      </c>
      <c r="T454" t="inlineStr">
        <is>
          <t>4167684685876</t>
        </is>
      </c>
    </row>
    <row r="455" hidden="1" ht="15.75" customHeight="1">
      <c r="A455" s="2">
        <f>HYPERLINK("https://www.shelhealth.com/products/hand-in-hand-hand-soap-citrus-grove-grapefruit-orange-blossom-3-x-10-fl-oz", "https://www.shelhealth.com/products/hand-in-hand-hand-soap-citrus-grove-grapefruit-orange-blossom-3-x-10-fl-oz")</f>
        <v/>
      </c>
      <c r="B455" s="2">
        <f>HYPERLINK("https://www.shelhealth.com/products/hand-in-hand-hand-soap-citrus-grove-grapefruit-orange-blossom-3-x-10-fl-oz", "https://www.shelhealth.com/products/hand-in-hand-hand-soap-citrus-grove-grapefruit-orange-blossom-3-x-10-fl-oz")</f>
        <v/>
      </c>
      <c r="C455" t="inlineStr">
        <is>
          <t>Hand in Hand Hand Soap Citrus Grove - Grapefruit &amp; Orange Blossom, 3 x 10 fl. oz.</t>
        </is>
      </c>
      <c r="D455" t="inlineStr">
        <is>
          <t>Hand in Hand Nourishing Foaming Hand Soap, 8.5 Oz., Grapefruit &amp; Orange Blossom, Citrus Grove Scent, 4 Pack</t>
        </is>
      </c>
      <c r="E455" s="2">
        <f>HYPERLINK("https://www.amazon.com/Hand-Nourishing-Foaming-Grapefruit-Blossom/dp/B0B2V7F4HP/ref=sr_1_2?keywords=Hand+in+Hand+Hand+Soap+Citrus+Grove+-+Grapefruit&amp;qid=1695170137&amp;sr=8-2", "https://www.amazon.com/Hand-Nourishing-Foaming-Grapefruit-Blossom/dp/B0B2V7F4HP/ref=sr_1_2?keywords=Hand+in+Hand+Hand+Soap+Citrus+Grove+-+Grapefruit&amp;qid=1695170137&amp;sr=8-2")</f>
        <v/>
      </c>
      <c r="F455" t="inlineStr">
        <is>
          <t>B0B2V7F4HP</t>
        </is>
      </c>
      <c r="G455">
        <f>_xludf.IMAGE("https://www.shelhealth.com/cdn/shop/products/hand-in-soap-citrus-grove-grapefruit-orange-blossom-3-x-10-fl-oz-shelhealth-273.jpg?v=1664847037&amp;width=1946")</f>
        <v/>
      </c>
      <c r="H455">
        <f>_xludf.IMAGE("https://m.media-amazon.com/images/I/61FwCRcJlhL._AC_UL320_.jpg")</f>
        <v/>
      </c>
      <c r="K455" t="inlineStr">
        <is>
          <t>19.99</t>
        </is>
      </c>
      <c r="L455" t="n">
        <v>18.99</v>
      </c>
      <c r="M455" s="1" t="inlineStr">
        <is>
          <t>-5.00%</t>
        </is>
      </c>
      <c r="N455" s="3" t="n">
        <v>-5</v>
      </c>
      <c r="O455" t="n">
        <v>4</v>
      </c>
      <c r="P455" t="n">
        <v>27</v>
      </c>
      <c r="R455" t="inlineStr">
        <is>
          <t>InStock</t>
        </is>
      </c>
      <c r="S455" t="inlineStr">
        <is>
          <t>19.99</t>
        </is>
      </c>
      <c r="T455" t="inlineStr">
        <is>
          <t>7682859663592</t>
        </is>
      </c>
    </row>
    <row r="456" hidden="1" ht="15.75" customHeight="1">
      <c r="A456" s="2">
        <f>HYPERLINK("https://www.shelhealth.com/products/755355200819-south-of-france-hand-wash-lavender-fields-8-oz", "https://www.shelhealth.com/products/755355200819-south-of-france-hand-wash-lavender-fields-8-oz")</f>
        <v/>
      </c>
      <c r="B456" s="2">
        <f>HYPERLINK("https://www.shelhealth.com/products/755355200819-south-of-france-hand-wash-lavender-fields-8-oz", "https://www.shelhealth.com/products/755355200819-south-of-france-hand-wash-lavender-fields-8-oz")</f>
        <v/>
      </c>
      <c r="C456" t="inlineStr">
        <is>
          <t>SOUTH OF FRANCE Hand Wash Lavender Fields, 8 oz (Case of 4)</t>
        </is>
      </c>
      <c r="D456" t="inlineStr">
        <is>
          <t>Lavender Fields Clean Hand Wash by South of France Clean Body Care | Moisturizing Liquid Hand Soap with Mediterranean Sea Algae | 8 oz Pump Bottle – 3 Pack</t>
        </is>
      </c>
      <c r="E456" s="2">
        <f>HYPERLINK("https://www.amazon.com/Lavender-Fields-France-Natural-Bottles/dp/B07PT9MFRZ/ref=sr_1_9?keywords=SOUTH+OF+FRANCE+Hand+Wash+Lavender+Fields%2C+8+oz+%28Case+of+4%29&amp;qid=1695170083&amp;sr=8-9", "https://www.amazon.com/Lavender-Fields-France-Natural-Bottles/dp/B07PT9MFRZ/ref=sr_1_9?keywords=SOUTH+OF+FRANCE+Hand+Wash+Lavender+Fields%2C+8+oz+%28Case+of+4%29&amp;qid=1695170083&amp;sr=8-9")</f>
        <v/>
      </c>
      <c r="F456" t="inlineStr">
        <is>
          <t>B07PT9MFRZ</t>
        </is>
      </c>
      <c r="G456">
        <f>_xludf.IMAGE("https://www.shelhealth.com/cdn/shop/files/south-of-france-hand-wash-lavender-fields-8-oz-case-4-beauty-body-care-shelhealth-181.jpg?v=1686138361&amp;width=1946")</f>
        <v/>
      </c>
      <c r="H456">
        <f>_xludf.IMAGE("https://m.media-amazon.com/images/I/91eU8bGkgAL._AC_UL320_.jpg")</f>
        <v/>
      </c>
      <c r="K456" t="inlineStr">
        <is>
          <t>16.99</t>
        </is>
      </c>
      <c r="L456" t="n">
        <v>16.02</v>
      </c>
      <c r="M456" s="1" t="inlineStr">
        <is>
          <t>-5.71%</t>
        </is>
      </c>
      <c r="N456" s="3" t="n">
        <v>-5.71</v>
      </c>
      <c r="O456" t="n">
        <v>4.3</v>
      </c>
      <c r="P456" t="n">
        <v>759</v>
      </c>
      <c r="R456" t="inlineStr">
        <is>
          <t>OutOfStock</t>
        </is>
      </c>
      <c r="S456" t="inlineStr">
        <is>
          <t>16.99</t>
        </is>
      </c>
      <c r="T456" t="inlineStr">
        <is>
          <t>7574301245672</t>
        </is>
      </c>
    </row>
    <row r="457" hidden="1" ht="15.75" customHeight="1">
      <c r="A457" s="2">
        <f>HYPERLINK("https://www.shelhealth.com/products/813424022745-acure-scrub-body-coffee-energzg-6-fo", "https://www.shelhealth.com/products/813424022745-acure-scrub-body-coffee-energzg-6-fo")</f>
        <v/>
      </c>
      <c r="B457" s="2">
        <f>HYPERLINK("https://www.shelhealth.com/products/813424022745-acure-scrub-body-coffee-energzg-6-fo", "https://www.shelhealth.com/products/813424022745-acure-scrub-body-coffee-energzg-6-fo")</f>
        <v/>
      </c>
      <c r="C457" t="inlineStr">
        <is>
          <t>ACURE Scrub Body Coffee Energzg, 6 fo</t>
        </is>
      </c>
      <c r="D457" t="inlineStr">
        <is>
          <t>ACURE Energizing Coffee Body Scrub | 100% Vegan | Coffee &amp; Charcoal | For Normal to Oily Skin | Hydrates &amp; Re-Energizes | 6 Fl Oz</t>
        </is>
      </c>
      <c r="E457" s="2">
        <f>HYPERLINK("https://www.amazon.com/Energizing-Coffee-Charcoal-Hydrates-Re-Energizes/dp/B082YGQTF8/ref=sr_1_1?keywords=acure+scrub+body+coffee+energizag%2C+6+fo&amp;qid=1695170151&amp;sr=8-1", "https://www.amazon.com/Energizing-Coffee-Charcoal-Hydrates-Re-Energizes/dp/B082YGQTF8/ref=sr_1_1?keywords=acure+scrub+body+coffee+energizag%2C+6+fo&amp;qid=1695170151&amp;sr=8-1")</f>
        <v/>
      </c>
      <c r="F457" t="inlineStr">
        <is>
          <t>B082YGQTF8</t>
        </is>
      </c>
      <c r="G457">
        <f>_xludf.IMAGE("https://www.shelhealth.com/cdn/shop/files/acure-scrub-body-coffee-energzg-6-fo-beauty-care-shelhealth-550.jpg?v=1686140719&amp;width=1946")</f>
        <v/>
      </c>
      <c r="H457">
        <f>_xludf.IMAGE("https://m.media-amazon.com/images/I/41sqCWBTn5L._AC_UL320_.jpg")</f>
        <v/>
      </c>
      <c r="K457" t="inlineStr">
        <is>
          <t>16.99</t>
        </is>
      </c>
      <c r="L457" t="n">
        <v>15.77</v>
      </c>
      <c r="M457" s="1" t="inlineStr">
        <is>
          <t>-7.18%</t>
        </is>
      </c>
      <c r="N457" s="3" t="n">
        <v>-7.18</v>
      </c>
      <c r="O457" t="n">
        <v>4.4</v>
      </c>
      <c r="P457" t="n">
        <v>115</v>
      </c>
      <c r="R457" t="inlineStr">
        <is>
          <t>InStock</t>
        </is>
      </c>
      <c r="S457" t="inlineStr">
        <is>
          <t>16.99</t>
        </is>
      </c>
      <c r="T457" t="inlineStr">
        <is>
          <t>7573945909480</t>
        </is>
      </c>
    </row>
    <row r="458" hidden="1" ht="15.75" customHeight="1">
      <c r="A458" s="2">
        <f>HYPERLINK("https://www.shelhealth.com/products/813424022738-acure-scrub-body-brightening-6-fo", "https://www.shelhealth.com/products/813424022738-acure-scrub-body-brightening-6-fo")</f>
        <v/>
      </c>
      <c r="B458" s="2">
        <f>HYPERLINK("https://www.shelhealth.com/products/813424022738-acure-scrub-body-brightening-6-fo", "https://www.shelhealth.com/products/813424022738-acure-scrub-body-brightening-6-fo")</f>
        <v/>
      </c>
      <c r="C458" t="inlineStr">
        <is>
          <t>ACURE Scrub Body Brightening, 6 fo</t>
        </is>
      </c>
      <c r="D458" t="inlineStr">
        <is>
          <t>ACURE Brightening Body Scrub | 100% Vegan | For A Brighter Appearance | Sea Salt &amp; Niacinamide (Vitamin B3) | Brightens &amp; Rejuvenates | All Skin Types | 6 Fl Oz</t>
        </is>
      </c>
      <c r="E458" s="2">
        <f>HYPERLINK("https://www.amazon.com/Brightening-Appearance-Niacinamide-Brightens-Rejuvenates/dp/B082YGKB59/ref=sr_1_fkmr1_1?keywords=ACURE+Scrub+Body+Brightening%2C+6+fo&amp;qid=1695170139&amp;sr=8-1-fkmr1", "https://www.amazon.com/Brightening-Appearance-Niacinamide-Brightens-Rejuvenates/dp/B082YGKB59/ref=sr_1_fkmr1_1?keywords=ACURE+Scrub+Body+Brightening%2C+6+fo&amp;qid=1695170139&amp;sr=8-1-fkmr1")</f>
        <v/>
      </c>
      <c r="F458" t="inlineStr">
        <is>
          <t>B082YGKB59</t>
        </is>
      </c>
      <c r="G458">
        <f>_xludf.IMAGE("https://www.shelhealth.com/cdn/shop/files/acure-scrub-body-brightening-6-fo-beauty-care-shelhealth-600.jpg?v=1686140724&amp;width=1946")</f>
        <v/>
      </c>
      <c r="H458">
        <f>_xludf.IMAGE("https://m.media-amazon.com/images/I/61C4wENCuUL._AC_UL320_.jpg")</f>
        <v/>
      </c>
      <c r="K458" t="inlineStr">
        <is>
          <t>16.99</t>
        </is>
      </c>
      <c r="L458" t="n">
        <v>15.77</v>
      </c>
      <c r="M458" s="1" t="inlineStr">
        <is>
          <t>-7.18%</t>
        </is>
      </c>
      <c r="N458" s="3" t="n">
        <v>-7.18</v>
      </c>
      <c r="O458" t="n">
        <v>4.4</v>
      </c>
      <c r="P458" t="n">
        <v>115</v>
      </c>
      <c r="R458" t="inlineStr">
        <is>
          <t>OutOfStock</t>
        </is>
      </c>
      <c r="S458" t="inlineStr">
        <is>
          <t>16.99</t>
        </is>
      </c>
      <c r="T458" t="inlineStr">
        <is>
          <t>7573945876712</t>
        </is>
      </c>
    </row>
    <row r="459" hidden="1" ht="15.75" customHeight="1">
      <c r="A459" s="2">
        <f>HYPERLINK("https://www.shelhealth.com/products/dove-pink-beauty-bar-16-pk-4-oz", "https://www.shelhealth.com/products/dove-pink-beauty-bar-16-pk-4-oz")</f>
        <v/>
      </c>
      <c r="B459" s="2">
        <f>HYPERLINK("https://www.shelhealth.com/products/dove-pink-beauty-bar-16-pk-4-oz", "https://www.shelhealth.com/products/dove-pink-beauty-bar-16-pk-4-oz")</f>
        <v/>
      </c>
      <c r="C459" t="inlineStr">
        <is>
          <t>Dove Pink Beauty Bar, 16 pk./4 oz.</t>
        </is>
      </c>
      <c r="D459" t="inlineStr">
        <is>
          <t>Dove Beauty Bar, Pink 4 oz, 14 Bar</t>
        </is>
      </c>
      <c r="E459" s="2">
        <f>HYPERLINK("https://www.amazon.com/Dove-Beauty-Bar-Pink-14/dp/B0032G37PY/ref=sr_1_5?keywords=Dove+Pink+Beauty+Bar%2C+16+pk.%2F4+oz.&amp;qid=1695170061&amp;sr=8-5", "https://www.amazon.com/Dove-Beauty-Bar-Pink-14/dp/B0032G37PY/ref=sr_1_5?keywords=Dove+Pink+Beauty+Bar%2C+16+pk.%2F4+oz.&amp;qid=1695170061&amp;sr=8-5")</f>
        <v/>
      </c>
      <c r="F459" t="inlineStr">
        <is>
          <t>B0032G37PY</t>
        </is>
      </c>
      <c r="G459">
        <f>_xludf.IMAGE("https://www.shelhealth.com/cdn/shop/products/dove-pink-beauty-bar-16-pk-4-oz-shelhealth-241.jpg?v=1663354638&amp;width=1946")</f>
        <v/>
      </c>
      <c r="H459">
        <f>_xludf.IMAGE("https://m.media-amazon.com/images/I/81ztqxlWplL._AC_UL320_.jpg")</f>
        <v/>
      </c>
      <c r="K459" t="inlineStr">
        <is>
          <t>23.99</t>
        </is>
      </c>
      <c r="L459" t="n">
        <v>22.15</v>
      </c>
      <c r="M459" s="1" t="inlineStr">
        <is>
          <t>-7.67%</t>
        </is>
      </c>
      <c r="N459" s="3" t="n">
        <v>-7.67</v>
      </c>
      <c r="O459" t="n">
        <v>4.4</v>
      </c>
      <c r="P459" t="n">
        <v>128</v>
      </c>
      <c r="R459" t="inlineStr">
        <is>
          <t>InStock</t>
        </is>
      </c>
      <c r="S459" t="inlineStr">
        <is>
          <t>23.99</t>
        </is>
      </c>
      <c r="T459" t="inlineStr">
        <is>
          <t>4167684685876</t>
        </is>
      </c>
    </row>
    <row r="460" hidden="1" ht="15.75" customHeight="1">
      <c r="A460" s="2">
        <f>HYPERLINK("https://www.shelhealth.com/products/637792603609-tea-tree-therapy-antiseptic-liquid-soap-with-tea-tree-oil-8-oz", "https://www.shelhealth.com/products/637792603609-tea-tree-therapy-antiseptic-liquid-soap-with-tea-tree-oil-8-oz")</f>
        <v/>
      </c>
      <c r="B460" s="2">
        <f>HYPERLINK("https://www.shelhealth.com/products/637792603609-tea-tree-therapy-antiseptic-liquid-soap-with-tea-tree-oil-8-oz", "https://www.shelhealth.com/products/637792603609-tea-tree-therapy-antiseptic-liquid-soap-with-tea-tree-oil-8-oz")</f>
        <v/>
      </c>
      <c r="C460" t="inlineStr">
        <is>
          <t>Tea Tree Therapy Antiseptic Liquid Soap With Tea Tree Oil, 8 Oz (Case of 4)</t>
        </is>
      </c>
      <c r="D460" t="inlineStr">
        <is>
          <t>Tea Tree Therapy Antibacterial Liquid Soap, with Tea Tree Oil, 8-Ounces (Pack of 4)</t>
        </is>
      </c>
      <c r="E460" s="2">
        <f>HYPERLINK("https://www.amazon.com/Tea-Tree-Therapy-Antibacterial-8-Ounces/dp/B001E77O1Q/ref=sr_1_1?keywords=Tea+Tree+Therapy+Antiseptic+Liquid+Soap+With+Tea+Tree+Oil%2C+8+Oz+%28Case+of+4%29&amp;qid=1695170062&amp;sr=8-1", "https://www.amazon.com/Tea-Tree-Therapy-Antibacterial-8-Ounces/dp/B001E77O1Q/ref=sr_1_1?keywords=Tea+Tree+Therapy+Antiseptic+Liquid+Soap+With+Tea+Tree+Oil%2C+8+Oz+%28Case+of+4%29&amp;qid=1695170062&amp;sr=8-1")</f>
        <v/>
      </c>
      <c r="F460" t="inlineStr">
        <is>
          <t>B001E77O1Q</t>
        </is>
      </c>
      <c r="G460">
        <f>_xludf.IMAGE("https://www.shelhealth.com/cdn/shop/files/tea-tree-therapy-antiseptic-liquid-soap-with-oil-8-oz-case-of-4-beauty-body-care-shelhealth-712.jpg?v=1688535210&amp;width=1946")</f>
        <v/>
      </c>
      <c r="H460">
        <f>_xludf.IMAGE("https://m.media-amazon.com/images/I/61SXRubTlbL._AC_UL320_.jpg")</f>
        <v/>
      </c>
      <c r="K460" t="inlineStr">
        <is>
          <t>23.99</t>
        </is>
      </c>
      <c r="L460" t="n">
        <v>22.1</v>
      </c>
      <c r="M460" s="1" t="inlineStr">
        <is>
          <t>-7.88%</t>
        </is>
      </c>
      <c r="N460" s="3" t="n">
        <v>-7.88</v>
      </c>
      <c r="O460" t="n">
        <v>4.6</v>
      </c>
      <c r="P460" t="n">
        <v>166</v>
      </c>
      <c r="R460" t="inlineStr">
        <is>
          <t>InStock</t>
        </is>
      </c>
      <c r="S460" t="inlineStr">
        <is>
          <t>23.99</t>
        </is>
      </c>
      <c r="T460" t="inlineStr">
        <is>
          <t>7242028974268</t>
        </is>
      </c>
    </row>
    <row r="461" hidden="1" ht="15.75" customHeight="1">
      <c r="A461" s="2">
        <f>HYPERLINK("https://www.shelhealth.com/products/636874225425-everyone-kids-3-in-1-soap-berry-blast-32-oz", "https://www.shelhealth.com/products/636874225425-everyone-kids-3-in-1-soap-berry-blast-32-oz")</f>
        <v/>
      </c>
      <c r="B461" s="2">
        <f>HYPERLINK("https://www.shelhealth.com/products/636874225425-everyone-kids-3-in-1-soap-berry-blast-32-oz", "https://www.shelhealth.com/products/636874225425-everyone-kids-3-in-1-soap-berry-blast-32-oz")</f>
        <v/>
      </c>
      <c r="C461" t="inlineStr">
        <is>
          <t>Everyone Kids 3-In-1 Soap Berry Blast, 32 Oz (Case of 2)</t>
        </is>
      </c>
      <c r="D461" t="inlineStr">
        <is>
          <t>Everyone 3-in-1 Kids Soap, Body Wash, Bubble Bath, Shampoo, 32 Ounce (Pack of 2), Berry Blast, Coconut Cleanser with Plant Extracts and Pure Essential Oils</t>
        </is>
      </c>
      <c r="E461" s="2">
        <f>HYPERLINK("https://www.amazon.com/Everyone-Shampoo-Cleanser-Extracts-Essential/dp/B094F6JWL9/ref=sr_1_1?keywords=Everyone+Kids+3-In-1+Soap+Berry+Blast%2C+32+Oz+%28Case+of+2%29&amp;qid=1695170063&amp;sr=8-1", "https://www.amazon.com/Everyone-Shampoo-Cleanser-Extracts-Essential/dp/B094F6JWL9/ref=sr_1_1?keywords=Everyone+Kids+3-In-1+Soap+Berry+Blast%2C+32+Oz+%28Case+of+2%29&amp;qid=1695170063&amp;sr=8-1")</f>
        <v/>
      </c>
      <c r="F461" t="inlineStr">
        <is>
          <t>B094F6JWL9</t>
        </is>
      </c>
      <c r="G461">
        <f>_xludf.IMAGE("https://www.shelhealth.com/cdn/shop/files/everyone-kids-3-in-1-soap-berry-blast-32-oz-case-of-2-beauty-body-care-shelhealth-703.jpg?v=1687411347&amp;width=1946")</f>
        <v/>
      </c>
      <c r="H461">
        <f>_xludf.IMAGE("https://m.media-amazon.com/images/I/61NOK80vN3S._AC_UL320_.jpg")</f>
        <v/>
      </c>
      <c r="K461" t="inlineStr">
        <is>
          <t>23.99</t>
        </is>
      </c>
      <c r="L461" t="n">
        <v>22.08</v>
      </c>
      <c r="M461" s="1" t="inlineStr">
        <is>
          <t>-7.96%</t>
        </is>
      </c>
      <c r="N461" s="3" t="n">
        <v>-7.96</v>
      </c>
      <c r="O461" t="n">
        <v>4.7</v>
      </c>
      <c r="P461" t="n">
        <v>12264</v>
      </c>
      <c r="R461" t="inlineStr">
        <is>
          <t>InStock</t>
        </is>
      </c>
      <c r="S461" t="inlineStr">
        <is>
          <t>23.99</t>
        </is>
      </c>
      <c r="T461" t="inlineStr">
        <is>
          <t>7241629630652</t>
        </is>
      </c>
    </row>
    <row r="462" hidden="1" ht="15.75" customHeight="1">
      <c r="A462" s="2">
        <f>HYPERLINK("https://www.shelhealth.com/products/dove-body-wash-deep-moisture-24-oz-pack-of-3", "https://www.shelhealth.com/products/dove-body-wash-deep-moisture-24-oz-pack-of-3")</f>
        <v/>
      </c>
      <c r="B462" s="2">
        <f>HYPERLINK("https://www.shelhealth.com/products/dove-body-wash-deep-moisture-24-oz-pack-of-3", "https://www.shelhealth.com/products/dove-body-wash-deep-moisture-24-oz-pack-of-3")</f>
        <v/>
      </c>
      <c r="C462" t="inlineStr">
        <is>
          <t>Dove Body Wash Deep Moisture 24 oz, Pack of 3</t>
        </is>
      </c>
      <c r="D462" t="inlineStr">
        <is>
          <t>Dove Body Wash with Pump Deep Moisture 3 Count For Dry Skin Moisturizing Skin Cleanser with 24hr Renewing MicroMoisture Nourishes The Driest Skin 30.6 oz</t>
        </is>
      </c>
      <c r="E462" s="2">
        <f>HYPERLINK("https://www.amazon.com/Dove-Moisture-Moisturizing-MicroMoisture-Nourishes/dp/B0BVBZPX9B/ref=sr_1_7?keywords=Dove+Body+Wash+Deep+Moisture+24+oz%2C+Pack+of+3&amp;qid=1695170040&amp;sr=8-7", "https://www.amazon.com/Dove-Moisture-Moisturizing-MicroMoisture-Nourishes/dp/B0BVBZPX9B/ref=sr_1_7?keywords=Dove+Body+Wash+Deep+Moisture+24+oz%2C+Pack+of+3&amp;qid=1695170040&amp;sr=8-7")</f>
        <v/>
      </c>
      <c r="F462" t="inlineStr">
        <is>
          <t>B0BVBZPX9B</t>
        </is>
      </c>
      <c r="G462">
        <f>_xludf.IMAGE("https://www.shelhealth.com/cdn/shop/products/dove-body-wash-deep-moisture-24-oz-pack-of-3-shelhealth-243.jpg?v=1663338569&amp;width=1946")</f>
        <v/>
      </c>
      <c r="H462">
        <f>_xludf.IMAGE("https://m.media-amazon.com/images/I/714jAzjITXL._AC_UL320_.jpg")</f>
        <v/>
      </c>
      <c r="K462" t="inlineStr">
        <is>
          <t>21.99</t>
        </is>
      </c>
      <c r="L462" t="n">
        <v>20.22</v>
      </c>
      <c r="M462" s="1" t="inlineStr">
        <is>
          <t>-8.05%</t>
        </is>
      </c>
      <c r="N462" s="3" t="n">
        <v>-8.050000000000001</v>
      </c>
      <c r="O462" t="n">
        <v>4.8</v>
      </c>
      <c r="P462" t="n">
        <v>67731</v>
      </c>
      <c r="R462" t="inlineStr">
        <is>
          <t>InStock</t>
        </is>
      </c>
      <c r="S462" t="inlineStr">
        <is>
          <t>21.99</t>
        </is>
      </c>
      <c r="T462" t="inlineStr">
        <is>
          <t>3785937059892</t>
        </is>
      </c>
    </row>
    <row r="463" hidden="1" ht="15.75" customHeight="1">
      <c r="A463" s="2">
        <f>HYPERLINK("https://www.shelhealth.com/products/856885200857-south-of-france-hand-wash-climbing-lemon-verbena-8-oz", "https://www.shelhealth.com/products/856885200857-south-of-france-hand-wash-climbing-lemon-verbena-8-oz")</f>
        <v/>
      </c>
      <c r="B463" s="2">
        <f>HYPERLINK("https://www.shelhealth.com/products/856885200857-south-of-france-hand-wash-climbing-lemon-verbena-8-oz", "https://www.shelhealth.com/products/856885200857-south-of-france-hand-wash-climbing-lemon-verbena-8-oz")</f>
        <v/>
      </c>
      <c r="C463" t="inlineStr">
        <is>
          <t>South Of France Hand Wash Climbing Lemon Verbena, 8 Oz (Case of 4)</t>
        </is>
      </c>
      <c r="D463" t="inlineStr">
        <is>
          <t>South of France Hand Wash Climbing Lemon Verbena -- 8 fl oz - 2pc2</t>
        </is>
      </c>
      <c r="E463" s="2">
        <f>HYPERLINK("https://www.amazon.com/South-France-Climbing-Lemon-Verbena/dp/B01LZHNPUR/ref=sr_1_1?keywords=South+Of+France+Hand+Wash+Climbing+Lemon+Verbena%2C+8+Oz+%28Case+of+4%29&amp;qid=1695170059&amp;sr=8-1", "https://www.amazon.com/South-France-Climbing-Lemon-Verbena/dp/B01LZHNPUR/ref=sr_1_1?keywords=South+Of+France+Hand+Wash+Climbing+Lemon+Verbena%2C+8+Oz+%28Case+of+4%29&amp;qid=1695170059&amp;sr=8-1")</f>
        <v/>
      </c>
      <c r="F463" t="inlineStr">
        <is>
          <t>B01LZHNPUR</t>
        </is>
      </c>
      <c r="G463">
        <f>_xludf.IMAGE("https://www.shelhealth.com/cdn/shop/files/south-of-france-hand-wash-climbing-lemon-verbena-8-oz-case-4-beauty-body-care-shelhealth-497.jpg?v=1688533865&amp;width=1946")</f>
        <v/>
      </c>
      <c r="H463">
        <f>_xludf.IMAGE("https://m.media-amazon.com/images/I/61EPFcIkVSL._AC_UL320_.jpg")</f>
        <v/>
      </c>
      <c r="K463" t="inlineStr">
        <is>
          <t>17.99</t>
        </is>
      </c>
      <c r="L463" t="n">
        <v>16.38</v>
      </c>
      <c r="M463" s="1" t="inlineStr">
        <is>
          <t>-8.95%</t>
        </is>
      </c>
      <c r="N463" s="3" t="n">
        <v>-8.949999999999999</v>
      </c>
      <c r="O463" t="n">
        <v>4.8</v>
      </c>
      <c r="P463" t="n">
        <v>6</v>
      </c>
      <c r="R463" t="inlineStr">
        <is>
          <t>InStock</t>
        </is>
      </c>
      <c r="S463" t="inlineStr">
        <is>
          <t>17.99</t>
        </is>
      </c>
      <c r="T463" t="inlineStr">
        <is>
          <t>7242004005052</t>
        </is>
      </c>
    </row>
    <row r="464" hidden="1" ht="15.75" customHeight="1">
      <c r="A464" s="2">
        <f>HYPERLINK("https://www.shelhealth.com/products/hand-in-hand-hand-soap-citrus-grove-grapefruit-orange-blossom-3-x-10-fl-oz", "https://www.shelhealth.com/products/hand-in-hand-hand-soap-citrus-grove-grapefruit-orange-blossom-3-x-10-fl-oz")</f>
        <v/>
      </c>
      <c r="B464" s="2">
        <f>HYPERLINK("https://www.shelhealth.com/products/hand-in-hand-hand-soap-citrus-grove-grapefruit-orange-blossom-3-x-10-fl-oz", "https://www.shelhealth.com/products/hand-in-hand-hand-soap-citrus-grove-grapefruit-orange-blossom-3-x-10-fl-oz")</f>
        <v/>
      </c>
      <c r="C464" t="inlineStr">
        <is>
          <t>Hand in Hand Hand Soap Citrus Grove - Grapefruit &amp; Orange Blossom, 3 x 10 fl. oz.</t>
        </is>
      </c>
      <c r="D464" t="inlineStr">
        <is>
          <t>Hand in Hand Nourishing Liquid Hand Soap, 10 Fl Oz, Grapefruit &amp; Orange Blossom, Citrus Grove Scent, 4 Pack</t>
        </is>
      </c>
      <c r="E464" s="2">
        <f>HYPERLINK("https://www.amazon.com/Hand-Nourishing-Liquid-Grapefruit-Blossom/dp/B09D8H36M2/ref=sr_1_1?keywords=Hand+in+Hand+Hand+Soap+Citrus+Grove+-+Grapefruit&amp;qid=1695170137&amp;sr=8-1", "https://www.amazon.com/Hand-Nourishing-Liquid-Grapefruit-Blossom/dp/B09D8H36M2/ref=sr_1_1?keywords=Hand+in+Hand+Hand+Soap+Citrus+Grove+-+Grapefruit&amp;qid=1695170137&amp;sr=8-1")</f>
        <v/>
      </c>
      <c r="F464" t="inlineStr">
        <is>
          <t>B09D8H36M2</t>
        </is>
      </c>
      <c r="G464">
        <f>_xludf.IMAGE("https://www.shelhealth.com/cdn/shop/products/hand-in-soap-citrus-grove-grapefruit-orange-blossom-3-x-10-fl-oz-shelhealth-273.jpg?v=1664847037&amp;width=1946")</f>
        <v/>
      </c>
      <c r="H464">
        <f>_xludf.IMAGE("https://m.media-amazon.com/images/I/71BMJMLDuqL._AC_UL320_.jpg")</f>
        <v/>
      </c>
      <c r="K464" t="inlineStr">
        <is>
          <t>19.99</t>
        </is>
      </c>
      <c r="L464" t="n">
        <v>18.2</v>
      </c>
      <c r="M464" s="1" t="inlineStr">
        <is>
          <t>-8.95%</t>
        </is>
      </c>
      <c r="N464" s="3" t="n">
        <v>-8.949999999999999</v>
      </c>
      <c r="O464" t="n">
        <v>4.1</v>
      </c>
      <c r="P464" t="n">
        <v>1157</v>
      </c>
      <c r="R464" t="inlineStr">
        <is>
          <t>InStock</t>
        </is>
      </c>
      <c r="S464" t="inlineStr">
        <is>
          <t>19.99</t>
        </is>
      </c>
      <c r="T464" t="inlineStr">
        <is>
          <t>7682859663592</t>
        </is>
      </c>
    </row>
    <row r="465" hidden="1" ht="15.75" customHeight="1">
      <c r="A465" s="2">
        <f>HYPERLINK("https://www.shelhealth.com/products/bask-clear-vinyl-disposable-gloves-100-gloves", "https://www.shelhealth.com/products/bask-clear-vinyl-disposable-gloves-100-gloves")</f>
        <v/>
      </c>
      <c r="B465" s="2">
        <f>HYPERLINK("https://www.shelhealth.com/products/bask-clear-vinyl-disposable-gloves-100-gloves", "https://www.shelhealth.com/products/bask-clear-vinyl-disposable-gloves-100-gloves")</f>
        <v/>
      </c>
      <c r="C465" t="inlineStr">
        <is>
          <t>Bask Clear Vinyl Disposable Gloves, 100 Gloves</t>
        </is>
      </c>
      <c r="D465" t="inlineStr">
        <is>
          <t>Safe Guard Vinyl Powder Free, Disposable Gloves - Latex Free, Box of 100 Gloves, Clear (Medium)</t>
        </is>
      </c>
      <c r="E465" s="2">
        <f>HYPERLINK("https://www.amazon.com/Guard-Vinyl-Powder-Disposable-Gloves/dp/B08WVFSMTQ/ref=sr_1_6?keywords=Bask+Clear+Vinyl+Disposable+Gloves%2C+100+Gloves&amp;qid=1695170141&amp;sr=8-6", "https://www.amazon.com/Guard-Vinyl-Powder-Disposable-Gloves/dp/B08WVFSMTQ/ref=sr_1_6?keywords=Bask+Clear+Vinyl+Disposable+Gloves%2C+100+Gloves&amp;qid=1695170141&amp;sr=8-6")</f>
        <v/>
      </c>
      <c r="F465" t="inlineStr">
        <is>
          <t>B08WVFSMTQ</t>
        </is>
      </c>
      <c r="G465">
        <f>_xludf.IMAGE("https://www.shelhealth.com/cdn/shop/products/bask-clear-vinyl-disposable-gloves-100-shelhealth-783.jpg?v=1663374232&amp;width=1946")</f>
        <v/>
      </c>
      <c r="H465">
        <f>_xludf.IMAGE("https://m.media-amazon.com/images/I/612A8IXg+uL._AC_UL320_.jpg")</f>
        <v/>
      </c>
      <c r="K465" t="inlineStr">
        <is>
          <t>21.99</t>
        </is>
      </c>
      <c r="L465" t="n">
        <v>19.95</v>
      </c>
      <c r="M465" s="1" t="inlineStr">
        <is>
          <t>-9.28%</t>
        </is>
      </c>
      <c r="N465" s="3" t="n">
        <v>-9.279999999999999</v>
      </c>
      <c r="O465" t="n">
        <v>3.8</v>
      </c>
      <c r="P465" t="n">
        <v>45</v>
      </c>
      <c r="R465" t="inlineStr">
        <is>
          <t>InStock</t>
        </is>
      </c>
      <c r="S465" t="inlineStr">
        <is>
          <t>21.99</t>
        </is>
      </c>
      <c r="T465" t="inlineStr">
        <is>
          <t>4713271525465</t>
        </is>
      </c>
    </row>
    <row r="466" hidden="1" ht="15.75" customHeight="1">
      <c r="A466" s="2">
        <f>HYPERLINK("https://www.shelhealth.com/products/dove-sensitive-skin-unscented-4-oz-bar-soaps-16-count", "https://www.shelhealth.com/products/dove-sensitive-skin-unscented-4-oz-bar-soaps-16-count")</f>
        <v/>
      </c>
      <c r="B466" s="2">
        <f>HYPERLINK("https://www.shelhealth.com/products/dove-sensitive-skin-unscented-4-oz-bar-soaps-16-count", "https://www.shelhealth.com/products/dove-sensitive-skin-unscented-4-oz-bar-soaps-16-count")</f>
        <v/>
      </c>
      <c r="C466" t="inlineStr">
        <is>
          <t>Dove Sensitive Skin Unscented 4 OZ Bar Soaps, 16 Count</t>
        </is>
      </c>
      <c r="D466" t="inlineStr">
        <is>
          <t>Dove Sensitive Skin Unscented Hypo-Allergenic Beauty Bar 4 oz, 2 ea (Pack of 4)</t>
        </is>
      </c>
      <c r="E466" s="2">
        <f>HYPERLINK("https://www.amazon.com/Dove-Sensitive-Unscented-Hypo-Allergenic-Beauty/dp/B01C78BD08/ref=sr_1_6?keywords=Dove+Sensitive+Skin+Unscented+4+OZ+Bar+Soaps%2C+16+Count&amp;qid=1695170044&amp;sr=8-6", "https://www.amazon.com/Dove-Sensitive-Unscented-Hypo-Allergenic-Beauty/dp/B01C78BD08/ref=sr_1_6?keywords=Dove+Sensitive+Skin+Unscented+4+OZ+Bar+Soaps%2C+16+Count&amp;qid=1695170044&amp;sr=8-6")</f>
        <v/>
      </c>
      <c r="F466" t="inlineStr">
        <is>
          <t>B01C78BD08</t>
        </is>
      </c>
      <c r="G466">
        <f>_xludf.IMAGE("https://www.shelhealth.com/cdn/shop/products/dove-sensitive-skin-unscented-4-oz-bar-soaps-16-count-shelhealth-867.jpg?v=1663338579&amp;width=1946")</f>
        <v/>
      </c>
      <c r="H466">
        <f>_xludf.IMAGE("https://m.media-amazon.com/images/I/6110toy-x1L._AC_UL320_.jpg")</f>
        <v/>
      </c>
      <c r="K466" t="inlineStr">
        <is>
          <t>23.99</t>
        </is>
      </c>
      <c r="L466" t="n">
        <v>21.53</v>
      </c>
      <c r="M466" s="1" t="inlineStr">
        <is>
          <t>-10.25%</t>
        </is>
      </c>
      <c r="N466" s="3" t="n">
        <v>-10.25</v>
      </c>
      <c r="O466" t="n">
        <v>4.8</v>
      </c>
      <c r="P466" t="n">
        <v>33</v>
      </c>
      <c r="R466" t="inlineStr">
        <is>
          <t>InStock</t>
        </is>
      </c>
      <c r="S466" t="inlineStr">
        <is>
          <t>23.99</t>
        </is>
      </c>
      <c r="T466" t="inlineStr">
        <is>
          <t>3785941090356</t>
        </is>
      </c>
    </row>
    <row r="467" hidden="1" ht="15.75" customHeight="1">
      <c r="A467" s="2">
        <f>HYPERLINK("https://www.shelhealth.com/products/australian-botanical-soap-goats-milk-soya-bean-oil-plant-oil-soap-7-oz-200g-bars-8-count", "https://www.shelhealth.com/products/australian-botanical-soap-goats-milk-soya-bean-oil-plant-oil-soap-7-oz-200g-bars-8-count")</f>
        <v/>
      </c>
      <c r="B467" s="2">
        <f>HYPERLINK("https://www.shelhealth.com/products/australian-botanical-soap-goats-milk-soya-bean-oil-plant-oil-soap-7-oz-200g-bars-8-count", "https://www.shelhealth.com/products/australian-botanical-soap-goats-milk-soya-bean-oil-plant-oil-soap-7-oz-200g-bars-8-count")</f>
        <v/>
      </c>
      <c r="C467" t="inlineStr">
        <is>
          <t>Australian Botanical Soap, Goat's Milk &amp; Soya Bean Oil Plant Oil Soap, 7 oz. 200g Bars - 8 Count</t>
        </is>
      </c>
      <c r="D467" t="inlineStr">
        <is>
          <t>Australian Botanical Soap, Goat's Milk &amp; Soya Bean Oil Pure Plant Oil Soap, 6.8 oz. 193g Bars - 8 Count - Packaging May Vary</t>
        </is>
      </c>
      <c r="E467" s="2">
        <f>HYPERLINK("https://www.amazon.com/Australian-Botanical-Soap-Goats-Natural/dp/B07M68CHV9/ref=sr_1_1?keywords=Australian+Botanical+Soap%2C+Goats+Milk&amp;qid=1695170042&amp;sr=8-1", "https://www.amazon.com/Australian-Botanical-Soap-Goats-Natural/dp/B07M68CHV9/ref=sr_1_1?keywords=Australian+Botanical+Soap%2C+Goats+Milk&amp;qid=1695170042&amp;sr=8-1")</f>
        <v/>
      </c>
      <c r="F467" t="inlineStr">
        <is>
          <t>B07M68CHV9</t>
        </is>
      </c>
      <c r="G467">
        <f>_xludf.IMAGE("https://www.shelhealth.com/cdn/shop/products/australian-botanical-soap-goats-milk-soya-bean-oil-plant-7-oz-200g-bars-8-count-shelhealth-630.jpg?v=1663365145&amp;width=1946")</f>
        <v/>
      </c>
      <c r="H467">
        <f>_xludf.IMAGE("https://m.media-amazon.com/images/I/71P5Rho8UqL._AC_UL320_.jpg")</f>
        <v/>
      </c>
      <c r="K467" t="inlineStr">
        <is>
          <t>27.99</t>
        </is>
      </c>
      <c r="L467" t="n">
        <v>24.99</v>
      </c>
      <c r="M467" s="1" t="inlineStr">
        <is>
          <t>-10.72%</t>
        </is>
      </c>
      <c r="N467" s="3" t="n">
        <v>-10.72</v>
      </c>
      <c r="O467" t="n">
        <v>4.7</v>
      </c>
      <c r="P467" t="n">
        <v>5114</v>
      </c>
      <c r="R467" t="inlineStr">
        <is>
          <t>OutOfStock</t>
        </is>
      </c>
      <c r="S467" t="inlineStr">
        <is>
          <t>27.99</t>
        </is>
      </c>
      <c r="T467" t="inlineStr">
        <is>
          <t>4475933786201</t>
        </is>
      </c>
    </row>
    <row r="468" hidden="1" ht="15.75" customHeight="1">
      <c r="A468" s="2">
        <f>HYPERLINK("https://www.shelhealth.com/products/812281010315-one-with-nature-lilac-dead-sea-mineral-soap-7-oz", "https://www.shelhealth.com/products/812281010315-one-with-nature-lilac-dead-sea-mineral-soap-7-oz")</f>
        <v/>
      </c>
      <c r="B468" s="2">
        <f>HYPERLINK("https://www.shelhealth.com/products/812281010315-one-with-nature-lilac-dead-sea-mineral-soap-7-oz", "https://www.shelhealth.com/products/812281010315-one-with-nature-lilac-dead-sea-mineral-soap-7-oz")</f>
        <v/>
      </c>
      <c r="C468" t="inlineStr">
        <is>
          <t>One With Nature Lilac Dead Sea Mineral Soap, 7 Oz (Case of 4)</t>
        </is>
      </c>
      <c r="D468" t="inlineStr">
        <is>
          <t>One With Nature Dead Sea Mineral Soap, Lilac, 7 Oz Bar</t>
        </is>
      </c>
      <c r="E468" s="2">
        <f>HYPERLINK("https://www.amazon.com/One-Nature-Dead-Mineral-Lilac/dp/B0B76FZZZ6/ref=sr_1_6?keywords=One+With+Nature+Lilac+Dead+Sea+Mineral+Soap%2C+7+Oz+%28Case+of+4%29&amp;qid=1695170095&amp;sr=8-6", "https://www.amazon.com/One-Nature-Dead-Mineral-Lilac/dp/B0B76FZZZ6/ref=sr_1_6?keywords=One+With+Nature+Lilac+Dead+Sea+Mineral+Soap%2C+7+Oz+%28Case+of+4%29&amp;qid=1695170095&amp;sr=8-6")</f>
        <v/>
      </c>
      <c r="F468" t="inlineStr">
        <is>
          <t>B0B76FZZZ6</t>
        </is>
      </c>
      <c r="G468">
        <f>_xludf.IMAGE("https://www.shelhealth.com/cdn/shop/files/one-with-nature-lilac-dead-sea-mineral-soap-7-oz-case-of-4-beauty-body-care-shelhealth-741.jpg?v=1686534579&amp;width=1946")</f>
        <v/>
      </c>
      <c r="H468">
        <f>_xludf.IMAGE("https://m.media-amazon.com/images/I/81FicUMqbpL._AC_UL320_.jpg")</f>
        <v/>
      </c>
      <c r="K468" t="inlineStr">
        <is>
          <t>21.99</t>
        </is>
      </c>
      <c r="L468" t="n">
        <v>19.6</v>
      </c>
      <c r="M468" s="1" t="inlineStr">
        <is>
          <t>-10.87%</t>
        </is>
      </c>
      <c r="N468" s="3" t="n">
        <v>-10.87</v>
      </c>
      <c r="O468" t="n">
        <v>4.6</v>
      </c>
      <c r="P468" t="n">
        <v>1003</v>
      </c>
      <c r="R468" t="inlineStr">
        <is>
          <t>InStock</t>
        </is>
      </c>
      <c r="S468" t="inlineStr">
        <is>
          <t>21.99</t>
        </is>
      </c>
      <c r="T468" t="inlineStr">
        <is>
          <t>7241898787004</t>
        </is>
      </c>
    </row>
    <row r="469" hidden="1" ht="15.75" customHeight="1">
      <c r="A469" s="2">
        <f>HYPERLINK("https://www.shelhealth.com/products/856885200819-south-of-france-lavender-fields-hand-wash-8-oz", "https://www.shelhealth.com/products/856885200819-south-of-france-lavender-fields-hand-wash-8-oz")</f>
        <v/>
      </c>
      <c r="B469" s="2">
        <f>HYPERLINK("https://www.shelhealth.com/products/856885200819-south-of-france-lavender-fields-hand-wash-8-oz", "https://www.shelhealth.com/products/856885200819-south-of-france-lavender-fields-hand-wash-8-oz")</f>
        <v/>
      </c>
      <c r="C469" t="inlineStr">
        <is>
          <t>South Of France Lavender Fields Hand Wash, 8 Oz (Case of 4)</t>
        </is>
      </c>
      <c r="D469" t="inlineStr">
        <is>
          <t>Lavender Fields Clean Hand Wash by South of France Clean Body Care | Moisturizing Liquid Hand Soap with Mediterranean Sea Algae | 8 oz Pump Bottle – 3 Pack</t>
        </is>
      </c>
      <c r="E469" s="2">
        <f>HYPERLINK("https://www.amazon.com/Lavender-Fields-France-Natural-Bottles/dp/B07PT9MFRZ/ref=sr_1_3?keywords=South+Of+France+Lavender+Fields+Hand+Wash%2C+8+Oz+%28Case+of+4%29&amp;qid=1695170058&amp;sr=8-3", "https://www.amazon.com/Lavender-Fields-France-Natural-Bottles/dp/B07PT9MFRZ/ref=sr_1_3?keywords=South+Of+France+Lavender+Fields+Hand+Wash%2C+8+Oz+%28Case+of+4%29&amp;qid=1695170058&amp;sr=8-3")</f>
        <v/>
      </c>
      <c r="F469" t="inlineStr">
        <is>
          <t>B07PT9MFRZ</t>
        </is>
      </c>
      <c r="G469">
        <f>_xludf.IMAGE("https://www.shelhealth.com/cdn/shop/files/south-of-france-lavender-fields-hand-wash-8-oz-case-4-beauty-body-care-shelhealth-857.jpg?v=1688533870&amp;width=1946")</f>
        <v/>
      </c>
      <c r="H469">
        <f>_xludf.IMAGE("https://m.media-amazon.com/images/I/91eU8bGkgAL._AC_UL320_.jpg")</f>
        <v/>
      </c>
      <c r="K469" t="inlineStr">
        <is>
          <t>17.99</t>
        </is>
      </c>
      <c r="L469" t="n">
        <v>16.02</v>
      </c>
      <c r="M469" s="1" t="inlineStr">
        <is>
          <t>-10.95%</t>
        </is>
      </c>
      <c r="N469" s="3" t="n">
        <v>-10.95</v>
      </c>
      <c r="O469" t="n">
        <v>4.3</v>
      </c>
      <c r="P469" t="n">
        <v>759</v>
      </c>
      <c r="R469" t="inlineStr">
        <is>
          <t>InStock</t>
        </is>
      </c>
      <c r="S469" t="inlineStr">
        <is>
          <t>17.99</t>
        </is>
      </c>
      <c r="T469" t="inlineStr">
        <is>
          <t>7242004398268</t>
        </is>
      </c>
    </row>
    <row r="470" hidden="1" ht="15.75" customHeight="1">
      <c r="A470" s="2">
        <f>HYPERLINK("https://www.shelhealth.com/products/856885200833-south-of-france-hand-wash-orange-blossom-honey-8-oz", "https://www.shelhealth.com/products/856885200833-south-of-france-hand-wash-orange-blossom-honey-8-oz")</f>
        <v/>
      </c>
      <c r="B470" s="2">
        <f>HYPERLINK("https://www.shelhealth.com/products/856885200833-south-of-france-hand-wash-orange-blossom-honey-8-oz", "https://www.shelhealth.com/products/856885200833-south-of-france-hand-wash-orange-blossom-honey-8-oz")</f>
        <v/>
      </c>
      <c r="C470" t="inlineStr">
        <is>
          <t>South Of France Hand Wash Orange Blossom Honey, 8 Oz (Case of 4)</t>
        </is>
      </c>
      <c r="D470" t="inlineStr">
        <is>
          <t>Orange Blossom &amp; Honey Foaming Hand Wash by SoF Body Care (Formerly South of France Body Care) | Hydrating Organic Agave Nectar | 8 oz Pump Bottle Each | 3 Bottles</t>
        </is>
      </c>
      <c r="E470" s="2">
        <f>HYPERLINK("https://www.amazon.com/South-France-Body-Care-Hydrating/dp/B07PT9PJH6/ref=sr_1_10?keywords=South+Of+France+Hand+Wash+Orange+Blossom+Honey%2C+8+Oz+%28Case+of+4%29&amp;qid=1695170057&amp;sr=8-10", "https://www.amazon.com/South-France-Body-Care-Hydrating/dp/B07PT9PJH6/ref=sr_1_10?keywords=South+Of+France+Hand+Wash+Orange+Blossom+Honey%2C+8+Oz+%28Case+of+4%29&amp;qid=1695170057&amp;sr=8-10")</f>
        <v/>
      </c>
      <c r="F470" t="inlineStr">
        <is>
          <t>B07PT9PJH6</t>
        </is>
      </c>
      <c r="G470">
        <f>_xludf.IMAGE("https://www.shelhealth.com/cdn/shop/files/south-of-france-hand-wash-orange-blossom-honey-8-oz-case-4-beauty-body-care-shelhealth-727.jpg?v=1686481233&amp;width=1946")</f>
        <v/>
      </c>
      <c r="H470">
        <f>_xludf.IMAGE("https://m.media-amazon.com/images/I/81OBCpOjDuL._AC_UL320_.jpg")</f>
        <v/>
      </c>
      <c r="K470" t="inlineStr">
        <is>
          <t>17.99</t>
        </is>
      </c>
      <c r="L470" t="n">
        <v>15.97</v>
      </c>
      <c r="M470" s="1" t="inlineStr">
        <is>
          <t>-11.23%</t>
        </is>
      </c>
      <c r="N470" s="3" t="n">
        <v>-11.23</v>
      </c>
      <c r="O470" t="n">
        <v>4.5</v>
      </c>
      <c r="P470" t="n">
        <v>898</v>
      </c>
      <c r="R470" t="inlineStr">
        <is>
          <t>InStock</t>
        </is>
      </c>
      <c r="S470" t="inlineStr">
        <is>
          <t>17.99</t>
        </is>
      </c>
      <c r="T470" t="inlineStr">
        <is>
          <t>7242004365500</t>
        </is>
      </c>
    </row>
    <row r="471" hidden="1" ht="15.75" customHeight="1">
      <c r="A471" s="2">
        <f>HYPERLINK("https://www.shelhealth.com/products/856885200833-south-of-france-hand-wash-orange-blossom-honey-8-oz", "https://www.shelhealth.com/products/856885200833-south-of-france-hand-wash-orange-blossom-honey-8-oz")</f>
        <v/>
      </c>
      <c r="B471" s="2">
        <f>HYPERLINK("https://www.shelhealth.com/products/856885200833-south-of-france-hand-wash-orange-blossom-honey-8-oz", "https://www.shelhealth.com/products/856885200833-south-of-france-hand-wash-orange-blossom-honey-8-oz")</f>
        <v/>
      </c>
      <c r="C471" t="inlineStr">
        <is>
          <t>South Of France Hand Wash Orange Blossom Honey, 8 Oz (Case of 4)</t>
        </is>
      </c>
      <c r="D471" t="inlineStr">
        <is>
          <t>Orange Blossom &amp; Honey Liquid Hand Wash by SoF Body Care (Formerly South of France Body Care) | Moisturizing Liquid Hand Soap with Sea Algae | 8 oz Pump Bottle Each | 3 Bottles</t>
        </is>
      </c>
      <c r="E471" s="2">
        <f>HYPERLINK("https://www.amazon.com/Body-Care-South-France-Moisturizing/dp/B07PQBCNTT/ref=sr_1_8?keywords=South+Of+France+Hand+Wash+Orange+Blossom+Honey%2C+8+Oz+%28Case+of+4%29&amp;qid=1695170057&amp;sr=8-8", "https://www.amazon.com/Body-Care-South-France-Moisturizing/dp/B07PQBCNTT/ref=sr_1_8?keywords=South+Of+France+Hand+Wash+Orange+Blossom+Honey%2C+8+Oz+%28Case+of+4%29&amp;qid=1695170057&amp;sr=8-8")</f>
        <v/>
      </c>
      <c r="F471" t="inlineStr">
        <is>
          <t>B07PQBCNTT</t>
        </is>
      </c>
      <c r="G471">
        <f>_xludf.IMAGE("https://www.shelhealth.com/cdn/shop/files/south-of-france-hand-wash-orange-blossom-honey-8-oz-case-4-beauty-body-care-shelhealth-727.jpg?v=1686481233&amp;width=1946")</f>
        <v/>
      </c>
      <c r="H471">
        <f>_xludf.IMAGE("https://m.media-amazon.com/images/I/711h04DH20L._AC_UL320_.jpg")</f>
        <v/>
      </c>
      <c r="K471" t="inlineStr">
        <is>
          <t>17.99</t>
        </is>
      </c>
      <c r="L471" t="n">
        <v>15.97</v>
      </c>
      <c r="M471" s="1" t="inlineStr">
        <is>
          <t>-11.23%</t>
        </is>
      </c>
      <c r="N471" s="3" t="n">
        <v>-11.23</v>
      </c>
      <c r="O471" t="n">
        <v>4.3</v>
      </c>
      <c r="P471" t="n">
        <v>759</v>
      </c>
      <c r="R471" t="inlineStr">
        <is>
          <t>InStock</t>
        </is>
      </c>
      <c r="S471" t="inlineStr">
        <is>
          <t>17.99</t>
        </is>
      </c>
      <c r="T471" t="inlineStr">
        <is>
          <t>7242004365500</t>
        </is>
      </c>
    </row>
    <row r="472" hidden="1" ht="15.75" customHeight="1">
      <c r="A472" s="2">
        <f>HYPERLINK("https://www.shelhealth.com/products/856885200826-south-of-france-hand-wash-green-tea-8-oz", "https://www.shelhealth.com/products/856885200826-south-of-france-hand-wash-green-tea-8-oz")</f>
        <v/>
      </c>
      <c r="B472" s="2">
        <f>HYPERLINK("https://www.shelhealth.com/products/856885200826-south-of-france-hand-wash-green-tea-8-oz", "https://www.shelhealth.com/products/856885200826-south-of-france-hand-wash-green-tea-8-oz")</f>
        <v/>
      </c>
      <c r="C472" t="inlineStr">
        <is>
          <t>South Of France Hand Wash Green Tea, 8 Oz (Case of 4)</t>
        </is>
      </c>
      <c r="D472" t="inlineStr">
        <is>
          <t>Green Tea Clean Hand Wash by South of France Clean Body Care | Moisturizing Liquid Hand Soap with Mediterranean Sea Algae | 8 oz Pump Bottle – 3 Pack</t>
        </is>
      </c>
      <c r="E472" s="2">
        <f>HYPERLINK("https://www.amazon.com/Green-Tea-France-Natural-Bottles/dp/B07PSKGQ9B/ref=sr_1_3?keywords=South+Of+France+Hand+Wash+Green+Tea%2C+8+Oz+%28Case+of+4%29&amp;qid=1695170064&amp;sr=8-3", "https://www.amazon.com/Green-Tea-France-Natural-Bottles/dp/B07PSKGQ9B/ref=sr_1_3?keywords=South+Of+France+Hand+Wash+Green+Tea%2C+8+Oz+%28Case+of+4%29&amp;qid=1695170064&amp;sr=8-3")</f>
        <v/>
      </c>
      <c r="F472" t="inlineStr">
        <is>
          <t>B07PSKGQ9B</t>
        </is>
      </c>
      <c r="G472">
        <f>_xludf.IMAGE("https://www.shelhealth.com/cdn/shop/files/south-of-france-hand-wash-green-tea-8-oz-case-4-beauty-body-care-shelhealth-785.jpg?v=1688533757&amp;width=1946")</f>
        <v/>
      </c>
      <c r="H472">
        <f>_xludf.IMAGE("https://m.media-amazon.com/images/I/91syzxR1YlL._AC_UL320_.jpg")</f>
        <v/>
      </c>
      <c r="K472" t="inlineStr">
        <is>
          <t>17.99</t>
        </is>
      </c>
      <c r="L472" t="n">
        <v>15.97</v>
      </c>
      <c r="M472" s="1" t="inlineStr">
        <is>
          <t>-11.23%</t>
        </is>
      </c>
      <c r="N472" s="3" t="n">
        <v>-11.23</v>
      </c>
      <c r="O472" t="n">
        <v>4.3</v>
      </c>
      <c r="P472" t="n">
        <v>759</v>
      </c>
      <c r="R472" t="inlineStr">
        <is>
          <t>OutOfStock</t>
        </is>
      </c>
      <c r="S472" t="inlineStr">
        <is>
          <t>17.99</t>
        </is>
      </c>
      <c r="T472" t="inlineStr">
        <is>
          <t>7242004299964</t>
        </is>
      </c>
    </row>
    <row r="473" hidden="1" ht="15.75" customHeight="1">
      <c r="A473" s="2">
        <f>HYPERLINK("https://www.shelhealth.com/products/856885200802-south-of-france-hand-wash-shea-butter-8-oz", "https://www.shelhealth.com/products/856885200802-south-of-france-hand-wash-shea-butter-8-oz")</f>
        <v/>
      </c>
      <c r="B473" s="2">
        <f>HYPERLINK("https://www.shelhealth.com/products/856885200802-south-of-france-hand-wash-shea-butter-8-oz", "https://www.shelhealth.com/products/856885200802-south-of-france-hand-wash-shea-butter-8-oz")</f>
        <v/>
      </c>
      <c r="C473" t="inlineStr">
        <is>
          <t>SOUTH OF FRANCE Hand Wash Shea Butter, 8 oz (Case of 4)</t>
        </is>
      </c>
      <c r="D473" t="inlineStr">
        <is>
          <t>Shea Butter Clean Hand Wash by South of France Clean Body Care | Moisturizing Liquid Hand Soap with Mediterranean Sea Algae | 8 oz Pump Bottle – 3 Pack</t>
        </is>
      </c>
      <c r="E473" s="2">
        <f>HYPERLINK("https://www.amazon.com/Shea-Butter-France-Natural-Bottles/dp/B07NHPSWSV/ref=sr_1_4?keywords=SOUTH+OF+FRANCE+Hand+Wash+Shea+Butter%2C+8+oz+%28Case+of+4%29&amp;qid=1695170112&amp;sr=8-4", "https://www.amazon.com/Shea-Butter-France-Natural-Bottles/dp/B07NHPSWSV/ref=sr_1_4?keywords=SOUTH+OF+FRANCE+Hand+Wash+Shea+Butter%2C+8+oz+%28Case+of+4%29&amp;qid=1695170112&amp;sr=8-4")</f>
        <v/>
      </c>
      <c r="F473" t="inlineStr">
        <is>
          <t>B07NHPSWSV</t>
        </is>
      </c>
      <c r="G473">
        <f>_xludf.IMAGE("https://www.shelhealth.com/cdn/shop/files/south-of-france-hand-wash-shea-butter-8-oz-case-4-beauty-body-care-shelhealth-774.jpg?v=1688718634&amp;width=1946")</f>
        <v/>
      </c>
      <c r="H473">
        <f>_xludf.IMAGE("https://m.media-amazon.com/images/I/917jzy+1QCL._AC_UL320_.jpg")</f>
        <v/>
      </c>
      <c r="K473" t="inlineStr">
        <is>
          <t>17.99</t>
        </is>
      </c>
      <c r="L473" t="n">
        <v>15.97</v>
      </c>
      <c r="M473" s="1" t="inlineStr">
        <is>
          <t>-11.23%</t>
        </is>
      </c>
      <c r="N473" s="3" t="n">
        <v>-11.23</v>
      </c>
      <c r="O473" t="n">
        <v>4.3</v>
      </c>
      <c r="P473" t="n">
        <v>759</v>
      </c>
      <c r="R473" t="inlineStr">
        <is>
          <t>OutOfStock</t>
        </is>
      </c>
      <c r="S473" t="inlineStr">
        <is>
          <t>17.99</t>
        </is>
      </c>
      <c r="T473" t="inlineStr">
        <is>
          <t>7574301311208</t>
        </is>
      </c>
    </row>
    <row r="474" hidden="1" ht="15.75" customHeight="1">
      <c r="A474" s="2">
        <f>HYPERLINK("https://www.shelhealth.com/products/841320102582-alaffia-authentic-african-black-soap-all-in-one-rosewater-peony-32-fo", "https://www.shelhealth.com/products/841320102582-alaffia-authentic-african-black-soap-all-in-one-rosewater-peony-32-fo")</f>
        <v/>
      </c>
      <c r="B474" s="2">
        <f>HYPERLINK("https://www.shelhealth.com/products/841320102582-alaffia-authentic-african-black-soap-all-in-one-rosewater-peony-32-fo", "https://www.shelhealth.com/products/841320102582-alaffia-authentic-african-black-soap-all-in-one-rosewater-peony-32-fo")</f>
        <v/>
      </c>
      <c r="C474" t="inlineStr">
        <is>
          <t>ALAFFIA Authentic African Black Soap All In One Rosewater Peony, 32 fo</t>
        </is>
      </c>
      <c r="D474" t="inlineStr">
        <is>
          <t>Alaffia - Authentic African Black Soap, All-in-One Body Wash, Shampoo, and Shaving Soap For All Skin and Hair Types, Fair Trade, No Parabens, Non-GMO, No SLS, Peppermint, 16 Ounce</t>
        </is>
      </c>
      <c r="E474" s="2">
        <f>HYPERLINK("https://www.amazon.com/Alaffia-Authentic-All-One-Peppermint/dp/B00HUDR8Q4/ref=sr_1_4?keywords=ALAFFIA+Authentic+African+Black+Soap+All+In+One+Rosewater+Peony%2C+32+fo&amp;qid=1695170059&amp;sr=8-4", "https://www.amazon.com/Alaffia-Authentic-All-One-Peppermint/dp/B00HUDR8Q4/ref=sr_1_4?keywords=ALAFFIA+Authentic+African+Black+Soap+All+In+One+Rosewater+Peony%2C+32+fo&amp;qid=1695170059&amp;sr=8-4")</f>
        <v/>
      </c>
      <c r="F474" t="inlineStr">
        <is>
          <t>B00HUDR8Q4</t>
        </is>
      </c>
      <c r="G474">
        <f>_xludf.IMAGE("https://www.shelhealth.com/cdn/shop/files/alaffia-authentic-african-black-soap-all-in-one-rosewater-peony-32-fo-beauty-body-care-shelhealth-342.jpg?v=1693365783&amp;width=1946")</f>
        <v/>
      </c>
      <c r="H474">
        <f>_xludf.IMAGE("https://m.media-amazon.com/images/I/71hCZ7TgINL._AC_UL320_.jpg")</f>
        <v/>
      </c>
      <c r="K474" t="inlineStr">
        <is>
          <t>14.99</t>
        </is>
      </c>
      <c r="L474" t="n">
        <v>13.25</v>
      </c>
      <c r="M474" s="1" t="inlineStr">
        <is>
          <t>-11.61%</t>
        </is>
      </c>
      <c r="N474" s="3" t="n">
        <v>-11.61</v>
      </c>
      <c r="O474" t="n">
        <v>4.3</v>
      </c>
      <c r="P474" t="n">
        <v>554</v>
      </c>
      <c r="R474" t="inlineStr">
        <is>
          <t>InStock</t>
        </is>
      </c>
      <c r="S474" t="inlineStr">
        <is>
          <t>14.99</t>
        </is>
      </c>
      <c r="T474" t="inlineStr">
        <is>
          <t>7573948498152</t>
        </is>
      </c>
    </row>
    <row r="475" hidden="1" ht="15.75" customHeight="1">
      <c r="A475" s="2">
        <f>HYPERLINK("https://www.shelhealth.com/products/856885201984-south-of-france-hand-wash-foam-blooming-jasmine-8-oz", "https://www.shelhealth.com/products/856885201984-south-of-france-hand-wash-foam-blooming-jasmine-8-oz")</f>
        <v/>
      </c>
      <c r="B475" s="2">
        <f>HYPERLINK("https://www.shelhealth.com/products/856885201984-south-of-france-hand-wash-foam-blooming-jasmine-8-oz", "https://www.shelhealth.com/products/856885201984-south-of-france-hand-wash-foam-blooming-jasmine-8-oz")</f>
        <v/>
      </c>
      <c r="C475" t="inlineStr">
        <is>
          <t>South Of France Hand Wash Foam Blooming Jasmine, 8 Oz (Case of 4)</t>
        </is>
      </c>
      <c r="D475" t="inlineStr">
        <is>
          <t>South of France Foaming Hand Wash Blooming Jasmine - 8 fl oz - 2pc</t>
        </is>
      </c>
      <c r="E475" s="2">
        <f>HYPERLINK("https://www.amazon.com/South-France-Foaming-Blooming-Jasmine/dp/B01LX7OTOY/ref=sr_1_4?keywords=South+Of+France+Hand+Wash+Foam+Blooming+Jasmine%2C+8+Oz+%28Case+of+4%29&amp;qid=1695170061&amp;sr=8-4", "https://www.amazon.com/South-France-Foaming-Blooming-Jasmine/dp/B01LX7OTOY/ref=sr_1_4?keywords=South+Of+France+Hand+Wash+Foam+Blooming+Jasmine%2C+8+Oz+%28Case+of+4%29&amp;qid=1695170061&amp;sr=8-4")</f>
        <v/>
      </c>
      <c r="F475" t="inlineStr">
        <is>
          <t>B01LX7OTOY</t>
        </is>
      </c>
      <c r="G475">
        <f>_xludf.IMAGE("https://www.shelhealth.com/cdn/shop/files/south-of-france-hand-wash-foam-blooming-jasmine-8-oz-case-4-beauty-body-care-shelhealth-581.jpg?v=1686202480&amp;width=1946")</f>
        <v/>
      </c>
      <c r="H475">
        <f>_xludf.IMAGE("https://m.media-amazon.com/images/I/61eI2ydr8LL._AC_UL320_.jpg")</f>
        <v/>
      </c>
      <c r="K475" t="inlineStr">
        <is>
          <t>17.99</t>
        </is>
      </c>
      <c r="L475" t="n">
        <v>15.89</v>
      </c>
      <c r="M475" s="1" t="inlineStr">
        <is>
          <t>-11.67%</t>
        </is>
      </c>
      <c r="N475" s="3" t="n">
        <v>-11.67</v>
      </c>
      <c r="O475" t="n">
        <v>5</v>
      </c>
      <c r="P475" t="n">
        <v>2</v>
      </c>
      <c r="R475" t="inlineStr">
        <is>
          <t>OutOfStock</t>
        </is>
      </c>
      <c r="S475" t="inlineStr">
        <is>
          <t>17.99</t>
        </is>
      </c>
      <c r="T475" t="inlineStr">
        <is>
          <t>7242004201660</t>
        </is>
      </c>
    </row>
    <row r="476" hidden="1" ht="15.75" customHeight="1">
      <c r="A476" s="2">
        <f>HYPERLINK("https://www.shelhealth.com/products/australian-botanical-soap-goats-milk-soya-bean-oil-plant-oil-soap-7-oz-200g-bars-8-count", "https://www.shelhealth.com/products/australian-botanical-soap-goats-milk-soya-bean-oil-plant-oil-soap-7-oz-200g-bars-8-count")</f>
        <v/>
      </c>
      <c r="B476" s="2">
        <f>HYPERLINK("https://www.shelhealth.com/products/australian-botanical-soap-goats-milk-soya-bean-oil-plant-oil-soap-7-oz-200g-bars-8-count", "https://www.shelhealth.com/products/australian-botanical-soap-goats-milk-soya-bean-oil-plant-oil-soap-7-oz-200g-bars-8-count")</f>
        <v/>
      </c>
      <c r="C476" t="inlineStr">
        <is>
          <t>Australian Botanical Soap, Goat's Milk &amp; Soya Bean Oil Plant Oil Soap, 7 oz. 200g Bars - 8 Count</t>
        </is>
      </c>
      <c r="D476" t="inlineStr">
        <is>
          <t>Australian Botanical Soap, Goat's Milk with Soya Bean Oil 6.6 oz (193g) Natural Ingredient Soap Bars | All Skin Types | Shea Butter Enriched - 6.6 oz. 193g Bars - 4 Count</t>
        </is>
      </c>
      <c r="E476" s="2">
        <f>HYPERLINK("https://www.amazon.com/Australian-Botanical-Soap-Goats-Plant/dp/B091BFS9CG/ref=sr_1_3?keywords=Australian+Botanical+Soap%2C+Goats+Milk&amp;qid=1695170042&amp;sr=8-3", "https://www.amazon.com/Australian-Botanical-Soap-Goats-Plant/dp/B091BFS9CG/ref=sr_1_3?keywords=Australian+Botanical+Soap%2C+Goats+Milk&amp;qid=1695170042&amp;sr=8-3")</f>
        <v/>
      </c>
      <c r="F476" t="inlineStr">
        <is>
          <t>B091BFS9CG</t>
        </is>
      </c>
      <c r="G476">
        <f>_xludf.IMAGE("https://www.shelhealth.com/cdn/shop/products/australian-botanical-soap-goats-milk-soya-bean-oil-plant-7-oz-200g-bars-8-count-shelhealth-630.jpg?v=1663365145&amp;width=1946")</f>
        <v/>
      </c>
      <c r="H476">
        <f>_xludf.IMAGE("https://m.media-amazon.com/images/I/71nehoKMJZL._AC_UL320_.jpg")</f>
        <v/>
      </c>
      <c r="K476" t="inlineStr">
        <is>
          <t>27.99</t>
        </is>
      </c>
      <c r="L476" t="n">
        <v>24.25</v>
      </c>
      <c r="M476" s="1" t="inlineStr">
        <is>
          <t>-13.36%</t>
        </is>
      </c>
      <c r="N476" s="3" t="n">
        <v>-13.36</v>
      </c>
      <c r="O476" t="n">
        <v>4.5</v>
      </c>
      <c r="P476" t="n">
        <v>2375</v>
      </c>
      <c r="R476" t="inlineStr">
        <is>
          <t>OutOfStock</t>
        </is>
      </c>
      <c r="S476" t="inlineStr">
        <is>
          <t>27.99</t>
        </is>
      </c>
      <c r="T476" t="inlineStr">
        <is>
          <t>4475933786201</t>
        </is>
      </c>
    </row>
    <row r="477" hidden="1" ht="15.75" customHeight="1">
      <c r="A477" s="2">
        <f>HYPERLINK("https://www.shelhealth.com/products/764302130000-nubian-heritage-bar-soap-raw-shea-butter-with-soy-milk-frankincense-and-myrrh-5-oz", "https://www.shelhealth.com/products/764302130000-nubian-heritage-bar-soap-raw-shea-butter-with-soy-milk-frankincense-and-myrrh-5-oz")</f>
        <v/>
      </c>
      <c r="B477" s="2">
        <f>HYPERLINK("https://www.shelhealth.com/products/764302130000-nubian-heritage-bar-soap-raw-shea-butter-with-soy-milk-frankincense-and-myrrh-5-oz", "https://www.shelhealth.com/products/764302130000-nubian-heritage-bar-soap-raw-shea-butter-with-soy-milk-frankincense-and-myrrh-5-oz")</f>
        <v/>
      </c>
      <c r="C477" t="inlineStr">
        <is>
          <t>Nubian Heritage Bar Soap Raw Shea Butter With Soy Milk Frankincense And Myrrh, 5 Oz (Case of 3)</t>
        </is>
      </c>
      <c r="D477" t="inlineStr">
        <is>
          <t>Nubian Heritage Bar Soap Raw Shea Butter with Soy Milk, Frankincense &amp; Myrrh -- 5 oz - 2pc</t>
        </is>
      </c>
      <c r="E477" s="2">
        <f>HYPERLINK("https://www.amazon.com/Nubian-Heritage-Butter-Frankincense-Myrrh/dp/B01M13XMVS/ref=sr_1_2?keywords=Nubian+Heritage+Bar+Soap+Raw+Shea+Butter+With+Soy+Milk+Frankincense+And+Myrrh%2C+5+Oz+%28Case+of+3%29&amp;qid=1695170097&amp;sr=8-2", "https://www.amazon.com/Nubian-Heritage-Butter-Frankincense-Myrrh/dp/B01M13XMVS/ref=sr_1_2?keywords=Nubian+Heritage+Bar+Soap+Raw+Shea+Butter+With+Soy+Milk+Frankincense+And+Myrrh%2C+5+Oz+%28Case+of+3%29&amp;qid=1695170097&amp;sr=8-2")</f>
        <v/>
      </c>
      <c r="F477" t="inlineStr">
        <is>
          <t>B01M13XMVS</t>
        </is>
      </c>
      <c r="G477">
        <f>_xludf.IMAGE("https://www.shelhealth.com/cdn/shop/files/nubian-heritage-bar-soap-raw-shea-butter-with-soy-milk-frankincense-and-myrrh-5-oz-case-of-3-beauty-body-care-shelhealth-792.jpg?v=1686533864&amp;width=1946")</f>
        <v/>
      </c>
      <c r="H477">
        <f>_xludf.IMAGE("https://m.media-amazon.com/images/I/61h6GwzF49L._AC_UL320_.jpg")</f>
        <v/>
      </c>
      <c r="K477" t="inlineStr">
        <is>
          <t>19.99</t>
        </is>
      </c>
      <c r="L477" t="n">
        <v>16.92</v>
      </c>
      <c r="M477" s="1" t="inlineStr">
        <is>
          <t>-15.36%</t>
        </is>
      </c>
      <c r="N477" s="3" t="n">
        <v>-15.36</v>
      </c>
      <c r="O477" t="n">
        <v>5</v>
      </c>
      <c r="P477" t="n">
        <v>13</v>
      </c>
      <c r="R477" t="inlineStr">
        <is>
          <t>InStock</t>
        </is>
      </c>
      <c r="S477" t="inlineStr">
        <is>
          <t>19.99</t>
        </is>
      </c>
      <c r="T477" t="inlineStr">
        <is>
          <t>7241884074172</t>
        </is>
      </c>
    </row>
    <row r="478" hidden="1" ht="15.75" customHeight="1">
      <c r="A478" s="2">
        <f>HYPERLINK("https://www.shelhealth.com/products/dove-purely-pampering-shea-butter-beauty-bar-16-ct-4-oz", "https://www.shelhealth.com/products/dove-purely-pampering-shea-butter-beauty-bar-16-ct-4-oz")</f>
        <v/>
      </c>
      <c r="B478" s="2">
        <f>HYPERLINK("https://www.shelhealth.com/products/dove-purely-pampering-shea-butter-beauty-bar-16-ct-4-oz", "https://www.shelhealth.com/products/dove-purely-pampering-shea-butter-beauty-bar-16-ct-4-oz")</f>
        <v/>
      </c>
      <c r="C478" t="inlineStr">
        <is>
          <t>Dove Purely Pampering Shea Butter Beauty Bar, 16 ct./4 oz.</t>
        </is>
      </c>
      <c r="D478" t="inlineStr">
        <is>
          <t>Dove Purely Pampering Shea Butter Beauty Bar, 4 oz, 2 Bar (Pack of 3)</t>
        </is>
      </c>
      <c r="E478" s="2">
        <f>HYPERLINK("https://www.amazon.com/Dove-Purely-Pampering-Butter-Beauty/dp/B00HARQ618/ref=sr_1_4?keywords=Dove+Purely+Pampering+Shea+Butter+Beauty+Bar%2C+16+ct.%2F4+oz.&amp;qid=1695170047&amp;sr=8-4", "https://www.amazon.com/Dove-Purely-Pampering-Butter-Beauty/dp/B00HARQ618/ref=sr_1_4?keywords=Dove+Purely+Pampering+Shea+Butter+Beauty+Bar%2C+16+ct.%2F4+oz.&amp;qid=1695170047&amp;sr=8-4")</f>
        <v/>
      </c>
      <c r="F478" t="inlineStr">
        <is>
          <t>B00HARQ618</t>
        </is>
      </c>
      <c r="G478">
        <f>_xludf.IMAGE("https://www.shelhealth.com/cdn/shop/products/dove-purely-pampering-shea-butter-beauty-bar-16-ct-4-oz-shelhealth-401.jpg?v=1663354627&amp;width=1946")</f>
        <v/>
      </c>
      <c r="H478">
        <f>_xludf.IMAGE("https://m.media-amazon.com/images/I/61x8jNbgVWL._AC_UL320_.jpg")</f>
        <v/>
      </c>
      <c r="K478" t="inlineStr">
        <is>
          <t>23.99</t>
        </is>
      </c>
      <c r="L478" t="n">
        <v>20</v>
      </c>
      <c r="M478" s="1" t="inlineStr">
        <is>
          <t>-16.63%</t>
        </is>
      </c>
      <c r="N478" s="3" t="n">
        <v>-16.63</v>
      </c>
      <c r="O478" t="n">
        <v>5</v>
      </c>
      <c r="P478" t="n">
        <v>4</v>
      </c>
      <c r="R478" t="inlineStr">
        <is>
          <t>InStock</t>
        </is>
      </c>
      <c r="S478" t="inlineStr">
        <is>
          <t>23.99</t>
        </is>
      </c>
      <c r="T478" t="inlineStr">
        <is>
          <t>4167683506228</t>
        </is>
      </c>
    </row>
    <row r="479" hidden="1" ht="15.75" customHeight="1">
      <c r="A479" s="2">
        <f>HYPERLINK("https://www.shelhealth.com/products/856885201984-south-of-france-hand-wash-foam-blooming-jasmine-8-oz", "https://www.shelhealth.com/products/856885201984-south-of-france-hand-wash-foam-blooming-jasmine-8-oz")</f>
        <v/>
      </c>
      <c r="B479" s="2">
        <f>HYPERLINK("https://www.shelhealth.com/products/856885201984-south-of-france-hand-wash-foam-blooming-jasmine-8-oz", "https://www.shelhealth.com/products/856885201984-south-of-france-hand-wash-foam-blooming-jasmine-8-oz")</f>
        <v/>
      </c>
      <c r="C479" t="inlineStr">
        <is>
          <t>South Of France Hand Wash Foam Blooming Jasmine, 8 Oz (Case of 4)</t>
        </is>
      </c>
      <c r="D479" t="inlineStr">
        <is>
          <t>Blooming Jasmine Foaming Hand Wash by SoF Body Care (Formerly South of France Body Care) | Hydrating Organic Agave Nectar | 8 oz Pump Bottle Each | 3 Bottles</t>
        </is>
      </c>
      <c r="E479" s="2">
        <f>HYPERLINK("https://www.amazon.com/South-France-Hand-Soap-Blooming/dp/B06Y2G69FN/ref=sr_1_5?keywords=South+Of+France+Hand+Wash+Foam+Blooming+Jasmine%2C+8+Oz+%28Case+of+4%29&amp;qid=1695170061&amp;sr=8-5", "https://www.amazon.com/South-France-Hand-Soap-Blooming/dp/B06Y2G69FN/ref=sr_1_5?keywords=South+Of+France+Hand+Wash+Foam+Blooming+Jasmine%2C+8+Oz+%28Case+of+4%29&amp;qid=1695170061&amp;sr=8-5")</f>
        <v/>
      </c>
      <c r="F479" t="inlineStr">
        <is>
          <t>B06Y2G69FN</t>
        </is>
      </c>
      <c r="G479">
        <f>_xludf.IMAGE("https://www.shelhealth.com/cdn/shop/files/south-of-france-hand-wash-foam-blooming-jasmine-8-oz-case-4-beauty-body-care-shelhealth-581.jpg?v=1686202480&amp;width=1946")</f>
        <v/>
      </c>
      <c r="H479">
        <f>_xludf.IMAGE("https://m.media-amazon.com/images/I/819C-8lEaPL._AC_UL320_.jpg")</f>
        <v/>
      </c>
      <c r="K479" t="inlineStr">
        <is>
          <t>17.99</t>
        </is>
      </c>
      <c r="L479" t="n">
        <v>14.97</v>
      </c>
      <c r="M479" s="1" t="inlineStr">
        <is>
          <t>-16.79%</t>
        </is>
      </c>
      <c r="N479" s="3" t="n">
        <v>-16.79</v>
      </c>
      <c r="O479" t="n">
        <v>4.5</v>
      </c>
      <c r="P479" t="n">
        <v>898</v>
      </c>
      <c r="R479" t="inlineStr">
        <is>
          <t>OutOfStock</t>
        </is>
      </c>
      <c r="S479" t="inlineStr">
        <is>
          <t>17.99</t>
        </is>
      </c>
      <c r="T479" t="inlineStr">
        <is>
          <t>7242004201660</t>
        </is>
      </c>
    </row>
    <row r="480" hidden="1" ht="15.75" customHeight="1">
      <c r="A480" s="2">
        <f>HYPERLINK("https://www.shelhealth.com/products/817252011209-a-la-maison-de-provence-hand-body-liquid-soap-pure-coconut-16-9-oz", "https://www.shelhealth.com/products/817252011209-a-la-maison-de-provence-hand-body-liquid-soap-pure-coconut-16-9-oz")</f>
        <v/>
      </c>
      <c r="B480" s="2">
        <f>HYPERLINK("https://www.shelhealth.com/products/817252011209-a-la-maison-de-provence-hand-body-liquid-soap-pure-coconut-16-9-oz", "https://www.shelhealth.com/products/817252011209-a-la-maison-de-provence-hand-body-liquid-soap-pure-coconut-16-9-oz")</f>
        <v/>
      </c>
      <c r="C480" t="inlineStr">
        <is>
          <t>A La Maison De Provence Hand &amp; Body Liquid Soap Pure Coconut, 16.9 Oz (Case of 3)</t>
        </is>
      </c>
      <c r="D480" t="inlineStr">
        <is>
          <t>A LA MAISON de Provence Liquid Hand Soap 16.9 oz &amp; Body Lotion 5 oz | Sweet Almond Scent | French Milled Moisturizing Natural Hand Soap &amp; Body Lotion | Moisturizer for Dry Skin</t>
        </is>
      </c>
      <c r="E480" s="2">
        <f>HYPERLINK("https://www.amazon.com/Maison-Almond-Moisturizing-Natural-Lotion/dp/B099P36ZYG/ref=sr_1_8?keywords=A+La+Maison+De+Provence+Hand&amp;qid=1695170048&amp;sr=8-8", "https://www.amazon.com/Maison-Almond-Moisturizing-Natural-Lotion/dp/B099P36ZYG/ref=sr_1_8?keywords=A+La+Maison+De+Provence+Hand&amp;qid=1695170048&amp;sr=8-8")</f>
        <v/>
      </c>
      <c r="F480" t="inlineStr">
        <is>
          <t>B099P36ZYG</t>
        </is>
      </c>
      <c r="G480">
        <f>_xludf.IMAGE("https://www.shelhealth.com/cdn/shop/files/a-la-maison-de-provence-hand-body-liquid-soap-pure-coconut-16-9-oz-case-of-3-beauty-care-shelhealth-975.jpg?v=1686520131&amp;width=1946")</f>
        <v/>
      </c>
      <c r="H480">
        <f>_xludf.IMAGE("https://m.media-amazon.com/images/I/61fStOVT9GS._AC_UL320_.jpg")</f>
        <v/>
      </c>
      <c r="K480" t="inlineStr">
        <is>
          <t>25.99</t>
        </is>
      </c>
      <c r="L480" t="n">
        <v>21.58</v>
      </c>
      <c r="M480" s="1" t="inlineStr">
        <is>
          <t>-16.97%</t>
        </is>
      </c>
      <c r="N480" s="3" t="n">
        <v>-16.97</v>
      </c>
      <c r="O480" t="n">
        <v>4.2</v>
      </c>
      <c r="P480" t="n">
        <v>14</v>
      </c>
      <c r="R480" t="inlineStr">
        <is>
          <t>InStock</t>
        </is>
      </c>
      <c r="S480" t="inlineStr">
        <is>
          <t>25.99</t>
        </is>
      </c>
      <c r="T480" t="inlineStr">
        <is>
          <t>7241410445500</t>
        </is>
      </c>
    </row>
    <row r="481" hidden="1" ht="15.75" customHeight="1">
      <c r="A481" s="2">
        <f>HYPERLINK("https://www.shelhealth.com/products/755355200819-south-of-france-hand-wash-lavender-fields-8-oz", "https://www.shelhealth.com/products/755355200819-south-of-france-hand-wash-lavender-fields-8-oz")</f>
        <v/>
      </c>
      <c r="B481" s="2">
        <f>HYPERLINK("https://www.shelhealth.com/products/755355200819-south-of-france-hand-wash-lavender-fields-8-oz", "https://www.shelhealth.com/products/755355200819-south-of-france-hand-wash-lavender-fields-8-oz")</f>
        <v/>
      </c>
      <c r="C481" t="inlineStr">
        <is>
          <t>SOUTH OF FRANCE Hand Wash Lavender Fields, 8 oz (Case of 4)</t>
        </is>
      </c>
      <c r="D481" t="inlineStr">
        <is>
          <t>South of France Hand Wash with Soothing Aloe Vera(Pack of 2) - Lavender Fields - 8 oz - Natural Body Care</t>
        </is>
      </c>
      <c r="E481" s="2">
        <f>HYPERLINK("https://www.amazon.com/South-France-Hand-Wash-Soothing/dp/B01ANK1000/ref=sr_1_2?keywords=SOUTH+OF+FRANCE+Hand+Wash+Lavender+Fields%2C+8+oz+%28Case+of+4%29&amp;qid=1695170083&amp;sr=8-2", "https://www.amazon.com/South-France-Hand-Wash-Soothing/dp/B01ANK1000/ref=sr_1_2?keywords=SOUTH+OF+FRANCE+Hand+Wash+Lavender+Fields%2C+8+oz+%28Case+of+4%29&amp;qid=1695170083&amp;sr=8-2")</f>
        <v/>
      </c>
      <c r="F481" t="inlineStr">
        <is>
          <t>B01ANK1000</t>
        </is>
      </c>
      <c r="G481">
        <f>_xludf.IMAGE("https://www.shelhealth.com/cdn/shop/files/south-of-france-hand-wash-lavender-fields-8-oz-case-4-beauty-body-care-shelhealth-181.jpg?v=1686138361&amp;width=1946")</f>
        <v/>
      </c>
      <c r="H481">
        <f>_xludf.IMAGE("https://m.media-amazon.com/images/I/61ke9f13HiL._AC_UL320_.jpg")</f>
        <v/>
      </c>
      <c r="K481" t="inlineStr">
        <is>
          <t>16.99</t>
        </is>
      </c>
      <c r="L481" t="n">
        <v>13.95</v>
      </c>
      <c r="M481" s="1" t="inlineStr">
        <is>
          <t>-17.89%</t>
        </is>
      </c>
      <c r="N481" s="3" t="n">
        <v>-17.89</v>
      </c>
      <c r="O481" t="n">
        <v>4</v>
      </c>
      <c r="P481" t="n">
        <v>4</v>
      </c>
      <c r="R481" t="inlineStr">
        <is>
          <t>OutOfStock</t>
        </is>
      </c>
      <c r="S481" t="inlineStr">
        <is>
          <t>16.99</t>
        </is>
      </c>
      <c r="T481" t="inlineStr">
        <is>
          <t>7574301245672</t>
        </is>
      </c>
    </row>
    <row r="482" hidden="1" ht="15.75" customHeight="1">
      <c r="A482" s="2">
        <f>HYPERLINK("https://www.shelhealth.com/products/636874227306-everyone-hand-soap-ruby-grapefruit-12-75-fo", "https://www.shelhealth.com/products/636874227306-everyone-hand-soap-ruby-grapefruit-12-75-fo")</f>
        <v/>
      </c>
      <c r="B482" s="2">
        <f>HYPERLINK("https://www.shelhealth.com/products/636874227306-everyone-hand-soap-ruby-grapefruit-12-75-fo", "https://www.shelhealth.com/products/636874227306-everyone-hand-soap-ruby-grapefruit-12-75-fo")</f>
        <v/>
      </c>
      <c r="C482" t="inlineStr">
        <is>
          <t>Everyone Hand Soap Ruby Grapefruit, 12.75 Fo (Case of 4)</t>
        </is>
      </c>
      <c r="D482" t="inlineStr">
        <is>
          <t>Everyone Liquid Hand Soap, 12.75 Ounce (Pack of 3), Ruby Grapefruit, Plant-Based Cleanser with Pure Essential Oils</t>
        </is>
      </c>
      <c r="E482" s="2">
        <f>HYPERLINK("https://www.amazon.com/everyone-Grapefruit-Plant-Based-Cleanser-Essential/dp/B085S7TSXK/ref=sr_1_2?keywords=Everyone+Hand+Soap+Ruby+Grapefruit%2C+12.75+Fo+%28Case+of+4%29&amp;qid=1695170057&amp;sr=8-2", "https://www.amazon.com/everyone-Grapefruit-Plant-Based-Cleanser-Essential/dp/B085S7TSXK/ref=sr_1_2?keywords=Everyone+Hand+Soap+Ruby+Grapefruit%2C+12.75+Fo+%28Case+of+4%29&amp;qid=1695170057&amp;sr=8-2")</f>
        <v/>
      </c>
      <c r="F482" t="inlineStr">
        <is>
          <t>B085S7TSXK</t>
        </is>
      </c>
      <c r="G482">
        <f>_xludf.IMAGE("https://www.shelhealth.com/cdn/shop/files/everyone-hand-soap-ruby-grapefruit-12-75-fo-case-of-4-beauty-body-care-shelhealth-637.jpg?v=1686526122&amp;width=1946")</f>
        <v/>
      </c>
      <c r="H482">
        <f>_xludf.IMAGE("https://m.media-amazon.com/images/I/71QzdMJUIDL._AC_UL320_.jpg")</f>
        <v/>
      </c>
      <c r="K482" t="inlineStr">
        <is>
          <t>21.99</t>
        </is>
      </c>
      <c r="L482" t="n">
        <v>17.97</v>
      </c>
      <c r="M482" s="1" t="inlineStr">
        <is>
          <t>-18.28%</t>
        </is>
      </c>
      <c r="N482" s="3" t="n">
        <v>-18.28</v>
      </c>
      <c r="O482" t="n">
        <v>4.7</v>
      </c>
      <c r="P482" t="n">
        <v>29960</v>
      </c>
      <c r="R482" t="inlineStr">
        <is>
          <t>OutOfStock</t>
        </is>
      </c>
      <c r="S482" t="inlineStr">
        <is>
          <t>21.99</t>
        </is>
      </c>
      <c r="T482" t="inlineStr">
        <is>
          <t>7241629401276</t>
        </is>
      </c>
    </row>
    <row r="483" hidden="1" ht="15.75" customHeight="1">
      <c r="A483" s="2">
        <f>HYPERLINK("https://www.shelhealth.com/products/dove-purely-pampering-shea-butter-beauty-bar-16-ct-4-oz", "https://www.shelhealth.com/products/dove-purely-pampering-shea-butter-beauty-bar-16-ct-4-oz")</f>
        <v/>
      </c>
      <c r="B483" s="2">
        <f>HYPERLINK("https://www.shelhealth.com/products/dove-purely-pampering-shea-butter-beauty-bar-16-ct-4-oz", "https://www.shelhealth.com/products/dove-purely-pampering-shea-butter-beauty-bar-16-ct-4-oz")</f>
        <v/>
      </c>
      <c r="C483" t="inlineStr">
        <is>
          <t>Dove Purely Pampering Shea Butter Beauty Bar, 16 ct./4 oz.</t>
        </is>
      </c>
      <c r="D483" t="inlineStr">
        <is>
          <t>Dove Beauty Bar Soap - Purely Pampering - Shea Butter - 2 Count 4 OZ Bars Per Package - Pack of 2 Packages (Total of 4 Bars)</t>
        </is>
      </c>
      <c r="E483" s="2">
        <f>HYPERLINK("https://www.amazon.com/Dove-Beauty-Bar-Soap-Pampering/dp/B075B4J95B/ref=sr_1_1?keywords=Dove+Purely+Pampering+Shea+Butter+Beauty+Bar%2C+16+ct.%2F4+oz.&amp;qid=1695170047&amp;sr=8-1", "https://www.amazon.com/Dove-Beauty-Bar-Soap-Pampering/dp/B075B4J95B/ref=sr_1_1?keywords=Dove+Purely+Pampering+Shea+Butter+Beauty+Bar%2C+16+ct.%2F4+oz.&amp;qid=1695170047&amp;sr=8-1")</f>
        <v/>
      </c>
      <c r="F483" t="inlineStr">
        <is>
          <t>B075B4J95B</t>
        </is>
      </c>
      <c r="G483">
        <f>_xludf.IMAGE("https://www.shelhealth.com/cdn/shop/products/dove-purely-pampering-shea-butter-beauty-bar-16-ct-4-oz-shelhealth-401.jpg?v=1663354627&amp;width=1946")</f>
        <v/>
      </c>
      <c r="H483">
        <f>_xludf.IMAGE("https://m.media-amazon.com/images/I/61YfWUJTDbL._AC_UL320_.jpg")</f>
        <v/>
      </c>
      <c r="K483" t="inlineStr">
        <is>
          <t>23.99</t>
        </is>
      </c>
      <c r="L483" t="n">
        <v>19.5</v>
      </c>
      <c r="M483" s="1" t="inlineStr">
        <is>
          <t>-18.72%</t>
        </is>
      </c>
      <c r="N483" s="3" t="n">
        <v>-18.72</v>
      </c>
      <c r="O483" t="n">
        <v>5</v>
      </c>
      <c r="P483" t="n">
        <v>1</v>
      </c>
      <c r="R483" t="inlineStr">
        <is>
          <t>InStock</t>
        </is>
      </c>
      <c r="S483" t="inlineStr">
        <is>
          <t>23.99</t>
        </is>
      </c>
      <c r="T483" t="inlineStr">
        <is>
          <t>4167683506228</t>
        </is>
      </c>
    </row>
    <row r="484" hidden="1" ht="15.75" customHeight="1">
      <c r="A484" s="2">
        <f>HYPERLINK("https://www.shelhealth.com/products/182741000546-a-la-maison-bar-soap-oat-milk-8-oz", "https://www.shelhealth.com/products/182741000546-a-la-maison-bar-soap-oat-milk-8-oz")</f>
        <v/>
      </c>
      <c r="B484" s="2">
        <f>HYPERLINK("https://www.shelhealth.com/products/182741000546-a-la-maison-bar-soap-oat-milk-8-oz", "https://www.shelhealth.com/products/182741000546-a-la-maison-bar-soap-oat-milk-8-oz")</f>
        <v/>
      </c>
      <c r="C484" t="inlineStr">
        <is>
          <t>A La Maison Bar Soap Oat Milk, 8 Oz (Case of 4)</t>
        </is>
      </c>
      <c r="D484" t="inlineStr">
        <is>
          <t>A LA MAISON Oat Milk Bar Soap - Triple French Milled Natural Moisturizing Hand Soap Bar (3 Bars of Soap, 8.8 oz)</t>
        </is>
      </c>
      <c r="E484" s="2">
        <f>HYPERLINK("https://www.amazon.com/Maison-Oat-Milk-Soap-Pack/dp/B08C8STV2R/ref=sr_1_1?keywords=A+La+Maison+Bar+Soap+Oat+Milk%2C+8+Oz+%28Case+of+4%29&amp;qid=1695170079&amp;sr=8-1", "https://www.amazon.com/Maison-Oat-Milk-Soap-Pack/dp/B08C8STV2R/ref=sr_1_1?keywords=A+La+Maison+Bar+Soap+Oat+Milk%2C+8+Oz+%28Case+of+4%29&amp;qid=1695170079&amp;sr=8-1")</f>
        <v/>
      </c>
      <c r="F484" t="inlineStr">
        <is>
          <t>B08C8STV2R</t>
        </is>
      </c>
      <c r="G484">
        <f>_xludf.IMAGE("https://www.shelhealth.com/cdn/shop/files/a-la-maison-bar-soap-oat-milk-8-oz-case-of-4-beauty-body-care-de-provence-shelhealth-975.jpg?v=1686520143&amp;width=1946")</f>
        <v/>
      </c>
      <c r="H484">
        <f>_xludf.IMAGE("https://m.media-amazon.com/images/I/41nq8YjHWSL._AC_UL320_.jpg")</f>
        <v/>
      </c>
      <c r="K484" t="inlineStr">
        <is>
          <t>20.99</t>
        </is>
      </c>
      <c r="L484" t="n">
        <v>16.99</v>
      </c>
      <c r="M484" s="1" t="inlineStr">
        <is>
          <t>-19.06%</t>
        </is>
      </c>
      <c r="N484" s="3" t="n">
        <v>-19.06</v>
      </c>
      <c r="O484" t="n">
        <v>4.6</v>
      </c>
      <c r="P484" t="n">
        <v>2612</v>
      </c>
      <c r="R484" t="inlineStr">
        <is>
          <t>InStock</t>
        </is>
      </c>
      <c r="S484" t="inlineStr">
        <is>
          <t>20.99</t>
        </is>
      </c>
      <c r="T484" t="inlineStr">
        <is>
          <t>7241411526844</t>
        </is>
      </c>
    </row>
    <row r="485" hidden="1" ht="15.75" customHeight="1">
      <c r="A485" s="2">
        <f>HYPERLINK("https://www.shelhealth.com/products/856885200833-south-of-france-hand-wash-orange-blossom-honey-8-oz", "https://www.shelhealth.com/products/856885200833-south-of-france-hand-wash-orange-blossom-honey-8-oz")</f>
        <v/>
      </c>
      <c r="B485" s="2">
        <f>HYPERLINK("https://www.shelhealth.com/products/856885200833-south-of-france-hand-wash-orange-blossom-honey-8-oz", "https://www.shelhealth.com/products/856885200833-south-of-france-hand-wash-orange-blossom-honey-8-oz")</f>
        <v/>
      </c>
      <c r="C485" t="inlineStr">
        <is>
          <t>South Of France Hand Wash Orange Blossom Honey, 8 Oz (Case of 4)</t>
        </is>
      </c>
      <c r="D485" t="inlineStr">
        <is>
          <t>Hand Wash Liquid, Orange Blossom Honey 8 Oz by South Of France Soaps (Pack of 2)</t>
        </is>
      </c>
      <c r="E485" s="2">
        <f>HYPERLINK("https://www.amazon.com/Liquid-Orange-Blossom-South-France/dp/B00JH5TL86/ref=sr_1_2?keywords=South+Of+France+Hand+Wash+Orange+Blossom+Honey%2C+8+Oz+%28Case+of+4%29&amp;qid=1695170057&amp;sr=8-2", "https://www.amazon.com/Liquid-Orange-Blossom-South-France/dp/B00JH5TL86/ref=sr_1_2?keywords=South+Of+France+Hand+Wash+Orange+Blossom+Honey%2C+8+Oz+%28Case+of+4%29&amp;qid=1695170057&amp;sr=8-2")</f>
        <v/>
      </c>
      <c r="F485" t="inlineStr">
        <is>
          <t>B00JH5TL86</t>
        </is>
      </c>
      <c r="G485">
        <f>_xludf.IMAGE("https://www.shelhealth.com/cdn/shop/files/south-of-france-hand-wash-orange-blossom-honey-8-oz-case-4-beauty-body-care-shelhealth-727.jpg?v=1686481233&amp;width=1946")</f>
        <v/>
      </c>
      <c r="H485">
        <f>_xludf.IMAGE("https://m.media-amazon.com/images/I/61N581fNXNL._AC_UL320_.jpg")</f>
        <v/>
      </c>
      <c r="K485" t="inlineStr">
        <is>
          <t>17.99</t>
        </is>
      </c>
      <c r="L485" t="n">
        <v>14.5</v>
      </c>
      <c r="M485" s="1" t="inlineStr">
        <is>
          <t>-19.40%</t>
        </is>
      </c>
      <c r="N485" s="3" t="n">
        <v>-19.4</v>
      </c>
      <c r="O485" t="n">
        <v>4.1</v>
      </c>
      <c r="P485" t="n">
        <v>89</v>
      </c>
      <c r="R485" t="inlineStr">
        <is>
          <t>InStock</t>
        </is>
      </c>
      <c r="S485" t="inlineStr">
        <is>
          <t>17.99</t>
        </is>
      </c>
      <c r="T485" t="inlineStr">
        <is>
          <t>7242004365500</t>
        </is>
      </c>
    </row>
    <row r="486" hidden="1" ht="15.75" customHeight="1">
      <c r="A486" s="2">
        <f>HYPERLINK("https://www.shelhealth.com/products/856885200819-south-of-france-lavender-fields-hand-wash-8-oz", "https://www.shelhealth.com/products/856885200819-south-of-france-lavender-fields-hand-wash-8-oz")</f>
        <v/>
      </c>
      <c r="B486" s="2">
        <f>HYPERLINK("https://www.shelhealth.com/products/856885200819-south-of-france-lavender-fields-hand-wash-8-oz", "https://www.shelhealth.com/products/856885200819-south-of-france-lavender-fields-hand-wash-8-oz")</f>
        <v/>
      </c>
      <c r="C486" t="inlineStr">
        <is>
          <t>South Of France Lavender Fields Hand Wash, 8 Oz (Case of 4)</t>
        </is>
      </c>
      <c r="D486" t="inlineStr">
        <is>
          <t>South of France Hand Wash with Soothing Aloe Vera(Pack of 2) - Lavender Fields - 8 oz - Natural Body Care</t>
        </is>
      </c>
      <c r="E486" s="2">
        <f>HYPERLINK("https://www.amazon.com/South-France-Hand-Wash-Soothing/dp/B01ANK1000/ref=sr_1_4?keywords=South+Of+France+Lavender+Fields+Hand+Wash%2C+8+Oz+%28Case+of+4%29&amp;qid=1695170058&amp;sr=8-4", "https://www.amazon.com/South-France-Hand-Wash-Soothing/dp/B01ANK1000/ref=sr_1_4?keywords=South+Of+France+Lavender+Fields+Hand+Wash%2C+8+Oz+%28Case+of+4%29&amp;qid=1695170058&amp;sr=8-4")</f>
        <v/>
      </c>
      <c r="F486" t="inlineStr">
        <is>
          <t>B01ANK1000</t>
        </is>
      </c>
      <c r="G486">
        <f>_xludf.IMAGE("https://www.shelhealth.com/cdn/shop/files/south-of-france-lavender-fields-hand-wash-8-oz-case-4-beauty-body-care-shelhealth-857.jpg?v=1688533870&amp;width=1946")</f>
        <v/>
      </c>
      <c r="H486">
        <f>_xludf.IMAGE("https://m.media-amazon.com/images/I/61ke9f13HiL._AC_UL320_.jpg")</f>
        <v/>
      </c>
      <c r="K486" t="inlineStr">
        <is>
          <t>17.99</t>
        </is>
      </c>
      <c r="L486" t="n">
        <v>13.95</v>
      </c>
      <c r="M486" s="1" t="inlineStr">
        <is>
          <t>-22.46%</t>
        </is>
      </c>
      <c r="N486" s="3" t="n">
        <v>-22.46</v>
      </c>
      <c r="O486" t="n">
        <v>4</v>
      </c>
      <c r="P486" t="n">
        <v>4</v>
      </c>
      <c r="R486" t="inlineStr">
        <is>
          <t>InStock</t>
        </is>
      </c>
      <c r="S486" t="inlineStr">
        <is>
          <t>17.99</t>
        </is>
      </c>
      <c r="T486" t="inlineStr">
        <is>
          <t>7242004398268</t>
        </is>
      </c>
    </row>
    <row r="487" hidden="1" ht="15.75" customHeight="1">
      <c r="A487" s="2">
        <f>HYPERLINK("https://www.shelhealth.com/products/dial-gold-antibacterial-bar-soap-22-ct-4-oz", "https://www.shelhealth.com/products/dial-gold-antibacterial-bar-soap-22-ct-4-oz")</f>
        <v/>
      </c>
      <c r="B487" s="2">
        <f>HYPERLINK("https://www.shelhealth.com/products/dial-gold-antibacterial-bar-soap-22-ct-4-oz", "https://www.shelhealth.com/products/dial-gold-antibacterial-bar-soap-22-ct-4-oz")</f>
        <v/>
      </c>
      <c r="C487" t="inlineStr">
        <is>
          <t>Dial Gold Antibacterial Bar Soap, 22 ct./4 oz.</t>
        </is>
      </c>
      <c r="D487" t="inlineStr">
        <is>
          <t>Dial Gold Antibacterial Soap - Six 4 oz Bars per Pack. (1 pack)</t>
        </is>
      </c>
      <c r="E487" s="2">
        <f>HYPERLINK("https://www.amazon.com/Dial-Gold-Antibacterial-Bar-Soap/dp/B00QF4N1JM/ref=sr_1_5?keywords=Dial+Gold+Antibacterial+Bar+Soap%2C+22+ct.%2F4+oz.&amp;qid=1695170040&amp;sr=8-5", "https://www.amazon.com/Dial-Gold-Antibacterial-Bar-Soap/dp/B00QF4N1JM/ref=sr_1_5?keywords=Dial+Gold+Antibacterial+Bar+Soap%2C+22+ct.%2F4+oz.&amp;qid=1695170040&amp;sr=8-5")</f>
        <v/>
      </c>
      <c r="F487" t="inlineStr">
        <is>
          <t>B00QF4N1JM</t>
        </is>
      </c>
      <c r="G487">
        <f>_xludf.IMAGE("https://www.shelhealth.com/cdn/shop/products/dial-gold-antibacterial-bar-soap-22-ct-4-oz-shelhealth-711.jpg?v=1663354241&amp;width=1946")</f>
        <v/>
      </c>
      <c r="H487">
        <f>_xludf.IMAGE("https://m.media-amazon.com/images/I/71MBA+UwYkL._AC_UL320_.jpg")</f>
        <v/>
      </c>
      <c r="K487" t="inlineStr">
        <is>
          <t>19.99</t>
        </is>
      </c>
      <c r="L487" t="n">
        <v>15.49</v>
      </c>
      <c r="M487" s="1" t="inlineStr">
        <is>
          <t>-22.51%</t>
        </is>
      </c>
      <c r="N487" s="3" t="n">
        <v>-22.51</v>
      </c>
      <c r="O487" t="n">
        <v>4.7</v>
      </c>
      <c r="P487" t="n">
        <v>387</v>
      </c>
      <c r="R487" t="inlineStr">
        <is>
          <t>OutOfStock</t>
        </is>
      </c>
      <c r="S487" t="inlineStr">
        <is>
          <t>19.99</t>
        </is>
      </c>
      <c r="T487" t="inlineStr">
        <is>
          <t>4167534379060</t>
        </is>
      </c>
    </row>
    <row r="488" hidden="1" ht="15.75" customHeight="1">
      <c r="A488" s="2">
        <f>HYPERLINK("https://www.shelhealth.com/products/wet-ones-antibacterial-hand-wipes-9-pk-20-ct", "https://www.shelhealth.com/products/wet-ones-antibacterial-hand-wipes-9-pk-20-ct")</f>
        <v/>
      </c>
      <c r="B488" s="2">
        <f>HYPERLINK("https://www.shelhealth.com/products/wet-ones-antibacterial-hand-wipes-9-pk-20-ct", "https://www.shelhealth.com/products/wet-ones-antibacterial-hand-wipes-9-pk-20-ct")</f>
        <v/>
      </c>
      <c r="C488" t="inlineStr">
        <is>
          <t>Wet Ones Antibacterial Hand Wipes, 9 pk./20 ct.</t>
        </is>
      </c>
      <c r="D488" t="inlineStr">
        <is>
          <t>WET ONES Antibacterial Hand Wipes, Fresh Scent 20 ea (Pack of 4)</t>
        </is>
      </c>
      <c r="E488" s="2">
        <f>HYPERLINK("https://www.amazon.com/ONES-Antibacterial-Wipes-Fresh-Scent/dp/B01IAIOE50/ref=sr_1_3?keywords=Wet+Ones+Antibacterial+Hand+Wipes%2C+9+pk.%2F20+ct.&amp;qid=1695170048&amp;sr=8-3", "https://www.amazon.com/ONES-Antibacterial-Wipes-Fresh-Scent/dp/B01IAIOE50/ref=sr_1_3?keywords=Wet+Ones+Antibacterial+Hand+Wipes%2C+9+pk.%2F20+ct.&amp;qid=1695170048&amp;sr=8-3")</f>
        <v/>
      </c>
      <c r="F488" t="inlineStr">
        <is>
          <t>B01IAIOE50</t>
        </is>
      </c>
      <c r="G488">
        <f>_xludf.IMAGE("https://www.shelhealth.com/cdn/shop/products/wet-ones-antibacterial-hand-wipes-9-pk-20-ct-shelhealth-150.jpg?v=1663352149&amp;width=1946")</f>
        <v/>
      </c>
      <c r="H488">
        <f>_xludf.IMAGE("https://m.media-amazon.com/images/I/61kBQnx+Y+L._AC_UL320_.jpg")</f>
        <v/>
      </c>
      <c r="K488" t="inlineStr">
        <is>
          <t>17.99</t>
        </is>
      </c>
      <c r="L488" t="n">
        <v>13.94</v>
      </c>
      <c r="M488" s="1" t="inlineStr">
        <is>
          <t>-22.51%</t>
        </is>
      </c>
      <c r="N488" s="3" t="n">
        <v>-22.51</v>
      </c>
      <c r="O488" t="n">
        <v>4.7</v>
      </c>
      <c r="P488" t="n">
        <v>196</v>
      </c>
      <c r="R488" t="inlineStr">
        <is>
          <t>OutOfStock</t>
        </is>
      </c>
      <c r="S488" t="inlineStr">
        <is>
          <t>17.99</t>
        </is>
      </c>
      <c r="T488" t="inlineStr">
        <is>
          <t>4115688521780</t>
        </is>
      </c>
    </row>
    <row r="489" hidden="1" ht="15.75" customHeight="1">
      <c r="A489" s="2">
        <f>HYPERLINK("https://www.shelhealth.com/products/817252010905-a-la-maison-rose-lilac-bar-soap-8-8-oz", "https://www.shelhealth.com/products/817252010905-a-la-maison-rose-lilac-bar-soap-8-8-oz")</f>
        <v/>
      </c>
      <c r="B489" s="2">
        <f>HYPERLINK("https://www.shelhealth.com/products/817252010905-a-la-maison-rose-lilac-bar-soap-8-8-oz", "https://www.shelhealth.com/products/817252010905-a-la-maison-rose-lilac-bar-soap-8-8-oz")</f>
        <v/>
      </c>
      <c r="C489" t="inlineStr">
        <is>
          <t>A La Maison Rose Lilac Bar Soap, 8.8 Oz (Case of 4)</t>
        </is>
      </c>
      <c r="D489" t="inlineStr">
        <is>
          <t>A LA MAISON Rose Lilac Bar Soap - Triple French Milled Natural Moisturizing Hand Soap Bar (3 Bar of Soap, 8.8 oz)</t>
        </is>
      </c>
      <c r="E489" s="2">
        <f>HYPERLINK("https://www.amazon.com/MAISON-Triple-Natural-Moisturizing-Hydrating/dp/B08C9546W1/ref=sr_1_1?keywords=A+La+Maison+Rose+Lilac+Bar+Soap%2C+8.8+Oz+%28Case+of+4%29&amp;qid=1695170076&amp;sr=8-1", "https://www.amazon.com/MAISON-Triple-Natural-Moisturizing-Hydrating/dp/B08C9546W1/ref=sr_1_1?keywords=A+La+Maison+Rose+Lilac+Bar+Soap%2C+8.8+Oz+%28Case+of+4%29&amp;qid=1695170076&amp;sr=8-1")</f>
        <v/>
      </c>
      <c r="F489" t="inlineStr">
        <is>
          <t>B08C9546W1</t>
        </is>
      </c>
      <c r="G489">
        <f>_xludf.IMAGE("https://www.shelhealth.com/cdn/shop/files/a-la-maison-rose-lilac-bar-soap-8-oz-case-of-4-beauty-body-care-de-provence-shelhealth-147.jpg?v=1686143683&amp;width=1946")</f>
        <v/>
      </c>
      <c r="H489">
        <f>_xludf.IMAGE("https://m.media-amazon.com/images/I/717IdZsMJ0L._AC_UL320_.jpg")</f>
        <v/>
      </c>
      <c r="K489" t="inlineStr">
        <is>
          <t>21.99</t>
        </is>
      </c>
      <c r="L489" t="n">
        <v>16.99</v>
      </c>
      <c r="M489" s="1" t="inlineStr">
        <is>
          <t>-22.74%</t>
        </is>
      </c>
      <c r="N489" s="3" t="n">
        <v>-22.74</v>
      </c>
      <c r="O489" t="n">
        <v>4.6</v>
      </c>
      <c r="P489" t="n">
        <v>2612</v>
      </c>
      <c r="R489" t="inlineStr">
        <is>
          <t>OutOfStock</t>
        </is>
      </c>
      <c r="S489" t="inlineStr">
        <is>
          <t>21.99</t>
        </is>
      </c>
      <c r="T489" t="inlineStr">
        <is>
          <t>7241413820604</t>
        </is>
      </c>
    </row>
    <row r="490" hidden="1" ht="15.75" customHeight="1">
      <c r="A490" s="2">
        <f>HYPERLINK("https://www.shelhealth.com/products/purell-advanced-hand-sanitizer-refreshing-gel-clean-scent-1-liter-pump-bottle-pack-of-2", "https://www.shelhealth.com/products/purell-advanced-hand-sanitizer-refreshing-gel-clean-scent-1-liter-pump-bottle-pack-of-2")</f>
        <v/>
      </c>
      <c r="B490" s="2">
        <f>HYPERLINK("https://www.shelhealth.com/products/purell-advanced-hand-sanitizer-refreshing-gel-clean-scent-1-liter-pump-bottle-pack-of-2", "https://www.shelhealth.com/products/purell-advanced-hand-sanitizer-refreshing-gel-clean-scent-1-liter-pump-bottle-pack-of-2")</f>
        <v/>
      </c>
      <c r="C490" t="inlineStr">
        <is>
          <t>PURELL Advanced Hand Sanitizer Refreshing Gel, Clean Scent, 1 Liter Pump Bottle (Pack of 2)</t>
        </is>
      </c>
      <c r="D490" t="inlineStr">
        <is>
          <t>Purell Advanced Hand Sanitizer Refreshing Gel, Clean Scent, 1 Liter Pump Bottle (Pack of 1) - 3080-04-CMR</t>
        </is>
      </c>
      <c r="E490" s="2">
        <f>HYPERLINK("https://www.amazon.com/Advanced-Sanitizer-Refreshing-Fragrance-Economy/dp/B0085TFDHI/ref=sr_1_2?keywords=PURELL+Advanced+Hand+Sanitizer+Refreshing+Gel%2C+Clean+Scent%2C+1+Liter+Pump+Bottle+%28Pack+of+2%29&amp;qid=1695170062&amp;sr=8-2", "https://www.amazon.com/Advanced-Sanitizer-Refreshing-Fragrance-Economy/dp/B0085TFDHI/ref=sr_1_2?keywords=PURELL+Advanced+Hand+Sanitizer+Refreshing+Gel%2C+Clean+Scent%2C+1+Liter+Pump+Bottle+%28Pack+of+2%29&amp;qid=1695170062&amp;sr=8-2")</f>
        <v/>
      </c>
      <c r="F490" t="inlineStr">
        <is>
          <t>B0085TFDHI</t>
        </is>
      </c>
      <c r="G490">
        <f>_xludf.IMAGE("https://www.shelhealth.com/cdn/shop/products/purell-advanced-hand-sanitizer-refreshing-gel-clean-scent-1-liter-pump-bottle-pack-of-2-shelhealth-488.jpg?v=1663352376&amp;width=1946")</f>
        <v/>
      </c>
      <c r="H490">
        <f>_xludf.IMAGE("https://m.media-amazon.com/images/I/71EWzMQKfJL._AC_UL320_.jpg")</f>
        <v/>
      </c>
      <c r="K490" t="inlineStr">
        <is>
          <t>21.99</t>
        </is>
      </c>
      <c r="L490" t="n">
        <v>16.86</v>
      </c>
      <c r="M490" s="1" t="inlineStr">
        <is>
          <t>-23.33%</t>
        </is>
      </c>
      <c r="N490" s="3" t="n">
        <v>-23.33</v>
      </c>
      <c r="O490" t="n">
        <v>4.8</v>
      </c>
      <c r="P490" t="n">
        <v>449</v>
      </c>
      <c r="R490" t="inlineStr">
        <is>
          <t>OutOfStock</t>
        </is>
      </c>
      <c r="S490" t="inlineStr">
        <is>
          <t>21.99</t>
        </is>
      </c>
      <c r="T490" t="inlineStr">
        <is>
          <t>4158258446388</t>
        </is>
      </c>
    </row>
    <row r="491" hidden="1" ht="15.75" customHeight="1">
      <c r="A491" s="2">
        <f>HYPERLINK("https://www.shelhealth.com/products/fltr-general-use-face-mask-50-masks", "https://www.shelhealth.com/products/fltr-general-use-face-mask-50-masks")</f>
        <v/>
      </c>
      <c r="B491" s="2">
        <f>HYPERLINK("https://www.shelhealth.com/products/fltr-general-use-face-mask-50-masks", "https://www.shelhealth.com/products/fltr-general-use-face-mask-50-masks")</f>
        <v/>
      </c>
      <c r="C491" t="inlineStr">
        <is>
          <t>FLTR General Use Face Mask, 50 Masks</t>
        </is>
      </c>
      <c r="D491" t="inlineStr">
        <is>
          <t>FLTR General Use Face Mask, 50 Disposable Masks (50, Black)</t>
        </is>
      </c>
      <c r="E491" s="2">
        <f>HYPERLINK("https://www.amazon.com/FLTR-General-Disposable-Masks-Black/dp/B08MY15HHC/ref=sr_1_1?keywords=FLTR+General+Use+Face+Mask%2C+50+Masks&amp;qid=1695170044&amp;sr=8-1", "https://www.amazon.com/FLTR-General-Disposable-Masks-Black/dp/B08MY15HHC/ref=sr_1_1?keywords=FLTR+General+Use+Face+Mask%2C+50+Masks&amp;qid=1695170044&amp;sr=8-1")</f>
        <v/>
      </c>
      <c r="F491" t="inlineStr">
        <is>
          <t>B08MY15HHC</t>
        </is>
      </c>
      <c r="G491">
        <f>_xludf.IMAGE("https://www.shelhealth.com/cdn/shop/products/fltr-general-use-face-mask-50-masks-shelhealth-717.jpg?v=1663657980&amp;width=1946")</f>
        <v/>
      </c>
      <c r="H491">
        <f>_xludf.IMAGE("https://m.media-amazon.com/images/I/718CXR0+SBL._AC_UY218_.jpg")</f>
        <v/>
      </c>
      <c r="K491" t="inlineStr">
        <is>
          <t>15.99</t>
        </is>
      </c>
      <c r="L491" t="n">
        <v>11.99</v>
      </c>
      <c r="M491" s="1" t="inlineStr">
        <is>
          <t>-25.02%</t>
        </is>
      </c>
      <c r="N491" s="3" t="n">
        <v>-25.02</v>
      </c>
      <c r="O491" t="n">
        <v>4.3</v>
      </c>
      <c r="P491" t="n">
        <v>1129</v>
      </c>
      <c r="R491" t="inlineStr">
        <is>
          <t>OutOfStock</t>
        </is>
      </c>
      <c r="S491" t="inlineStr">
        <is>
          <t>15.99</t>
        </is>
      </c>
      <c r="T491" t="inlineStr">
        <is>
          <t>6083727917244</t>
        </is>
      </c>
    </row>
    <row r="492" hidden="1" ht="15.75" customHeight="1">
      <c r="A492" s="2">
        <f>HYPERLINK("https://www.shelhealth.com/products/pro-sanitize-advanced-hand-sanitizer-1-gallon", "https://www.shelhealth.com/products/pro-sanitize-advanced-hand-sanitizer-1-gallon")</f>
        <v/>
      </c>
      <c r="B492" s="2">
        <f>HYPERLINK("https://www.shelhealth.com/products/pro-sanitize-advanced-hand-sanitizer-1-gallon", "https://www.shelhealth.com/products/pro-sanitize-advanced-hand-sanitizer-1-gallon")</f>
        <v/>
      </c>
      <c r="C492" t="inlineStr">
        <is>
          <t>Pro Sanitize Advanced Hand Sanitizer, 1 gallon</t>
        </is>
      </c>
      <c r="D492" t="inlineStr">
        <is>
          <t>Sanit Moisturizing Hand Sanitizer Gel 70% Ethyl Alcohol - Kills 99.99% Germs, Advanced Formula with Vitamin E and Aloe Vera - Soothing Gel, Fresh Scent, Made in USA - 1 Gallon with Easy to Use Pump</t>
        </is>
      </c>
      <c r="E492" s="2">
        <f>HYPERLINK("https://www.amazon.com/Sanit-Moisturizing-Hand-Sanitizer-Alcohol/dp/B085NC7LRB/ref=sr_1_5?keywords=Pro+Sanitize+Advanced+Hand+Sanitizer%2C+1+gallon&amp;qid=1695170045&amp;sr=8-5", "https://www.amazon.com/Sanit-Moisturizing-Hand-Sanitizer-Alcohol/dp/B085NC7LRB/ref=sr_1_5?keywords=Pro+Sanitize+Advanced+Hand+Sanitizer%2C+1+gallon&amp;qid=1695170045&amp;sr=8-5")</f>
        <v/>
      </c>
      <c r="F492" t="inlineStr">
        <is>
          <t>B085NC7LRB</t>
        </is>
      </c>
      <c r="G492">
        <f>_xludf.IMAGE("https://www.shelhealth.com/cdn/shop/products/pro-sanitize-advanced-hand-sanitizer-1-gallon-shelhealth-936.jpg?v=1663620115&amp;width=1946")</f>
        <v/>
      </c>
      <c r="H492">
        <f>_xludf.IMAGE("https://m.media-amazon.com/images/I/71eQJqF2zuL._AC_UY218_.jpg")</f>
        <v/>
      </c>
      <c r="K492" t="inlineStr">
        <is>
          <t>39.99</t>
        </is>
      </c>
      <c r="L492" t="n">
        <v>29.95</v>
      </c>
      <c r="M492" s="1" t="inlineStr">
        <is>
          <t>-25.11%</t>
        </is>
      </c>
      <c r="N492" s="3" t="n">
        <v>-25.11</v>
      </c>
      <c r="O492" t="n">
        <v>4.5</v>
      </c>
      <c r="P492" t="n">
        <v>6925</v>
      </c>
      <c r="R492" t="inlineStr">
        <is>
          <t>OutOfStock</t>
        </is>
      </c>
      <c r="S492" t="inlineStr">
        <is>
          <t>39.99</t>
        </is>
      </c>
      <c r="T492" t="inlineStr">
        <is>
          <t>4728015683673</t>
        </is>
      </c>
    </row>
    <row r="493" hidden="1" ht="15.75" customHeight="1">
      <c r="A493" s="2">
        <f>HYPERLINK("https://www.shelhealth.com/products/764302130000-nubian-heritage-bar-soap-raw-shea-butter-with-soy-milk-frankincense-and-myrrh-5-oz", "https://www.shelhealth.com/products/764302130000-nubian-heritage-bar-soap-raw-shea-butter-with-soy-milk-frankincense-and-myrrh-5-oz")</f>
        <v/>
      </c>
      <c r="B493" s="2">
        <f>HYPERLINK("https://www.shelhealth.com/products/764302130000-nubian-heritage-bar-soap-raw-shea-butter-with-soy-milk-frankincense-and-myrrh-5-oz", "https://www.shelhealth.com/products/764302130000-nubian-heritage-bar-soap-raw-shea-butter-with-soy-milk-frankincense-and-myrrh-5-oz")</f>
        <v/>
      </c>
      <c r="C493" t="inlineStr">
        <is>
          <t>Nubian Heritage Bar Soap Raw Shea Butter With Soy Milk Frankincense And Myrrh, 5 Oz (Case of 3)</t>
        </is>
      </c>
      <c r="D493" t="inlineStr">
        <is>
          <t>Nubian Heritage, Raw Shea Butter Soap, With Soy Milk, Frankincense &amp; Myrrh, 5 oz (141 g) - 2pc</t>
        </is>
      </c>
      <c r="E493" s="2">
        <f>HYPERLINK("https://www.amazon.com/Nubian-Heritage-Butter-Frankincense-Myrrh/dp/B01LR82LMI/ref=sr_1_1?keywords=Nubian+Heritage+Bar+Soap+Raw+Shea+Butter+With+Soy+Milk+Frankincense+And+Myrrh%2C+5+Oz+%28Case+of+3%29&amp;qid=1695170097&amp;sr=8-1", "https://www.amazon.com/Nubian-Heritage-Butter-Frankincense-Myrrh/dp/B01LR82LMI/ref=sr_1_1?keywords=Nubian+Heritage+Bar+Soap+Raw+Shea+Butter+With+Soy+Milk+Frankincense+And+Myrrh%2C+5+Oz+%28Case+of+3%29&amp;qid=1695170097&amp;sr=8-1")</f>
        <v/>
      </c>
      <c r="F493" t="inlineStr">
        <is>
          <t>B01LR82LMI</t>
        </is>
      </c>
      <c r="G493">
        <f>_xludf.IMAGE("https://www.shelhealth.com/cdn/shop/files/nubian-heritage-bar-soap-raw-shea-butter-with-soy-milk-frankincense-and-myrrh-5-oz-case-of-3-beauty-body-care-shelhealth-792.jpg?v=1686533864&amp;width=1946")</f>
        <v/>
      </c>
      <c r="H493">
        <f>_xludf.IMAGE("https://m.media-amazon.com/images/I/613aZGCqT9L._AC_UL320_.jpg")</f>
        <v/>
      </c>
      <c r="K493" t="inlineStr">
        <is>
          <t>19.99</t>
        </is>
      </c>
      <c r="L493" t="n">
        <v>14.84</v>
      </c>
      <c r="M493" s="1" t="inlineStr">
        <is>
          <t>-25.76%</t>
        </is>
      </c>
      <c r="N493" s="3" t="n">
        <v>-25.76</v>
      </c>
      <c r="O493" t="n">
        <v>4.4</v>
      </c>
      <c r="P493" t="n">
        <v>4</v>
      </c>
      <c r="R493" t="inlineStr">
        <is>
          <t>InStock</t>
        </is>
      </c>
      <c r="S493" t="inlineStr">
        <is>
          <t>19.99</t>
        </is>
      </c>
      <c r="T493" t="inlineStr">
        <is>
          <t>7241884074172</t>
        </is>
      </c>
    </row>
    <row r="494" hidden="1" ht="15.75" customHeight="1">
      <c r="A494" s="2">
        <f>HYPERLINK("https://www.shelhealth.com/products/neptune-hand-sanitizer-gel-1-gal", "https://www.shelhealth.com/products/neptune-hand-sanitizer-gel-1-gal")</f>
        <v/>
      </c>
      <c r="B494" s="2">
        <f>HYPERLINK("https://www.shelhealth.com/products/neptune-hand-sanitizer-gel-1-gal", "https://www.shelhealth.com/products/neptune-hand-sanitizer-gel-1-gal")</f>
        <v/>
      </c>
      <c r="C494" t="inlineStr">
        <is>
          <t>Neptune Hand Sanitizer Gel, 1 Gal.</t>
        </is>
      </c>
      <c r="D494" t="inlineStr">
        <is>
          <t>JERMEE Moisturizing Hand Sanitizer Gel, 70% Alcohol - Kills 99.99% Germs, Enhanced with Vitamin E and Aloe Vera - Crystal Clear Gel, Refreshing Scent, Made in USA - 1 Gallon with Easy to Use Pump</t>
        </is>
      </c>
      <c r="E494" s="2">
        <f>HYPERLINK("https://www.amazon.com/Moisturizing-Sanitizer-Alcohol-Enhanced-Gallon/dp/B088C1VR4T/ref=sr_1_1?keywords=Neptune+Hand+Sanitizer+Gel%2C+1+Gal.&amp;qid=1695170048&amp;sr=8-1", "https://www.amazon.com/Moisturizing-Sanitizer-Alcohol-Enhanced-Gallon/dp/B088C1VR4T/ref=sr_1_1?keywords=Neptune+Hand+Sanitizer+Gel%2C+1+Gal.&amp;qid=1695170048&amp;sr=8-1")</f>
        <v/>
      </c>
      <c r="F494" t="inlineStr">
        <is>
          <t>B088C1VR4T</t>
        </is>
      </c>
      <c r="G494">
        <f>_xludf.IMAGE("https://www.shelhealth.com/cdn/shop/products/neptune-hand-sanitizer-gel-1-gal-shelhealth-686.jpg?v=1663372637&amp;width=1946")</f>
        <v/>
      </c>
      <c r="H494">
        <f>_xludf.IMAGE("https://m.media-amazon.com/images/I/71Q8CdwN8UL._AC_UL320_.jpg")</f>
        <v/>
      </c>
      <c r="K494" t="inlineStr">
        <is>
          <t>41.99</t>
        </is>
      </c>
      <c r="L494" t="n">
        <v>30.95</v>
      </c>
      <c r="M494" s="1" t="inlineStr">
        <is>
          <t>-26.29%</t>
        </is>
      </c>
      <c r="N494" s="3" t="n">
        <v>-26.29</v>
      </c>
      <c r="O494" t="n">
        <v>4.6</v>
      </c>
      <c r="P494" t="n">
        <v>2520</v>
      </c>
      <c r="R494" t="inlineStr">
        <is>
          <t>OutOfStock</t>
        </is>
      </c>
      <c r="S494" t="inlineStr">
        <is>
          <t>41.99</t>
        </is>
      </c>
      <c r="T494" t="inlineStr">
        <is>
          <t>4695904944217</t>
        </is>
      </c>
    </row>
    <row r="495" hidden="1" ht="15.75" customHeight="1">
      <c r="A495" s="2">
        <f>HYPERLINK("https://www.shelhealth.com/products/dove-beauty-bar-white-4-oz-16-bar", "https://www.shelhealth.com/products/dove-beauty-bar-white-4-oz-16-bar")</f>
        <v/>
      </c>
      <c r="B495" s="2">
        <f>HYPERLINK("https://www.shelhealth.com/products/dove-beauty-bar-white-4-oz-16-bar", "https://www.shelhealth.com/products/dove-beauty-bar-white-4-oz-16-bar")</f>
        <v/>
      </c>
      <c r="C495" t="inlineStr">
        <is>
          <t>Dove Beauty Bar, White 4 oz, 16 Bar</t>
        </is>
      </c>
      <c r="D495" t="inlineStr">
        <is>
          <t>Dove Beauty Bar, White, 4 Ounce 6 Bar</t>
        </is>
      </c>
      <c r="E495" s="2">
        <f>HYPERLINK("https://www.amazon.com/Dove-Beauty-Bar-White-Ounce/dp/B01MPZHE3H/ref=sr_1_8?keywords=Dove+Beauty+Bar%2C+White+4+oz%2C+16+Bar&amp;qid=1695170051&amp;sr=8-8", "https://www.amazon.com/Dove-Beauty-Bar-White-Ounce/dp/B01MPZHE3H/ref=sr_1_8?keywords=Dove+Beauty+Bar%2C+White+4+oz%2C+16+Bar&amp;qid=1695170051&amp;sr=8-8")</f>
        <v/>
      </c>
      <c r="F495" t="inlineStr">
        <is>
          <t>B01MPZHE3H</t>
        </is>
      </c>
      <c r="G495">
        <f>_xludf.IMAGE("https://www.shelhealth.com/cdn/shop/products/dove-beauty-bar-white-4-oz-16-shelhealth-224.jpg?v=1663338544&amp;width=1946")</f>
        <v/>
      </c>
      <c r="H495">
        <f>_xludf.IMAGE("https://m.media-amazon.com/images/I/41INL0OCtsL._AC_UL320_.jpg")</f>
        <v/>
      </c>
      <c r="K495" t="inlineStr">
        <is>
          <t>22.99</t>
        </is>
      </c>
      <c r="L495" t="n">
        <v>16.91</v>
      </c>
      <c r="M495" s="1" t="inlineStr">
        <is>
          <t>-26.45%</t>
        </is>
      </c>
      <c r="N495" s="3" t="n">
        <v>-26.45</v>
      </c>
      <c r="O495" t="n">
        <v>4.8</v>
      </c>
      <c r="P495" t="n">
        <v>11</v>
      </c>
      <c r="R495" t="inlineStr">
        <is>
          <t>InStock</t>
        </is>
      </c>
      <c r="S495" t="inlineStr">
        <is>
          <t>22.99</t>
        </is>
      </c>
      <c r="T495" t="inlineStr">
        <is>
          <t>3785897050164</t>
        </is>
      </c>
    </row>
    <row r="496" hidden="1" ht="15.75" customHeight="1">
      <c r="A496" s="2">
        <f>HYPERLINK("https://www.shelhealth.com/products/purell-hand-sanitizer-variety-pack-44-oz", "https://www.shelhealth.com/products/purell-hand-sanitizer-variety-pack-44-oz")</f>
        <v/>
      </c>
      <c r="B496" s="2">
        <f>HYPERLINK("https://www.shelhealth.com/products/purell-hand-sanitizer-variety-pack-44-oz", "https://www.shelhealth.com/products/purell-hand-sanitizer-variety-pack-44-oz")</f>
        <v/>
      </c>
      <c r="C496" t="inlineStr">
        <is>
          <t>Purell Hand Sanitizer Variety Pack, 44 oz.</t>
        </is>
      </c>
      <c r="D496" t="inlineStr">
        <is>
          <t>Purell Advanced Hand Sanitizer Gel Infused with Essential Oils, Scented Variety Pack, 1 fl oz Travel Size Flip Cap Bottles (Box of 12 Bottles)- 3901-24-CMRMETRY</t>
        </is>
      </c>
      <c r="E496" s="2">
        <f>HYPERLINK("https://www.amazon.com/Purell-Ocean-Kiss-Advanced-Sanitizer/dp/B00LUTZ474/ref=sr_1_1?keywords=Purell+Hand+Sanitizer+Variety+Pack%2C+44+oz.&amp;qid=1695170040&amp;sr=8-1", "https://www.amazon.com/Purell-Ocean-Kiss-Advanced-Sanitizer/dp/B00LUTZ474/ref=sr_1_1?keywords=Purell+Hand+Sanitizer+Variety+Pack%2C+44+oz.&amp;qid=1695170040&amp;sr=8-1")</f>
        <v/>
      </c>
      <c r="F496" t="inlineStr">
        <is>
          <t>B00LUTZ474</t>
        </is>
      </c>
      <c r="G496">
        <f>_xludf.IMAGE("https://www.shelhealth.com/cdn/shop/products/purell-hand-sanitizer-variety-pack-44-oz-shelhealth-699.jpg?v=1663352227&amp;width=1946")</f>
        <v/>
      </c>
      <c r="H496">
        <f>_xludf.IMAGE("https://m.media-amazon.com/images/I/81dk9DSseoL._AC_UY218_.jpg")</f>
        <v/>
      </c>
      <c r="K496" t="inlineStr">
        <is>
          <t>21.99</t>
        </is>
      </c>
      <c r="L496" t="n">
        <v>15.99</v>
      </c>
      <c r="M496" s="1" t="inlineStr">
        <is>
          <t>-27.29%</t>
        </is>
      </c>
      <c r="N496" s="3" t="n">
        <v>-27.29</v>
      </c>
      <c r="O496" t="n">
        <v>4.7</v>
      </c>
      <c r="P496" t="n">
        <v>2867</v>
      </c>
      <c r="R496" t="inlineStr">
        <is>
          <t>OutOfStock</t>
        </is>
      </c>
      <c r="S496" t="inlineStr">
        <is>
          <t>21.99</t>
        </is>
      </c>
      <c r="T496" t="inlineStr">
        <is>
          <t>4115771850804</t>
        </is>
      </c>
    </row>
    <row r="497" hidden="1" ht="15.75" customHeight="1">
      <c r="A497" s="2">
        <f>HYPERLINK("https://www.shelhealth.com/products/a-care-3-layer-ear-loop-disposable-face-mask-50-pcs", "https://www.shelhealth.com/products/a-care-3-layer-ear-loop-disposable-face-mask-50-pcs")</f>
        <v/>
      </c>
      <c r="B497" s="2">
        <f>HYPERLINK("https://www.shelhealth.com/products/a-care-3-layer-ear-loop-disposable-face-mask-50-pcs", "https://www.shelhealth.com/products/a-care-3-layer-ear-loop-disposable-face-mask-50-pcs")</f>
        <v/>
      </c>
      <c r="C497" t="inlineStr">
        <is>
          <t>A Care 3-Layer Ear Loop Disposable Face Mask, 50 Pcs.</t>
        </is>
      </c>
      <c r="D497" t="inlineStr">
        <is>
          <t>4-Ply Breathable Multi-Color Layer Disposable Face Mask - Made in USA - Highest Protection with Comfortable Elastic Ear Loop | For Travel, Offices, Business and Personal Care - Red + Blue (50 PCS)</t>
        </is>
      </c>
      <c r="E497" s="2">
        <f>HYPERLINK("https://www.amazon.com/4-Ply-Breathable-Multi-Color-Layer-Disposable/dp/B08N9NN991/ref=sr_1_3?keywords=A+Care+3-Layer+Ear+Loop+Disposable+Face+Mask%2C+50+Pcs.&amp;qid=1695170045&amp;sr=8-3", "https://www.amazon.com/4-Ply-Breathable-Multi-Color-Layer-Disposable/dp/B08N9NN991/ref=sr_1_3?keywords=A+Care+3-Layer+Ear+Loop+Disposable+Face+Mask%2C+50+Pcs.&amp;qid=1695170045&amp;sr=8-3")</f>
        <v/>
      </c>
      <c r="F497" t="inlineStr">
        <is>
          <t>B08N9NN991</t>
        </is>
      </c>
      <c r="G497">
        <f>_xludf.IMAGE("https://www.shelhealth.com/cdn/shop/products/a-care-3-layer-ear-loop-disposable-face-mask-50-pcs-shelhealth-812.jpg?v=1663372428&amp;width=1946")</f>
        <v/>
      </c>
      <c r="H497">
        <f>_xludf.IMAGE("https://m.media-amazon.com/images/I/61r8zY6hPLL._AC_UY218_.jpg")</f>
        <v/>
      </c>
      <c r="K497" t="inlineStr">
        <is>
          <t>38.99</t>
        </is>
      </c>
      <c r="L497" t="n">
        <v>27.99</v>
      </c>
      <c r="M497" s="1" t="inlineStr">
        <is>
          <t>-28.21%</t>
        </is>
      </c>
      <c r="N497" s="3" t="n">
        <v>-28.21</v>
      </c>
      <c r="O497" t="n">
        <v>4.4</v>
      </c>
      <c r="P497" t="n">
        <v>167</v>
      </c>
      <c r="R497" t="inlineStr">
        <is>
          <t>OutOfStock</t>
        </is>
      </c>
      <c r="S497" t="inlineStr">
        <is>
          <t>38.99</t>
        </is>
      </c>
      <c r="T497" t="inlineStr">
        <is>
          <t>4692421148761</t>
        </is>
      </c>
    </row>
    <row r="498" hidden="1" ht="15.75" customHeight="1">
      <c r="A498" s="2">
        <f>HYPERLINK("https://www.shelhealth.com/products/30985012309-derma-e-scrub-purifying-detox-4-oz", "https://www.shelhealth.com/products/30985012309-derma-e-scrub-purifying-detox-4-oz")</f>
        <v/>
      </c>
      <c r="B498" s="2">
        <f>HYPERLINK("https://www.shelhealth.com/products/30985012309-derma-e-scrub-purifying-detox-4-oz", "https://www.shelhealth.com/products/30985012309-derma-e-scrub-purifying-detox-4-oz")</f>
        <v/>
      </c>
      <c r="C498" t="inlineStr">
        <is>
          <t>DERMA E Scrub Purifying Detox, 4 oz</t>
        </is>
      </c>
      <c r="D498" t="inlineStr">
        <is>
          <t>DERMA E Purifying Daily Facial Detox Scrub with Activated Charcoal and Seaweed Extract –Exfoliating Face Scrub Cleanses, Smooths and Brightens, 4oz</t>
        </is>
      </c>
      <c r="E498" s="2">
        <f>HYPERLINK("https://www.amazon.com/DERMA-Purifying-Marine-Activated-Charcoal/dp/B010D6V1R6/ref=sr_1_1?keywords=DERMA+E+Scrub+Purifying+Detox%2C+4+oz&amp;qid=1695170131&amp;sr=8-1", "https://www.amazon.com/DERMA-Purifying-Marine-Activated-Charcoal/dp/B010D6V1R6/ref=sr_1_1?keywords=DERMA+E+Scrub+Purifying+Detox%2C+4+oz&amp;qid=1695170131&amp;sr=8-1")</f>
        <v/>
      </c>
      <c r="F498" t="inlineStr">
        <is>
          <t>B010D6V1R6</t>
        </is>
      </c>
      <c r="G498">
        <f>_xludf.IMAGE("https://www.shelhealth.com/cdn/shop/files/derma-e-scrub-purifying-detox-4-oz-beauty-body-care-shelhealth-218.jpg?v=1686210986&amp;width=1946")</f>
        <v/>
      </c>
      <c r="H498">
        <f>_xludf.IMAGE("https://m.media-amazon.com/images/I/61kVEooetNL._AC_UL320_.jpg")</f>
        <v/>
      </c>
      <c r="K498" t="inlineStr">
        <is>
          <t>14.99</t>
        </is>
      </c>
      <c r="L498" t="n">
        <v>10.75</v>
      </c>
      <c r="M498" s="1" t="inlineStr">
        <is>
          <t>-28.29%</t>
        </is>
      </c>
      <c r="N498" s="3" t="n">
        <v>-28.29</v>
      </c>
      <c r="O498" t="n">
        <v>4.6</v>
      </c>
      <c r="P498" t="n">
        <v>1251</v>
      </c>
      <c r="R498" t="inlineStr">
        <is>
          <t>InStock</t>
        </is>
      </c>
      <c r="S498" t="inlineStr">
        <is>
          <t>14.99</t>
        </is>
      </c>
      <c r="T498" t="inlineStr">
        <is>
          <t>7574055157992</t>
        </is>
      </c>
    </row>
    <row r="499" hidden="1" ht="15.75" customHeight="1">
      <c r="A499" s="2">
        <f>HYPERLINK("https://www.shelhealth.com/products/arm-and-hammer-disinfecting-wipes-440-count", "https://www.shelhealth.com/products/arm-and-hammer-disinfecting-wipes-440-count")</f>
        <v/>
      </c>
      <c r="B499" s="2">
        <f>HYPERLINK("https://www.shelhealth.com/products/arm-and-hammer-disinfecting-wipes-440-count", "https://www.shelhealth.com/products/arm-and-hammer-disinfecting-wipes-440-count")</f>
        <v/>
      </c>
      <c r="C499" t="inlineStr">
        <is>
          <t>Arm And Hammer Disinfecting Wipes, 440 Count</t>
        </is>
      </c>
      <c r="D499" t="inlineStr">
        <is>
          <t>Arm &amp; Hammer Essentials Disinfecting Wipes, Renewing Rain Scent, 6 Pack, 80 Count, 480 Wipes Volcano</t>
        </is>
      </c>
      <c r="E499" s="2">
        <f>HYPERLINK("https://www.amazon.com/Hammer-Essentials-Disinfecting-Wipes-Renewing/dp/B085MQD48Z/ref=sr_1_6?keywords=Arm+And+Hammer+Disinfecting+Wipes%2C+440+Count&amp;qid=1695170044&amp;sr=8-6", "https://www.amazon.com/Hammer-Essentials-Disinfecting-Wipes-Renewing/dp/B085MQD48Z/ref=sr_1_6?keywords=Arm+And+Hammer+Disinfecting+Wipes%2C+440+Count&amp;qid=1695170044&amp;sr=8-6")</f>
        <v/>
      </c>
      <c r="F499" t="inlineStr">
        <is>
          <t>B085MQD48Z</t>
        </is>
      </c>
      <c r="G499">
        <f>_xludf.IMAGE("https://www.shelhealth.com/cdn/shop/products/arm-and-hammer-disinfecting-wipes-440-count-shelhealth-250.jpg?v=1663658291&amp;width=1946")</f>
        <v/>
      </c>
      <c r="H499">
        <f>_xludf.IMAGE("https://m.media-amazon.com/images/I/81Ofvlfk3bL._AC_UL320_.jpg")</f>
        <v/>
      </c>
      <c r="K499" t="inlineStr">
        <is>
          <t>34.99</t>
        </is>
      </c>
      <c r="L499" t="n">
        <v>25</v>
      </c>
      <c r="M499" s="1" t="inlineStr">
        <is>
          <t>-28.55%</t>
        </is>
      </c>
      <c r="N499" s="3" t="n">
        <v>-28.55</v>
      </c>
      <c r="O499" t="n">
        <v>4.5</v>
      </c>
      <c r="P499" t="n">
        <v>37</v>
      </c>
      <c r="R499" t="inlineStr">
        <is>
          <t>OutOfStock</t>
        </is>
      </c>
      <c r="S499" t="inlineStr">
        <is>
          <t>34.99</t>
        </is>
      </c>
      <c r="T499" t="inlineStr">
        <is>
          <t>6297326911676</t>
        </is>
      </c>
    </row>
    <row r="500" hidden="1" ht="15.75" customHeight="1">
      <c r="A500" s="2">
        <f>HYPERLINK("https://www.shelhealth.com/products/neptune-hand-sanitizer-gel-1-gal", "https://www.shelhealth.com/products/neptune-hand-sanitizer-gel-1-gal")</f>
        <v/>
      </c>
      <c r="B500" s="2">
        <f>HYPERLINK("https://www.shelhealth.com/products/neptune-hand-sanitizer-gel-1-gal", "https://www.shelhealth.com/products/neptune-hand-sanitizer-gel-1-gal")</f>
        <v/>
      </c>
      <c r="C500" t="inlineStr">
        <is>
          <t>Neptune Hand Sanitizer Gel, 1 Gal.</t>
        </is>
      </c>
      <c r="D500" t="inlineStr">
        <is>
          <t>Sanit Moisturizing Hand Sanitizer Gel 70% Ethyl Alcohol - Kills 99.99% Germs, Advanced Formula with Vitamin E and Aloe Vera - Soothing Gel, Fresh Scent, Made in USA - 1 Gallon with Easy to Use Pump</t>
        </is>
      </c>
      <c r="E500" s="2">
        <f>HYPERLINK("https://www.amazon.com/Sanit-Moisturizing-Hand-Sanitizer-Alcohol/dp/B085NC7LRB/ref=sr_1_5?keywords=Neptune+Hand+Sanitizer+Gel%2C+1+Gal.&amp;qid=1695170048&amp;sr=8-5", "https://www.amazon.com/Sanit-Moisturizing-Hand-Sanitizer-Alcohol/dp/B085NC7LRB/ref=sr_1_5?keywords=Neptune+Hand+Sanitizer+Gel%2C+1+Gal.&amp;qid=1695170048&amp;sr=8-5")</f>
        <v/>
      </c>
      <c r="F500" t="inlineStr">
        <is>
          <t>B085NC7LRB</t>
        </is>
      </c>
      <c r="G500">
        <f>_xludf.IMAGE("https://www.shelhealth.com/cdn/shop/products/neptune-hand-sanitizer-gel-1-gal-shelhealth-686.jpg?v=1663372637&amp;width=1946")</f>
        <v/>
      </c>
      <c r="H500">
        <f>_xludf.IMAGE("https://m.media-amazon.com/images/I/71eQJqF2zuL._AC_UL320_.jpg")</f>
        <v/>
      </c>
      <c r="K500" t="inlineStr">
        <is>
          <t>41.99</t>
        </is>
      </c>
      <c r="L500" t="n">
        <v>29.95</v>
      </c>
      <c r="M500" s="1" t="inlineStr">
        <is>
          <t>-28.67%</t>
        </is>
      </c>
      <c r="N500" s="3" t="n">
        <v>-28.67</v>
      </c>
      <c r="O500" t="n">
        <v>4.5</v>
      </c>
      <c r="P500" t="n">
        <v>6925</v>
      </c>
      <c r="R500" t="inlineStr">
        <is>
          <t>OutOfStock</t>
        </is>
      </c>
      <c r="S500" t="inlineStr">
        <is>
          <t>41.99</t>
        </is>
      </c>
      <c r="T500" t="inlineStr">
        <is>
          <t>4695904944217</t>
        </is>
      </c>
    </row>
    <row r="501" hidden="1" ht="15.75" customHeight="1">
      <c r="A501" s="2">
        <f>HYPERLINK("https://www.shelhealth.com/products/dove-beauty-bar-white-4-oz-16-bar", "https://www.shelhealth.com/products/dove-beauty-bar-white-4-oz-16-bar")</f>
        <v/>
      </c>
      <c r="B501" s="2">
        <f>HYPERLINK("https://www.shelhealth.com/products/dove-beauty-bar-white-4-oz-16-bar", "https://www.shelhealth.com/products/dove-beauty-bar-white-4-oz-16-bar")</f>
        <v/>
      </c>
      <c r="C501" t="inlineStr">
        <is>
          <t>Dove Beauty Bar, White 4 oz, 16 Bar</t>
        </is>
      </c>
      <c r="D501" t="inlineStr">
        <is>
          <t>Dove Beauty Bar, White 4 oz, 6 Bar, Blue, Unscented, 24 Oz</t>
        </is>
      </c>
      <c r="E501" s="2">
        <f>HYPERLINK("https://www.amazon.com/Dove-Beauty-Bar-White/dp/B000WG9NQO/ref=sr_1_7?keywords=Dove+Beauty+Bar%2C+White+4+oz%2C+16+Bar&amp;qid=1695170051&amp;sr=8-7", "https://www.amazon.com/Dove-Beauty-Bar-White/dp/B000WG9NQO/ref=sr_1_7?keywords=Dove+Beauty+Bar%2C+White+4+oz%2C+16+Bar&amp;qid=1695170051&amp;sr=8-7")</f>
        <v/>
      </c>
      <c r="F501" t="inlineStr">
        <is>
          <t>B000WG9NQO</t>
        </is>
      </c>
      <c r="G501">
        <f>_xludf.IMAGE("https://www.shelhealth.com/cdn/shop/products/dove-beauty-bar-white-4-oz-16-shelhealth-224.jpg?v=1663338544&amp;width=1946")</f>
        <v/>
      </c>
      <c r="H501">
        <f>_xludf.IMAGE("https://m.media-amazon.com/images/I/81Zr417BumL._AC_UL320_.jpg")</f>
        <v/>
      </c>
      <c r="K501" t="inlineStr">
        <is>
          <t>22.99</t>
        </is>
      </c>
      <c r="L501" t="n">
        <v>16.1</v>
      </c>
      <c r="M501" s="1" t="inlineStr">
        <is>
          <t>-29.97%</t>
        </is>
      </c>
      <c r="N501" s="3" t="n">
        <v>-29.97</v>
      </c>
      <c r="O501" t="n">
        <v>4.5</v>
      </c>
      <c r="P501" t="n">
        <v>1015</v>
      </c>
      <c r="R501" t="inlineStr">
        <is>
          <t>InStock</t>
        </is>
      </c>
      <c r="S501" t="inlineStr">
        <is>
          <t>22.99</t>
        </is>
      </c>
      <c r="T501" t="inlineStr">
        <is>
          <t>3785897050164</t>
        </is>
      </c>
    </row>
    <row r="502" hidden="1" ht="15.75" customHeight="1">
      <c r="A502" s="2">
        <f>HYPERLINK("https://www.shelhealth.com/products/858293002948-sea-weed-bath-company-detox-scrub-exfoliating-6-oz", "https://www.shelhealth.com/products/858293002948-sea-weed-bath-company-detox-scrub-exfoliating-6-oz")</f>
        <v/>
      </c>
      <c r="B502" s="2">
        <f>HYPERLINK("https://www.shelhealth.com/products/858293002948-sea-weed-bath-company-detox-scrub-exfoliating-6-oz", "https://www.shelhealth.com/products/858293002948-sea-weed-bath-company-detox-scrub-exfoliating-6-oz")</f>
        <v/>
      </c>
      <c r="C502" t="inlineStr">
        <is>
          <t>Sea Weed Bath Company Detox Scrub Exfoliating, 6 Oz</t>
        </is>
      </c>
      <c r="D502" t="inlineStr">
        <is>
          <t>The Seaweed Bath Co. Body Scrub, Eucalyptus &amp; Peppermint, Hydrating, Exfoliating, Natural Organic Bladderwrack Seaweed, Paraben Free, 6 oz.</t>
        </is>
      </c>
      <c r="E502" s="2">
        <f>HYPERLINK("https://www.amazon.com/Seaweed-Bath-Exfoliating-Eucalyptus-Peppermint/dp/B07S38D8GR/ref=sr_1_4?keywords=seaweed+bath+company+detox+scrub+exfoliating%2C+6+oz&amp;qid=1695170128&amp;sr=8-4", "https://www.amazon.com/Seaweed-Bath-Exfoliating-Eucalyptus-Peppermint/dp/B07S38D8GR/ref=sr_1_4?keywords=seaweed+bath+company+detox+scrub+exfoliating%2C+6+oz&amp;qid=1695170128&amp;sr=8-4")</f>
        <v/>
      </c>
      <c r="F502" t="inlineStr">
        <is>
          <t>B07S38D8GR</t>
        </is>
      </c>
      <c r="G502">
        <f>_xludf.IMAGE("https://www.shelhealth.com/cdn/shop/files/sea-weed-bath-company-detox-scrub-exfoliating-6-oz-beauty-body-care-the-seaweed-co-shelhealth-436.jpg?v=1693361967&amp;width=1946")</f>
        <v/>
      </c>
      <c r="H502">
        <f>_xludf.IMAGE("https://m.media-amazon.com/images/I/51PK7r2x5LL._AC_UL320_.jpg")</f>
        <v/>
      </c>
      <c r="K502" t="inlineStr">
        <is>
          <t>12.99</t>
        </is>
      </c>
      <c r="L502" t="n">
        <v>9.09</v>
      </c>
      <c r="M502" s="1" t="inlineStr">
        <is>
          <t>-30.02%</t>
        </is>
      </c>
      <c r="N502" s="3" t="n">
        <v>-30.02</v>
      </c>
      <c r="O502" t="n">
        <v>4.3</v>
      </c>
      <c r="P502" t="n">
        <v>382</v>
      </c>
      <c r="R502" t="inlineStr">
        <is>
          <t>OutOfStock</t>
        </is>
      </c>
      <c r="S502" t="inlineStr">
        <is>
          <t>12.99</t>
        </is>
      </c>
      <c r="T502" t="inlineStr">
        <is>
          <t>7241980117180</t>
        </is>
      </c>
    </row>
    <row r="503" hidden="1" ht="15.75" customHeight="1">
      <c r="A503" s="2">
        <f>HYPERLINK("https://www.shelhealth.com/products/779242002089-nature-by-canus-pure-vegetable-soap-with-fresh-goat-s-milk-lavender-5-oz", "https://www.shelhealth.com/products/779242002089-nature-by-canus-pure-vegetable-soap-with-fresh-goat-s-milk-lavender-5-oz")</f>
        <v/>
      </c>
      <c r="B503" s="2">
        <f>HYPERLINK("https://www.shelhealth.com/products/779242002089-nature-by-canus-pure-vegetable-soap-with-fresh-goat-s-milk-lavender-5-oz", "https://www.shelhealth.com/products/779242002089-nature-by-canus-pure-vegetable-soap-with-fresh-goat-s-milk-lavender-5-oz")</f>
        <v/>
      </c>
      <c r="C503" t="inlineStr">
        <is>
          <t>Nature By Canus Pure Vegetable Soap With Fresh Goat'S Milk Lavender, 5 Oz (Case of 4)</t>
        </is>
      </c>
      <c r="D503" t="inlineStr">
        <is>
          <t>Nature By Canus Fragrance Free Pure Vegetable Bar Soap with Fresh Goat's Milk 5 Oz -2 Ea</t>
        </is>
      </c>
      <c r="E503" s="2">
        <f>HYPERLINK("https://www.amazon.com/Nature-Canus-Fragrance-Vegetable-Fresh/dp/B00Y4JU7WO/ref=sr_1_2?keywords=Nature+By+Canus+Pure+Vegetable+Soap+With+Fresh+Goat%27S+Milk+Lavender%2C+5+Oz+%28Case+of+4%29&amp;qid=1695170093&amp;sr=8-2", "https://www.amazon.com/Nature-Canus-Fragrance-Vegetable-Fresh/dp/B00Y4JU7WO/ref=sr_1_2?keywords=Nature+By+Canus+Pure+Vegetable+Soap+With+Fresh+Goat%27S+Milk+Lavender%2C+5+Oz+%28Case+of+4%29&amp;qid=1695170093&amp;sr=8-2")</f>
        <v/>
      </c>
      <c r="F503" t="inlineStr">
        <is>
          <t>B00Y4JU7WO</t>
        </is>
      </c>
      <c r="G503">
        <f>_xludf.IMAGE("https://www.shelhealth.com/cdn/shop/files/nature-by-canus-pure-vegetable-soap-with-fresh-goats-milk-lavender-5-oz-case-of-4-beauty-body-care-shelhealth-722.jpg?v=1686532932&amp;width=1946")</f>
        <v/>
      </c>
      <c r="H503">
        <f>_xludf.IMAGE("https://m.media-amazon.com/images/I/41eJP7aXvHL._AC_UL320_.jpg")</f>
        <v/>
      </c>
      <c r="K503" t="inlineStr">
        <is>
          <t>25.99</t>
        </is>
      </c>
      <c r="L503" t="n">
        <v>18.17</v>
      </c>
      <c r="M503" s="1" t="inlineStr">
        <is>
          <t>-30.09%</t>
        </is>
      </c>
      <c r="N503" s="3" t="n">
        <v>-30.09</v>
      </c>
      <c r="O503" t="n">
        <v>5</v>
      </c>
      <c r="P503" t="n">
        <v>2</v>
      </c>
      <c r="R503" t="inlineStr">
        <is>
          <t>InStock</t>
        </is>
      </c>
      <c r="S503" t="inlineStr">
        <is>
          <t>25.99</t>
        </is>
      </c>
      <c r="T503" t="inlineStr">
        <is>
          <t>7241851142332</t>
        </is>
      </c>
    </row>
    <row r="504" hidden="1" ht="15.75" customHeight="1">
      <c r="A504" s="2">
        <f>HYPERLINK("https://www.shelhealth.com/products/arm-and-hammer-disinfecting-wipes-440-count", "https://www.shelhealth.com/products/arm-and-hammer-disinfecting-wipes-440-count")</f>
        <v/>
      </c>
      <c r="B504" s="2">
        <f>HYPERLINK("https://www.shelhealth.com/products/arm-and-hammer-disinfecting-wipes-440-count", "https://www.shelhealth.com/products/arm-and-hammer-disinfecting-wipes-440-count")</f>
        <v/>
      </c>
      <c r="C504" t="inlineStr">
        <is>
          <t>Arm And Hammer Disinfecting Wipes, 440 Count</t>
        </is>
      </c>
      <c r="D504" t="inlineStr">
        <is>
          <t>Arm &amp; Hammer Essentials Disinfecting Wipes, Lemon Orchard Scent, 40 Count(Pack of 8)</t>
        </is>
      </c>
      <c r="E504" s="2">
        <f>HYPERLINK("https://www.amazon.com/Hammer-Essentials-Disinfecting-Wipes-Orchard/dp/B08KGVX1V6/ref=sr_1_5?keywords=Arm+And+Hammer+Disinfecting+Wipes%2C+440+Count&amp;qid=1695170044&amp;sr=8-5", "https://www.amazon.com/Hammer-Essentials-Disinfecting-Wipes-Orchard/dp/B08KGVX1V6/ref=sr_1_5?keywords=Arm+And+Hammer+Disinfecting+Wipes%2C+440+Count&amp;qid=1695170044&amp;sr=8-5")</f>
        <v/>
      </c>
      <c r="F504" t="inlineStr">
        <is>
          <t>B08KGVX1V6</t>
        </is>
      </c>
      <c r="G504">
        <f>_xludf.IMAGE("https://www.shelhealth.com/cdn/shop/products/arm-and-hammer-disinfecting-wipes-440-count-shelhealth-250.jpg?v=1663658291&amp;width=1946")</f>
        <v/>
      </c>
      <c r="H504">
        <f>_xludf.IMAGE("https://m.media-amazon.com/images/I/81fD3DwEO6L._AC_UL320_.jpg")</f>
        <v/>
      </c>
      <c r="K504" t="inlineStr">
        <is>
          <t>34.99</t>
        </is>
      </c>
      <c r="L504" t="n">
        <v>24</v>
      </c>
      <c r="M504" s="1" t="inlineStr">
        <is>
          <t>-31.41%</t>
        </is>
      </c>
      <c r="N504" s="3" t="n">
        <v>-31.41</v>
      </c>
      <c r="O504" t="n">
        <v>3.7</v>
      </c>
      <c r="P504" t="n">
        <v>63</v>
      </c>
      <c r="R504" t="inlineStr">
        <is>
          <t>OutOfStock</t>
        </is>
      </c>
      <c r="S504" t="inlineStr">
        <is>
          <t>34.99</t>
        </is>
      </c>
      <c r="T504" t="inlineStr">
        <is>
          <t>6297326911676</t>
        </is>
      </c>
    </row>
    <row r="505" hidden="1" ht="15.75" customHeight="1">
      <c r="A505" s="2">
        <f>HYPERLINK("https://www.shelhealth.com/products/arm-and-hammer-disinfecting-wipes-440-count", "https://www.shelhealth.com/products/arm-and-hammer-disinfecting-wipes-440-count")</f>
        <v/>
      </c>
      <c r="B505" s="2">
        <f>HYPERLINK("https://www.shelhealth.com/products/arm-and-hammer-disinfecting-wipes-440-count", "https://www.shelhealth.com/products/arm-and-hammer-disinfecting-wipes-440-count")</f>
        <v/>
      </c>
      <c r="C505" t="inlineStr">
        <is>
          <t>Arm And Hammer Disinfecting Wipes, 440 Count</t>
        </is>
      </c>
      <c r="D505" t="inlineStr">
        <is>
          <t>Arm &amp; Hammer Essentials Disinfecting Wipes, Renewing Rain Scent, 40 Count, 8 Pack</t>
        </is>
      </c>
      <c r="E505" s="2">
        <f>HYPERLINK("https://www.amazon.com/Hammer-Essentials-Disinfecting-Renewing-Volcano/dp/B08LW3Y7FQ/ref=sr_1_1?keywords=Arm+And+Hammer+Disinfecting+Wipes%2C+440+Count&amp;qid=1695170044&amp;sr=8-1", "https://www.amazon.com/Hammer-Essentials-Disinfecting-Renewing-Volcano/dp/B08LW3Y7FQ/ref=sr_1_1?keywords=Arm+And+Hammer+Disinfecting+Wipes%2C+440+Count&amp;qid=1695170044&amp;sr=8-1")</f>
        <v/>
      </c>
      <c r="F505" t="inlineStr">
        <is>
          <t>B08LW3Y7FQ</t>
        </is>
      </c>
      <c r="G505">
        <f>_xludf.IMAGE("https://www.shelhealth.com/cdn/shop/products/arm-and-hammer-disinfecting-wipes-440-count-shelhealth-250.jpg?v=1663658291&amp;width=1946")</f>
        <v/>
      </c>
      <c r="H505">
        <f>_xludf.IMAGE("https://m.media-amazon.com/images/I/81GfXEtD4yL._AC_UL320_.jpg")</f>
        <v/>
      </c>
      <c r="K505" t="inlineStr">
        <is>
          <t>34.99</t>
        </is>
      </c>
      <c r="L505" t="n">
        <v>24</v>
      </c>
      <c r="M505" s="1" t="inlineStr">
        <is>
          <t>-31.41%</t>
        </is>
      </c>
      <c r="N505" s="3" t="n">
        <v>-31.41</v>
      </c>
      <c r="O505" t="n">
        <v>3.3</v>
      </c>
      <c r="P505" t="n">
        <v>33</v>
      </c>
      <c r="R505" t="inlineStr">
        <is>
          <t>OutOfStock</t>
        </is>
      </c>
      <c r="S505" t="inlineStr">
        <is>
          <t>34.99</t>
        </is>
      </c>
      <c r="T505" t="inlineStr">
        <is>
          <t>6297326911676</t>
        </is>
      </c>
    </row>
    <row r="506" hidden="1" ht="15.75" customHeight="1">
      <c r="A506" s="2">
        <f>HYPERLINK("https://www.shelhealth.com/products/bask-clear-vinyl-disposable-gloves-100-gloves", "https://www.shelhealth.com/products/bask-clear-vinyl-disposable-gloves-100-gloves")</f>
        <v/>
      </c>
      <c r="B506" s="2">
        <f>HYPERLINK("https://www.shelhealth.com/products/bask-clear-vinyl-disposable-gloves-100-gloves", "https://www.shelhealth.com/products/bask-clear-vinyl-disposable-gloves-100-gloves")</f>
        <v/>
      </c>
      <c r="C506" t="inlineStr">
        <is>
          <t>Bask Clear Vinyl Disposable Gloves, 100 Gloves</t>
        </is>
      </c>
      <c r="D506" t="inlineStr">
        <is>
          <t>MEDD MAX Disposable Vinyl Gloves Powder Free Non Latex Allergy Free, Clear Multi-Purpose Heavy Duty Super Strength Plastic Rubber Vynil Cleaning Gloves, Small (Pack of 100)</t>
        </is>
      </c>
      <c r="E506" s="2">
        <f>HYPERLINK("https://www.amazon.com/Disposable-Allergy-Multi-Purpose-Strength-Cleaning/dp/B084CY4F2R/ref=sr_1_3?keywords=Bask+Clear+Vinyl+Disposable+Gloves%2C+100+Gloves&amp;qid=1695170141&amp;sr=8-3", "https://www.amazon.com/Disposable-Allergy-Multi-Purpose-Strength-Cleaning/dp/B084CY4F2R/ref=sr_1_3?keywords=Bask+Clear+Vinyl+Disposable+Gloves%2C+100+Gloves&amp;qid=1695170141&amp;sr=8-3")</f>
        <v/>
      </c>
      <c r="F506" t="inlineStr">
        <is>
          <t>B084CY4F2R</t>
        </is>
      </c>
      <c r="G506">
        <f>_xludf.IMAGE("https://www.shelhealth.com/cdn/shop/products/bask-clear-vinyl-disposable-gloves-100-shelhealth-783.jpg?v=1663374232&amp;width=1946")</f>
        <v/>
      </c>
      <c r="H506">
        <f>_xludf.IMAGE("https://m.media-amazon.com/images/I/71Bi3sI8kTL._AC_UL320_.jpg")</f>
        <v/>
      </c>
      <c r="K506" t="inlineStr">
        <is>
          <t>21.99</t>
        </is>
      </c>
      <c r="L506" t="n">
        <v>14.99</v>
      </c>
      <c r="M506" s="1" t="inlineStr">
        <is>
          <t>-31.83%</t>
        </is>
      </c>
      <c r="N506" s="3" t="n">
        <v>-31.83</v>
      </c>
      <c r="O506" t="n">
        <v>4.5</v>
      </c>
      <c r="P506" t="n">
        <v>921</v>
      </c>
      <c r="R506" t="inlineStr">
        <is>
          <t>InStock</t>
        </is>
      </c>
      <c r="S506" t="inlineStr">
        <is>
          <t>21.99</t>
        </is>
      </c>
      <c r="T506" t="inlineStr">
        <is>
          <t>4713271525465</t>
        </is>
      </c>
    </row>
    <row r="507" hidden="1" ht="15.75" customHeight="1">
      <c r="A507" s="2">
        <f>HYPERLINK("https://www.shelhealth.com/products/purell-hand-sanitizer-variety-pack-44-oz", "https://www.shelhealth.com/products/purell-hand-sanitizer-variety-pack-44-oz")</f>
        <v/>
      </c>
      <c r="B507" s="2">
        <f>HYPERLINK("https://www.shelhealth.com/products/purell-hand-sanitizer-variety-pack-44-oz", "https://www.shelhealth.com/products/purell-hand-sanitizer-variety-pack-44-oz")</f>
        <v/>
      </c>
      <c r="C507" t="inlineStr">
        <is>
          <t>Purell Hand Sanitizer Variety Pack, 44 oz.</t>
        </is>
      </c>
      <c r="D507" t="inlineStr">
        <is>
          <t>Purell Advanced Hand Sanitizer Variety Pack, Naturals and Refreshing Gel, 1 Fl Oz Travel Size Flip-Cap Bottle with Jelly Wrap Carrier (Pack of 8), 3900-09-ECSC</t>
        </is>
      </c>
      <c r="E507" s="2">
        <f>HYPERLINK("https://www.amazon.com/Advanced-Sanitizer-Portable-included-Carriers/dp/B01BOWFQTW/ref=sr_1_3?keywords=Purell+Hand+Sanitizer+Variety+Pack%2C+44+oz.&amp;qid=1695170040&amp;sr=8-3", "https://www.amazon.com/Advanced-Sanitizer-Portable-included-Carriers/dp/B01BOWFQTW/ref=sr_1_3?keywords=Purell+Hand+Sanitizer+Variety+Pack%2C+44+oz.&amp;qid=1695170040&amp;sr=8-3")</f>
        <v/>
      </c>
      <c r="F507" t="inlineStr">
        <is>
          <t>B01BOWFQTW</t>
        </is>
      </c>
      <c r="G507">
        <f>_xludf.IMAGE("https://www.shelhealth.com/cdn/shop/products/purell-hand-sanitizer-variety-pack-44-oz-shelhealth-699.jpg?v=1663352227&amp;width=1946")</f>
        <v/>
      </c>
      <c r="H507">
        <f>_xludf.IMAGE("https://m.media-amazon.com/images/I/81vzp9ozsYL._AC_UY218_.jpg")</f>
        <v/>
      </c>
      <c r="K507" t="inlineStr">
        <is>
          <t>21.99</t>
        </is>
      </c>
      <c r="L507" t="n">
        <v>14.99</v>
      </c>
      <c r="M507" s="1" t="inlineStr">
        <is>
          <t>-31.83%</t>
        </is>
      </c>
      <c r="N507" s="3" t="n">
        <v>-31.83</v>
      </c>
      <c r="O507" t="n">
        <v>4.8</v>
      </c>
      <c r="P507" t="n">
        <v>10387</v>
      </c>
      <c r="R507" t="inlineStr">
        <is>
          <t>OutOfStock</t>
        </is>
      </c>
      <c r="S507" t="inlineStr">
        <is>
          <t>21.99</t>
        </is>
      </c>
      <c r="T507" t="inlineStr">
        <is>
          <t>4115771850804</t>
        </is>
      </c>
    </row>
    <row r="508" hidden="1" ht="15.75" customHeight="1">
      <c r="A508" s="2">
        <f>HYPERLINK("https://www.shelhealth.com/products/bask-clear-vinyl-disposable-gloves-100-gloves", "https://www.shelhealth.com/products/bask-clear-vinyl-disposable-gloves-100-gloves")</f>
        <v/>
      </c>
      <c r="B508" s="2">
        <f>HYPERLINK("https://www.shelhealth.com/products/bask-clear-vinyl-disposable-gloves-100-gloves", "https://www.shelhealth.com/products/bask-clear-vinyl-disposable-gloves-100-gloves")</f>
        <v/>
      </c>
      <c r="C508" t="inlineStr">
        <is>
          <t>Bask Clear Vinyl Disposable Gloves, 100 Gloves</t>
        </is>
      </c>
      <c r="D508" t="inlineStr">
        <is>
          <t>100 Count Disposable Non-Sterile Vinyl Gloves Powder-Free CLEAR</t>
        </is>
      </c>
      <c r="E508" s="2">
        <f>HYPERLINK("https://www.amazon.com/Disposable-Non-Sterile-Gloves-Powder-Free-MEDIUM/dp/B08FBP935W/ref=sr_1_5?keywords=Bask+Clear+Vinyl+Disposable+Gloves%2C+100+Gloves&amp;qid=1695170141&amp;sr=8-5", "https://www.amazon.com/Disposable-Non-Sterile-Gloves-Powder-Free-MEDIUM/dp/B08FBP935W/ref=sr_1_5?keywords=Bask+Clear+Vinyl+Disposable+Gloves%2C+100+Gloves&amp;qid=1695170141&amp;sr=8-5")</f>
        <v/>
      </c>
      <c r="F508" t="inlineStr">
        <is>
          <t>B08FBP935W</t>
        </is>
      </c>
      <c r="G508">
        <f>_xludf.IMAGE("https://www.shelhealth.com/cdn/shop/products/bask-clear-vinyl-disposable-gloves-100-shelhealth-783.jpg?v=1663374232&amp;width=1946")</f>
        <v/>
      </c>
      <c r="H508">
        <f>_xludf.IMAGE("https://m.media-amazon.com/images/I/31luZz23nCL._AC_UL320_.jpg")</f>
        <v/>
      </c>
      <c r="K508" t="inlineStr">
        <is>
          <t>21.99</t>
        </is>
      </c>
      <c r="L508" t="n">
        <v>14.98</v>
      </c>
      <c r="M508" s="1" t="inlineStr">
        <is>
          <t>-31.88%</t>
        </is>
      </c>
      <c r="N508" s="3" t="n">
        <v>-31.88</v>
      </c>
      <c r="O508" t="n">
        <v>5</v>
      </c>
      <c r="P508" t="n">
        <v>1</v>
      </c>
      <c r="R508" t="inlineStr">
        <is>
          <t>InStock</t>
        </is>
      </c>
      <c r="S508" t="inlineStr">
        <is>
          <t>21.99</t>
        </is>
      </c>
      <c r="T508" t="inlineStr">
        <is>
          <t>4713271525465</t>
        </is>
      </c>
    </row>
    <row r="509" hidden="1" ht="15.75" customHeight="1">
      <c r="A509" s="2">
        <f>HYPERLINK("https://www.shelhealth.com/products/dial-gold-antibacterial-bar-soap-22-ct-4-oz", "https://www.shelhealth.com/products/dial-gold-antibacterial-bar-soap-22-ct-4-oz")</f>
        <v/>
      </c>
      <c r="B509" s="2">
        <f>HYPERLINK("https://www.shelhealth.com/products/dial-gold-antibacterial-bar-soap-22-ct-4-oz", "https://www.shelhealth.com/products/dial-gold-antibacterial-bar-soap-22-ct-4-oz")</f>
        <v/>
      </c>
      <c r="C509" t="inlineStr">
        <is>
          <t>Dial Gold Antibacterial Bar Soap, 22 ct./4 oz.</t>
        </is>
      </c>
      <c r="D509" t="inlineStr">
        <is>
          <t>Dial Antibacterial Deodorant Bar Soap, Gold, Moisture Balance - 4 Ounce, 3 Bars (2 Pack)</t>
        </is>
      </c>
      <c r="E509" s="2">
        <f>HYPERLINK("https://www.amazon.com/Dial-Antibacterial-Deodorant-Moisture-Balance/dp/B08BW9H5TQ/ref=sr_1_6?keywords=Dial+Gold+Antibacterial+Bar+Soap%2C+22+ct.%2F4+oz.&amp;qid=1695170040&amp;sr=8-6", "https://www.amazon.com/Dial-Antibacterial-Deodorant-Moisture-Balance/dp/B08BW9H5TQ/ref=sr_1_6?keywords=Dial+Gold+Antibacterial+Bar+Soap%2C+22+ct.%2F4+oz.&amp;qid=1695170040&amp;sr=8-6")</f>
        <v/>
      </c>
      <c r="F509" t="inlineStr">
        <is>
          <t>B08BW9H5TQ</t>
        </is>
      </c>
      <c r="G509">
        <f>_xludf.IMAGE("https://www.shelhealth.com/cdn/shop/products/dial-gold-antibacterial-bar-soap-22-ct-4-oz-shelhealth-711.jpg?v=1663354241&amp;width=1946")</f>
        <v/>
      </c>
      <c r="H509">
        <f>_xludf.IMAGE("https://m.media-amazon.com/images/I/71KM19o-kWL._AC_UL320_.jpg")</f>
        <v/>
      </c>
      <c r="K509" t="inlineStr">
        <is>
          <t>19.99</t>
        </is>
      </c>
      <c r="L509" t="n">
        <v>13.31</v>
      </c>
      <c r="M509" s="1" t="inlineStr">
        <is>
          <t>-33.42%</t>
        </is>
      </c>
      <c r="N509" s="3" t="n">
        <v>-33.42</v>
      </c>
      <c r="O509" t="n">
        <v>4.7</v>
      </c>
      <c r="P509" t="n">
        <v>134</v>
      </c>
      <c r="R509" t="inlineStr">
        <is>
          <t>OutOfStock</t>
        </is>
      </c>
      <c r="S509" t="inlineStr">
        <is>
          <t>19.99</t>
        </is>
      </c>
      <c r="T509" t="inlineStr">
        <is>
          <t>4167534379060</t>
        </is>
      </c>
    </row>
    <row r="510" hidden="1" ht="15.75" customHeight="1">
      <c r="A510" s="2">
        <f>HYPERLINK("https://www.shelhealth.com/products/779242002089-nature-by-canus-pure-vegetable-soap-with-fresh-goat-s-milk-lavender-5-oz", "https://www.shelhealth.com/products/779242002089-nature-by-canus-pure-vegetable-soap-with-fresh-goat-s-milk-lavender-5-oz")</f>
        <v/>
      </c>
      <c r="B510" s="2">
        <f>HYPERLINK("https://www.shelhealth.com/products/779242002089-nature-by-canus-pure-vegetable-soap-with-fresh-goat-s-milk-lavender-5-oz", "https://www.shelhealth.com/products/779242002089-nature-by-canus-pure-vegetable-soap-with-fresh-goat-s-milk-lavender-5-oz")</f>
        <v/>
      </c>
      <c r="C510" t="inlineStr">
        <is>
          <t>Nature By Canus Pure Vegetable Soap With Fresh Goat'S Milk Lavender, 5 Oz (Case of 4)</t>
        </is>
      </c>
      <c r="D510" t="inlineStr">
        <is>
          <t>Nature by Canus Pure Vegetable Soaps with Fresh Goat's Milk Lavender Oil Bar Soaps 5 oz. (a) - 2pc</t>
        </is>
      </c>
      <c r="E510" s="2">
        <f>HYPERLINK("https://www.amazon.com/Nature-Canus-Vegetable-Soaps-Lavender/dp/B01KL1GGTQ/ref=sr_1_1?keywords=Nature+By+Canus+Pure+Vegetable+Soap+With+Fresh+Goat%27S+Milk+Lavender%2C+5+Oz+%28Case+of+4%29&amp;qid=1695170093&amp;sr=8-1", "https://www.amazon.com/Nature-Canus-Vegetable-Soaps-Lavender/dp/B01KL1GGTQ/ref=sr_1_1?keywords=Nature+By+Canus+Pure+Vegetable+Soap+With+Fresh+Goat%27S+Milk+Lavender%2C+5+Oz+%28Case+of+4%29&amp;qid=1695170093&amp;sr=8-1")</f>
        <v/>
      </c>
      <c r="F510" t="inlineStr">
        <is>
          <t>B01KL1GGTQ</t>
        </is>
      </c>
      <c r="G510">
        <f>_xludf.IMAGE("https://www.shelhealth.com/cdn/shop/files/nature-by-canus-pure-vegetable-soap-with-fresh-goats-milk-lavender-5-oz-case-of-4-beauty-body-care-shelhealth-722.jpg?v=1686532932&amp;width=1946")</f>
        <v/>
      </c>
      <c r="H510">
        <f>_xludf.IMAGE("https://m.media-amazon.com/images/I/21ZM5SZKTpL._AC_UL320_.jpg")</f>
        <v/>
      </c>
      <c r="K510" t="inlineStr">
        <is>
          <t>25.99</t>
        </is>
      </c>
      <c r="L510" t="n">
        <v>17.19</v>
      </c>
      <c r="M510" s="1" t="inlineStr">
        <is>
          <t>-33.86%</t>
        </is>
      </c>
      <c r="N510" s="3" t="n">
        <v>-33.86</v>
      </c>
      <c r="O510" t="n">
        <v>5</v>
      </c>
      <c r="P510" t="n">
        <v>4</v>
      </c>
      <c r="R510" t="inlineStr">
        <is>
          <t>InStock</t>
        </is>
      </c>
      <c r="S510" t="inlineStr">
        <is>
          <t>25.99</t>
        </is>
      </c>
      <c r="T510" t="inlineStr">
        <is>
          <t>7241851142332</t>
        </is>
      </c>
    </row>
    <row r="511" hidden="1" ht="15.75" customHeight="1">
      <c r="A511" s="2">
        <f>HYPERLINK("https://www.shelhealth.com/products/30985012309-derma-e-scrub-purifying-detox-4-oz", "https://www.shelhealth.com/products/30985012309-derma-e-scrub-purifying-detox-4-oz")</f>
        <v/>
      </c>
      <c r="B511" s="2">
        <f>HYPERLINK("https://www.shelhealth.com/products/30985012309-derma-e-scrub-purifying-detox-4-oz", "https://www.shelhealth.com/products/30985012309-derma-e-scrub-purifying-detox-4-oz")</f>
        <v/>
      </c>
      <c r="C511" t="inlineStr">
        <is>
          <t>DERMA E Scrub Purifying Detox, 4 oz</t>
        </is>
      </c>
      <c r="D511" t="inlineStr">
        <is>
          <t>DERMA E Anti-Wrinkle Scrub – Anti-Aging Face Wash with Glycolic Acid and Vitamin A – Cleansing and Exfoliating Treatment Removes Makeup, Oil and Impurities, 4 oz</t>
        </is>
      </c>
      <c r="E511" s="2">
        <f>HYPERLINK("https://www.amazon.com/DERMA-Anti-Wrinkle-Scrub-Vitamin-Glycolic/dp/B003XQD0AU/ref=sr_1_3?keywords=DERMA+E+Scrub+Purifying+Detox%2C+4+oz&amp;qid=1695170131&amp;sr=8-3", "https://www.amazon.com/DERMA-Anti-Wrinkle-Scrub-Vitamin-Glycolic/dp/B003XQD0AU/ref=sr_1_3?keywords=DERMA+E+Scrub+Purifying+Detox%2C+4+oz&amp;qid=1695170131&amp;sr=8-3")</f>
        <v/>
      </c>
      <c r="F511" t="inlineStr">
        <is>
          <t>B003XQD0AU</t>
        </is>
      </c>
      <c r="G511">
        <f>_xludf.IMAGE("https://www.shelhealth.com/cdn/shop/files/derma-e-scrub-purifying-detox-4-oz-beauty-body-care-shelhealth-218.jpg?v=1686210986&amp;width=1946")</f>
        <v/>
      </c>
      <c r="H511">
        <f>_xludf.IMAGE("https://m.media-amazon.com/images/I/61Gb8GQBteL._AC_UL320_.jpg")</f>
        <v/>
      </c>
      <c r="K511" t="inlineStr">
        <is>
          <t>14.99</t>
        </is>
      </c>
      <c r="L511" t="n">
        <v>9.77</v>
      </c>
      <c r="M511" s="1" t="inlineStr">
        <is>
          <t>-34.82%</t>
        </is>
      </c>
      <c r="N511" s="3" t="n">
        <v>-34.82</v>
      </c>
      <c r="O511" t="n">
        <v>4.6</v>
      </c>
      <c r="P511" t="n">
        <v>1133</v>
      </c>
      <c r="R511" t="inlineStr">
        <is>
          <t>InStock</t>
        </is>
      </c>
      <c r="S511" t="inlineStr">
        <is>
          <t>14.99</t>
        </is>
      </c>
      <c r="T511" t="inlineStr">
        <is>
          <t>7574055157992</t>
        </is>
      </c>
    </row>
    <row r="512" hidden="1" ht="15.75" customHeight="1">
      <c r="A512" s="2">
        <f>HYPERLINK("https://www.shelhealth.com/products/dove-go-fresh-cool-moisture-beauty-bar-16-ct-4-oz", "https://www.shelhealth.com/products/dove-go-fresh-cool-moisture-beauty-bar-16-ct-4-oz")</f>
        <v/>
      </c>
      <c r="B512" s="2">
        <f>HYPERLINK("https://www.shelhealth.com/products/dove-go-fresh-cool-moisture-beauty-bar-16-ct-4-oz", "https://www.shelhealth.com/products/dove-go-fresh-cool-moisture-beauty-bar-16-ct-4-oz")</f>
        <v/>
      </c>
      <c r="C512" t="inlineStr">
        <is>
          <t>Dove go fresh Cool Moisture Beauty Bar, 16 ct./4 oz.</t>
        </is>
      </c>
      <c r="D512" t="inlineStr">
        <is>
          <t>Dove Go Fresh Beauty Bar - Cool Moisture - 4 oz - 4 ct - 2 pk</t>
        </is>
      </c>
      <c r="E512" s="2">
        <f>HYPERLINK("https://www.amazon.com/Dove-Go-Fresh-Beauty-Bar/dp/B00JF2LJE0/ref=sr_1_5?keywords=Dove+go+fresh+Cool+Moisture+Beauty+Bar%2C+16+ct.%2F4+oz.&amp;qid=1695170048&amp;sr=8-5", "https://www.amazon.com/Dove-Go-Fresh-Beauty-Bar/dp/B00JF2LJE0/ref=sr_1_5?keywords=Dove+go+fresh+Cool+Moisture+Beauty+Bar%2C+16+ct.%2F4+oz.&amp;qid=1695170048&amp;sr=8-5")</f>
        <v/>
      </c>
      <c r="F512" t="inlineStr">
        <is>
          <t>B00JF2LJE0</t>
        </is>
      </c>
      <c r="G512">
        <f>_xludf.IMAGE("https://www.shelhealth.com/cdn/shop/products/dove-go-fresh-cool-moisture-beauty-bar-16-ct-4-oz-shelhealth-272.jpg?v=1663354648&amp;width=1946")</f>
        <v/>
      </c>
      <c r="H512">
        <f>_xludf.IMAGE("https://m.media-amazon.com/images/I/718-iVViy2L._AC_UL320_.jpg")</f>
        <v/>
      </c>
      <c r="K512" t="inlineStr">
        <is>
          <t>23.99</t>
        </is>
      </c>
      <c r="L512" t="n">
        <v>15.59</v>
      </c>
      <c r="M512" s="1" t="inlineStr">
        <is>
          <t>-35.01%</t>
        </is>
      </c>
      <c r="N512" s="3" t="n">
        <v>-35.01</v>
      </c>
      <c r="O512" t="n">
        <v>5</v>
      </c>
      <c r="P512" t="n">
        <v>1</v>
      </c>
      <c r="R512" t="inlineStr">
        <is>
          <t>InStock</t>
        </is>
      </c>
      <c r="S512" t="inlineStr">
        <is>
          <t>23.99</t>
        </is>
      </c>
      <c r="T512" t="inlineStr">
        <is>
          <t>4167686324276</t>
        </is>
      </c>
    </row>
    <row r="513" hidden="1" ht="15.75" customHeight="1">
      <c r="A513" s="2">
        <f>HYPERLINK("https://www.shelhealth.com/products/858293002931-sea-weed-bath-company-detox-scrub-exfoliating-awaken-6-oz", "https://www.shelhealth.com/products/858293002931-sea-weed-bath-company-detox-scrub-exfoliating-awaken-6-oz")</f>
        <v/>
      </c>
      <c r="B513" s="2">
        <f>HYPERLINK("https://www.shelhealth.com/products/858293002931-sea-weed-bath-company-detox-scrub-exfoliating-awaken-6-oz", "https://www.shelhealth.com/products/858293002931-sea-weed-bath-company-detox-scrub-exfoliating-awaken-6-oz")</f>
        <v/>
      </c>
      <c r="C513" t="inlineStr">
        <is>
          <t>Sea Weed Bath Company Detox Scrub Exfoliating Awaken, 6 Oz</t>
        </is>
      </c>
      <c r="D513" t="inlineStr">
        <is>
          <t>The Seaweed Bath Co. Body Scrub, Eucalyptus &amp; Peppermint, Hydrating, Exfoliating, Natural Organic Bladderwrack Seaweed, Paraben Free, 6 oz.</t>
        </is>
      </c>
      <c r="E513" s="2">
        <f>HYPERLINK("https://www.amazon.com/Seaweed-Bath-Exfoliating-Eucalyptus-Peppermint/dp/B07S38D8GR/ref=sr_1_2?keywords=Sea+Weed+Bath+Company+Detox+Scrub+Exfoliating+Awaken%2C+6+Oz&amp;qid=1695170125&amp;sr=8-2", "https://www.amazon.com/Seaweed-Bath-Exfoliating-Eucalyptus-Peppermint/dp/B07S38D8GR/ref=sr_1_2?keywords=Sea+Weed+Bath+Company+Detox+Scrub+Exfoliating+Awaken%2C+6+Oz&amp;qid=1695170125&amp;sr=8-2")</f>
        <v/>
      </c>
      <c r="F513" t="inlineStr">
        <is>
          <t>B07S38D8GR</t>
        </is>
      </c>
      <c r="G513">
        <f>_xludf.IMAGE("https://www.shelhealth.com/cdn/shop/files/sea-weed-bath-company-detox-scrub-exfoliating-awaken-6-oz-beauty-body-care-the-seaweed-co-shelhealth-665.jpg?v=1686201873&amp;width=1946")</f>
        <v/>
      </c>
      <c r="H513">
        <f>_xludf.IMAGE("https://m.media-amazon.com/images/I/51PK7r2x5LL._AC_UL320_.jpg")</f>
        <v/>
      </c>
      <c r="K513" t="inlineStr">
        <is>
          <t>13.99</t>
        </is>
      </c>
      <c r="L513" t="n">
        <v>9.09</v>
      </c>
      <c r="M513" s="1" t="inlineStr">
        <is>
          <t>-35.03%</t>
        </is>
      </c>
      <c r="N513" s="3" t="n">
        <v>-35.03</v>
      </c>
      <c r="O513" t="n">
        <v>4.3</v>
      </c>
      <c r="P513" t="n">
        <v>382</v>
      </c>
      <c r="R513" t="inlineStr">
        <is>
          <t>OutOfStock</t>
        </is>
      </c>
      <c r="S513" t="inlineStr">
        <is>
          <t>13.99</t>
        </is>
      </c>
      <c r="T513" t="inlineStr">
        <is>
          <t>7241979920572</t>
        </is>
      </c>
    </row>
    <row r="514" hidden="1" ht="15.75" customHeight="1">
      <c r="A514" s="2">
        <f>HYPERLINK("https://www.shelhealth.com/products/858293002924-sea-weed-bath-company-detox-scrub-exfoliating-refresh-6-oz", "https://www.shelhealth.com/products/858293002924-sea-weed-bath-company-detox-scrub-exfoliating-refresh-6-oz")</f>
        <v/>
      </c>
      <c r="B514" s="2">
        <f>HYPERLINK("https://www.shelhealth.com/products/858293002924-sea-weed-bath-company-detox-scrub-exfoliating-refresh-6-oz", "https://www.shelhealth.com/products/858293002924-sea-weed-bath-company-detox-scrub-exfoliating-refresh-6-oz")</f>
        <v/>
      </c>
      <c r="C514" t="inlineStr">
        <is>
          <t>Sea Weed Bath Company Detox Scrub Exfoliating Refresh, 6 Oz</t>
        </is>
      </c>
      <c r="D514" t="inlineStr">
        <is>
          <t>The Seaweed Bath Co. Body Scrub, Eucalyptus &amp; Peppermint, Hydrating, Exfoliating, Natural Organic Bladderwrack Seaweed, Paraben Free, 6 oz.</t>
        </is>
      </c>
      <c r="E514" s="2">
        <f>HYPERLINK("https://www.amazon.com/Seaweed-Bath-Exfoliating-Eucalyptus-Peppermint/dp/B07S38D8GR/ref=sr_1_1?keywords=Sea+Weed+Bath+Company+Detox+Scrub+Exfoliating+Refresh%2C+6+Oz&amp;qid=1695170131&amp;sr=8-1", "https://www.amazon.com/Seaweed-Bath-Exfoliating-Eucalyptus-Peppermint/dp/B07S38D8GR/ref=sr_1_1?keywords=Sea+Weed+Bath+Company+Detox+Scrub+Exfoliating+Refresh%2C+6+Oz&amp;qid=1695170131&amp;sr=8-1")</f>
        <v/>
      </c>
      <c r="F514" t="inlineStr">
        <is>
          <t>B07S38D8GR</t>
        </is>
      </c>
      <c r="G514">
        <f>_xludf.IMAGE("https://www.shelhealth.com/cdn/shop/files/sea-weed-bath-company-detox-scrub-exfoliating-refresh-6-oz-beauty-body-care-the-seaweed-co-shelhealth-384.jpg?v=1693361971&amp;width=1946")</f>
        <v/>
      </c>
      <c r="H514">
        <f>_xludf.IMAGE("https://m.media-amazon.com/images/I/51PK7r2x5LL._AC_UL320_.jpg")</f>
        <v/>
      </c>
      <c r="K514" t="inlineStr">
        <is>
          <t>13.99</t>
        </is>
      </c>
      <c r="L514" t="n">
        <v>9.09</v>
      </c>
      <c r="M514" s="1" t="inlineStr">
        <is>
          <t>-35.03%</t>
        </is>
      </c>
      <c r="N514" s="3" t="n">
        <v>-35.03</v>
      </c>
      <c r="O514" t="n">
        <v>4.3</v>
      </c>
      <c r="P514" t="n">
        <v>382</v>
      </c>
      <c r="R514" t="inlineStr">
        <is>
          <t>OutOfStock</t>
        </is>
      </c>
      <c r="S514" t="inlineStr">
        <is>
          <t>13.99</t>
        </is>
      </c>
      <c r="T514" t="inlineStr">
        <is>
          <t>7241980018876</t>
        </is>
      </c>
    </row>
    <row r="515" hidden="1" ht="15.75" customHeight="1">
      <c r="A515" s="2">
        <f>HYPERLINK("https://www.shelhealth.com/products/purell-hand-sanitizer-variety-pack-44-oz", "https://www.shelhealth.com/products/purell-hand-sanitizer-variety-pack-44-oz")</f>
        <v/>
      </c>
      <c r="B515" s="2">
        <f>HYPERLINK("https://www.shelhealth.com/products/purell-hand-sanitizer-variety-pack-44-oz", "https://www.shelhealth.com/products/purell-hand-sanitizer-variety-pack-44-oz")</f>
        <v/>
      </c>
      <c r="C515" t="inlineStr">
        <is>
          <t>Purell Hand Sanitizer Variety Pack, 44 oz.</t>
        </is>
      </c>
      <c r="D515" t="inlineStr">
        <is>
          <t>Purell Advanced Hand Sanitizer Gel Infused with Essential Oils, Scented Variety Pack, 1 fl oz Travel Size Flip Cap Bottles with JELLY WRAP Carrier (Pack of 8), 3900-09-ECME17</t>
        </is>
      </c>
      <c r="E515" s="2">
        <f>HYPERLINK("https://www.amazon.com/Advanced-Sanitizer-Infused-Essential-Scented/dp/B06Y5JFFZW/ref=sr_1_8?keywords=Purell+Hand+Sanitizer+Variety+Pack%2C+44+oz.&amp;qid=1695170040&amp;sr=8-8", "https://www.amazon.com/Advanced-Sanitizer-Infused-Essential-Scented/dp/B06Y5JFFZW/ref=sr_1_8?keywords=Purell+Hand+Sanitizer+Variety+Pack%2C+44+oz.&amp;qid=1695170040&amp;sr=8-8")</f>
        <v/>
      </c>
      <c r="F515" t="inlineStr">
        <is>
          <t>B06Y5JFFZW</t>
        </is>
      </c>
      <c r="G515">
        <f>_xludf.IMAGE("https://www.shelhealth.com/cdn/shop/products/purell-hand-sanitizer-variety-pack-44-oz-shelhealth-699.jpg?v=1663352227&amp;width=1946")</f>
        <v/>
      </c>
      <c r="H515">
        <f>_xludf.IMAGE("https://m.media-amazon.com/images/I/716ncrezU-L._AC_UY218_.jpg")</f>
        <v/>
      </c>
      <c r="K515" t="inlineStr">
        <is>
          <t>21.99</t>
        </is>
      </c>
      <c r="L515" t="n">
        <v>14.15</v>
      </c>
      <c r="M515" s="1" t="inlineStr">
        <is>
          <t>-35.65%</t>
        </is>
      </c>
      <c r="N515" s="3" t="n">
        <v>-35.65</v>
      </c>
      <c r="O515" t="n">
        <v>4.7</v>
      </c>
      <c r="P515" t="n">
        <v>3607</v>
      </c>
      <c r="R515" t="inlineStr">
        <is>
          <t>OutOfStock</t>
        </is>
      </c>
      <c r="S515" t="inlineStr">
        <is>
          <t>21.99</t>
        </is>
      </c>
      <c r="T515" t="inlineStr">
        <is>
          <t>4115771850804</t>
        </is>
      </c>
    </row>
    <row r="516" hidden="1" ht="15.75" customHeight="1">
      <c r="A516" s="2">
        <f>HYPERLINK("https://www.shelhealth.com/products/dr-jacobs-naturals-pure-castile-liquid-soap-unscented-natural-face-and-body-wash-32-oz-3-pack", "https://www.shelhealth.com/products/dr-jacobs-naturals-pure-castile-liquid-soap-unscented-natural-face-and-body-wash-32-oz-3-pack")</f>
        <v/>
      </c>
      <c r="B516" s="2">
        <f>HYPERLINK("https://www.shelhealth.com/products/dr-jacobs-naturals-pure-castile-liquid-soap-unscented-natural-face-and-body-wash-32-oz-3-pack", "https://www.shelhealth.com/products/dr-jacobs-naturals-pure-castile-liquid-soap-unscented-natural-face-and-body-wash-32-oz-3-pack")</f>
        <v/>
      </c>
      <c r="C516" t="inlineStr">
        <is>
          <t>Dr. Jacobs Naturals Pure Castile Liquid Soap, Unscented, Natural Face and Body Wash, 32 oz. (3 Pack)</t>
        </is>
      </c>
      <c r="D516" t="inlineStr">
        <is>
          <t>Dr Jacobs Naturals Pure Castile Liquid Soap Gel - Sensitive (Unscented, 32 oz 2-Pack) Made with Premium Organic Oils - Concentrated, Multi-Purpose for Baby, Face, Body, Hair, Eczema and Laundry</t>
        </is>
      </c>
      <c r="E516" s="2">
        <f>HYPERLINK("https://www.amazon.com/Jacobs-Naturals-Castile-Liquid-Unscented/dp/B07KMJYBSS/ref=sr_1_2?keywords=Dr.+Jacobs+Naturals+Pure+Castile+Liquid+Soap%2C+Unscented%2C+Natural+Face+and+Body+Wash%2C+32+oz.+%283+Pack%29&amp;qid=1695170138&amp;sr=8-2", "https://www.amazon.com/Jacobs-Naturals-Castile-Liquid-Unscented/dp/B07KMJYBSS/ref=sr_1_2?keywords=Dr.+Jacobs+Naturals+Pure+Castile+Liquid+Soap%2C+Unscented%2C+Natural+Face+and+Body+Wash%2C+32+oz.+%283+Pack%29&amp;qid=1695170138&amp;sr=8-2")</f>
        <v/>
      </c>
      <c r="F516" t="inlineStr">
        <is>
          <t>B07KMJYBSS</t>
        </is>
      </c>
      <c r="G516">
        <f>_xludf.IMAGE("https://www.shelhealth.com/cdn/shop/products/dr-jacobs-naturals-pure-castile-liquid-soap-unscented-natural-face-and-body-wash-32-oz-3-pack-shelhealth-749.jpg?v=1663373671&amp;width=1946")</f>
        <v/>
      </c>
      <c r="H516">
        <f>_xludf.IMAGE("https://m.media-amazon.com/images/I/81jKEaav88L._AC_UL320_.jpg")</f>
        <v/>
      </c>
      <c r="K516" t="inlineStr">
        <is>
          <t>47.99</t>
        </is>
      </c>
      <c r="L516" t="n">
        <v>29.95</v>
      </c>
      <c r="M516" s="1" t="inlineStr">
        <is>
          <t>-37.59%</t>
        </is>
      </c>
      <c r="N516" s="3" t="n">
        <v>-37.59</v>
      </c>
      <c r="O516" t="n">
        <v>4.5</v>
      </c>
      <c r="P516" t="n">
        <v>2818</v>
      </c>
      <c r="R516" t="inlineStr">
        <is>
          <t>InStock</t>
        </is>
      </c>
      <c r="S516" t="inlineStr">
        <is>
          <t>47.99</t>
        </is>
      </c>
      <c r="T516" t="inlineStr">
        <is>
          <t>4708211032153</t>
        </is>
      </c>
    </row>
    <row r="517" hidden="1" ht="15.75" customHeight="1">
      <c r="A517" s="2">
        <f>HYPERLINK("https://www.shelhealth.com/products/856885200147-south-of-france-soap-bar-climbing-wild-rose-6-oz", "https://www.shelhealth.com/products/856885200147-south-of-france-soap-bar-climbing-wild-rose-6-oz")</f>
        <v/>
      </c>
      <c r="B517" s="2">
        <f>HYPERLINK("https://www.shelhealth.com/products/856885200147-south-of-france-soap-bar-climbing-wild-rose-6-oz", "https://www.shelhealth.com/products/856885200147-south-of-france-soap-bar-climbing-wild-rose-6-oz")</f>
        <v/>
      </c>
      <c r="C517" t="inlineStr">
        <is>
          <t>South Of France Soap Bar Climbing Wild Rose, 6 Oz (Case of 4)</t>
        </is>
      </c>
      <c r="D517" t="inlineStr">
        <is>
          <t>Bar Soap Oval, Climbing Wild Rose 6 Oz by South Of France Soaps (Pack of 3)</t>
        </is>
      </c>
      <c r="E517" s="2">
        <f>HYPERLINK("https://www.amazon.com/Soap-Climbing-South-France-Soaps/dp/B00JHGY4MS/ref=sr_1_6?keywords=South+Of+France+Soap+Bar+Climbing+Wild+Rose%2C+6+Oz+%28Case+of+4%29&amp;qid=1695170098&amp;sr=8-6", "https://www.amazon.com/Soap-Climbing-South-France-Soaps/dp/B00JHGY4MS/ref=sr_1_6?keywords=South+Of+France+Soap+Bar+Climbing+Wild+Rose%2C+6+Oz+%28Case+of+4%29&amp;qid=1695170098&amp;sr=8-6")</f>
        <v/>
      </c>
      <c r="F517" t="inlineStr">
        <is>
          <t>B00JHGY4MS</t>
        </is>
      </c>
      <c r="G517">
        <f>_xludf.IMAGE("https://www.shelhealth.com/cdn/shop/files/south-of-france-soap-bar-climbing-wild-rose-6-oz-case-4-beauty-body-care-shelhealth-867.jpg?v=1687416908&amp;width=1946")</f>
        <v/>
      </c>
      <c r="H517">
        <f>_xludf.IMAGE("https://m.media-amazon.com/images/I/51apqqVfMjL._AC_UL320_.jpg")</f>
        <v/>
      </c>
      <c r="K517" t="inlineStr">
        <is>
          <t>17.99</t>
        </is>
      </c>
      <c r="L517" t="n">
        <v>11.11</v>
      </c>
      <c r="M517" s="1" t="inlineStr">
        <is>
          <t>-38.24%</t>
        </is>
      </c>
      <c r="N517" s="3" t="n">
        <v>-38.24</v>
      </c>
      <c r="O517" t="n">
        <v>5</v>
      </c>
      <c r="P517" t="n">
        <v>1</v>
      </c>
      <c r="R517" t="inlineStr">
        <is>
          <t>InStock</t>
        </is>
      </c>
      <c r="S517" t="inlineStr">
        <is>
          <t>17.99</t>
        </is>
      </c>
      <c r="T517" t="inlineStr">
        <is>
          <t>7242004529340</t>
        </is>
      </c>
    </row>
    <row r="518" hidden="1" ht="15.75" customHeight="1">
      <c r="A518" s="2">
        <f>HYPERLINK("https://www.shelhealth.com/products/purell-advanced-hand-sanitizer-refreshing-gel-clean-scent-1-liter-pump-bottle-pack-of-2", "https://www.shelhealth.com/products/purell-advanced-hand-sanitizer-refreshing-gel-clean-scent-1-liter-pump-bottle-pack-of-2")</f>
        <v/>
      </c>
      <c r="B518" s="2">
        <f>HYPERLINK("https://www.shelhealth.com/products/purell-advanced-hand-sanitizer-refreshing-gel-clean-scent-1-liter-pump-bottle-pack-of-2", "https://www.shelhealth.com/products/purell-advanced-hand-sanitizer-refreshing-gel-clean-scent-1-liter-pump-bottle-pack-of-2")</f>
        <v/>
      </c>
      <c r="C518" t="inlineStr">
        <is>
          <t>PURELL Advanced Hand Sanitizer Refreshing Gel, Clean Scent, 1 Liter Pump Bottle (Pack of 2)</t>
        </is>
      </c>
      <c r="D518" t="inlineStr">
        <is>
          <t>PURELL Advanced Hand Sanitizer Refreshing Gel, Clean Scent, 1 Liter Pump Bottle (Pack of 1) - 9632-04-CMR</t>
        </is>
      </c>
      <c r="E518" s="2">
        <f>HYPERLINK("https://www.amazon.com/PURELL-Advanced-Sanitizer-Refreshing-Bottle/dp/B087781VTJ/ref=sr_1_1?keywords=PURELL+Advanced+Hand+Sanitizer+Refreshing+Gel%2C+Clean+Scent%2C+1+Liter+Pump+Bottle+%28Pack+of+2%29&amp;qid=1695170062&amp;sr=8-1", "https://www.amazon.com/PURELL-Advanced-Sanitizer-Refreshing-Bottle/dp/B087781VTJ/ref=sr_1_1?keywords=PURELL+Advanced+Hand+Sanitizer+Refreshing+Gel%2C+Clean+Scent%2C+1+Liter+Pump+Bottle+%28Pack+of+2%29&amp;qid=1695170062&amp;sr=8-1")</f>
        <v/>
      </c>
      <c r="F518" t="inlineStr">
        <is>
          <t>B087781VTJ</t>
        </is>
      </c>
      <c r="G518">
        <f>_xludf.IMAGE("https://www.shelhealth.com/cdn/shop/products/purell-advanced-hand-sanitizer-refreshing-gel-clean-scent-1-liter-pump-bottle-pack-of-2-shelhealth-488.jpg?v=1663352376&amp;width=1946")</f>
        <v/>
      </c>
      <c r="H518">
        <f>_xludf.IMAGE("https://m.media-amazon.com/images/I/61-eclDVs5L._AC_UL320_.jpg")</f>
        <v/>
      </c>
      <c r="K518" t="inlineStr">
        <is>
          <t>21.99</t>
        </is>
      </c>
      <c r="L518" t="n">
        <v>13.09</v>
      </c>
      <c r="M518" s="1" t="inlineStr">
        <is>
          <t>-40.47%</t>
        </is>
      </c>
      <c r="N518" s="3" t="n">
        <v>-40.47</v>
      </c>
      <c r="O518" t="n">
        <v>4.8</v>
      </c>
      <c r="P518" t="n">
        <v>5416</v>
      </c>
      <c r="R518" t="inlineStr">
        <is>
          <t>OutOfStock</t>
        </is>
      </c>
      <c r="S518" t="inlineStr">
        <is>
          <t>21.99</t>
        </is>
      </c>
      <c r="T518" t="inlineStr">
        <is>
          <t>4158258446388</t>
        </is>
      </c>
    </row>
    <row r="519" hidden="1" ht="15.75" customHeight="1">
      <c r="A519" s="2">
        <f>HYPERLINK("https://www.shelhealth.com/products/neptune-hand-sanitizer-gel-1-gal", "https://www.shelhealth.com/products/neptune-hand-sanitizer-gel-1-gal")</f>
        <v/>
      </c>
      <c r="B519" s="2">
        <f>HYPERLINK("https://www.shelhealth.com/products/neptune-hand-sanitizer-gel-1-gal", "https://www.shelhealth.com/products/neptune-hand-sanitizer-gel-1-gal")</f>
        <v/>
      </c>
      <c r="C519" t="inlineStr">
        <is>
          <t>Neptune Hand Sanitizer Gel, 1 Gal.</t>
        </is>
      </c>
      <c r="D519" t="inlineStr">
        <is>
          <t>GINGI-PAK - 82128-A ProGuard Hand Sanitizer Gel, 70% Ethyl Alcohol with Aloe Vera, Kills 99.999% of Germs, Fast Drying with No Residue Left Behind, 1 Gallon</t>
        </is>
      </c>
      <c r="E519" s="2">
        <f>HYPERLINK("https://www.amazon.com/GINGI-PAK-82128-ProGuard-Sanitizer-Alcohol/dp/B08HR37G1K/ref=sr_1_6?keywords=Neptune+Hand+Sanitizer+Gel%2C+1+Gal.&amp;qid=1695170048&amp;sr=8-6", "https://www.amazon.com/GINGI-PAK-82128-ProGuard-Sanitizer-Alcohol/dp/B08HR37G1K/ref=sr_1_6?keywords=Neptune+Hand+Sanitizer+Gel%2C+1+Gal.&amp;qid=1695170048&amp;sr=8-6")</f>
        <v/>
      </c>
      <c r="F519" t="inlineStr">
        <is>
          <t>B08HR37G1K</t>
        </is>
      </c>
      <c r="G519">
        <f>_xludf.IMAGE("https://www.shelhealth.com/cdn/shop/products/neptune-hand-sanitizer-gel-1-gal-shelhealth-686.jpg?v=1663372637&amp;width=1946")</f>
        <v/>
      </c>
      <c r="H519">
        <f>_xludf.IMAGE("https://m.media-amazon.com/images/I/61ndkbHbeNL._AC_UL320_.jpg")</f>
        <v/>
      </c>
      <c r="K519" t="inlineStr">
        <is>
          <t>41.99</t>
        </is>
      </c>
      <c r="L519" t="n">
        <v>24.93</v>
      </c>
      <c r="M519" s="1" t="inlineStr">
        <is>
          <t>-40.63%</t>
        </is>
      </c>
      <c r="N519" s="3" t="n">
        <v>-40.63</v>
      </c>
      <c r="O519" t="n">
        <v>4.6</v>
      </c>
      <c r="P519" t="n">
        <v>77</v>
      </c>
      <c r="R519" t="inlineStr">
        <is>
          <t>OutOfStock</t>
        </is>
      </c>
      <c r="S519" t="inlineStr">
        <is>
          <t>41.99</t>
        </is>
      </c>
      <c r="T519" t="inlineStr">
        <is>
          <t>4695904944217</t>
        </is>
      </c>
    </row>
    <row r="520" hidden="1" ht="15.75" customHeight="1">
      <c r="A520" s="2">
        <f>HYPERLINK("https://www.shelhealth.com/products/856885200123-south-of-france-soap-bar-green-tea-6-oz", "https://www.shelhealth.com/products/856885200123-south-of-france-soap-bar-green-tea-6-oz")</f>
        <v/>
      </c>
      <c r="B520" s="2">
        <f>HYPERLINK("https://www.shelhealth.com/products/856885200123-south-of-france-soap-bar-green-tea-6-oz", "https://www.shelhealth.com/products/856885200123-south-of-france-soap-bar-green-tea-6-oz")</f>
        <v/>
      </c>
      <c r="C520" t="inlineStr">
        <is>
          <t>South Of France Soap Bar Green Tea, 6 Oz (Case of 4)</t>
        </is>
      </c>
      <c r="D520" t="inlineStr">
        <is>
          <t>South of France French Milled Bar Soap Green Tea - 6 oz by South Of France</t>
        </is>
      </c>
      <c r="E520" s="2">
        <f>HYPERLINK("https://www.amazon.com/South-France-French-Milled-Green/dp/B01KYQHVB0/ref=sr_1_3?keywords=South+Of+France+Soap+Bar+Green+Tea%2C+6+Oz+%28Case+of+4%29&amp;qid=1695170092&amp;sr=8-3", "https://www.amazon.com/South-France-French-Milled-Green/dp/B01KYQHVB0/ref=sr_1_3?keywords=South+Of+France+Soap+Bar+Green+Tea%2C+6+Oz+%28Case+of+4%29&amp;qid=1695170092&amp;sr=8-3")</f>
        <v/>
      </c>
      <c r="F520" t="inlineStr">
        <is>
          <t>B01KYQHVB0</t>
        </is>
      </c>
      <c r="G520">
        <f>_xludf.IMAGE("https://www.shelhealth.com/cdn/shop/files/south-of-france-soap-bar-green-tea-6-oz-case-4-beauty-body-care-shelhealth-818.jpg?v=1688533872&amp;width=1946")</f>
        <v/>
      </c>
      <c r="H520">
        <f>_xludf.IMAGE("https://m.media-amazon.com/images/I/41cGX+BSziL._AC_UL320_.jpg")</f>
        <v/>
      </c>
      <c r="K520" t="inlineStr">
        <is>
          <t>17.99</t>
        </is>
      </c>
      <c r="L520" t="n">
        <v>10.65</v>
      </c>
      <c r="M520" s="1" t="inlineStr">
        <is>
          <t>-40.80%</t>
        </is>
      </c>
      <c r="N520" s="3" t="n">
        <v>-40.8</v>
      </c>
      <c r="O520" t="n">
        <v>5</v>
      </c>
      <c r="P520" t="n">
        <v>1</v>
      </c>
      <c r="R520" t="inlineStr">
        <is>
          <t>InStock</t>
        </is>
      </c>
      <c r="S520" t="inlineStr">
        <is>
          <t>17.99</t>
        </is>
      </c>
      <c r="T520" t="inlineStr">
        <is>
          <t>7242004660412</t>
        </is>
      </c>
    </row>
    <row r="521" hidden="1" ht="15.75" customHeight="1">
      <c r="A521" s="2">
        <f>HYPERLINK("https://www.shelhealth.com/products/arm-and-hammer-disinfecting-wipes-440-count", "https://www.shelhealth.com/products/arm-and-hammer-disinfecting-wipes-440-count")</f>
        <v/>
      </c>
      <c r="B521" s="2">
        <f>HYPERLINK("https://www.shelhealth.com/products/arm-and-hammer-disinfecting-wipes-440-count", "https://www.shelhealth.com/products/arm-and-hammer-disinfecting-wipes-440-count")</f>
        <v/>
      </c>
      <c r="C521" t="inlineStr">
        <is>
          <t>Arm And Hammer Disinfecting Wipes, 440 Count</t>
        </is>
      </c>
      <c r="D521" t="inlineStr">
        <is>
          <t>Arm &amp; Hammer Essentials Disinfecting Wipes, Lemon Orchard and Renewing Rain Variety 110 Count (Pack of 4), Volcano</t>
        </is>
      </c>
      <c r="E521" s="2">
        <f>HYPERLINK("https://www.amazon.com/Essentials-Disinfecting-Orchard-Renewing-Variety/dp/B08ZYXWW7Q/ref=sr_1_2?keywords=Arm+And+Hammer+Disinfecting+Wipes%2C+440+Count&amp;qid=1695170044&amp;sr=8-2", "https://www.amazon.com/Essentials-Disinfecting-Orchard-Renewing-Variety/dp/B08ZYXWW7Q/ref=sr_1_2?keywords=Arm+And+Hammer+Disinfecting+Wipes%2C+440+Count&amp;qid=1695170044&amp;sr=8-2")</f>
        <v/>
      </c>
      <c r="F521" t="inlineStr">
        <is>
          <t>B08ZYXWW7Q</t>
        </is>
      </c>
      <c r="G521">
        <f>_xludf.IMAGE("https://www.shelhealth.com/cdn/shop/products/arm-and-hammer-disinfecting-wipes-440-count-shelhealth-250.jpg?v=1663658291&amp;width=1946")</f>
        <v/>
      </c>
      <c r="H521">
        <f>_xludf.IMAGE("https://m.media-amazon.com/images/I/61DSvFVhUDS._AC_UL320_.jpg")</f>
        <v/>
      </c>
      <c r="K521" t="inlineStr">
        <is>
          <t>34.99</t>
        </is>
      </c>
      <c r="L521" t="n">
        <v>20.59</v>
      </c>
      <c r="M521" s="1" t="inlineStr">
        <is>
          <t>-41.15%</t>
        </is>
      </c>
      <c r="N521" s="3" t="n">
        <v>-41.15</v>
      </c>
      <c r="O521" t="n">
        <v>4.7</v>
      </c>
      <c r="P521" t="n">
        <v>316</v>
      </c>
      <c r="R521" t="inlineStr">
        <is>
          <t>OutOfStock</t>
        </is>
      </c>
      <c r="S521" t="inlineStr">
        <is>
          <t>34.99</t>
        </is>
      </c>
      <c r="T521" t="inlineStr">
        <is>
          <t>6297326911676</t>
        </is>
      </c>
    </row>
    <row r="522" hidden="1" ht="15.75" customHeight="1">
      <c r="A522" s="2">
        <f>HYPERLINK("https://www.shelhealth.com/products/dove-go-fresh-cool-moisture-beauty-bar-16-ct-4-oz", "https://www.shelhealth.com/products/dove-go-fresh-cool-moisture-beauty-bar-16-ct-4-oz")</f>
        <v/>
      </c>
      <c r="B522" s="2">
        <f>HYPERLINK("https://www.shelhealth.com/products/dove-go-fresh-cool-moisture-beauty-bar-16-ct-4-oz", "https://www.shelhealth.com/products/dove-go-fresh-cool-moisture-beauty-bar-16-ct-4-oz")</f>
        <v/>
      </c>
      <c r="C522" t="inlineStr">
        <is>
          <t>Dove go fresh Cool Moisture Beauty Bar, 16 ct./4 oz.</t>
        </is>
      </c>
      <c r="D522" t="inlineStr">
        <is>
          <t>Dove Go Fresh Cool Moisture Beauty Bars, 4 oz bars, 2 ea (2 Pack)</t>
        </is>
      </c>
      <c r="E522" s="2">
        <f>HYPERLINK("https://www.amazon.com/Dove-Fresh-Cool-Moisture-Beauty/dp/B071QWH2XT/ref=sr_1_1?keywords=Dove+go+fresh+Cool+Moisture+Beauty+Bar%2C+16+ct.%2F4+oz.&amp;qid=1695170048&amp;sr=8-1", "https://www.amazon.com/Dove-Fresh-Cool-Moisture-Beauty/dp/B071QWH2XT/ref=sr_1_1?keywords=Dove+go+fresh+Cool+Moisture+Beauty+Bar%2C+16+ct.%2F4+oz.&amp;qid=1695170048&amp;sr=8-1")</f>
        <v/>
      </c>
      <c r="F522" t="inlineStr">
        <is>
          <t>B071QWH2XT</t>
        </is>
      </c>
      <c r="G522">
        <f>_xludf.IMAGE("https://www.shelhealth.com/cdn/shop/products/dove-go-fresh-cool-moisture-beauty-bar-16-ct-4-oz-shelhealth-272.jpg?v=1663354648&amp;width=1946")</f>
        <v/>
      </c>
      <c r="H522">
        <f>_xludf.IMAGE("https://m.media-amazon.com/images/I/71rVWvURkxL._AC_UL320_.jpg")</f>
        <v/>
      </c>
      <c r="K522" t="inlineStr">
        <is>
          <t>23.99</t>
        </is>
      </c>
      <c r="L522" t="n">
        <v>13.83</v>
      </c>
      <c r="M522" s="1" t="inlineStr">
        <is>
          <t>-42.35%</t>
        </is>
      </c>
      <c r="N522" s="3" t="n">
        <v>-42.35</v>
      </c>
      <c r="O522" t="n">
        <v>4.8</v>
      </c>
      <c r="P522" t="n">
        <v>5</v>
      </c>
      <c r="R522" t="inlineStr">
        <is>
          <t>InStock</t>
        </is>
      </c>
      <c r="S522" t="inlineStr">
        <is>
          <t>23.99</t>
        </is>
      </c>
      <c r="T522" t="inlineStr">
        <is>
          <t>4167686324276</t>
        </is>
      </c>
    </row>
    <row r="523" hidden="1" ht="15.75" customHeight="1">
      <c r="A523" s="2">
        <f>HYPERLINK("https://www.shelhealth.com/products/dr-jacobs-naturals-pure-castile-liquid-soap-unscented-natural-face-and-body-wash-32-oz-3-pack", "https://www.shelhealth.com/products/dr-jacobs-naturals-pure-castile-liquid-soap-unscented-natural-face-and-body-wash-32-oz-3-pack")</f>
        <v/>
      </c>
      <c r="B523" s="2">
        <f>HYPERLINK("https://www.shelhealth.com/products/dr-jacobs-naturals-pure-castile-liquid-soap-unscented-natural-face-and-body-wash-32-oz-3-pack", "https://www.shelhealth.com/products/dr-jacobs-naturals-pure-castile-liquid-soap-unscented-natural-face-and-body-wash-32-oz-3-pack")</f>
        <v/>
      </c>
      <c r="C523" t="inlineStr">
        <is>
          <t>Dr. Jacobs Naturals Pure Castile Liquid Soap, Unscented, Natural Face and Body Wash, 32 oz. (3 Pack)</t>
        </is>
      </c>
      <c r="D523" t="inlineStr">
        <is>
          <t>WHOLENATURALS Pure Castile Soap Liquid, EWG Verified &amp; Certified Palm Oil Free Unscented, Natural Soap, Mild &amp; Gentle Non-gmo &amp; Vegan - Organic Body Wash, Laundry, and Baby Soap (64 Fl Oz (Pack of 1))</t>
        </is>
      </c>
      <c r="E523" s="2">
        <f>HYPERLINK("https://www.amazon.com/WHOLENATURALS-Castile-Liquid-Verified-Certified/dp/B08Y9691J6/ref=sr_1_5?keywords=Dr.+Jacobs+Naturals+Pure+Castile+Liquid+Soap%2C+Unscented%2C+Natural+Face+and+Body+Wash%2C+32+oz.+%283+Pack%29&amp;qid=1695170138&amp;sr=8-5", "https://www.amazon.com/WHOLENATURALS-Castile-Liquid-Verified-Certified/dp/B08Y9691J6/ref=sr_1_5?keywords=Dr.+Jacobs+Naturals+Pure+Castile+Liquid+Soap%2C+Unscented%2C+Natural+Face+and+Body+Wash%2C+32+oz.+%283+Pack%29&amp;qid=1695170138&amp;sr=8-5")</f>
        <v/>
      </c>
      <c r="F523" t="inlineStr">
        <is>
          <t>B08Y9691J6</t>
        </is>
      </c>
      <c r="G523">
        <f>_xludf.IMAGE("https://www.shelhealth.com/cdn/shop/products/dr-jacobs-naturals-pure-castile-liquid-soap-unscented-natural-face-and-body-wash-32-oz-3-pack-shelhealth-749.jpg?v=1663373671&amp;width=1946")</f>
        <v/>
      </c>
      <c r="H523">
        <f>_xludf.IMAGE("https://m.media-amazon.com/images/I/717eHGxjq3L._AC_UL320_.jpg")</f>
        <v/>
      </c>
      <c r="K523" t="inlineStr">
        <is>
          <t>47.99</t>
        </is>
      </c>
      <c r="L523" t="n">
        <v>26.99</v>
      </c>
      <c r="M523" s="1" t="inlineStr">
        <is>
          <t>-43.76%</t>
        </is>
      </c>
      <c r="N523" s="3" t="n">
        <v>-43.76</v>
      </c>
      <c r="O523" t="n">
        <v>4.7</v>
      </c>
      <c r="P523" t="n">
        <v>5961</v>
      </c>
      <c r="R523" t="inlineStr">
        <is>
          <t>InStock</t>
        </is>
      </c>
      <c r="S523" t="inlineStr">
        <is>
          <t>47.99</t>
        </is>
      </c>
      <c r="T523" t="inlineStr">
        <is>
          <t>4708211032153</t>
        </is>
      </c>
    </row>
    <row r="524" hidden="1" ht="15.75" customHeight="1">
      <c r="A524" s="2">
        <f>HYPERLINK("https://www.shelhealth.com/products/wet-ones-antibacterial-wipes-5-pk-48-ct", "https://www.shelhealth.com/products/wet-ones-antibacterial-wipes-5-pk-48-ct")</f>
        <v/>
      </c>
      <c r="B524" s="2">
        <f>HYPERLINK("https://www.shelhealth.com/products/wet-ones-antibacterial-wipes-5-pk-48-ct", "https://www.shelhealth.com/products/wet-ones-antibacterial-wipes-5-pk-48-ct")</f>
        <v/>
      </c>
      <c r="C524" t="inlineStr">
        <is>
          <t>Wet Ones Antibacterial Wipes, 5 pk./48 ct.</t>
        </is>
      </c>
      <c r="D524" t="inlineStr">
        <is>
          <t>Wet Ones Antibacterial Eucalyptus &amp; Mint Hand Wipes, Canister| Antibacterial Wipes, Hand Sanitizer Wipes, Wet Ones Wipes, Soft Textured Wipes, Lightly Scented Wipes, 150 ct. (1 pack)</t>
        </is>
      </c>
      <c r="E524" s="2">
        <f>HYPERLINK("https://www.amazon.com/Wet-Ones-Antibacterial-Eucalyptus-Sanitizer/dp/B0BY3KT3HX/ref=sr_1_4?keywords=Wet+Ones+Antibacterial+Wipes%2C+5+pk.%2F48+ct.&amp;qid=1695170044&amp;sr=8-4", "https://www.amazon.com/Wet-Ones-Antibacterial-Eucalyptus-Sanitizer/dp/B0BY3KT3HX/ref=sr_1_4?keywords=Wet+Ones+Antibacterial+Wipes%2C+5+pk.%2F48+ct.&amp;qid=1695170044&amp;sr=8-4")</f>
        <v/>
      </c>
      <c r="F524" t="inlineStr">
        <is>
          <t>B0BY3KT3HX</t>
        </is>
      </c>
      <c r="G524">
        <f>_xludf.IMAGE("https://www.shelhealth.com/cdn/shop/products/wet-ones-antibacterial-wipes-5-pk-48-ct-shelhealth-907.jpg?v=1663352234&amp;width=1946")</f>
        <v/>
      </c>
      <c r="H524">
        <f>_xludf.IMAGE("https://m.media-amazon.com/images/I/61M6aCpUgwL._AC_UL320_.jpg")</f>
        <v/>
      </c>
      <c r="K524" t="inlineStr">
        <is>
          <t>19.99</t>
        </is>
      </c>
      <c r="L524" t="n">
        <v>10.99</v>
      </c>
      <c r="M524" s="1" t="inlineStr">
        <is>
          <t>-45.02%</t>
        </is>
      </c>
      <c r="N524" s="3" t="n">
        <v>-45.02</v>
      </c>
      <c r="O524" t="n">
        <v>4.8</v>
      </c>
      <c r="P524" t="n">
        <v>37</v>
      </c>
      <c r="R524" t="inlineStr">
        <is>
          <t>OutOfStock</t>
        </is>
      </c>
      <c r="S524" t="inlineStr">
        <is>
          <t>19.99</t>
        </is>
      </c>
      <c r="T524" t="inlineStr">
        <is>
          <t>4115774144564</t>
        </is>
      </c>
    </row>
    <row r="525" hidden="1" ht="15.75" customHeight="1">
      <c r="A525" s="2">
        <f>HYPERLINK("https://www.shelhealth.com/products/813424022745-acure-scrub-body-coffee-energzg-6-fo", "https://www.shelhealth.com/products/813424022745-acure-scrub-body-coffee-energzg-6-fo")</f>
        <v/>
      </c>
      <c r="B525" s="2">
        <f>HYPERLINK("https://www.shelhealth.com/products/813424022745-acure-scrub-body-coffee-energzg-6-fo", "https://www.shelhealth.com/products/813424022745-acure-scrub-body-coffee-energzg-6-fo")</f>
        <v/>
      </c>
      <c r="C525" t="inlineStr">
        <is>
          <t>ACURE Scrub Body Coffee Energzg, 6 fo</t>
        </is>
      </c>
      <c r="D525" t="inlineStr">
        <is>
          <t>Puresoak Bath Arabica Coffee Scrub Body Scrub Set Gift Spa Bath Scrub for Exfoliate &amp; Moisturize Body Skin Face, Hand, Foot Scrub Set Gifts For Women &amp; Men Spa Bath Set-10.6OZ Coffee Scrub &amp; Free Scrub Gloves</t>
        </is>
      </c>
      <c r="E525" s="2">
        <f>HYPERLINK("https://www.amazon.com/Puresoak-Arabica-Exfoliating-Exfoliate-Moisturize/dp/B09SYPPP5H/ref=sr_1_8?keywords=acure+scrub+body+coffee+energizag%2C+6+fo&amp;qid=1695170151&amp;sr=8-8", "https://www.amazon.com/Puresoak-Arabica-Exfoliating-Exfoliate-Moisturize/dp/B09SYPPP5H/ref=sr_1_8?keywords=acure+scrub+body+coffee+energizag%2C+6+fo&amp;qid=1695170151&amp;sr=8-8")</f>
        <v/>
      </c>
      <c r="F525" t="inlineStr">
        <is>
          <t>B09SYPPP5H</t>
        </is>
      </c>
      <c r="G525">
        <f>_xludf.IMAGE("https://www.shelhealth.com/cdn/shop/files/acure-scrub-body-coffee-energzg-6-fo-beauty-care-shelhealth-550.jpg?v=1686140719&amp;width=1946")</f>
        <v/>
      </c>
      <c r="H525">
        <f>_xludf.IMAGE("https://m.media-amazon.com/images/I/813NgBiSAkL._AC_UL320_.jpg")</f>
        <v/>
      </c>
      <c r="K525" t="inlineStr">
        <is>
          <t>16.99</t>
        </is>
      </c>
      <c r="L525" t="n">
        <v>8.99</v>
      </c>
      <c r="M525" s="1" t="inlineStr">
        <is>
          <t>-47.09%</t>
        </is>
      </c>
      <c r="N525" s="3" t="n">
        <v>-47.09</v>
      </c>
      <c r="O525" t="n">
        <v>4.2</v>
      </c>
      <c r="P525" t="n">
        <v>586</v>
      </c>
      <c r="R525" t="inlineStr">
        <is>
          <t>InStock</t>
        </is>
      </c>
      <c r="S525" t="inlineStr">
        <is>
          <t>16.99</t>
        </is>
      </c>
      <c r="T525" t="inlineStr">
        <is>
          <t>7573945909480</t>
        </is>
      </c>
    </row>
    <row r="526" hidden="1" ht="15.75" customHeight="1">
      <c r="A526" s="2">
        <f>HYPERLINK("https://www.shelhealth.com/products/755355200819-south-of-france-hand-wash-lavender-fields-8-oz", "https://www.shelhealth.com/products/755355200819-south-of-france-hand-wash-lavender-fields-8-oz")</f>
        <v/>
      </c>
      <c r="B526" s="2">
        <f>HYPERLINK("https://www.shelhealth.com/products/755355200819-south-of-france-hand-wash-lavender-fields-8-oz", "https://www.shelhealth.com/products/755355200819-south-of-france-hand-wash-lavender-fields-8-oz")</f>
        <v/>
      </c>
      <c r="C526" t="inlineStr">
        <is>
          <t>SOUTH OF FRANCE Hand Wash Lavender Fields, 8 oz (Case of 4)</t>
        </is>
      </c>
      <c r="D526" t="inlineStr">
        <is>
          <t>South of France Hand Wash Lavender Fields, 8 oz (Package May Vary)</t>
        </is>
      </c>
      <c r="E526" s="2">
        <f>HYPERLINK("https://www.amazon.com/Liquid-Lavender-Fields-South-France/dp/B00F39KKE4/ref=sr_1_1?keywords=SOUTH+OF+FRANCE+Hand+Wash+Lavender+Fields%2C+8+oz+%28Case+of+4%29&amp;qid=1695170083&amp;sr=8-1", "https://www.amazon.com/Liquid-Lavender-Fields-South-France/dp/B00F39KKE4/ref=sr_1_1?keywords=SOUTH+OF+FRANCE+Hand+Wash+Lavender+Fields%2C+8+oz+%28Case+of+4%29&amp;qid=1695170083&amp;sr=8-1")</f>
        <v/>
      </c>
      <c r="F526" t="inlineStr">
        <is>
          <t>B00F39KKE4</t>
        </is>
      </c>
      <c r="G526">
        <f>_xludf.IMAGE("https://www.shelhealth.com/cdn/shop/files/south-of-france-hand-wash-lavender-fields-8-oz-case-4-beauty-body-care-shelhealth-181.jpg?v=1686138361&amp;width=1946")</f>
        <v/>
      </c>
      <c r="H526">
        <f>_xludf.IMAGE("https://m.media-amazon.com/images/I/61WGPcd+owL._AC_UL320_.jpg")</f>
        <v/>
      </c>
      <c r="K526" t="inlineStr">
        <is>
          <t>16.99</t>
        </is>
      </c>
      <c r="L526" t="n">
        <v>8.76</v>
      </c>
      <c r="M526" s="1" t="inlineStr">
        <is>
          <t>-48.44%</t>
        </is>
      </c>
      <c r="N526" s="3" t="n">
        <v>-48.44</v>
      </c>
      <c r="O526" t="n">
        <v>4.2</v>
      </c>
      <c r="P526" t="n">
        <v>61</v>
      </c>
      <c r="R526" t="inlineStr">
        <is>
          <t>OutOfStock</t>
        </is>
      </c>
      <c r="S526" t="inlineStr">
        <is>
          <t>16.99</t>
        </is>
      </c>
      <c r="T526" t="inlineStr">
        <is>
          <t>7574301245672</t>
        </is>
      </c>
    </row>
    <row r="527" hidden="1" ht="15.75" customHeight="1">
      <c r="A527" s="2">
        <f>HYPERLINK("https://www.shelhealth.com/products/755355200819-south-of-france-hand-wash-lavender-fields-8-oz", "https://www.shelhealth.com/products/755355200819-south-of-france-hand-wash-lavender-fields-8-oz")</f>
        <v/>
      </c>
      <c r="B527" s="2">
        <f>HYPERLINK("https://www.shelhealth.com/products/755355200819-south-of-france-hand-wash-lavender-fields-8-oz", "https://www.shelhealth.com/products/755355200819-south-of-france-hand-wash-lavender-fields-8-oz")</f>
        <v/>
      </c>
      <c r="C527" t="inlineStr">
        <is>
          <t>SOUTH OF FRANCE Hand Wash Lavender Fields, 8 oz (Case of 4)</t>
        </is>
      </c>
      <c r="D527" t="inlineStr">
        <is>
          <t>South Of France Lavender Fields Hand Wash, 8 Fl Oz, 08568852008</t>
        </is>
      </c>
      <c r="E527" s="2">
        <f>HYPERLINK("https://www.amazon.com/SOUTH-FRANCE-Lavender-Fields-Pound/dp/B013FIZL6G/ref=sr_1_6?keywords=SOUTH+OF+FRANCE+Hand+Wash+Lavender+Fields%2C+8+oz+%28Case+of+4%29&amp;qid=1695170083&amp;sr=8-6", "https://www.amazon.com/SOUTH-FRANCE-Lavender-Fields-Pound/dp/B013FIZL6G/ref=sr_1_6?keywords=SOUTH+OF+FRANCE+Hand+Wash+Lavender+Fields%2C+8+oz+%28Case+of+4%29&amp;qid=1695170083&amp;sr=8-6")</f>
        <v/>
      </c>
      <c r="F527" t="inlineStr">
        <is>
          <t>B013FIZL6G</t>
        </is>
      </c>
      <c r="G527">
        <f>_xludf.IMAGE("https://www.shelhealth.com/cdn/shop/files/south-of-france-hand-wash-lavender-fields-8-oz-case-4-beauty-body-care-shelhealth-181.jpg?v=1686138361&amp;width=1946")</f>
        <v/>
      </c>
      <c r="H527">
        <f>_xludf.IMAGE("https://m.media-amazon.com/images/I/81sOGQoHfvL._AC_UL320_.jpg")</f>
        <v/>
      </c>
      <c r="K527" t="inlineStr">
        <is>
          <t>16.99</t>
        </is>
      </c>
      <c r="L527" t="n">
        <v>8.76</v>
      </c>
      <c r="M527" s="1" t="inlineStr">
        <is>
          <t>-48.44%</t>
        </is>
      </c>
      <c r="N527" s="3" t="n">
        <v>-48.44</v>
      </c>
      <c r="O527" t="n">
        <v>4.7</v>
      </c>
      <c r="P527" t="n">
        <v>5</v>
      </c>
      <c r="R527" t="inlineStr">
        <is>
          <t>OutOfStock</t>
        </is>
      </c>
      <c r="S527" t="inlineStr">
        <is>
          <t>16.99</t>
        </is>
      </c>
      <c r="T527" t="inlineStr">
        <is>
          <t>7574301245672</t>
        </is>
      </c>
    </row>
    <row r="528" hidden="1" ht="15.75" customHeight="1">
      <c r="A528" s="2">
        <f>HYPERLINK("https://www.shelhealth.com/products/moxe-premium-hand-sanitizer-32-oz", "https://www.shelhealth.com/products/moxe-premium-hand-sanitizer-32-oz")</f>
        <v/>
      </c>
      <c r="B528" s="2">
        <f>HYPERLINK("https://www.shelhealth.com/products/moxe-premium-hand-sanitizer-32-oz", "https://www.shelhealth.com/products/moxe-premium-hand-sanitizer-32-oz")</f>
        <v/>
      </c>
      <c r="C528" t="inlineStr">
        <is>
          <t>MOXE Premium Hand Sanitizer - 32 oz</t>
        </is>
      </c>
      <c r="D528" t="inlineStr">
        <is>
          <t>Hello Bello Hand Sanitizer Gel | Enriched with Aloe and Vitamin E | 32 FL Oz</t>
        </is>
      </c>
      <c r="E528" s="2">
        <f>HYPERLINK("https://www.amazon.com/Hello-Bello-Sanitizer-Enriched-Vitamin/dp/B0C78N1HXJ/ref=sr_1_3?keywords=MOXE+Premium+Hand+Sanitizer+-+32+oz&amp;qid=1695170051&amp;sr=8-3", "https://www.amazon.com/Hello-Bello-Sanitizer-Enriched-Vitamin/dp/B0C78N1HXJ/ref=sr_1_3?keywords=MOXE+Premium+Hand+Sanitizer+-+32+oz&amp;qid=1695170051&amp;sr=8-3")</f>
        <v/>
      </c>
      <c r="F528" t="inlineStr">
        <is>
          <t>B0C78N1HXJ</t>
        </is>
      </c>
      <c r="G528">
        <f>_xludf.IMAGE("https://www.shelhealth.com/cdn/shop/products/moxe-premium-hand-sanitizer-32-oz-shelhealth-931.jpg?v=1663370090&amp;width=1946")</f>
        <v/>
      </c>
      <c r="H528">
        <f>_xludf.IMAGE("https://m.media-amazon.com/images/I/61WNwJgvHqL._AC_UL320_.jpg")</f>
        <v/>
      </c>
      <c r="K528" t="inlineStr">
        <is>
          <t>16.99</t>
        </is>
      </c>
      <c r="L528" t="n">
        <v>8.630000000000001</v>
      </c>
      <c r="M528" s="1" t="inlineStr">
        <is>
          <t>-49.21%</t>
        </is>
      </c>
      <c r="N528" s="3" t="n">
        <v>-49.21</v>
      </c>
      <c r="O528" t="n">
        <v>3.6</v>
      </c>
      <c r="P528" t="n">
        <v>6</v>
      </c>
      <c r="R528" t="inlineStr">
        <is>
          <t>OutOfStock</t>
        </is>
      </c>
      <c r="S528" t="inlineStr">
        <is>
          <t>16.99</t>
        </is>
      </c>
      <c r="T528" t="inlineStr">
        <is>
          <t>4662811557977</t>
        </is>
      </c>
    </row>
    <row r="529" hidden="1" ht="15.75" customHeight="1">
      <c r="A529" s="2">
        <f>HYPERLINK("https://www.shelhealth.com/products/817252011247-a-la-maison-fresh-sea-salt-bar-soap-8-8-oz", "https://www.shelhealth.com/products/817252011247-a-la-maison-fresh-sea-salt-bar-soap-8-8-oz")</f>
        <v/>
      </c>
      <c r="B529" s="2">
        <f>HYPERLINK("https://www.shelhealth.com/products/817252011247-a-la-maison-fresh-sea-salt-bar-soap-8-8-oz", "https://www.shelhealth.com/products/817252011247-a-la-maison-fresh-sea-salt-bar-soap-8-8-oz")</f>
        <v/>
      </c>
      <c r="C529" t="inlineStr">
        <is>
          <t>A La Maison Fresh Sea Salt Bar Soap, 8.8 Oz (Case of 4)</t>
        </is>
      </c>
      <c r="D529" t="inlineStr">
        <is>
          <t>A LA MAISON Fresh Sea Salt Bar Soap - Triple French Milled Natural Moisturizing Hand Soap Bar (4 Bars of Soap, 3.5 oz)</t>
        </is>
      </c>
      <c r="E529" s="2">
        <f>HYPERLINK("https://www.amazon.com/MAISON-Triple-Natural-Moisturizing-Hydrating/dp/B00YFPOETE/ref=sr_1_3?keywords=A+La+Maison+Fresh+Sea+Salt+Bar+Soap%2C+8.8+Oz+%28Case+of+4%29&amp;qid=1695170082&amp;sr=8-3", "https://www.amazon.com/MAISON-Triple-Natural-Moisturizing-Hydrating/dp/B00YFPOETE/ref=sr_1_3?keywords=A+La+Maison+Fresh+Sea+Salt+Bar+Soap%2C+8.8+Oz+%28Case+of+4%29&amp;qid=1695170082&amp;sr=8-3")</f>
        <v/>
      </c>
      <c r="F529" t="inlineStr">
        <is>
          <t>B00YFPOETE</t>
        </is>
      </c>
      <c r="G529">
        <f>_xludf.IMAGE("https://www.shelhealth.com/cdn/shop/files/a-la-maison-fresh-sea-salt-bar-soap-8-oz-case-of-4-beauty-body-care-de-provence-shelhealth-981.jpg?v=1686520130&amp;width=1946")</f>
        <v/>
      </c>
      <c r="H529">
        <f>_xludf.IMAGE("https://m.media-amazon.com/images/I/91gklyiUIML._AC_UL320_.jpg")</f>
        <v/>
      </c>
      <c r="K529" t="inlineStr">
        <is>
          <t>21.99</t>
        </is>
      </c>
      <c r="L529" t="n">
        <v>10.99</v>
      </c>
      <c r="M529" s="1" t="inlineStr">
        <is>
          <t>-50.02%</t>
        </is>
      </c>
      <c r="N529" s="3" t="n">
        <v>-50.02</v>
      </c>
      <c r="O529" t="n">
        <v>4.6</v>
      </c>
      <c r="P529" t="n">
        <v>2612</v>
      </c>
      <c r="R529" t="inlineStr">
        <is>
          <t>InStock</t>
        </is>
      </c>
      <c r="S529" t="inlineStr">
        <is>
          <t>21.99</t>
        </is>
      </c>
      <c r="T529" t="inlineStr">
        <is>
          <t>7241412804796</t>
        </is>
      </c>
    </row>
    <row r="530" hidden="1" ht="15.75" customHeight="1">
      <c r="A530" s="2">
        <f>HYPERLINK("https://www.shelhealth.com/products/bask-clear-vinyl-disposable-gloves-100-gloves", "https://www.shelhealth.com/products/bask-clear-vinyl-disposable-gloves-100-gloves")</f>
        <v/>
      </c>
      <c r="B530" s="2">
        <f>HYPERLINK("https://www.shelhealth.com/products/bask-clear-vinyl-disposable-gloves-100-gloves", "https://www.shelhealth.com/products/bask-clear-vinyl-disposable-gloves-100-gloves")</f>
        <v/>
      </c>
      <c r="C530" t="inlineStr">
        <is>
          <t>Bask Clear Vinyl Disposable Gloves, 100 Gloves</t>
        </is>
      </c>
      <c r="D530" t="inlineStr">
        <is>
          <t>Mr Clean Disposable, Latex Free, Beaded Cuff Gloves, 100 Count Disp. Vinyl 100ct, One Size, Clear, Piece</t>
        </is>
      </c>
      <c r="E530" s="2">
        <f>HYPERLINK("https://www.amazon.com/Mr-Clean-243065-Disposable-Powdered/dp/B015GUILVI/ref=sr_1_1?keywords=Bask+Clear+Vinyl+Disposable+Gloves%2C+100+Gloves&amp;qid=1695170141&amp;sr=8-1", "https://www.amazon.com/Mr-Clean-243065-Disposable-Powdered/dp/B015GUILVI/ref=sr_1_1?keywords=Bask+Clear+Vinyl+Disposable+Gloves%2C+100+Gloves&amp;qid=1695170141&amp;sr=8-1")</f>
        <v/>
      </c>
      <c r="F530" t="inlineStr">
        <is>
          <t>B015GUILVI</t>
        </is>
      </c>
      <c r="G530">
        <f>_xludf.IMAGE("https://www.shelhealth.com/cdn/shop/products/bask-clear-vinyl-disposable-gloves-100-shelhealth-783.jpg?v=1663374232&amp;width=1946")</f>
        <v/>
      </c>
      <c r="H530">
        <f>_xludf.IMAGE("https://m.media-amazon.com/images/I/71IEDhhNnlL._AC_UL320_.jpg")</f>
        <v/>
      </c>
      <c r="K530" t="inlineStr">
        <is>
          <t>21.99</t>
        </is>
      </c>
      <c r="L530" t="n">
        <v>10.99</v>
      </c>
      <c r="M530" s="1" t="inlineStr">
        <is>
          <t>-50.02%</t>
        </is>
      </c>
      <c r="N530" s="3" t="n">
        <v>-50.02</v>
      </c>
      <c r="O530" t="n">
        <v>4.3</v>
      </c>
      <c r="P530" t="n">
        <v>199</v>
      </c>
      <c r="R530" t="inlineStr">
        <is>
          <t>InStock</t>
        </is>
      </c>
      <c r="S530" t="inlineStr">
        <is>
          <t>21.99</t>
        </is>
      </c>
      <c r="T530" t="inlineStr">
        <is>
          <t>4713271525465</t>
        </is>
      </c>
    </row>
    <row r="531" hidden="1" ht="15.75" customHeight="1">
      <c r="A531" s="2">
        <f>HYPERLINK("https://www.shelhealth.com/products/dr-jacobs-naturals-pure-castile-liquid-soap-unscented-natural-face-and-body-wash-32-oz-3-pack", "https://www.shelhealth.com/products/dr-jacobs-naturals-pure-castile-liquid-soap-unscented-natural-face-and-body-wash-32-oz-3-pack")</f>
        <v/>
      </c>
      <c r="B531" s="2">
        <f>HYPERLINK("https://www.shelhealth.com/products/dr-jacobs-naturals-pure-castile-liquid-soap-unscented-natural-face-and-body-wash-32-oz-3-pack", "https://www.shelhealth.com/products/dr-jacobs-naturals-pure-castile-liquid-soap-unscented-natural-face-and-body-wash-32-oz-3-pack")</f>
        <v/>
      </c>
      <c r="C531" t="inlineStr">
        <is>
          <t>Dr. Jacobs Naturals Pure Castile Liquid Soap, Unscented, Natural Face and Body Wash, 32 oz. (3 Pack)</t>
        </is>
      </c>
      <c r="D531" t="inlineStr">
        <is>
          <t>Dr Jacobs Naturals Pure Castile Liquid Soap Gel - Relaxing (Lavender, 32 oz with Pump) Made with Premium Organic Oils - Vegan, No Palm Oil, GMO Free - Concentrated, Multi-Purpose for Face, Body, Hair, Pets, Laundry and Dishes - Hypoallergenic and Dermatologist Approved</t>
        </is>
      </c>
      <c r="E531" s="2">
        <f>HYPERLINK("https://www.amazon.com/Jacobs-Naturals-Pure-Castile-Liquid/dp/B08129NLP3/ref=sr_1_3?keywords=Dr.+Jacobs+Naturals+Pure+Castile+Liquid+Soap%2C+Unscented%2C+Natural+Face+and+Body+Wash%2C+32+oz.+%283+Pack%29&amp;qid=1695170138&amp;sr=8-3", "https://www.amazon.com/Jacobs-Naturals-Pure-Castile-Liquid/dp/B08129NLP3/ref=sr_1_3?keywords=Dr.+Jacobs+Naturals+Pure+Castile+Liquid+Soap%2C+Unscented%2C+Natural+Face+and+Body+Wash%2C+32+oz.+%283+Pack%29&amp;qid=1695170138&amp;sr=8-3")</f>
        <v/>
      </c>
      <c r="F531" t="inlineStr">
        <is>
          <t>B08129NLP3</t>
        </is>
      </c>
      <c r="G531">
        <f>_xludf.IMAGE("https://www.shelhealth.com/cdn/shop/products/dr-jacobs-naturals-pure-castile-liquid-soap-unscented-natural-face-and-body-wash-32-oz-3-pack-shelhealth-749.jpg?v=1663373671&amp;width=1946")</f>
        <v/>
      </c>
      <c r="H531">
        <f>_xludf.IMAGE("https://m.media-amazon.com/images/I/51fqOVuHvjL._AC_UL320_.jpg")</f>
        <v/>
      </c>
      <c r="K531" t="inlineStr">
        <is>
          <t>47.99</t>
        </is>
      </c>
      <c r="L531" t="n">
        <v>23.95</v>
      </c>
      <c r="M531" s="1" t="inlineStr">
        <is>
          <t>-50.09%</t>
        </is>
      </c>
      <c r="N531" s="3" t="n">
        <v>-50.09</v>
      </c>
      <c r="O531" t="n">
        <v>4.4</v>
      </c>
      <c r="P531" t="n">
        <v>245</v>
      </c>
      <c r="R531" t="inlineStr">
        <is>
          <t>InStock</t>
        </is>
      </c>
      <c r="S531" t="inlineStr">
        <is>
          <t>47.99</t>
        </is>
      </c>
      <c r="T531" t="inlineStr">
        <is>
          <t>4708211032153</t>
        </is>
      </c>
    </row>
    <row r="532" hidden="1" ht="15.75" customHeight="1">
      <c r="A532" s="2">
        <f>HYPERLINK("https://www.shelhealth.com/products/856885200819-south-of-france-lavender-fields-hand-wash-8-oz", "https://www.shelhealth.com/products/856885200819-south-of-france-lavender-fields-hand-wash-8-oz")</f>
        <v/>
      </c>
      <c r="B532" s="2">
        <f>HYPERLINK("https://www.shelhealth.com/products/856885200819-south-of-france-lavender-fields-hand-wash-8-oz", "https://www.shelhealth.com/products/856885200819-south-of-france-lavender-fields-hand-wash-8-oz")</f>
        <v/>
      </c>
      <c r="C532" t="inlineStr">
        <is>
          <t>South Of France Lavender Fields Hand Wash, 8 Oz (Case of 4)</t>
        </is>
      </c>
      <c r="D532" t="inlineStr">
        <is>
          <t>South of France Hand Wash Lavender Fields, 8 oz (Package May Vary)</t>
        </is>
      </c>
      <c r="E532" s="2">
        <f>HYPERLINK("https://www.amazon.com/Liquid-Lavender-Fields-South-France/dp/B00F39KKE4/ref=sr_1_1?keywords=South+Of+France+Lavender+Fields+Hand+Wash%2C+8+Oz+%28Case+of+4%29&amp;qid=1695170058&amp;sr=8-1", "https://www.amazon.com/Liquid-Lavender-Fields-South-France/dp/B00F39KKE4/ref=sr_1_1?keywords=South+Of+France+Lavender+Fields+Hand+Wash%2C+8+Oz+%28Case+of+4%29&amp;qid=1695170058&amp;sr=8-1")</f>
        <v/>
      </c>
      <c r="F532" t="inlineStr">
        <is>
          <t>B00F39KKE4</t>
        </is>
      </c>
      <c r="G532">
        <f>_xludf.IMAGE("https://www.shelhealth.com/cdn/shop/files/south-of-france-lavender-fields-hand-wash-8-oz-case-4-beauty-body-care-shelhealth-857.jpg?v=1688533870&amp;width=1946")</f>
        <v/>
      </c>
      <c r="H532">
        <f>_xludf.IMAGE("https://m.media-amazon.com/images/I/61WGPcd+owL._AC_UL320_.jpg")</f>
        <v/>
      </c>
      <c r="K532" t="inlineStr">
        <is>
          <t>17.99</t>
        </is>
      </c>
      <c r="L532" t="n">
        <v>8.76</v>
      </c>
      <c r="M532" s="1" t="inlineStr">
        <is>
          <t>-51.31%</t>
        </is>
      </c>
      <c r="N532" s="3" t="n">
        <v>-51.31</v>
      </c>
      <c r="O532" t="n">
        <v>4.2</v>
      </c>
      <c r="P532" t="n">
        <v>61</v>
      </c>
      <c r="R532" t="inlineStr">
        <is>
          <t>InStock</t>
        </is>
      </c>
      <c r="S532" t="inlineStr">
        <is>
          <t>17.99</t>
        </is>
      </c>
      <c r="T532" t="inlineStr">
        <is>
          <t>7242004398268</t>
        </is>
      </c>
    </row>
    <row r="533" hidden="1" ht="15.75" customHeight="1">
      <c r="A533" s="2">
        <f>HYPERLINK("https://www.shelhealth.com/products/856885201984-south-of-france-hand-wash-foam-blooming-jasmine-8-oz", "https://www.shelhealth.com/products/856885201984-south-of-france-hand-wash-foam-blooming-jasmine-8-oz")</f>
        <v/>
      </c>
      <c r="B533" s="2">
        <f>HYPERLINK("https://www.shelhealth.com/products/856885201984-south-of-france-hand-wash-foam-blooming-jasmine-8-oz", "https://www.shelhealth.com/products/856885201984-south-of-france-hand-wash-foam-blooming-jasmine-8-oz")</f>
        <v/>
      </c>
      <c r="C533" t="inlineStr">
        <is>
          <t>South Of France Hand Wash Foam Blooming Jasmine, 8 Oz (Case of 4)</t>
        </is>
      </c>
      <c r="D533" t="inlineStr">
        <is>
          <t>South Of France Foaming Hand Wash With Hydrating Organic Agave Nectar &amp; Blooming Jasmine 8 Oz</t>
        </is>
      </c>
      <c r="E533" s="2">
        <f>HYPERLINK("https://www.amazon.com/South-France-Hand-Blooming-Jasmin/dp/B017E003WI/ref=sr_1_1?keywords=South+Of+France+Hand+Wash+Foam+Blooming+Jasmine%2C+8+Oz+%28Case+of+4%29&amp;qid=1695170061&amp;sr=8-1", "https://www.amazon.com/South-France-Hand-Blooming-Jasmin/dp/B017E003WI/ref=sr_1_1?keywords=South+Of+France+Hand+Wash+Foam+Blooming+Jasmine%2C+8+Oz+%28Case+of+4%29&amp;qid=1695170061&amp;sr=8-1")</f>
        <v/>
      </c>
      <c r="F533" t="inlineStr">
        <is>
          <t>B017E003WI</t>
        </is>
      </c>
      <c r="G533">
        <f>_xludf.IMAGE("https://www.shelhealth.com/cdn/shop/files/south-of-france-hand-wash-foam-blooming-jasmine-8-oz-case-4-beauty-body-care-shelhealth-581.jpg?v=1686202480&amp;width=1946")</f>
        <v/>
      </c>
      <c r="H533">
        <f>_xludf.IMAGE("https://m.media-amazon.com/images/I/61QtBtDmB-L._AC_UL320_.jpg")</f>
        <v/>
      </c>
      <c r="K533" t="inlineStr">
        <is>
          <t>17.99</t>
        </is>
      </c>
      <c r="L533" t="n">
        <v>8.76</v>
      </c>
      <c r="M533" s="1" t="inlineStr">
        <is>
          <t>-51.31%</t>
        </is>
      </c>
      <c r="N533" s="3" t="n">
        <v>-51.31</v>
      </c>
      <c r="O533" t="n">
        <v>4.7</v>
      </c>
      <c r="P533" t="n">
        <v>8</v>
      </c>
      <c r="R533" t="inlineStr">
        <is>
          <t>OutOfStock</t>
        </is>
      </c>
      <c r="S533" t="inlineStr">
        <is>
          <t>17.99</t>
        </is>
      </c>
      <c r="T533" t="inlineStr">
        <is>
          <t>7242004201660</t>
        </is>
      </c>
    </row>
    <row r="534" hidden="1" ht="15.75" customHeight="1">
      <c r="A534" s="2">
        <f>HYPERLINK("https://www.shelhealth.com/products/856885200819-south-of-france-lavender-fields-hand-wash-8-oz", "https://www.shelhealth.com/products/856885200819-south-of-france-lavender-fields-hand-wash-8-oz")</f>
        <v/>
      </c>
      <c r="B534" s="2">
        <f>HYPERLINK("https://www.shelhealth.com/products/856885200819-south-of-france-lavender-fields-hand-wash-8-oz", "https://www.shelhealth.com/products/856885200819-south-of-france-lavender-fields-hand-wash-8-oz")</f>
        <v/>
      </c>
      <c r="C534" t="inlineStr">
        <is>
          <t>South Of France Lavender Fields Hand Wash, 8 Oz (Case of 4)</t>
        </is>
      </c>
      <c r="D534" t="inlineStr">
        <is>
          <t>South Of France Lavender Fields Hand Wash, 8 Fl Oz, 08568852008</t>
        </is>
      </c>
      <c r="E534" s="2">
        <f>HYPERLINK("https://www.amazon.com/SOUTH-FRANCE-Lavender-Fields-Pound/dp/B013FIZL6G/ref=sr_1_7?keywords=South+Of+France+Lavender+Fields+Hand+Wash%2C+8+Oz+%28Case+of+4%29&amp;qid=1695170058&amp;sr=8-7", "https://www.amazon.com/SOUTH-FRANCE-Lavender-Fields-Pound/dp/B013FIZL6G/ref=sr_1_7?keywords=South+Of+France+Lavender+Fields+Hand+Wash%2C+8+Oz+%28Case+of+4%29&amp;qid=1695170058&amp;sr=8-7")</f>
        <v/>
      </c>
      <c r="F534" t="inlineStr">
        <is>
          <t>B013FIZL6G</t>
        </is>
      </c>
      <c r="G534">
        <f>_xludf.IMAGE("https://www.shelhealth.com/cdn/shop/files/south-of-france-lavender-fields-hand-wash-8-oz-case-4-beauty-body-care-shelhealth-857.jpg?v=1688533870&amp;width=1946")</f>
        <v/>
      </c>
      <c r="H534">
        <f>_xludf.IMAGE("https://m.media-amazon.com/images/I/81sOGQoHfvL._AC_UL320_.jpg")</f>
        <v/>
      </c>
      <c r="K534" t="inlineStr">
        <is>
          <t>17.99</t>
        </is>
      </c>
      <c r="L534" t="n">
        <v>8.76</v>
      </c>
      <c r="M534" s="1" t="inlineStr">
        <is>
          <t>-51.31%</t>
        </is>
      </c>
      <c r="N534" s="3" t="n">
        <v>-51.31</v>
      </c>
      <c r="O534" t="n">
        <v>4.7</v>
      </c>
      <c r="P534" t="n">
        <v>5</v>
      </c>
      <c r="R534" t="inlineStr">
        <is>
          <t>InStock</t>
        </is>
      </c>
      <c r="S534" t="inlineStr">
        <is>
          <t>17.99</t>
        </is>
      </c>
      <c r="T534" t="inlineStr">
        <is>
          <t>7242004398268</t>
        </is>
      </c>
    </row>
    <row r="535" hidden="1" ht="15.75" customHeight="1">
      <c r="A535" s="2">
        <f>HYPERLINK("https://www.shelhealth.com/products/856885200109-south-of-france-soap-bar-orange-blossom-honey-6-oz", "https://www.shelhealth.com/products/856885200109-south-of-france-soap-bar-orange-blossom-honey-6-oz")</f>
        <v/>
      </c>
      <c r="B535" s="2">
        <f>HYPERLINK("https://www.shelhealth.com/products/856885200109-south-of-france-soap-bar-orange-blossom-honey-6-oz", "https://www.shelhealth.com/products/856885200109-south-of-france-soap-bar-orange-blossom-honey-6-oz")</f>
        <v/>
      </c>
      <c r="C535" t="inlineStr">
        <is>
          <t>South Of France Soap Bar Orange Blossom Honey, 6 Oz (Case of 4)</t>
        </is>
      </c>
      <c r="D535" t="inlineStr">
        <is>
          <t>South of France Natural Bar Everyday Detox Soap, Orange Blossom Honey, 6 Ounce</t>
        </is>
      </c>
      <c r="E535" s="2">
        <f>HYPERLINK("https://www.amazon.com/South-France-Natural-Everyday-Blossom/dp/B00F39Q3SG/ref=sr_1_3?keywords=South+Of+France+Soap+Bar+Orange+Blossom+Honey%2C+6+Oz+%28Case+of+4%29&amp;qid=1695170113&amp;sr=8-3", "https://www.amazon.com/South-France-Natural-Everyday-Blossom/dp/B00F39Q3SG/ref=sr_1_3?keywords=South+Of+France+Soap+Bar+Orange+Blossom+Honey%2C+6+Oz+%28Case+of+4%29&amp;qid=1695170113&amp;sr=8-3")</f>
        <v/>
      </c>
      <c r="F535" t="inlineStr">
        <is>
          <t>B00F39Q3SG</t>
        </is>
      </c>
      <c r="G535">
        <f>_xludf.IMAGE("https://www.shelhealth.com/cdn/shop/files/south-of-france-soap-bar-orange-blossom-honey-6-oz-case-4-beauty-body-care-shelhealth-560.jpg?v=1688533636&amp;width=1946")</f>
        <v/>
      </c>
      <c r="H535">
        <f>_xludf.IMAGE("https://m.media-amazon.com/images/I/61HDLuU8XkL._AC_UL320_.jpg")</f>
        <v/>
      </c>
      <c r="K535" t="inlineStr">
        <is>
          <t>17.99</t>
        </is>
      </c>
      <c r="L535" t="n">
        <v>8.75</v>
      </c>
      <c r="M535" s="1" t="inlineStr">
        <is>
          <t>-51.36%</t>
        </is>
      </c>
      <c r="N535" s="3" t="n">
        <v>-51.36</v>
      </c>
      <c r="O535" t="n">
        <v>4</v>
      </c>
      <c r="P535" t="n">
        <v>45</v>
      </c>
      <c r="R535" t="inlineStr">
        <is>
          <t>InStock</t>
        </is>
      </c>
      <c r="S535" t="inlineStr">
        <is>
          <t>17.99</t>
        </is>
      </c>
      <c r="T535" t="inlineStr">
        <is>
          <t>7242004791484</t>
        </is>
      </c>
    </row>
    <row r="536" hidden="1" ht="15.75" customHeight="1">
      <c r="A536" s="2">
        <f>HYPERLINK("https://www.shelhealth.com/products/718334312132-desert-essence-soap-bar-island-mango-5-oz", "https://www.shelhealth.com/products/718334312132-desert-essence-soap-bar-island-mango-5-oz")</f>
        <v/>
      </c>
      <c r="B536" s="2">
        <f>HYPERLINK("https://www.shelhealth.com/products/718334312132-desert-essence-soap-bar-island-mango-5-oz", "https://www.shelhealth.com/products/718334312132-desert-essence-soap-bar-island-mango-5-oz")</f>
        <v/>
      </c>
      <c r="C536" t="inlineStr">
        <is>
          <t>Desert Essence Soap Bar Island Mango, 5 Oz (Case of 4)</t>
        </is>
      </c>
      <c r="D536" t="inlineStr">
        <is>
          <t>Desert Essence, Island Mango Soap Bar 5 oz. - Non-GMO - Gluten Free - Vegan - Cruelty Free - Sustainable Palm Oil -Mango Seed Butter &amp; Aloe - Softens &amp; Cleanses Skin - Tropical Mango Scent</t>
        </is>
      </c>
      <c r="E536" s="2">
        <f>HYPERLINK("https://www.amazon.com/Desert-Essence-Soap-Island-Mango/dp/B00NCYQJQU/ref=sr_1_2?keywords=Desert+Essence+Soap+Bar+Island+Mango%2C+5+Oz+%28Case+of+4%29&amp;qid=1695170086&amp;sr=8-2", "https://www.amazon.com/Desert-Essence-Soap-Island-Mango/dp/B00NCYQJQU/ref=sr_1_2?keywords=Desert+Essence+Soap+Bar+Island+Mango%2C+5+Oz+%28Case+of+4%29&amp;qid=1695170086&amp;sr=8-2")</f>
        <v/>
      </c>
      <c r="F536" t="inlineStr">
        <is>
          <t>B00NCYQJQU</t>
        </is>
      </c>
      <c r="G536">
        <f>_xludf.IMAGE("https://www.shelhealth.com/cdn/shop/files/desert-essence-soap-bar-island-mango-5-oz-case-of-4-beauty-body-care-shelhealth-855.jpg?v=1686195032&amp;width=1946")</f>
        <v/>
      </c>
      <c r="H536">
        <f>_xludf.IMAGE("https://m.media-amazon.com/images/I/81tjFFHg3TL._AC_UL320_.jpg")</f>
        <v/>
      </c>
      <c r="K536" t="inlineStr">
        <is>
          <t>17.99</t>
        </is>
      </c>
      <c r="L536" t="n">
        <v>8.710000000000001</v>
      </c>
      <c r="M536" s="1" t="inlineStr">
        <is>
          <t>-51.58%</t>
        </is>
      </c>
      <c r="N536" s="3" t="n">
        <v>-51.58</v>
      </c>
      <c r="O536" t="n">
        <v>4</v>
      </c>
      <c r="P536" t="n">
        <v>41</v>
      </c>
      <c r="R536" t="inlineStr">
        <is>
          <t>OutOfStock</t>
        </is>
      </c>
      <c r="S536" t="inlineStr">
        <is>
          <t>17.99</t>
        </is>
      </c>
      <c r="T536" t="inlineStr">
        <is>
          <t>7241592602812</t>
        </is>
      </c>
    </row>
    <row r="537" hidden="1" ht="15.75" customHeight="1">
      <c r="A537" s="2">
        <f>HYPERLINK("https://www.shelhealth.com/products/718334312118-desert-essence-soap-bar-lavender-5-oz", "https://www.shelhealth.com/products/718334312118-desert-essence-soap-bar-lavender-5-oz")</f>
        <v/>
      </c>
      <c r="B537" s="2">
        <f>HYPERLINK("https://www.shelhealth.com/products/718334312118-desert-essence-soap-bar-lavender-5-oz", "https://www.shelhealth.com/products/718334312118-desert-essence-soap-bar-lavender-5-oz")</f>
        <v/>
      </c>
      <c r="C537" t="inlineStr">
        <is>
          <t>Desert Essence Soap Bar Lavender, 5 Oz (Case of 4)</t>
        </is>
      </c>
      <c r="D537" t="inlineStr">
        <is>
          <t>Desert Essence, Island Mango Soap Bar 5 oz. - Non-GMO - Gluten Free - Vegan - Cruelty Free - Sustainable Palm Oil -Mango Seed Butter &amp; Aloe - Softens &amp; Cleanses Skin - Tropical Mango Scent</t>
        </is>
      </c>
      <c r="E537" s="2">
        <f>HYPERLINK("https://www.amazon.com/Desert-Essence-Soap-Island-Mango/dp/B00NCYQJQU/ref=sr_1_7?keywords=Desert+Essence+Soap+Bar+Lavender%2C+5+Oz+%28Case+of+4%29&amp;qid=1695170100&amp;sr=8-7", "https://www.amazon.com/Desert-Essence-Soap-Island-Mango/dp/B00NCYQJQU/ref=sr_1_7?keywords=Desert+Essence+Soap+Bar+Lavender%2C+5+Oz+%28Case+of+4%29&amp;qid=1695170100&amp;sr=8-7")</f>
        <v/>
      </c>
      <c r="F537" t="inlineStr">
        <is>
          <t>B00NCYQJQU</t>
        </is>
      </c>
      <c r="G537">
        <f>_xludf.IMAGE("https://www.shelhealth.com/cdn/shop/files/desert-essence-soap-bar-lavender-5-oz-case-of-4-beauty-body-care-shelhealth-466.jpg?v=1686195031&amp;width=1946")</f>
        <v/>
      </c>
      <c r="H537">
        <f>_xludf.IMAGE("https://m.media-amazon.com/images/I/81tjFFHg3TL._AC_UL320_.jpg")</f>
        <v/>
      </c>
      <c r="K537" t="inlineStr">
        <is>
          <t>17.99</t>
        </is>
      </c>
      <c r="L537" t="n">
        <v>8.710000000000001</v>
      </c>
      <c r="M537" s="1" t="inlineStr">
        <is>
          <t>-51.58%</t>
        </is>
      </c>
      <c r="N537" s="3" t="n">
        <v>-51.58</v>
      </c>
      <c r="O537" t="n">
        <v>4</v>
      </c>
      <c r="P537" t="n">
        <v>41</v>
      </c>
      <c r="R537" t="inlineStr">
        <is>
          <t>OutOfStock</t>
        </is>
      </c>
      <c r="S537" t="inlineStr">
        <is>
          <t>17.99</t>
        </is>
      </c>
      <c r="T537" t="inlineStr">
        <is>
          <t>7241592701116</t>
        </is>
      </c>
    </row>
    <row r="538" hidden="1" ht="15.75" customHeight="1">
      <c r="A538" s="2">
        <f>HYPERLINK("https://www.shelhealth.com/products/856885200147-south-of-france-soap-bar-climbing-wild-rose-6-oz", "https://www.shelhealth.com/products/856885200147-south-of-france-soap-bar-climbing-wild-rose-6-oz")</f>
        <v/>
      </c>
      <c r="B538" s="2">
        <f>HYPERLINK("https://www.shelhealth.com/products/856885200147-south-of-france-soap-bar-climbing-wild-rose-6-oz", "https://www.shelhealth.com/products/856885200147-south-of-france-soap-bar-climbing-wild-rose-6-oz")</f>
        <v/>
      </c>
      <c r="C538" t="inlineStr">
        <is>
          <t>South Of France Soap Bar Climbing Wild Rose, 6 Oz (Case of 4)</t>
        </is>
      </c>
      <c r="D538" t="inlineStr">
        <is>
          <t>South of France Bar Soap, Climbing Wild Rose, 6 Ounce</t>
        </is>
      </c>
      <c r="E538" s="2">
        <f>HYPERLINK("https://www.amazon.com/South-France-Soap-Climbing-Ounce/dp/B00FSSWSR2/ref=sr_1_3?keywords=South+Of+France+Soap+Bar+Climbing+Wild+Rose%2C+6+Oz+%28Case+of+4%29&amp;qid=1695170098&amp;sr=8-3", "https://www.amazon.com/South-France-Soap-Climbing-Ounce/dp/B00FSSWSR2/ref=sr_1_3?keywords=South+Of+France+Soap+Bar+Climbing+Wild+Rose%2C+6+Oz+%28Case+of+4%29&amp;qid=1695170098&amp;sr=8-3")</f>
        <v/>
      </c>
      <c r="F538" t="inlineStr">
        <is>
          <t>B00FSSWSR2</t>
        </is>
      </c>
      <c r="G538">
        <f>_xludf.IMAGE("https://www.shelhealth.com/cdn/shop/files/south-of-france-soap-bar-climbing-wild-rose-6-oz-case-4-beauty-body-care-shelhealth-867.jpg?v=1687416908&amp;width=1946")</f>
        <v/>
      </c>
      <c r="H538">
        <f>_xludf.IMAGE("https://m.media-amazon.com/images/I/611T+RC47qL._AC_UL320_.jpg")</f>
        <v/>
      </c>
      <c r="K538" t="inlineStr">
        <is>
          <t>17.99</t>
        </is>
      </c>
      <c r="L538" t="n">
        <v>8.630000000000001</v>
      </c>
      <c r="M538" s="1" t="inlineStr">
        <is>
          <t>-52.03%</t>
        </is>
      </c>
      <c r="N538" s="3" t="n">
        <v>-52.03</v>
      </c>
      <c r="O538" t="n">
        <v>4.2</v>
      </c>
      <c r="P538" t="n">
        <v>35</v>
      </c>
      <c r="R538" t="inlineStr">
        <is>
          <t>InStock</t>
        </is>
      </c>
      <c r="S538" t="inlineStr">
        <is>
          <t>17.99</t>
        </is>
      </c>
      <c r="T538" t="inlineStr">
        <is>
          <t>7242004529340</t>
        </is>
      </c>
    </row>
    <row r="539" hidden="1" ht="15.75" customHeight="1">
      <c r="A539" s="2">
        <f>HYPERLINK("https://www.shelhealth.com/products/817252010974-a-la-maison-fresh-sea-salt-bar-soap-4-bars-value-pack-14-oz", "https://www.shelhealth.com/products/817252010974-a-la-maison-fresh-sea-salt-bar-soap-4-bars-value-pack-14-oz")</f>
        <v/>
      </c>
      <c r="B539" s="2">
        <f>HYPERLINK("https://www.shelhealth.com/products/817252010974-a-la-maison-fresh-sea-salt-bar-soap-4-bars-value-pack-14-oz", "https://www.shelhealth.com/products/817252010974-a-la-maison-fresh-sea-salt-bar-soap-4-bars-value-pack-14-oz")</f>
        <v/>
      </c>
      <c r="C539" t="inlineStr">
        <is>
          <t>A La Maison Fresh Sea Salt Bar Soap 4 Bars Value Pack, 14 Oz (Case of 3)</t>
        </is>
      </c>
      <c r="D539" t="inlineStr">
        <is>
          <t>A LA MAISON Fresh Sea Salt Bar Soap - Triple French Milled Natural Moisturizing Hand Soap Bar (4 Bars of Soap, 3.5 oz)</t>
        </is>
      </c>
      <c r="E539" s="2">
        <f>HYPERLINK("https://www.amazon.com/MAISON-Triple-Natural-Moisturizing-Hydrating/dp/B00YFPOETE/ref=sr_1_2?keywords=A+La+Maison+Fresh+Sea+Salt+Bar+Soap+4+Bars+Value+Pack%2C+14+Oz+%28Case+of+3%29&amp;qid=1695170079&amp;sr=8-2", "https://www.amazon.com/MAISON-Triple-Natural-Moisturizing-Hydrating/dp/B00YFPOETE/ref=sr_1_2?keywords=A+La+Maison+Fresh+Sea+Salt+Bar+Soap+4+Bars+Value+Pack%2C+14+Oz+%28Case+of+3%29&amp;qid=1695170079&amp;sr=8-2")</f>
        <v/>
      </c>
      <c r="F539" t="inlineStr">
        <is>
          <t>B00YFPOETE</t>
        </is>
      </c>
      <c r="G539">
        <f>_xludf.IMAGE("https://www.shelhealth.com/cdn/shop/files/a-la-maison-fresh-sea-salt-bar-soap-4-bars-value-pack-14-oz-case-of-3-beauty-body-care-de-provence-shelhealth-754.jpg?v=1686520157&amp;width=1946")</f>
        <v/>
      </c>
      <c r="H539">
        <f>_xludf.IMAGE("https://m.media-amazon.com/images/I/91gklyiUIML._AC_UL320_.jpg")</f>
        <v/>
      </c>
      <c r="K539" t="inlineStr">
        <is>
          <t>22.99</t>
        </is>
      </c>
      <c r="L539" t="n">
        <v>10.99</v>
      </c>
      <c r="M539" s="1" t="inlineStr">
        <is>
          <t>-52.20%</t>
        </is>
      </c>
      <c r="N539" s="3" t="n">
        <v>-52.2</v>
      </c>
      <c r="O539" t="n">
        <v>4.6</v>
      </c>
      <c r="P539" t="n">
        <v>2612</v>
      </c>
      <c r="R539" t="inlineStr">
        <is>
          <t>InStock</t>
        </is>
      </c>
      <c r="S539" t="inlineStr">
        <is>
          <t>22.99</t>
        </is>
      </c>
      <c r="T539" t="inlineStr">
        <is>
          <t>7241412509884</t>
        </is>
      </c>
    </row>
    <row r="540" hidden="1" ht="15.75" customHeight="1">
      <c r="A540" s="2">
        <f>HYPERLINK("https://www.shelhealth.com/products/065743233856-live-clean-sanitizer-hand-with-aloe-8-oz", "https://www.shelhealth.com/products/065743233856-live-clean-sanitizer-hand-with-aloe-8-oz")</f>
        <v/>
      </c>
      <c r="B540" s="2">
        <f>HYPERLINK("https://www.shelhealth.com/products/065743233856-live-clean-sanitizer-hand-with-aloe-8-oz", "https://www.shelhealth.com/products/065743233856-live-clean-sanitizer-hand-with-aloe-8-oz")</f>
        <v/>
      </c>
      <c r="C540" t="inlineStr">
        <is>
          <t>Live Clean Sanitizer Hand With Aloe, 8 Oz (Case of 3)</t>
        </is>
      </c>
      <c r="D540" t="inlineStr">
        <is>
          <t>Live Clean, Hand Sanitizer with Aloe, 8 Fl Oz</t>
        </is>
      </c>
      <c r="E540" s="2">
        <f>HYPERLINK("https://www.amazon.com/Live-Clean-Hand-Sanitizer-Aloe/dp/B08DPKYN1W/ref=sr_1_1?keywords=Live+Clean+Sanitizer+Hand+With+Aloe%2C+8+Oz+%28Case+of+3%29&amp;qid=1695170113&amp;sr=8-1", "https://www.amazon.com/Live-Clean-Hand-Sanitizer-Aloe/dp/B08DPKYN1W/ref=sr_1_1?keywords=Live+Clean+Sanitizer+Hand+With+Aloe%2C+8+Oz+%28Case+of+3%29&amp;qid=1695170113&amp;sr=8-1")</f>
        <v/>
      </c>
      <c r="F540" t="inlineStr">
        <is>
          <t>B08DPKYN1W</t>
        </is>
      </c>
      <c r="G540">
        <f>_xludf.IMAGE("https://www.shelhealth.com/cdn/shop/files/live-clean-sanitizer-hand-with-aloe-8-oz-case-of-3-beauty-body-care-shelhealth-977.jpg?v=1686142250&amp;width=1946")</f>
        <v/>
      </c>
      <c r="H540">
        <f>_xludf.IMAGE("https://m.media-amazon.com/images/I/712cuBOU7eL._AC_UL320_.jpg")</f>
        <v/>
      </c>
      <c r="K540" t="inlineStr">
        <is>
          <t>20.99</t>
        </is>
      </c>
      <c r="L540" t="n">
        <v>10</v>
      </c>
      <c r="M540" s="1" t="inlineStr">
        <is>
          <t>-52.36%</t>
        </is>
      </c>
      <c r="N540" s="3" t="n">
        <v>-52.36</v>
      </c>
      <c r="O540" t="n">
        <v>4.7</v>
      </c>
      <c r="P540" t="n">
        <v>161</v>
      </c>
      <c r="R540" t="inlineStr">
        <is>
          <t>OutOfStock</t>
        </is>
      </c>
      <c r="S540" t="inlineStr">
        <is>
          <t>20.99</t>
        </is>
      </c>
      <c r="T540" t="inlineStr">
        <is>
          <t>7241791930556</t>
        </is>
      </c>
    </row>
    <row r="541" hidden="1" ht="15.75" customHeight="1">
      <c r="A541" s="2">
        <f>HYPERLINK("https://www.shelhealth.com/products/856885200185-south-of-france-blooming-jasmine-bar-soap-6-oz", "https://www.shelhealth.com/products/856885200185-south-of-france-blooming-jasmine-bar-soap-6-oz")</f>
        <v/>
      </c>
      <c r="B541" s="2">
        <f>HYPERLINK("https://www.shelhealth.com/products/856885200185-south-of-france-blooming-jasmine-bar-soap-6-oz", "https://www.shelhealth.com/products/856885200185-south-of-france-blooming-jasmine-bar-soap-6-oz")</f>
        <v/>
      </c>
      <c r="C541" t="inlineStr">
        <is>
          <t>South Of France Blooming Jasmine Bar Soap, 6 Oz (Case of 4)</t>
        </is>
      </c>
      <c r="D541" t="inlineStr">
        <is>
          <t>South of France Bar Soap, Blooming Jasmine, 6 Ounce</t>
        </is>
      </c>
      <c r="E541" s="2">
        <f>HYPERLINK("https://www.amazon.com/South-France-Blooming-Jasmine-Ounce/dp/B00FSORIQM/ref=sr_1_4?keywords=South+Of+France+Blooming+Jasmine+Bar+Soap%2C+6+Oz+%28Case+of+4%29&amp;qid=1695170102&amp;sr=8-4", "https://www.amazon.com/South-France-Blooming-Jasmine-Ounce/dp/B00FSORIQM/ref=sr_1_4?keywords=South+Of+France+Blooming+Jasmine+Bar+Soap%2C+6+Oz+%28Case+of+4%29&amp;qid=1695170102&amp;sr=8-4")</f>
        <v/>
      </c>
      <c r="F541" t="inlineStr">
        <is>
          <t>B00FSORIQM</t>
        </is>
      </c>
      <c r="G541">
        <f>_xludf.IMAGE("https://www.shelhealth.com/cdn/shop/files/south-of-france-blooming-jasmine-bar-soap-6-oz-case-4-beauty-body-care-shelhealth-852.jpg?v=1688533742&amp;width=1946")</f>
        <v/>
      </c>
      <c r="H541">
        <f>_xludf.IMAGE("https://m.media-amazon.com/images/I/61Zz-ZXUlOL._AC_UL320_.jpg")</f>
        <v/>
      </c>
      <c r="K541" t="inlineStr">
        <is>
          <t>17.99</t>
        </is>
      </c>
      <c r="L541" t="n">
        <v>8.390000000000001</v>
      </c>
      <c r="M541" s="1" t="inlineStr">
        <is>
          <t>-53.36%</t>
        </is>
      </c>
      <c r="N541" s="3" t="n">
        <v>-53.36</v>
      </c>
      <c r="O541" t="n">
        <v>4.2</v>
      </c>
      <c r="P541" t="n">
        <v>35</v>
      </c>
      <c r="R541" t="inlineStr">
        <is>
          <t>InStock</t>
        </is>
      </c>
      <c r="S541" t="inlineStr">
        <is>
          <t>17.99</t>
        </is>
      </c>
      <c r="T541" t="inlineStr">
        <is>
          <t>7242003611836</t>
        </is>
      </c>
    </row>
    <row r="542" hidden="1" ht="15.75" customHeight="1">
      <c r="A542" s="2">
        <f>HYPERLINK("https://www.shelhealth.com/products/856885200833-south-of-france-hand-wash-orange-blossom-honey-8-oz", "https://www.shelhealth.com/products/856885200833-south-of-france-hand-wash-orange-blossom-honey-8-oz")</f>
        <v/>
      </c>
      <c r="B542" s="2">
        <f>HYPERLINK("https://www.shelhealth.com/products/856885200833-south-of-france-hand-wash-orange-blossom-honey-8-oz", "https://www.shelhealth.com/products/856885200833-south-of-france-hand-wash-orange-blossom-honey-8-oz")</f>
        <v/>
      </c>
      <c r="C542" t="inlineStr">
        <is>
          <t>South Of France Hand Wash Orange Blossom Honey, 8 Oz (Case of 4)</t>
        </is>
      </c>
      <c r="D542" t="inlineStr">
        <is>
          <t>South Of France Orange Blossom Honey Hand Wash With Soothing Aloe Vera, 8 Fl Oz</t>
        </is>
      </c>
      <c r="E542" s="2">
        <f>HYPERLINK("https://www.amazon.com/South-France-Orange-Blossom-Honey/dp/B013TB3KSK/ref=sr_1_3?keywords=South+Of+France+Hand+Wash+Orange+Blossom+Honey%2C+8+Oz+%28Case+of+4%29&amp;qid=1695170057&amp;sr=8-3", "https://www.amazon.com/South-France-Orange-Blossom-Honey/dp/B013TB3KSK/ref=sr_1_3?keywords=South+Of+France+Hand+Wash+Orange+Blossom+Honey%2C+8+Oz+%28Case+of+4%29&amp;qid=1695170057&amp;sr=8-3")</f>
        <v/>
      </c>
      <c r="F542" t="inlineStr">
        <is>
          <t>B013TB3KSK</t>
        </is>
      </c>
      <c r="G542">
        <f>_xludf.IMAGE("https://www.shelhealth.com/cdn/shop/files/south-of-france-hand-wash-orange-blossom-honey-8-oz-case-4-beauty-body-care-shelhealth-727.jpg?v=1686481233&amp;width=1946")</f>
        <v/>
      </c>
      <c r="H542">
        <f>_xludf.IMAGE("https://m.media-amazon.com/images/I/61tYjAVTTaL._AC_UL320_.jpg")</f>
        <v/>
      </c>
      <c r="K542" t="inlineStr">
        <is>
          <t>17.99</t>
        </is>
      </c>
      <c r="L542" t="n">
        <v>8.35</v>
      </c>
      <c r="M542" s="1" t="inlineStr">
        <is>
          <t>-53.59%</t>
        </is>
      </c>
      <c r="N542" s="3" t="n">
        <v>-53.59</v>
      </c>
      <c r="O542" t="n">
        <v>4</v>
      </c>
      <c r="P542" t="n">
        <v>41</v>
      </c>
      <c r="R542" t="inlineStr">
        <is>
          <t>InStock</t>
        </is>
      </c>
      <c r="S542" t="inlineStr">
        <is>
          <t>17.99</t>
        </is>
      </c>
      <c r="T542" t="inlineStr">
        <is>
          <t>7242004365500</t>
        </is>
      </c>
    </row>
    <row r="543" hidden="1" ht="15.75" customHeight="1">
      <c r="A543" s="2">
        <f>HYPERLINK("https://www.shelhealth.com/products/bask-clear-vinyl-disposable-gloves-100-gloves", "https://www.shelhealth.com/products/bask-clear-vinyl-disposable-gloves-100-gloves")</f>
        <v/>
      </c>
      <c r="B543" s="2">
        <f>HYPERLINK("https://www.shelhealth.com/products/bask-clear-vinyl-disposable-gloves-100-gloves", "https://www.shelhealth.com/products/bask-clear-vinyl-disposable-gloves-100-gloves")</f>
        <v/>
      </c>
      <c r="C543" t="inlineStr">
        <is>
          <t>Bask Clear Vinyl Disposable Gloves, 100 Gloves</t>
        </is>
      </c>
      <c r="D543" t="inlineStr">
        <is>
          <t>Amozife Disposable Vinyl Gloves, 100 Pack Powder &amp; Latex Free Non Sterile Exam Gloves for Medical, Cooking &amp; Food Prep</t>
        </is>
      </c>
      <c r="E543" s="2">
        <f>HYPERLINK("https://www.amazon.com/Amozife-Disposable-100-Count-X-Large-Non-Sterile/dp/B0BC14D9P1/ref=sr_1_10?keywords=Bask+Clear+Vinyl+Disposable+Gloves%2C+100+Gloves&amp;qid=1695170141&amp;sr=8-10", "https://www.amazon.com/Amozife-Disposable-100-Count-X-Large-Non-Sterile/dp/B0BC14D9P1/ref=sr_1_10?keywords=Bask+Clear+Vinyl+Disposable+Gloves%2C+100+Gloves&amp;qid=1695170141&amp;sr=8-10")</f>
        <v/>
      </c>
      <c r="F543" t="inlineStr">
        <is>
          <t>B0BC14D9P1</t>
        </is>
      </c>
      <c r="G543">
        <f>_xludf.IMAGE("https://www.shelhealth.com/cdn/shop/products/bask-clear-vinyl-disposable-gloves-100-shelhealth-783.jpg?v=1663374232&amp;width=1946")</f>
        <v/>
      </c>
      <c r="H543">
        <f>_xludf.IMAGE("https://m.media-amazon.com/images/I/61zL8Oy17qL._AC_UL320_.jpg")</f>
        <v/>
      </c>
      <c r="K543" t="inlineStr">
        <is>
          <t>21.99</t>
        </is>
      </c>
      <c r="L543" t="n">
        <v>9.99</v>
      </c>
      <c r="M543" s="1" t="inlineStr">
        <is>
          <t>-54.57%</t>
        </is>
      </c>
      <c r="N543" s="3" t="n">
        <v>-54.57</v>
      </c>
      <c r="O543" t="n">
        <v>4.3</v>
      </c>
      <c r="P543" t="n">
        <v>37</v>
      </c>
      <c r="R543" t="inlineStr">
        <is>
          <t>InStock</t>
        </is>
      </c>
      <c r="S543" t="inlineStr">
        <is>
          <t>21.99</t>
        </is>
      </c>
      <c r="T543" t="inlineStr">
        <is>
          <t>4713271525465</t>
        </is>
      </c>
    </row>
    <row r="544" hidden="1" ht="15.75" customHeight="1">
      <c r="A544" s="2">
        <f>HYPERLINK("https://www.shelhealth.com/products/fltr-general-use-face-mask-50-masks", "https://www.shelhealth.com/products/fltr-general-use-face-mask-50-masks")</f>
        <v/>
      </c>
      <c r="B544" s="2">
        <f>HYPERLINK("https://www.shelhealth.com/products/fltr-general-use-face-mask-50-masks", "https://www.shelhealth.com/products/fltr-general-use-face-mask-50-masks")</f>
        <v/>
      </c>
      <c r="C544" t="inlineStr">
        <is>
          <t>FLTR General Use Face Mask, 50 Masks</t>
        </is>
      </c>
      <c r="D544" t="inlineStr">
        <is>
          <t>FLTR General Use Face Mask, Black, 75 Count 75 Count (Pack of 1)</t>
        </is>
      </c>
      <c r="E544" s="2">
        <f>HYPERLINK("https://www.amazon.com/FLTR-General-Face-Black-Count/dp/B0B653ZK61/ref=sr_1_2?keywords=FLTR+General+Use+Face+Mask%2C+50+Masks&amp;qid=1695170044&amp;sr=8-2", "https://www.amazon.com/FLTR-General-Face-Black-Count/dp/B0B653ZK61/ref=sr_1_2?keywords=FLTR+General+Use+Face+Mask%2C+50+Masks&amp;qid=1695170044&amp;sr=8-2")</f>
        <v/>
      </c>
      <c r="F544" t="inlineStr">
        <is>
          <t>B0B653ZK61</t>
        </is>
      </c>
      <c r="G544">
        <f>_xludf.IMAGE("https://www.shelhealth.com/cdn/shop/products/fltr-general-use-face-mask-50-masks-shelhealth-717.jpg?v=1663657980&amp;width=1946")</f>
        <v/>
      </c>
      <c r="H544">
        <f>_xludf.IMAGE("https://m.media-amazon.com/images/I/81x7NEaMpRL._AC_UY218_.jpg")</f>
        <v/>
      </c>
      <c r="K544" t="inlineStr">
        <is>
          <t>15.99</t>
        </is>
      </c>
      <c r="L544" t="n">
        <v>6.99</v>
      </c>
      <c r="M544" s="1" t="inlineStr">
        <is>
          <t>-56.29%</t>
        </is>
      </c>
      <c r="N544" s="3" t="n">
        <v>-56.29</v>
      </c>
      <c r="O544" t="n">
        <v>4.4</v>
      </c>
      <c r="P544" t="n">
        <v>1343</v>
      </c>
      <c r="R544" t="inlineStr">
        <is>
          <t>OutOfStock</t>
        </is>
      </c>
      <c r="S544" t="inlineStr">
        <is>
          <t>15.99</t>
        </is>
      </c>
      <c r="T544" t="inlineStr">
        <is>
          <t>6083727917244</t>
        </is>
      </c>
    </row>
    <row r="545" hidden="1" ht="15.75" customHeight="1">
      <c r="A545" s="2">
        <f>HYPERLINK("https://www.shelhealth.com/products/irish-spring-deodorant-soap-original-scent-20-ct", "https://www.shelhealth.com/products/irish-spring-deodorant-soap-original-scent-20-ct")</f>
        <v/>
      </c>
      <c r="B545" s="2">
        <f>HYPERLINK("https://www.shelhealth.com/products/irish-spring-deodorant-soap-original-scent-20-ct", "https://www.shelhealth.com/products/irish-spring-deodorant-soap-original-scent-20-ct")</f>
        <v/>
      </c>
      <c r="C545" t="inlineStr">
        <is>
          <t>Irish Spring Deodorant Soap Original Scent - 20 ct</t>
        </is>
      </c>
      <c r="D545" t="inlineStr">
        <is>
          <t>(PACK OF 3 BARS) Irish Spring ORIGINAL SCENT Bar Soap for Men&amp; Women. 12-HOUR ODOR / DEODORANT PROTECTION! For Healthy Feeling Skin. Great for Hands, Face &amp; Body! (3 Bars, 3.75oz Each Bar)</t>
        </is>
      </c>
      <c r="E545" s="2">
        <f>HYPERLINK("https://www.amazon.com/Irish-Spring-ORIGINAL-DEODORANT-PROTECTION/dp/B019S3IGM8/ref=sr_1_6?keywords=Irish+Spring+Deodorant+Soap+Original+Scent+-+20+ct&amp;qid=1695170040&amp;sr=8-6", "https://www.amazon.com/Irish-Spring-ORIGINAL-DEODORANT-PROTECTION/dp/B019S3IGM8/ref=sr_1_6?keywords=Irish+Spring+Deodorant+Soap+Original+Scent+-+20+ct&amp;qid=1695170040&amp;sr=8-6")</f>
        <v/>
      </c>
      <c r="F545" t="inlineStr">
        <is>
          <t>B019S3IGM8</t>
        </is>
      </c>
      <c r="G545">
        <f>_xludf.IMAGE("https://www.shelhealth.com/cdn/shop/products/irish-spring-deodorant-soap-original-scent-20-ct-shelhealth-168.jpg?v=1663338562&amp;width=1946")</f>
        <v/>
      </c>
      <c r="H545">
        <f>_xludf.IMAGE("https://m.media-amazon.com/images/I/81+2AyKig+L._AC_UL320_.jpg")</f>
        <v/>
      </c>
      <c r="K545" t="inlineStr">
        <is>
          <t>14.99</t>
        </is>
      </c>
      <c r="L545" t="n">
        <v>6.54</v>
      </c>
      <c r="M545" s="1" t="inlineStr">
        <is>
          <t>-56.37%</t>
        </is>
      </c>
      <c r="N545" s="3" t="n">
        <v>-56.37</v>
      </c>
      <c r="O545" t="n">
        <v>4.4</v>
      </c>
      <c r="P545" t="n">
        <v>545</v>
      </c>
      <c r="R545" t="inlineStr">
        <is>
          <t>OutOfStock</t>
        </is>
      </c>
      <c r="S545" t="inlineStr">
        <is>
          <t>14.99</t>
        </is>
      </c>
      <c r="T545" t="inlineStr">
        <is>
          <t>3785919627316</t>
        </is>
      </c>
    </row>
    <row r="546" hidden="1" ht="15.75" customHeight="1">
      <c r="A546" s="2">
        <f>HYPERLINK("https://www.shelhealth.com/products/718334312071-desert-essence-soap-bar-peppermint-5-oz", "https://www.shelhealth.com/products/718334312071-desert-essence-soap-bar-peppermint-5-oz")</f>
        <v/>
      </c>
      <c r="B546" s="2">
        <f>HYPERLINK("https://www.shelhealth.com/products/718334312071-desert-essence-soap-bar-peppermint-5-oz", "https://www.shelhealth.com/products/718334312071-desert-essence-soap-bar-peppermint-5-oz")</f>
        <v/>
      </c>
      <c r="C546" t="inlineStr">
        <is>
          <t>Desert Essence Soap Bar Peppermint, 5 Oz (Case of 4)</t>
        </is>
      </c>
      <c r="D546" t="inlineStr">
        <is>
          <t>Desert Essence, Island Mango Soap Bar 5 oz. - Non-GMO - Gluten Free - Vegan - Cruelty Free - Sustainable Palm Oil -Mango Seed Butter &amp; Aloe - Softens &amp; Cleanses Skin - Tropical Mango Scent</t>
        </is>
      </c>
      <c r="E546" s="2">
        <f>HYPERLINK("https://www.amazon.com/Desert-Essence-Soap-Island-Mango/dp/B00NCYQJQU/ref=sr_1_5?keywords=Desert+Essence+Soap+Bar+Peppermint%2C+5+Oz+%28Case+of+4%29&amp;qid=1695170081&amp;sr=8-5", "https://www.amazon.com/Desert-Essence-Soap-Island-Mango/dp/B00NCYQJQU/ref=sr_1_5?keywords=Desert+Essence+Soap+Bar+Peppermint%2C+5+Oz+%28Case+of+4%29&amp;qid=1695170081&amp;sr=8-5")</f>
        <v/>
      </c>
      <c r="F546" t="inlineStr">
        <is>
          <t>B00NCYQJQU</t>
        </is>
      </c>
      <c r="G546">
        <f>_xludf.IMAGE("https://www.shelhealth.com/cdn/shop/files/desert-essence-soap-bar-peppermint-5-oz-case-of-4-beauty-body-care-shelhealth-198.jpg?v=1686525269&amp;width=1946")</f>
        <v/>
      </c>
      <c r="H546">
        <f>_xludf.IMAGE("https://m.media-amazon.com/images/I/81tjFFHg3TL._AC_UL320_.jpg")</f>
        <v/>
      </c>
      <c r="K546" t="inlineStr">
        <is>
          <t>19.99</t>
        </is>
      </c>
      <c r="L546" t="n">
        <v>8.710000000000001</v>
      </c>
      <c r="M546" s="1" t="inlineStr">
        <is>
          <t>-56.43%</t>
        </is>
      </c>
      <c r="N546" s="3" t="n">
        <v>-56.43</v>
      </c>
      <c r="O546" t="n">
        <v>4</v>
      </c>
      <c r="P546" t="n">
        <v>41</v>
      </c>
      <c r="R546" t="inlineStr">
        <is>
          <t>InStock</t>
        </is>
      </c>
      <c r="S546" t="inlineStr">
        <is>
          <t>19.99</t>
        </is>
      </c>
      <c r="T546" t="inlineStr">
        <is>
          <t>7241592930492</t>
        </is>
      </c>
    </row>
    <row r="547" hidden="1" ht="15.75" customHeight="1">
      <c r="A547" s="2">
        <f>HYPERLINK("https://www.shelhealth.com/products/718334312088-desert-essence-soap-bar-lemongrass-5-oz", "https://www.shelhealth.com/products/718334312088-desert-essence-soap-bar-lemongrass-5-oz")</f>
        <v/>
      </c>
      <c r="B547" s="2">
        <f>HYPERLINK("https://www.shelhealth.com/products/718334312088-desert-essence-soap-bar-lemongrass-5-oz", "https://www.shelhealth.com/products/718334312088-desert-essence-soap-bar-lemongrass-5-oz")</f>
        <v/>
      </c>
      <c r="C547" t="inlineStr">
        <is>
          <t>Desert Essence Soap Bar Lemongrass, 5 Oz (Case of 4)</t>
        </is>
      </c>
      <c r="D547" t="inlineStr">
        <is>
          <t>Desert Essence, Island Mango Soap Bar 5 oz. - Non-GMO - Gluten Free - Vegan - Cruelty Free - Sustainable Palm Oil -Mango Seed Butter &amp; Aloe - Softens &amp; Cleanses Skin - Tropical Mango Scent</t>
        </is>
      </c>
      <c r="E547" s="2">
        <f>HYPERLINK("https://www.amazon.com/Desert-Essence-Soap-Island-Mango/dp/B00NCYQJQU/ref=sr_1_6?keywords=Desert+Essence+Soap+Bar+Lemongrass%2C+5+Oz+%28Case+of+4%29&amp;qid=1695170087&amp;sr=8-6", "https://www.amazon.com/Desert-Essence-Soap-Island-Mango/dp/B00NCYQJQU/ref=sr_1_6?keywords=Desert+Essence+Soap+Bar+Lemongrass%2C+5+Oz+%28Case+of+4%29&amp;qid=1695170087&amp;sr=8-6")</f>
        <v/>
      </c>
      <c r="F547" t="inlineStr">
        <is>
          <t>B00NCYQJQU</t>
        </is>
      </c>
      <c r="G547">
        <f>_xludf.IMAGE("https://www.shelhealth.com/cdn/shop/files/desert-essence-soap-bar-lemongrass-5-oz-case-of-4-beauty-body-care-shelhealth-683.jpg?v=1686525266&amp;width=1946")</f>
        <v/>
      </c>
      <c r="H547">
        <f>_xludf.IMAGE("https://m.media-amazon.com/images/I/81tjFFHg3TL._AC_UL320_.jpg")</f>
        <v/>
      </c>
      <c r="K547" t="inlineStr">
        <is>
          <t>19.99</t>
        </is>
      </c>
      <c r="L547" t="n">
        <v>8.710000000000001</v>
      </c>
      <c r="M547" s="1" t="inlineStr">
        <is>
          <t>-56.43%</t>
        </is>
      </c>
      <c r="N547" s="3" t="n">
        <v>-56.43</v>
      </c>
      <c r="O547" t="n">
        <v>4</v>
      </c>
      <c r="P547" t="n">
        <v>41</v>
      </c>
      <c r="R547" t="inlineStr">
        <is>
          <t>InStock</t>
        </is>
      </c>
      <c r="S547" t="inlineStr">
        <is>
          <t>19.99</t>
        </is>
      </c>
      <c r="T547" t="inlineStr">
        <is>
          <t>7241592799420</t>
        </is>
      </c>
    </row>
    <row r="548" hidden="1" ht="15.75" customHeight="1">
      <c r="A548" s="2">
        <f>HYPERLINK("https://www.shelhealth.com/products/81738373055-shikai-very-clean-liquid-hand-soap-banana-12-oz", "https://www.shelhealth.com/products/81738373055-shikai-very-clean-liquid-hand-soap-banana-12-oz")</f>
        <v/>
      </c>
      <c r="B548" s="2">
        <f>HYPERLINK("https://www.shelhealth.com/products/81738373055-shikai-very-clean-liquid-hand-soap-banana-12-oz", "https://www.shelhealth.com/products/81738373055-shikai-very-clean-liquid-hand-soap-banana-12-oz")</f>
        <v/>
      </c>
      <c r="C548" t="inlineStr">
        <is>
          <t>SHIKAI Very Clean Liquid Hand Soap Banana, 12 oz (Case of 4)</t>
        </is>
      </c>
      <c r="D548" t="inlineStr">
        <is>
          <t>ShiKai - Very Clean Liquid Hand Soap, Removes Tough Grease &amp; Dirt Yet Very Gentle On Hands, Won't Dry Out Hands, Mild Enough For The Whole Family (Banana, 12 oz)</t>
        </is>
      </c>
      <c r="E548" s="2">
        <f>HYPERLINK("https://www.amazon.com/ShiKai-Liquid-Removes-Grease-Gentle/dp/B08MQRB5BS/ref=sr_1_1?keywords=SHIKAI+Very+Clean+Liquid+Hand+Soap+Banana%2C+12+oz+%28Case+of+4%29&amp;qid=1695170127&amp;sr=8-1", "https://www.amazon.com/ShiKai-Liquid-Removes-Grease-Gentle/dp/B08MQRB5BS/ref=sr_1_1?keywords=SHIKAI+Very+Clean+Liquid+Hand+Soap+Banana%2C+12+oz+%28Case+of+4%29&amp;qid=1695170127&amp;sr=8-1")</f>
        <v/>
      </c>
      <c r="F548" t="inlineStr">
        <is>
          <t>B08MQRB5BS</t>
        </is>
      </c>
      <c r="G548">
        <f>_xludf.IMAGE("https://www.shelhealth.com/cdn/shop/files/shikai-very-clean-liquid-hand-soap-banana-12-oz-case-of-4-bath-body-shelhealth-803.jpg?v=1686224825&amp;width=1946")</f>
        <v/>
      </c>
      <c r="H548">
        <f>_xludf.IMAGE("https://m.media-amazon.com/images/I/610LB9dFSaL._AC_UL320_.jpg")</f>
        <v/>
      </c>
      <c r="K548" t="inlineStr">
        <is>
          <t>25.99</t>
        </is>
      </c>
      <c r="L548" t="n">
        <v>11.08</v>
      </c>
      <c r="M548" s="1" t="inlineStr">
        <is>
          <t>-57.37%</t>
        </is>
      </c>
      <c r="N548" s="3" t="n">
        <v>-57.37</v>
      </c>
      <c r="O548" t="n">
        <v>4.4</v>
      </c>
      <c r="P548" t="n">
        <v>14</v>
      </c>
      <c r="R548" t="inlineStr">
        <is>
          <t>OutOfStock</t>
        </is>
      </c>
      <c r="S548" t="inlineStr">
        <is>
          <t>25.99</t>
        </is>
      </c>
      <c r="T548" t="inlineStr">
        <is>
          <t>7574289645800</t>
        </is>
      </c>
    </row>
    <row r="549" hidden="1" ht="15.75" customHeight="1">
      <c r="A549" s="2">
        <f>HYPERLINK("https://www.shelhealth.com/products/a-care-3-layer-ear-loop-disposable-face-mask-50-pcs", "https://www.shelhealth.com/products/a-care-3-layer-ear-loop-disposable-face-mask-50-pcs")</f>
        <v/>
      </c>
      <c r="B549" s="2">
        <f>HYPERLINK("https://www.shelhealth.com/products/a-care-3-layer-ear-loop-disposable-face-mask-50-pcs", "https://www.shelhealth.com/products/a-care-3-layer-ear-loop-disposable-face-mask-50-pcs")</f>
        <v/>
      </c>
      <c r="C549" t="inlineStr">
        <is>
          <t>A Care 3-Layer Ear Loop Disposable Face Mask, 50 Pcs.</t>
        </is>
      </c>
      <c r="D549" t="inlineStr">
        <is>
          <t>4-Ply Breathable Multi-Color Layer Kids Disposable Face Mask - Made in USA -Highest Protection with Comfortable Elastic Ear Loop| For Travel, Offices, Business and Personal Care - Red + Blue (50 PCS)</t>
        </is>
      </c>
      <c r="E549" s="2">
        <f>HYPERLINK("https://www.amazon.com/4-Ply-Breathable-Multi-Color-Layer-Disposable/dp/B08PMSX57J/ref=sr_1_1?keywords=A+Care+3-Layer+Ear+Loop+Disposable+Face+Mask%2C+50+Pcs.&amp;qid=1695170045&amp;sr=8-1", "https://www.amazon.com/4-Ply-Breathable-Multi-Color-Layer-Disposable/dp/B08PMSX57J/ref=sr_1_1?keywords=A+Care+3-Layer+Ear+Loop+Disposable+Face+Mask%2C+50+Pcs.&amp;qid=1695170045&amp;sr=8-1")</f>
        <v/>
      </c>
      <c r="F549" t="inlineStr">
        <is>
          <t>B08PMSX57J</t>
        </is>
      </c>
      <c r="G549">
        <f>_xludf.IMAGE("https://www.shelhealth.com/cdn/shop/products/a-care-3-layer-ear-loop-disposable-face-mask-50-pcs-shelhealth-812.jpg?v=1663372428&amp;width=1946")</f>
        <v/>
      </c>
      <c r="H549">
        <f>_xludf.IMAGE("https://m.media-amazon.com/images/I/716HmQGEMPS._AC_UY218_.jpg")</f>
        <v/>
      </c>
      <c r="K549" t="inlineStr">
        <is>
          <t>38.99</t>
        </is>
      </c>
      <c r="L549" t="n">
        <v>16.5</v>
      </c>
      <c r="M549" s="1" t="inlineStr">
        <is>
          <t>-57.68%</t>
        </is>
      </c>
      <c r="N549" s="3" t="n">
        <v>-57.68</v>
      </c>
      <c r="O549" t="n">
        <v>4.2</v>
      </c>
      <c r="P549" t="n">
        <v>316</v>
      </c>
      <c r="R549" t="inlineStr">
        <is>
          <t>OutOfStock</t>
        </is>
      </c>
      <c r="S549" t="inlineStr">
        <is>
          <t>38.99</t>
        </is>
      </c>
      <c r="T549" t="inlineStr">
        <is>
          <t>4692421148761</t>
        </is>
      </c>
    </row>
    <row r="550" hidden="1" ht="15.75" customHeight="1">
      <c r="A550" s="2">
        <f>HYPERLINK("https://www.shelhealth.com/products/dial-gold-antibacterial-bar-soap-22-ct-4-oz", "https://www.shelhealth.com/products/dial-gold-antibacterial-bar-soap-22-ct-4-oz")</f>
        <v/>
      </c>
      <c r="B550" s="2">
        <f>HYPERLINK("https://www.shelhealth.com/products/dial-gold-antibacterial-bar-soap-22-ct-4-oz", "https://www.shelhealth.com/products/dial-gold-antibacterial-bar-soap-22-ct-4-oz")</f>
        <v/>
      </c>
      <c r="C550" t="inlineStr">
        <is>
          <t>Dial Gold Antibacterial Bar Soap, 22 ct./4 oz.</t>
        </is>
      </c>
      <c r="D550" t="inlineStr">
        <is>
          <t>Dial 12402 4 oz. Gold Dial Antibacterial Soap Bars, 3 Pack</t>
        </is>
      </c>
      <c r="E550" s="2">
        <f>HYPERLINK("https://www.amazon.com/Dial-12402-Gold-Antibacterial-Soap/dp/B00HA77DNS/ref=sr_1_10?keywords=Dial+Gold+Antibacterial+Bar+Soap%2C+22+ct.%2F4+oz.&amp;qid=1695170040&amp;sr=8-10", "https://www.amazon.com/Dial-12402-Gold-Antibacterial-Soap/dp/B00HA77DNS/ref=sr_1_10?keywords=Dial+Gold+Antibacterial+Bar+Soap%2C+22+ct.%2F4+oz.&amp;qid=1695170040&amp;sr=8-10")</f>
        <v/>
      </c>
      <c r="F550" t="inlineStr">
        <is>
          <t>B00HA77DNS</t>
        </is>
      </c>
      <c r="G550">
        <f>_xludf.IMAGE("https://www.shelhealth.com/cdn/shop/products/dial-gold-antibacterial-bar-soap-22-ct-4-oz-shelhealth-711.jpg?v=1663354241&amp;width=1946")</f>
        <v/>
      </c>
      <c r="H550">
        <f>_xludf.IMAGE("https://m.media-amazon.com/images/I/61AHDDk-hrL._AC_UL320_.jpg")</f>
        <v/>
      </c>
      <c r="K550" t="inlineStr">
        <is>
          <t>19.99</t>
        </is>
      </c>
      <c r="L550" t="n">
        <v>8.380000000000001</v>
      </c>
      <c r="M550" s="1" t="inlineStr">
        <is>
          <t>-58.08%</t>
        </is>
      </c>
      <c r="N550" s="3" t="n">
        <v>-58.08</v>
      </c>
      <c r="O550" t="n">
        <v>4.7</v>
      </c>
      <c r="P550" t="n">
        <v>200</v>
      </c>
      <c r="R550" t="inlineStr">
        <is>
          <t>OutOfStock</t>
        </is>
      </c>
      <c r="S550" t="inlineStr">
        <is>
          <t>19.99</t>
        </is>
      </c>
      <c r="T550" t="inlineStr">
        <is>
          <t>4167534379060</t>
        </is>
      </c>
    </row>
    <row r="551" hidden="1" ht="15.75" customHeight="1">
      <c r="A551" s="2">
        <f>HYPERLINK("https://www.shelhealth.com/products/812281010254-one-with-nature-relaxing-lavender-dead-sea-mineral-bath-salt-32-oz", "https://www.shelhealth.com/products/812281010254-one-with-nature-relaxing-lavender-dead-sea-mineral-bath-salt-32-oz")</f>
        <v/>
      </c>
      <c r="B551" s="2">
        <f>HYPERLINK("https://www.shelhealth.com/products/812281010254-one-with-nature-relaxing-lavender-dead-sea-mineral-bath-salt-32-oz", "https://www.shelhealth.com/products/812281010254-one-with-nature-relaxing-lavender-dead-sea-mineral-bath-salt-32-oz")</f>
        <v/>
      </c>
      <c r="C551" t="inlineStr">
        <is>
          <t>One With Nature Relaxing Lavender Dead Sea Mineral Bath Salt, 32 Oz</t>
        </is>
      </c>
      <c r="D551" t="inlineStr">
        <is>
          <t>One With Nature - 100% Pure Active Dead Sea Minerals Salts Relaxing Lavender - 2.5 oz.</t>
        </is>
      </c>
      <c r="E551" s="2">
        <f>HYPERLINK("https://www.amazon.com/One-Nature-Minerals-Relaxing-Lavender/dp/B01EXNT1FO/ref=sr_1_7?keywords=One+With+Nature+Relaxing+Lavender+Dead+Sea+Mineral+Bath+Salt%2C+32+Oz&amp;qid=1695170137&amp;sr=8-7", "https://www.amazon.com/One-Nature-Minerals-Relaxing-Lavender/dp/B01EXNT1FO/ref=sr_1_7?keywords=One+With+Nature+Relaxing+Lavender+Dead+Sea+Mineral+Bath+Salt%2C+32+Oz&amp;qid=1695170137&amp;sr=8-7")</f>
        <v/>
      </c>
      <c r="F551" t="inlineStr">
        <is>
          <t>B01EXNT1FO</t>
        </is>
      </c>
      <c r="G551">
        <f>_xludf.IMAGE("https://www.shelhealth.com/cdn/shop/files/one-with-nature-relaxing-lavender-dead-sea-mineral-bath-salt-32-oz-beauty-body-care-shelhealth-776.jpg?v=1689661631&amp;width=1946")</f>
        <v/>
      </c>
      <c r="H551">
        <f>_xludf.IMAGE("https://m.media-amazon.com/images/I/71JWV4BIoOL._AC_UL320_.jpg")</f>
        <v/>
      </c>
      <c r="K551" t="inlineStr">
        <is>
          <t>14.99</t>
        </is>
      </c>
      <c r="L551" t="n">
        <v>6.28</v>
      </c>
      <c r="M551" s="1" t="inlineStr">
        <is>
          <t>-58.11%</t>
        </is>
      </c>
      <c r="N551" s="3" t="n">
        <v>-58.11</v>
      </c>
      <c r="O551" t="n">
        <v>4.5</v>
      </c>
      <c r="P551" t="n">
        <v>36</v>
      </c>
      <c r="R551" t="inlineStr">
        <is>
          <t>InStock</t>
        </is>
      </c>
      <c r="S551" t="inlineStr">
        <is>
          <t>14.99</t>
        </is>
      </c>
      <c r="T551" t="inlineStr">
        <is>
          <t>7241899049148</t>
        </is>
      </c>
    </row>
    <row r="552" hidden="1" ht="15.75" customHeight="1">
      <c r="A552" s="2">
        <f>HYPERLINK("https://www.shelhealth.com/products/856885200833-south-of-france-hand-wash-orange-blossom-honey-8-oz", "https://www.shelhealth.com/products/856885200833-south-of-france-hand-wash-orange-blossom-honey-8-oz")</f>
        <v/>
      </c>
      <c r="B552" s="2">
        <f>HYPERLINK("https://www.shelhealth.com/products/856885200833-south-of-france-hand-wash-orange-blossom-honey-8-oz", "https://www.shelhealth.com/products/856885200833-south-of-france-hand-wash-orange-blossom-honey-8-oz")</f>
        <v/>
      </c>
      <c r="C552" t="inlineStr">
        <is>
          <t>South Of France Hand Wash Orange Blossom Honey, 8 Oz (Case of 4)</t>
        </is>
      </c>
      <c r="D552" t="inlineStr">
        <is>
          <t>South Of France Foaming Hand Wash With Hydrating Organic Agave Nectar Orange Blossom Honey, 8 Oz</t>
        </is>
      </c>
      <c r="E552" s="2">
        <f>HYPERLINK("https://www.amazon.com/South-France-Foaming-Orange-Blossom/dp/B01ANJN1TO/ref=sr_1_4?keywords=South+Of+France+Hand+Wash+Orange+Blossom+Honey%2C+8+Oz+%28Case+of+4%29&amp;qid=1695170057&amp;sr=8-4", "https://www.amazon.com/South-France-Foaming-Orange-Blossom/dp/B01ANJN1TO/ref=sr_1_4?keywords=South+Of+France+Hand+Wash+Orange+Blossom+Honey%2C+8+Oz+%28Case+of+4%29&amp;qid=1695170057&amp;sr=8-4")</f>
        <v/>
      </c>
      <c r="F552" t="inlineStr">
        <is>
          <t>B01ANJN1TO</t>
        </is>
      </c>
      <c r="G552">
        <f>_xludf.IMAGE("https://www.shelhealth.com/cdn/shop/files/south-of-france-hand-wash-orange-blossom-honey-8-oz-case-4-beauty-body-care-shelhealth-727.jpg?v=1686481233&amp;width=1946")</f>
        <v/>
      </c>
      <c r="H552">
        <f>_xludf.IMAGE("https://m.media-amazon.com/images/I/61vdUm9nFLL._AC_UL320_.jpg")</f>
        <v/>
      </c>
      <c r="K552" t="inlineStr">
        <is>
          <t>17.99</t>
        </is>
      </c>
      <c r="L552" t="n">
        <v>7.5</v>
      </c>
      <c r="M552" s="1" t="inlineStr">
        <is>
          <t>-58.31%</t>
        </is>
      </c>
      <c r="N552" s="3" t="n">
        <v>-58.31</v>
      </c>
      <c r="O552" t="n">
        <v>4.2</v>
      </c>
      <c r="P552" t="n">
        <v>38</v>
      </c>
      <c r="R552" t="inlineStr">
        <is>
          <t>InStock</t>
        </is>
      </c>
      <c r="S552" t="inlineStr">
        <is>
          <t>17.99</t>
        </is>
      </c>
      <c r="T552" t="inlineStr">
        <is>
          <t>7242004365500</t>
        </is>
      </c>
    </row>
    <row r="553" hidden="1" ht="15.75" customHeight="1">
      <c r="A553" s="2">
        <f>HYPERLINK("https://www.shelhealth.com/products/a-care-3-layer-ear-loop-disposable-face-mask-50-pcs", "https://www.shelhealth.com/products/a-care-3-layer-ear-loop-disposable-face-mask-50-pcs")</f>
        <v/>
      </c>
      <c r="B553" s="2">
        <f>HYPERLINK("https://www.shelhealth.com/products/a-care-3-layer-ear-loop-disposable-face-mask-50-pcs", "https://www.shelhealth.com/products/a-care-3-layer-ear-loop-disposable-face-mask-50-pcs")</f>
        <v/>
      </c>
      <c r="C553" t="inlineStr">
        <is>
          <t>A Care 3-Layer Ear Loop Disposable Face Mask, 50 Pcs.</t>
        </is>
      </c>
      <c r="D553" t="inlineStr">
        <is>
          <t>3-Ply Breathable Disposable Face Mask (Jet Black) - Made in USA - Comfortable Elastic Ear Loop | Non-Woven Polypropylene | Block Dust &amp; Air Pollution | For Business and Personal Care (50 pcs)</t>
        </is>
      </c>
      <c r="E553" s="2">
        <f>HYPERLINK("https://www.amazon.com/3-Ply-Breathable-Disposable-Face-Black/dp/B08R99F3DY/ref=sr_1_5?keywords=A+Care+3-Layer+Ear+Loop+Disposable+Face+Mask%2C+50+Pcs.&amp;qid=1695170045&amp;sr=8-5", "https://www.amazon.com/3-Ply-Breathable-Disposable-Face-Black/dp/B08R99F3DY/ref=sr_1_5?keywords=A+Care+3-Layer+Ear+Loop+Disposable+Face+Mask%2C+50+Pcs.&amp;qid=1695170045&amp;sr=8-5")</f>
        <v/>
      </c>
      <c r="F553" t="inlineStr">
        <is>
          <t>B08R99F3DY</t>
        </is>
      </c>
      <c r="G553">
        <f>_xludf.IMAGE("https://www.shelhealth.com/cdn/shop/products/a-care-3-layer-ear-loop-disposable-face-mask-50-pcs-shelhealth-812.jpg?v=1663372428&amp;width=1946")</f>
        <v/>
      </c>
      <c r="H553">
        <f>_xludf.IMAGE("https://m.media-amazon.com/images/I/712ZDXIbWKS._AC_UY218_.jpg")</f>
        <v/>
      </c>
      <c r="K553" t="inlineStr">
        <is>
          <t>38.99</t>
        </is>
      </c>
      <c r="L553" t="n">
        <v>15.99</v>
      </c>
      <c r="M553" s="1" t="inlineStr">
        <is>
          <t>-58.99%</t>
        </is>
      </c>
      <c r="N553" s="3" t="n">
        <v>-58.99</v>
      </c>
      <c r="O553" t="n">
        <v>4.5</v>
      </c>
      <c r="P553" t="n">
        <v>2977</v>
      </c>
      <c r="R553" t="inlineStr">
        <is>
          <t>OutOfStock</t>
        </is>
      </c>
      <c r="S553" t="inlineStr">
        <is>
          <t>38.99</t>
        </is>
      </c>
      <c r="T553" t="inlineStr">
        <is>
          <t>4692421148761</t>
        </is>
      </c>
    </row>
    <row r="554" hidden="1" ht="15.75" customHeight="1">
      <c r="A554" s="2">
        <f>HYPERLINK("https://www.shelhealth.com/products/kirkland-signature-body-soap-15-bars-4-5-oz-1", "https://www.shelhealth.com/products/kirkland-signature-body-soap-15-bars-4-5-oz-1")</f>
        <v/>
      </c>
      <c r="B554" s="2">
        <f>HYPERLINK("https://www.shelhealth.com/products/kirkland-signature-body-soap-15-bars-4-5-oz-1", "https://www.shelhealth.com/products/kirkland-signature-body-soap-15-bars-4-5-oz-1")</f>
        <v/>
      </c>
      <c r="C554" t="inlineStr">
        <is>
          <t>Kirkland Signature Body Soap 15 Bars 4.5 Oz</t>
        </is>
      </c>
      <c r="D554" t="inlineStr">
        <is>
          <t>Kirkland Signature Body Soap Bar All Natural Oils, single bar soap 4.5 oz</t>
        </is>
      </c>
      <c r="E554" s="2">
        <f>HYPERLINK("https://www.amazon.com/Kirkland-Signature-Body-Natural-single/dp/B01FGE52RA/ref=sr_1_1?keywords=Kirkland+Signature+Body+Soap+15+Bars+4.5+Oz&amp;qid=1695170044&amp;sr=8-1", "https://www.amazon.com/Kirkland-Signature-Body-Natural-single/dp/B01FGE52RA/ref=sr_1_1?keywords=Kirkland+Signature+Body+Soap+15+Bars+4.5+Oz&amp;qid=1695170044&amp;sr=8-1")</f>
        <v/>
      </c>
      <c r="F554" t="inlineStr">
        <is>
          <t>B01FGE52RA</t>
        </is>
      </c>
      <c r="G554">
        <f>_xludf.IMAGE("https://www.shelhealth.com/cdn/shop/products/kirkland-signature-body-soap-15-bars-4-5-oz-shelhealth-699.jpg?v=1663342419&amp;width=1946")</f>
        <v/>
      </c>
      <c r="H554">
        <f>_xludf.IMAGE("https://m.media-amazon.com/images/I/61ElgYZxSIL._AC_UL320_.jpg")</f>
        <v/>
      </c>
      <c r="K554" t="inlineStr">
        <is>
          <t>16.99</t>
        </is>
      </c>
      <c r="L554" t="n">
        <v>6.96</v>
      </c>
      <c r="M554" s="1" t="inlineStr">
        <is>
          <t>-59.03%</t>
        </is>
      </c>
      <c r="N554" s="3" t="n">
        <v>-59.03</v>
      </c>
      <c r="O554" t="n">
        <v>4.4</v>
      </c>
      <c r="P554" t="n">
        <v>3</v>
      </c>
      <c r="R554" t="inlineStr">
        <is>
          <t>OutOfStock</t>
        </is>
      </c>
      <c r="S554" t="inlineStr">
        <is>
          <t>16.99</t>
        </is>
      </c>
      <c r="T554" t="inlineStr">
        <is>
          <t>3813581193268</t>
        </is>
      </c>
    </row>
    <row r="555" hidden="1" ht="15.75" customHeight="1">
      <c r="A555" s="2">
        <f>HYPERLINK("https://www.shelhealth.com/products/bask-clear-vinyl-disposable-gloves-100-gloves", "https://www.shelhealth.com/products/bask-clear-vinyl-disposable-gloves-100-gloves")</f>
        <v/>
      </c>
      <c r="B555" s="2">
        <f>HYPERLINK("https://www.shelhealth.com/products/bask-clear-vinyl-disposable-gloves-100-gloves", "https://www.shelhealth.com/products/bask-clear-vinyl-disposable-gloves-100-gloves")</f>
        <v/>
      </c>
      <c r="C555" t="inlineStr">
        <is>
          <t>Bask Clear Vinyl Disposable Gloves, 100 Gloves</t>
        </is>
      </c>
      <c r="D555" t="inlineStr">
        <is>
          <t>EDI Disposable Vinyl Gloves (Clear) - Powder-Free, Latex-Free (100, Medium)</t>
        </is>
      </c>
      <c r="E555" s="2">
        <f>HYPERLINK("https://www.amazon.com/EDI-Disposable-Industrial-Allergy-Cleaning/dp/B01K5OTOOS/ref=sr_1_9?keywords=Bask+Clear+Vinyl+Disposable+Gloves%2C+100+Gloves&amp;qid=1695170141&amp;sr=8-9", "https://www.amazon.com/EDI-Disposable-Industrial-Allergy-Cleaning/dp/B01K5OTOOS/ref=sr_1_9?keywords=Bask+Clear+Vinyl+Disposable+Gloves%2C+100+Gloves&amp;qid=1695170141&amp;sr=8-9")</f>
        <v/>
      </c>
      <c r="F555" t="inlineStr">
        <is>
          <t>B01K5OTOOS</t>
        </is>
      </c>
      <c r="G555">
        <f>_xludf.IMAGE("https://www.shelhealth.com/cdn/shop/products/bask-clear-vinyl-disposable-gloves-100-shelhealth-783.jpg?v=1663374232&amp;width=1946")</f>
        <v/>
      </c>
      <c r="H555">
        <f>_xludf.IMAGE("https://m.media-amazon.com/images/I/71ChAboJ4bL._AC_UL320_.jpg")</f>
        <v/>
      </c>
      <c r="K555" t="inlineStr">
        <is>
          <t>21.99</t>
        </is>
      </c>
      <c r="L555" t="n">
        <v>8.99</v>
      </c>
      <c r="M555" s="1" t="inlineStr">
        <is>
          <t>-59.12%</t>
        </is>
      </c>
      <c r="N555" s="3" t="n">
        <v>-59.12</v>
      </c>
      <c r="O555" t="n">
        <v>4.5</v>
      </c>
      <c r="P555" t="n">
        <v>10389</v>
      </c>
      <c r="R555" t="inlineStr">
        <is>
          <t>InStock</t>
        </is>
      </c>
      <c r="S555" t="inlineStr">
        <is>
          <t>21.99</t>
        </is>
      </c>
      <c r="T555" t="inlineStr">
        <is>
          <t>4713271525465</t>
        </is>
      </c>
    </row>
    <row r="556" hidden="1" ht="15.75" customHeight="1">
      <c r="A556" s="2">
        <f>HYPERLINK("https://www.shelhealth.com/products/dove-go-fresh-cool-moisture-beauty-bar-16-ct-4-oz", "https://www.shelhealth.com/products/dove-go-fresh-cool-moisture-beauty-bar-16-ct-4-oz")</f>
        <v/>
      </c>
      <c r="B556" s="2">
        <f>HYPERLINK("https://www.shelhealth.com/products/dove-go-fresh-cool-moisture-beauty-bar-16-ct-4-oz", "https://www.shelhealth.com/products/dove-go-fresh-cool-moisture-beauty-bar-16-ct-4-oz")</f>
        <v/>
      </c>
      <c r="C556" t="inlineStr">
        <is>
          <t>Dove go fresh Cool Moisture Beauty Bar, 16 ct./4 oz.</t>
        </is>
      </c>
      <c r="D556" t="inlineStr">
        <is>
          <t>Dove Go Fresh Cool Moisture Beauty Bar (2 bars x 4.25 oz.)</t>
        </is>
      </c>
      <c r="E556" s="2">
        <f>HYPERLINK("https://www.amazon.com/Dove-Fresh-Cool-Moisture-Beauty/dp/B0094BP6Q4/ref=sr_1_3?keywords=Dove+go+fresh+Cool+Moisture+Beauty+Bar%2C+16+ct.%2F4+oz.&amp;qid=1695170048&amp;sr=8-3", "https://www.amazon.com/Dove-Fresh-Cool-Moisture-Beauty/dp/B0094BP6Q4/ref=sr_1_3?keywords=Dove+go+fresh+Cool+Moisture+Beauty+Bar%2C+16+ct.%2F4+oz.&amp;qid=1695170048&amp;sr=8-3")</f>
        <v/>
      </c>
      <c r="F556" t="inlineStr">
        <is>
          <t>B0094BP6Q4</t>
        </is>
      </c>
      <c r="G556">
        <f>_xludf.IMAGE("https://www.shelhealth.com/cdn/shop/products/dove-go-fresh-cool-moisture-beauty-bar-16-ct-4-oz-shelhealth-272.jpg?v=1663354648&amp;width=1946")</f>
        <v/>
      </c>
      <c r="H556">
        <f>_xludf.IMAGE("https://m.media-amazon.com/images/I/4192a9iUKSL._AC_UL320_.jpg")</f>
        <v/>
      </c>
      <c r="K556" t="inlineStr">
        <is>
          <t>23.99</t>
        </is>
      </c>
      <c r="L556" t="n">
        <v>9.800000000000001</v>
      </c>
      <c r="M556" s="1" t="inlineStr">
        <is>
          <t>-59.15%</t>
        </is>
      </c>
      <c r="N556" s="3" t="n">
        <v>-59.15</v>
      </c>
      <c r="O556" t="n">
        <v>4.2</v>
      </c>
      <c r="P556" t="n">
        <v>5</v>
      </c>
      <c r="R556" t="inlineStr">
        <is>
          <t>InStock</t>
        </is>
      </c>
      <c r="S556" t="inlineStr">
        <is>
          <t>23.99</t>
        </is>
      </c>
      <c r="T556" t="inlineStr">
        <is>
          <t>4167686324276</t>
        </is>
      </c>
    </row>
    <row r="557" hidden="1" ht="15.75" customHeight="1">
      <c r="A557" s="2">
        <f>HYPERLINK("https://www.shelhealth.com/products/arm-and-hammer-disinfecting-wipes-440-count", "https://www.shelhealth.com/products/arm-and-hammer-disinfecting-wipes-440-count")</f>
        <v/>
      </c>
      <c r="B557" s="2">
        <f>HYPERLINK("https://www.shelhealth.com/products/arm-and-hammer-disinfecting-wipes-440-count", "https://www.shelhealth.com/products/arm-and-hammer-disinfecting-wipes-440-count")</f>
        <v/>
      </c>
      <c r="C557" t="inlineStr">
        <is>
          <t>Arm And Hammer Disinfecting Wipes, 440 Count</t>
        </is>
      </c>
      <c r="D557" t="inlineStr">
        <is>
          <t>Arm &amp; Hammer Essentials Disinfecting Wipes, Lemon Orchard 2-Pack, 110 Count, 220 Wipes, Volcano</t>
        </is>
      </c>
      <c r="E557" s="2">
        <f>HYPERLINK("https://www.amazon.com/Arm-Hammer-Essentials-Disinfecting-Orchard/dp/B09YTJ5TWN/ref=sr_1_3?keywords=Arm+And+Hammer+Disinfecting+Wipes%2C+440+Count&amp;qid=1695170044&amp;sr=8-3", "https://www.amazon.com/Arm-Hammer-Essentials-Disinfecting-Orchard/dp/B09YTJ5TWN/ref=sr_1_3?keywords=Arm+And+Hammer+Disinfecting+Wipes%2C+440+Count&amp;qid=1695170044&amp;sr=8-3")</f>
        <v/>
      </c>
      <c r="F557" t="inlineStr">
        <is>
          <t>B09YTJ5TWN</t>
        </is>
      </c>
      <c r="G557">
        <f>_xludf.IMAGE("https://www.shelhealth.com/cdn/shop/products/arm-and-hammer-disinfecting-wipes-440-count-shelhealth-250.jpg?v=1663658291&amp;width=1946")</f>
        <v/>
      </c>
      <c r="H557">
        <f>_xludf.IMAGE("https://m.media-amazon.com/images/I/81Q5UoE07HL._AC_UL320_.jpg")</f>
        <v/>
      </c>
      <c r="K557" t="inlineStr">
        <is>
          <t>34.99</t>
        </is>
      </c>
      <c r="L557" t="n">
        <v>14.12</v>
      </c>
      <c r="M557" s="1" t="inlineStr">
        <is>
          <t>-59.65%</t>
        </is>
      </c>
      <c r="N557" s="3" t="n">
        <v>-59.65</v>
      </c>
      <c r="O557" t="n">
        <v>4.7</v>
      </c>
      <c r="P557" t="n">
        <v>85</v>
      </c>
      <c r="R557" t="inlineStr">
        <is>
          <t>OutOfStock</t>
        </is>
      </c>
      <c r="S557" t="inlineStr">
        <is>
          <t>34.99</t>
        </is>
      </c>
      <c r="T557" t="inlineStr">
        <is>
          <t>6297326911676</t>
        </is>
      </c>
    </row>
    <row r="558" hidden="1" ht="15.75" customHeight="1">
      <c r="A558" s="2">
        <f>HYPERLINK("https://www.shelhealth.com/products/dial-antibacterial-spring-water-deodorant-bar-soap-22-pk-4-oz", "https://www.shelhealth.com/products/dial-antibacterial-spring-water-deodorant-bar-soap-22-pk-4-oz")</f>
        <v/>
      </c>
      <c r="B558" s="2">
        <f>HYPERLINK("https://www.shelhealth.com/products/dial-antibacterial-spring-water-deodorant-bar-soap-22-pk-4-oz", "https://www.shelhealth.com/products/dial-antibacterial-spring-water-deodorant-bar-soap-22-pk-4-oz")</f>
        <v/>
      </c>
      <c r="C558" t="inlineStr">
        <is>
          <t>Dial Antibacterial Spring Water Deodorant Bar Soap, 22 pk./4 oz.</t>
        </is>
      </c>
      <c r="D558" t="inlineStr">
        <is>
          <t>Dial Antibacterial Deodorant Soap, Spring Water, 4 Ounce, 3 Bars</t>
        </is>
      </c>
      <c r="E558" s="2">
        <f>HYPERLINK("https://www.amazon.com/Dial-Antibacterial-Deodorant-Spring-Water/dp/B000NLO5TI/ref=sr_1_2?keywords=Dial+Antibacterial+Spring+Water+Deodorant+Bar+Soap%2C+22+pk.%2F4+oz.&amp;qid=1695170043&amp;sr=8-2", "https://www.amazon.com/Dial-Antibacterial-Deodorant-Spring-Water/dp/B000NLO5TI/ref=sr_1_2?keywords=Dial+Antibacterial+Spring+Water+Deodorant+Bar+Soap%2C+22+pk.%2F4+oz.&amp;qid=1695170043&amp;sr=8-2")</f>
        <v/>
      </c>
      <c r="F558" t="inlineStr">
        <is>
          <t>B000NLO5TI</t>
        </is>
      </c>
      <c r="G558">
        <f>_xludf.IMAGE("https://www.shelhealth.com/cdn/shop/products/dial-antibacterial-spring-water-deodorant-bar-soap-22-pk-4-oz-shelhealth-462.jpg?v=1663354251&amp;width=1946")</f>
        <v/>
      </c>
      <c r="H558">
        <f>_xludf.IMAGE("https://m.media-amazon.com/images/I/71fl5a3vs7L._AC_UL320_.jpg")</f>
        <v/>
      </c>
      <c r="K558" t="inlineStr">
        <is>
          <t>19.99</t>
        </is>
      </c>
      <c r="L558" t="n">
        <v>7.99</v>
      </c>
      <c r="M558" s="1" t="inlineStr">
        <is>
          <t>-60.03%</t>
        </is>
      </c>
      <c r="N558" s="3" t="n">
        <v>-60.03</v>
      </c>
      <c r="O558" t="n">
        <v>4.7</v>
      </c>
      <c r="P558" t="n">
        <v>6906</v>
      </c>
      <c r="R558" t="inlineStr">
        <is>
          <t>OutOfStock</t>
        </is>
      </c>
      <c r="S558" t="inlineStr">
        <is>
          <t>19.99</t>
        </is>
      </c>
      <c r="T558" t="inlineStr">
        <is>
          <t>4167536574516</t>
        </is>
      </c>
    </row>
    <row r="559" hidden="1" ht="15.75" customHeight="1">
      <c r="A559" s="2">
        <f>HYPERLINK("https://www.shelhealth.com/products/856885200116-south-of-france-french-milled-oval-soap-lemon-verbena-6-oz", "https://www.shelhealth.com/products/856885200116-south-of-france-french-milled-oval-soap-lemon-verbena-6-oz")</f>
        <v/>
      </c>
      <c r="B559" s="2">
        <f>HYPERLINK("https://www.shelhealth.com/products/856885200116-south-of-france-french-milled-oval-soap-lemon-verbena-6-oz", "https://www.shelhealth.com/products/856885200116-south-of-france-french-milled-oval-soap-lemon-verbena-6-oz")</f>
        <v/>
      </c>
      <c r="C559" t="inlineStr">
        <is>
          <t>South Of France French Milled Oval Soap Lemon Verbena, 6 Oz (Case of 4)</t>
        </is>
      </c>
      <c r="D559" t="inlineStr">
        <is>
          <t>South of France, Lemon Verbena, French Milled Oval Soap with Organic Shea Butter, 6 oz (170 g)(Pack of 2)</t>
        </is>
      </c>
      <c r="E559" s="2">
        <f>HYPERLINK("https://www.amazon.com/France-Verbena-French-Milled-Organic/dp/B00VRTYWDY/ref=sr_1_4?keywords=South+Of+France+French+Milled+Oval+Soap+Lemon+Verbena%2C+6+Oz+%28Case+of+4%29&amp;qid=1695170096&amp;sr=8-4", "https://www.amazon.com/France-Verbena-French-Milled-Organic/dp/B00VRTYWDY/ref=sr_1_4?keywords=South+Of+France+French+Milled+Oval+Soap+Lemon+Verbena%2C+6+Oz+%28Case+of+4%29&amp;qid=1695170096&amp;sr=8-4")</f>
        <v/>
      </c>
      <c r="F559" t="inlineStr">
        <is>
          <t>B00VRTYWDY</t>
        </is>
      </c>
      <c r="G559">
        <f>_xludf.IMAGE("https://www.shelhealth.com/cdn/shop/files/south-of-france-french-milled-oval-soap-lemon-verbena-6-oz-case-4-beauty-body-care-shelhealth-349.jpg?v=1688533629&amp;width=1946")</f>
        <v/>
      </c>
      <c r="H559">
        <f>_xludf.IMAGE("https://m.media-amazon.com/images/I/71T1hEeRyaL._AC_UL320_.jpg")</f>
        <v/>
      </c>
      <c r="K559" t="inlineStr">
        <is>
          <t>17.99</t>
        </is>
      </c>
      <c r="L559" t="n">
        <v>7.13</v>
      </c>
      <c r="M559" s="1" t="inlineStr">
        <is>
          <t>-60.37%</t>
        </is>
      </c>
      <c r="N559" s="3" t="n">
        <v>-60.37</v>
      </c>
      <c r="O559" t="n">
        <v>4.8</v>
      </c>
      <c r="P559" t="n">
        <v>252</v>
      </c>
      <c r="R559" t="inlineStr">
        <is>
          <t>InStock</t>
        </is>
      </c>
      <c r="S559" t="inlineStr">
        <is>
          <t>17.99</t>
        </is>
      </c>
      <c r="T559" t="inlineStr">
        <is>
          <t>7242003808444</t>
        </is>
      </c>
    </row>
    <row r="560" hidden="1" ht="15.75" customHeight="1">
      <c r="A560" s="2">
        <f>HYPERLINK("https://www.shelhealth.com/products/856885200123-south-of-france-soap-bar-green-tea-6-oz", "https://www.shelhealth.com/products/856885200123-south-of-france-soap-bar-green-tea-6-oz")</f>
        <v/>
      </c>
      <c r="B560" s="2">
        <f>HYPERLINK("https://www.shelhealth.com/products/856885200123-south-of-france-soap-bar-green-tea-6-oz", "https://www.shelhealth.com/products/856885200123-south-of-france-soap-bar-green-tea-6-oz")</f>
        <v/>
      </c>
      <c r="C560" t="inlineStr">
        <is>
          <t>South Of France Soap Bar Green Tea, 6 Oz (Case of 4)</t>
        </is>
      </c>
      <c r="D560" t="inlineStr">
        <is>
          <t>South of France Natural Bar Soap, Green Tea, 6 Ounce</t>
        </is>
      </c>
      <c r="E560" s="2">
        <f>HYPERLINK("https://www.amazon.com/South-France-Natural-Green-Ounce/dp/B00F39QYZI/ref=sr_1_4?keywords=South+Of+France+Soap+Bar+Green+Tea%2C+6+Oz+%28Case+of+4%29&amp;qid=1695170092&amp;sr=8-4", "https://www.amazon.com/South-France-Natural-Green-Ounce/dp/B00F39QYZI/ref=sr_1_4?keywords=South+Of+France+Soap+Bar+Green+Tea%2C+6+Oz+%28Case+of+4%29&amp;qid=1695170092&amp;sr=8-4")</f>
        <v/>
      </c>
      <c r="F560" t="inlineStr">
        <is>
          <t>B00F39QYZI</t>
        </is>
      </c>
      <c r="G560">
        <f>_xludf.IMAGE("https://www.shelhealth.com/cdn/shop/files/south-of-france-soap-bar-green-tea-6-oz-case-4-beauty-body-care-shelhealth-818.jpg?v=1688533872&amp;width=1946")</f>
        <v/>
      </c>
      <c r="H560">
        <f>_xludf.IMAGE("https://m.media-amazon.com/images/I/51mc+juE5pL._AC_UL320_.jpg")</f>
        <v/>
      </c>
      <c r="K560" t="inlineStr">
        <is>
          <t>17.99</t>
        </is>
      </c>
      <c r="L560" t="n">
        <v>7.04</v>
      </c>
      <c r="M560" s="1" t="inlineStr">
        <is>
          <t>-60.87%</t>
        </is>
      </c>
      <c r="N560" s="3" t="n">
        <v>-60.87</v>
      </c>
      <c r="O560" t="n">
        <v>4</v>
      </c>
      <c r="P560" t="n">
        <v>33</v>
      </c>
      <c r="R560" t="inlineStr">
        <is>
          <t>InStock</t>
        </is>
      </c>
      <c r="S560" t="inlineStr">
        <is>
          <t>17.99</t>
        </is>
      </c>
      <c r="T560" t="inlineStr">
        <is>
          <t>7242004660412</t>
        </is>
      </c>
    </row>
    <row r="561" hidden="1" ht="15.75" customHeight="1">
      <c r="A561" s="2">
        <f>HYPERLINK("https://www.shelhealth.com/products/arm-and-hammer-disinfecting-wipes-440-count", "https://www.shelhealth.com/products/arm-and-hammer-disinfecting-wipes-440-count")</f>
        <v/>
      </c>
      <c r="B561" s="2">
        <f>HYPERLINK("https://www.shelhealth.com/products/arm-and-hammer-disinfecting-wipes-440-count", "https://www.shelhealth.com/products/arm-and-hammer-disinfecting-wipes-440-count")</f>
        <v/>
      </c>
      <c r="C561" t="inlineStr">
        <is>
          <t>Arm And Hammer Disinfecting Wipes, 440 Count</t>
        </is>
      </c>
      <c r="D561" t="inlineStr">
        <is>
          <t>Arm &amp; Hammer Essentials Disinfecting Wipes, Renewing Rain Scent, 3 Pack, 80 Count, 240 Wipes, Volcano</t>
        </is>
      </c>
      <c r="E561" s="2">
        <f>HYPERLINK("https://www.amazon.com/Hammer-Essentials-Disinfecting-Renewing-Volcano/dp/B08LW521SG/ref=sr_1_4?keywords=Arm+And+Hammer+Disinfecting+Wipes%2C+440+Count&amp;qid=1695170044&amp;sr=8-4", "https://www.amazon.com/Hammer-Essentials-Disinfecting-Renewing-Volcano/dp/B08LW521SG/ref=sr_1_4?keywords=Arm+And+Hammer+Disinfecting+Wipes%2C+440+Count&amp;qid=1695170044&amp;sr=8-4")</f>
        <v/>
      </c>
      <c r="F561" t="inlineStr">
        <is>
          <t>B08LW521SG</t>
        </is>
      </c>
      <c r="G561">
        <f>_xludf.IMAGE("https://www.shelhealth.com/cdn/shop/products/arm-and-hammer-disinfecting-wipes-440-count-shelhealth-250.jpg?v=1663658291&amp;width=1946")</f>
        <v/>
      </c>
      <c r="H561">
        <f>_xludf.IMAGE("https://m.media-amazon.com/images/I/81hsPLoQiSL._AC_UL320_.jpg")</f>
        <v/>
      </c>
      <c r="K561" t="inlineStr">
        <is>
          <t>34.99</t>
        </is>
      </c>
      <c r="L561" t="n">
        <v>13.28</v>
      </c>
      <c r="M561" s="1" t="inlineStr">
        <is>
          <t>-62.05%</t>
        </is>
      </c>
      <c r="N561" s="3" t="n">
        <v>-62.05</v>
      </c>
      <c r="O561" t="n">
        <v>4.7</v>
      </c>
      <c r="P561" t="n">
        <v>741</v>
      </c>
      <c r="R561" t="inlineStr">
        <is>
          <t>OutOfStock</t>
        </is>
      </c>
      <c r="S561" t="inlineStr">
        <is>
          <t>34.99</t>
        </is>
      </c>
      <c r="T561" t="inlineStr">
        <is>
          <t>6297326911676</t>
        </is>
      </c>
    </row>
    <row r="562" hidden="1" ht="15.75" customHeight="1">
      <c r="A562" s="2">
        <f>HYPERLINK("https://www.shelhealth.com/products/allites-industries-disposable-face-masks-4-layer-ear-loop-50-masks", "https://www.shelhealth.com/products/allites-industries-disposable-face-masks-4-layer-ear-loop-50-masks")</f>
        <v/>
      </c>
      <c r="B562" s="2">
        <f>HYPERLINK("https://www.shelhealth.com/products/allites-industries-disposable-face-masks-4-layer-ear-loop-50-masks", "https://www.shelhealth.com/products/allites-industries-disposable-face-masks-4-layer-ear-loop-50-masks")</f>
        <v/>
      </c>
      <c r="C562" t="inlineStr">
        <is>
          <t>Allites Industries Disposable Face Masks, 4-Layer Ear Loop, 50 Masks</t>
        </is>
      </c>
      <c r="D562" t="inlineStr">
        <is>
          <t>DIOLV Disposable Face Mask Adult 4 Layer Mens Breathable Facemask Womens Facial Masks for Indoor Outdoor 50Pcs/Pack Ear loop, Black</t>
        </is>
      </c>
      <c r="E562" s="2">
        <f>HYPERLINK("https://www.amazon.com/Disposable-Filtration-Breathable-Protection-Protective/dp/B08T8TLXBF/ref=sr_1_5?keywords=Allites+Industries+Disposable+Face+Masks%2C+4-Layer+Ear+Loop%2C+50+Masks&amp;qid=1695170044&amp;sr=8-5", "https://www.amazon.com/Disposable-Filtration-Breathable-Protection-Protective/dp/B08T8TLXBF/ref=sr_1_5?keywords=Allites+Industries+Disposable+Face+Masks%2C+4-Layer+Ear+Loop%2C+50+Masks&amp;qid=1695170044&amp;sr=8-5")</f>
        <v/>
      </c>
      <c r="F562" t="inlineStr">
        <is>
          <t>B08T8TLXBF</t>
        </is>
      </c>
      <c r="G562">
        <f>_xludf.IMAGE("https://www.shelhealth.com/cdn/shop/products/allites-industries-disposable-face-masks-4-layer-ear-loop-50-shelhealth-908.jpg?v=1663374166&amp;width=1946")</f>
        <v/>
      </c>
      <c r="H562">
        <f>_xludf.IMAGE("https://m.media-amazon.com/images/I/61tNmg2Q3gL._AC_UY218_.jpg")</f>
        <v/>
      </c>
      <c r="K562" t="inlineStr">
        <is>
          <t>23.99</t>
        </is>
      </c>
      <c r="L562" t="n">
        <v>8.99</v>
      </c>
      <c r="M562" s="1" t="inlineStr">
        <is>
          <t>-62.53%</t>
        </is>
      </c>
      <c r="N562" s="3" t="n">
        <v>-62.53</v>
      </c>
      <c r="O562" t="n">
        <v>4.6</v>
      </c>
      <c r="P562" t="n">
        <v>7192</v>
      </c>
      <c r="R562" t="inlineStr">
        <is>
          <t>OutOfStock</t>
        </is>
      </c>
      <c r="S562" t="inlineStr">
        <is>
          <t>23.99</t>
        </is>
      </c>
      <c r="T562" t="inlineStr">
        <is>
          <t>4713269690457</t>
        </is>
      </c>
    </row>
    <row r="563" hidden="1" ht="15.75" customHeight="1">
      <c r="A563" s="2">
        <f>HYPERLINK("https://www.shelhealth.com/products/bask-clear-vinyl-disposable-gloves-100-gloves", "https://www.shelhealth.com/products/bask-clear-vinyl-disposable-gloves-100-gloves")</f>
        <v/>
      </c>
      <c r="B563" s="2">
        <f>HYPERLINK("https://www.shelhealth.com/products/bask-clear-vinyl-disposable-gloves-100-gloves", "https://www.shelhealth.com/products/bask-clear-vinyl-disposable-gloves-100-gloves")</f>
        <v/>
      </c>
      <c r="C563" t="inlineStr">
        <is>
          <t>Bask Clear Vinyl Disposable Gloves, 100 Gloves</t>
        </is>
      </c>
      <c r="D563" t="inlineStr">
        <is>
          <t>JMU Clear Vinyl Exam Gloves 100 Pack, Latex Free, Powder Free, 4 mil Thick Disposable Vinyl Gloves, Food Safe Gloves</t>
        </is>
      </c>
      <c r="E563" s="2">
        <f>HYPERLINK("https://www.amazon.com/JMU-Clear-Gloves-Powder-Disposable/dp/B0CF8NXGD9/ref=sr_1_7?keywords=Bask+Clear+Vinyl+Disposable+Gloves%2C+100+Gloves&amp;qid=1695170141&amp;sr=8-7", "https://www.amazon.com/JMU-Clear-Gloves-Powder-Disposable/dp/B0CF8NXGD9/ref=sr_1_7?keywords=Bask+Clear+Vinyl+Disposable+Gloves%2C+100+Gloves&amp;qid=1695170141&amp;sr=8-7")</f>
        <v/>
      </c>
      <c r="F563" t="inlineStr">
        <is>
          <t>B0CF8NXGD9</t>
        </is>
      </c>
      <c r="G563">
        <f>_xludf.IMAGE("https://www.shelhealth.com/cdn/shop/products/bask-clear-vinyl-disposable-gloves-100-shelhealth-783.jpg?v=1663374232&amp;width=1946")</f>
        <v/>
      </c>
      <c r="H563">
        <f>_xludf.IMAGE("https://m.media-amazon.com/images/I/61KJiwNHdjL._AC_UL320_.jpg")</f>
        <v/>
      </c>
      <c r="K563" t="inlineStr">
        <is>
          <t>21.99</t>
        </is>
      </c>
      <c r="L563" t="n">
        <v>7.99</v>
      </c>
      <c r="M563" s="1" t="inlineStr">
        <is>
          <t>-63.67%</t>
        </is>
      </c>
      <c r="N563" s="3" t="n">
        <v>-63.67</v>
      </c>
      <c r="O563" t="n">
        <v>4.6</v>
      </c>
      <c r="P563" t="n">
        <v>7</v>
      </c>
      <c r="R563" t="inlineStr">
        <is>
          <t>InStock</t>
        </is>
      </c>
      <c r="S563" t="inlineStr">
        <is>
          <t>21.99</t>
        </is>
      </c>
      <c r="T563" t="inlineStr">
        <is>
          <t>4713271525465</t>
        </is>
      </c>
    </row>
    <row r="564" hidden="1" ht="15.75" customHeight="1">
      <c r="A564" s="2">
        <f>HYPERLINK("https://www.shelhealth.com/products/856885200123-south-of-france-soap-bar-green-tea-6-oz", "https://www.shelhealth.com/products/856885200123-south-of-france-soap-bar-green-tea-6-oz")</f>
        <v/>
      </c>
      <c r="B564" s="2">
        <f>HYPERLINK("https://www.shelhealth.com/products/856885200123-south-of-france-soap-bar-green-tea-6-oz", "https://www.shelhealth.com/products/856885200123-south-of-france-soap-bar-green-tea-6-oz")</f>
        <v/>
      </c>
      <c r="C564" t="inlineStr">
        <is>
          <t>South Of France Soap Bar Green Tea, 6 Oz (Case of 4)</t>
        </is>
      </c>
      <c r="D564" t="inlineStr">
        <is>
          <t>South Of France French Milled Natural Bar Soap Green Tea, 6 Oz</t>
        </is>
      </c>
      <c r="E564" s="2">
        <f>HYPERLINK("https://www.amazon.com/SOUTH-FRANCE-Natural-Green-Soap/dp/B07PKX3XNC/ref=sr_1_6?keywords=South+Of+France+Soap+Bar+Green+Tea%2C+6+Oz+%28Case+of+4%29&amp;qid=1695170092&amp;sr=8-6", "https://www.amazon.com/SOUTH-FRANCE-Natural-Green-Soap/dp/B07PKX3XNC/ref=sr_1_6?keywords=South+Of+France+Soap+Bar+Green+Tea%2C+6+Oz+%28Case+of+4%29&amp;qid=1695170092&amp;sr=8-6")</f>
        <v/>
      </c>
      <c r="F564" t="inlineStr">
        <is>
          <t>B07PKX3XNC</t>
        </is>
      </c>
      <c r="G564">
        <f>_xludf.IMAGE("https://www.shelhealth.com/cdn/shop/files/south-of-france-soap-bar-green-tea-6-oz-case-4-beauty-body-care-shelhealth-818.jpg?v=1688533872&amp;width=1946")</f>
        <v/>
      </c>
      <c r="H564">
        <f>_xludf.IMAGE("https://m.media-amazon.com/images/I/614dVdSic+L._AC_UL320_.jpg")</f>
        <v/>
      </c>
      <c r="K564" t="inlineStr">
        <is>
          <t>17.99</t>
        </is>
      </c>
      <c r="L564" t="n">
        <v>6.53</v>
      </c>
      <c r="M564" s="1" t="inlineStr">
        <is>
          <t>-63.70%</t>
        </is>
      </c>
      <c r="N564" s="3" t="n">
        <v>-63.7</v>
      </c>
      <c r="O564" t="n">
        <v>2.9</v>
      </c>
      <c r="P564" t="n">
        <v>4</v>
      </c>
      <c r="R564" t="inlineStr">
        <is>
          <t>InStock</t>
        </is>
      </c>
      <c r="S564" t="inlineStr">
        <is>
          <t>17.99</t>
        </is>
      </c>
      <c r="T564" t="inlineStr">
        <is>
          <t>7242004660412</t>
        </is>
      </c>
    </row>
    <row r="565" hidden="1" ht="15.75" customHeight="1">
      <c r="A565" s="2">
        <f>HYPERLINK("https://www.shelhealth.com/products/856885200093-south-of-france-french-milled-oval-soap-lavender-fields-6-oz", "https://www.shelhealth.com/products/856885200093-south-of-france-french-milled-oval-soap-lavender-fields-6-oz")</f>
        <v/>
      </c>
      <c r="B565" s="2">
        <f>HYPERLINK("https://www.shelhealth.com/products/856885200093-south-of-france-french-milled-oval-soap-lavender-fields-6-oz", "https://www.shelhealth.com/products/856885200093-south-of-france-french-milled-oval-soap-lavender-fields-6-oz")</f>
        <v/>
      </c>
      <c r="C565" t="inlineStr">
        <is>
          <t>South Of France French Milled Oval Soap Lavender Fields, 6 Oz (Case of 4)</t>
        </is>
      </c>
      <c r="D565" t="inlineStr">
        <is>
          <t>French Milled Oval Soap Blooming Jasmine South of France 6 oz Bar Soap</t>
        </is>
      </c>
      <c r="E565" s="2">
        <f>HYPERLINK("https://www.amazon.com/French-Blooming-Jasmine-South-France/dp/B01ANJZWIW/ref=sr_1_10?keywords=South+Of+France+French+Milled+Oval+Soap+Lavender+Fields%2C+6+Oz+%28Case+of+4%29&amp;qid=1695170098&amp;sr=8-10", "https://www.amazon.com/French-Blooming-Jasmine-South-France/dp/B01ANJZWIW/ref=sr_1_10?keywords=South+Of+France+French+Milled+Oval+Soap+Lavender+Fields%2C+6+Oz+%28Case+of+4%29&amp;qid=1695170098&amp;sr=8-10")</f>
        <v/>
      </c>
      <c r="F565" t="inlineStr">
        <is>
          <t>B01ANJZWIW</t>
        </is>
      </c>
      <c r="G565">
        <f>_xludf.IMAGE("https://www.shelhealth.com/cdn/shop/files/south-of-france-french-milled-oval-soap-lavender-fields-6-oz-case-4-beauty-body-care-shelhealth-841.jpg?v=1688533617&amp;width=1946")</f>
        <v/>
      </c>
      <c r="H565">
        <f>_xludf.IMAGE("https://m.media-amazon.com/images/I/71OB7O+CuML._AC_UL320_.jpg")</f>
        <v/>
      </c>
      <c r="K565" t="inlineStr">
        <is>
          <t>17.99</t>
        </is>
      </c>
      <c r="L565" t="n">
        <v>6.27</v>
      </c>
      <c r="M565" s="1" t="inlineStr">
        <is>
          <t>-65.15%</t>
        </is>
      </c>
      <c r="N565" s="3" t="n">
        <v>-65.15000000000001</v>
      </c>
      <c r="O565" t="n">
        <v>4.1</v>
      </c>
      <c r="P565" t="n">
        <v>36</v>
      </c>
      <c r="R565" t="inlineStr">
        <is>
          <t>InStock</t>
        </is>
      </c>
      <c r="S565" t="inlineStr">
        <is>
          <t>17.99</t>
        </is>
      </c>
      <c r="T565" t="inlineStr">
        <is>
          <t>7242003677372</t>
        </is>
      </c>
    </row>
    <row r="566" hidden="1" ht="15.75" customHeight="1">
      <c r="A566" s="2">
        <f>HYPERLINK("https://www.shelhealth.com/products/856885200185-south-of-france-blooming-jasmine-bar-soap-6-oz", "https://www.shelhealth.com/products/856885200185-south-of-france-blooming-jasmine-bar-soap-6-oz")</f>
        <v/>
      </c>
      <c r="B566" s="2">
        <f>HYPERLINK("https://www.shelhealth.com/products/856885200185-south-of-france-blooming-jasmine-bar-soap-6-oz", "https://www.shelhealth.com/products/856885200185-south-of-france-blooming-jasmine-bar-soap-6-oz")</f>
        <v/>
      </c>
      <c r="C566" t="inlineStr">
        <is>
          <t>South Of France Blooming Jasmine Bar Soap, 6 Oz (Case of 4)</t>
        </is>
      </c>
      <c r="D566" t="inlineStr">
        <is>
          <t>French Milled Oval Soap Blooming Jasmine South of France 6 oz Bar Soap</t>
        </is>
      </c>
      <c r="E566" s="2">
        <f>HYPERLINK("https://www.amazon.com/French-Blooming-Jasmine-South-France/dp/B01ANJZWIW/ref=sr_1_9?keywords=South+Of+France+Blooming+Jasmine+Bar+Soap%2C+6+Oz+%28Case+of+4%29&amp;qid=1695170102&amp;sr=8-9", "https://www.amazon.com/French-Blooming-Jasmine-South-France/dp/B01ANJZWIW/ref=sr_1_9?keywords=South+Of+France+Blooming+Jasmine+Bar+Soap%2C+6+Oz+%28Case+of+4%29&amp;qid=1695170102&amp;sr=8-9")</f>
        <v/>
      </c>
      <c r="F566" t="inlineStr">
        <is>
          <t>B01ANJZWIW</t>
        </is>
      </c>
      <c r="G566">
        <f>_xludf.IMAGE("https://www.shelhealth.com/cdn/shop/files/south-of-france-blooming-jasmine-bar-soap-6-oz-case-4-beauty-body-care-shelhealth-852.jpg?v=1688533742&amp;width=1946")</f>
        <v/>
      </c>
      <c r="H566">
        <f>_xludf.IMAGE("https://m.media-amazon.com/images/I/71OB7O+CuML._AC_UL320_.jpg")</f>
        <v/>
      </c>
      <c r="K566" t="inlineStr">
        <is>
          <t>17.99</t>
        </is>
      </c>
      <c r="L566" t="n">
        <v>6.27</v>
      </c>
      <c r="M566" s="1" t="inlineStr">
        <is>
          <t>-65.15%</t>
        </is>
      </c>
      <c r="N566" s="3" t="n">
        <v>-65.15000000000001</v>
      </c>
      <c r="O566" t="n">
        <v>4.1</v>
      </c>
      <c r="P566" t="n">
        <v>36</v>
      </c>
      <c r="R566" t="inlineStr">
        <is>
          <t>InStock</t>
        </is>
      </c>
      <c r="S566" t="inlineStr">
        <is>
          <t>17.99</t>
        </is>
      </c>
      <c r="T566" t="inlineStr">
        <is>
          <t>7242003611836</t>
        </is>
      </c>
    </row>
    <row r="567" hidden="1" ht="15.75" customHeight="1">
      <c r="A567" s="2">
        <f>HYPERLINK("https://www.shelhealth.com/products/856885200802-south-of-france-hand-wash-shea-butter-8-oz", "https://www.shelhealth.com/products/856885200802-south-of-france-hand-wash-shea-butter-8-oz")</f>
        <v/>
      </c>
      <c r="B567" s="2">
        <f>HYPERLINK("https://www.shelhealth.com/products/856885200802-south-of-france-hand-wash-shea-butter-8-oz", "https://www.shelhealth.com/products/856885200802-south-of-france-hand-wash-shea-butter-8-oz")</f>
        <v/>
      </c>
      <c r="C567" t="inlineStr">
        <is>
          <t>SOUTH OF FRANCE Hand Wash Shea Butter, 8 oz (Case of 4)</t>
        </is>
      </c>
      <c r="D567" t="inlineStr">
        <is>
          <t>South of France, Shea Butter, Hand Wash with Soothing Aloe Vera, 8 oz (236 ml) (Pack of 2)</t>
        </is>
      </c>
      <c r="E567" s="2">
        <f>HYPERLINK("https://www.amazon.com/South-France-Shea-Butter-Soothing/dp/B00VRRPLIG/ref=sr_1_1?keywords=SOUTH+OF+FRANCE+Hand+Wash+Shea+Butter%2C+8+oz+%28Case+of+4%29&amp;qid=1695170112&amp;sr=8-1", "https://www.amazon.com/South-France-Shea-Butter-Soothing/dp/B00VRRPLIG/ref=sr_1_1?keywords=SOUTH+OF+FRANCE+Hand+Wash+Shea+Butter%2C+8+oz+%28Case+of+4%29&amp;qid=1695170112&amp;sr=8-1")</f>
        <v/>
      </c>
      <c r="F567" t="inlineStr">
        <is>
          <t>B00VRRPLIG</t>
        </is>
      </c>
      <c r="G567">
        <f>_xludf.IMAGE("https://www.shelhealth.com/cdn/shop/files/south-of-france-hand-wash-shea-butter-8-oz-case-4-beauty-body-care-shelhealth-774.jpg?v=1688718634&amp;width=1946")</f>
        <v/>
      </c>
      <c r="H567">
        <f>_xludf.IMAGE("https://m.media-amazon.com/images/I/71AOId8r8bL._AC_UL320_.jpg")</f>
        <v/>
      </c>
      <c r="K567" t="inlineStr">
        <is>
          <t>17.99</t>
        </is>
      </c>
      <c r="L567" t="n">
        <v>6.26</v>
      </c>
      <c r="M567" s="1" t="inlineStr">
        <is>
          <t>-65.20%</t>
        </is>
      </c>
      <c r="N567" s="3" t="n">
        <v>-65.2</v>
      </c>
      <c r="O567" t="n">
        <v>5</v>
      </c>
      <c r="P567" t="n">
        <v>1</v>
      </c>
      <c r="R567" t="inlineStr">
        <is>
          <t>OutOfStock</t>
        </is>
      </c>
      <c r="S567" t="inlineStr">
        <is>
          <t>17.99</t>
        </is>
      </c>
      <c r="T567" t="inlineStr">
        <is>
          <t>7574301311208</t>
        </is>
      </c>
    </row>
    <row r="568" hidden="1" ht="15.75" customHeight="1">
      <c r="A568" s="2">
        <f>HYPERLINK("https://www.shelhealth.com/products/856885200390-south-of-france-cherry-blossom-soap-bar-6-oz", "https://www.shelhealth.com/products/856885200390-south-of-france-cherry-blossom-soap-bar-6-oz")</f>
        <v/>
      </c>
      <c r="B568" s="2">
        <f>HYPERLINK("https://www.shelhealth.com/products/856885200390-south-of-france-cherry-blossom-soap-bar-6-oz", "https://www.shelhealth.com/products/856885200390-south-of-france-cherry-blossom-soap-bar-6-oz")</f>
        <v/>
      </c>
      <c r="C568" t="inlineStr">
        <is>
          <t>SOUTH OF FRANCE Cherry Blossom Soap Bar, 6 oz (Case of 4)</t>
        </is>
      </c>
      <c r="D568" t="inlineStr">
        <is>
          <t>South of France Natural Body Care Triple Milled Large 6OZ Bar Soap (Cherry Blossom, 1 Bar)</t>
        </is>
      </c>
      <c r="E568" s="2">
        <f>HYPERLINK("https://www.amazon.com/Cherry-Blossom-France-Natural-Triple/dp/B07PLKDQFC/ref=sr_1_2?keywords=SOUTH+OF+FRANCE+Cherry+Blossom+Soap+Bar%2C+6+oz+%28Case+of+4%29&amp;qid=1695170117&amp;sr=8-2", "https://www.amazon.com/Cherry-Blossom-France-Natural-Triple/dp/B07PLKDQFC/ref=sr_1_2?keywords=SOUTH+OF+FRANCE+Cherry+Blossom+Soap+Bar%2C+6+oz+%28Case+of+4%29&amp;qid=1695170117&amp;sr=8-2")</f>
        <v/>
      </c>
      <c r="F568" t="inlineStr">
        <is>
          <t>B07PLKDQFC</t>
        </is>
      </c>
      <c r="G568">
        <f>_xludf.IMAGE("https://www.shelhealth.com/cdn/shop/files/south-of-france-cherry-blossom-soap-bar-6-oz-case-4-beauty-body-care-shelhealth-140.jpg?v=1688718643&amp;width=1946")</f>
        <v/>
      </c>
      <c r="H568">
        <f>_xludf.IMAGE("https://m.media-amazon.com/images/I/8161uoqWj-L._AC_UL320_.jpg")</f>
        <v/>
      </c>
      <c r="K568" t="inlineStr">
        <is>
          <t>17.99</t>
        </is>
      </c>
      <c r="L568" t="n">
        <v>6.06</v>
      </c>
      <c r="M568" s="1" t="inlineStr">
        <is>
          <t>-66.31%</t>
        </is>
      </c>
      <c r="N568" s="3" t="n">
        <v>-66.31</v>
      </c>
      <c r="O568" t="n">
        <v>4.4</v>
      </c>
      <c r="P568" t="n">
        <v>559</v>
      </c>
      <c r="R568" t="inlineStr">
        <is>
          <t>InStock</t>
        </is>
      </c>
      <c r="S568" t="inlineStr">
        <is>
          <t>17.99</t>
        </is>
      </c>
      <c r="T568" t="inlineStr">
        <is>
          <t>7574301016296</t>
        </is>
      </c>
    </row>
    <row r="569" hidden="1" ht="15.75" customHeight="1">
      <c r="A569" s="2">
        <f>HYPERLINK("https://www.shelhealth.com/products/dial-gold-antibacterial-bar-soap-22-ct-4-oz", "https://www.shelhealth.com/products/dial-gold-antibacterial-bar-soap-22-ct-4-oz")</f>
        <v/>
      </c>
      <c r="B569" s="2">
        <f>HYPERLINK("https://www.shelhealth.com/products/dial-gold-antibacterial-bar-soap-22-ct-4-oz", "https://www.shelhealth.com/products/dial-gold-antibacterial-bar-soap-22-ct-4-oz")</f>
        <v/>
      </c>
      <c r="C569" t="inlineStr">
        <is>
          <t>Dial Gold Antibacterial Bar Soap, 22 ct./4 oz.</t>
        </is>
      </c>
      <c r="D569" t="inlineStr">
        <is>
          <t>Dial Gold Antibacterial Deodorant Bar Soap, 4 Ounce, 2 Count</t>
        </is>
      </c>
      <c r="E569" s="2">
        <f>HYPERLINK("https://www.amazon.com/Gold-Antibacterial-Deodorant-Ounce-Count/dp/B00DE0D1KY/ref=sr_1_1?keywords=Dial+Gold+Antibacterial+Bar+Soap%2C+22+ct.%2F4+oz.&amp;qid=1695170040&amp;sr=8-1", "https://www.amazon.com/Gold-Antibacterial-Deodorant-Ounce-Count/dp/B00DE0D1KY/ref=sr_1_1?keywords=Dial+Gold+Antibacterial+Bar+Soap%2C+22+ct.%2F4+oz.&amp;qid=1695170040&amp;sr=8-1")</f>
        <v/>
      </c>
      <c r="F569" t="inlineStr">
        <is>
          <t>B00DE0D1KY</t>
        </is>
      </c>
      <c r="G569">
        <f>_xludf.IMAGE("https://www.shelhealth.com/cdn/shop/products/dial-gold-antibacterial-bar-soap-22-ct-4-oz-shelhealth-711.jpg?v=1663354241&amp;width=1946")</f>
        <v/>
      </c>
      <c r="H569">
        <f>_xludf.IMAGE("https://m.media-amazon.com/images/I/71lrby+5hVL._AC_UL320_.jpg")</f>
        <v/>
      </c>
      <c r="K569" t="inlineStr">
        <is>
          <t>19.99</t>
        </is>
      </c>
      <c r="L569" t="n">
        <v>6.66</v>
      </c>
      <c r="M569" s="1" t="inlineStr">
        <is>
          <t>-66.68%</t>
        </is>
      </c>
      <c r="N569" s="3" t="n">
        <v>-66.68000000000001</v>
      </c>
      <c r="O569" t="n">
        <v>4.4</v>
      </c>
      <c r="P569" t="n">
        <v>491</v>
      </c>
      <c r="R569" t="inlineStr">
        <is>
          <t>OutOfStock</t>
        </is>
      </c>
      <c r="S569" t="inlineStr">
        <is>
          <t>19.99</t>
        </is>
      </c>
      <c r="T569" t="inlineStr">
        <is>
          <t>4167534379060</t>
        </is>
      </c>
    </row>
    <row r="570" hidden="1" ht="15.75" customHeight="1">
      <c r="A570" s="2">
        <f>HYPERLINK("https://www.shelhealth.com/products/a-care-3-layer-ear-loop-disposable-face-mask-50-pcs", "https://www.shelhealth.com/products/a-care-3-layer-ear-loop-disposable-face-mask-50-pcs")</f>
        <v/>
      </c>
      <c r="B570" s="2">
        <f>HYPERLINK("https://www.shelhealth.com/products/a-care-3-layer-ear-loop-disposable-face-mask-50-pcs", "https://www.shelhealth.com/products/a-care-3-layer-ear-loop-disposable-face-mask-50-pcs")</f>
        <v/>
      </c>
      <c r="C570" t="inlineStr">
        <is>
          <t>A Care 3-Layer Ear Loop Disposable Face Mask, 50 Pcs.</t>
        </is>
      </c>
      <c r="D570" t="inlineStr">
        <is>
          <t>Made in USA, Disposable Face Mask 50 Pcs, 3-Ply, Comfort elastic earloop band, Personal protection</t>
        </is>
      </c>
      <c r="E570" s="2">
        <f>HYPERLINK("https://www.amazon.com/Disposable-Comfort-elastic-Personal-protection/dp/B08L1DBQGY/ref=sr_1_9?keywords=A+Care+3-Layer+Ear+Loop+Disposable+Face+Mask%2C+50+Pcs.&amp;qid=1695170045&amp;sr=8-9", "https://www.amazon.com/Disposable-Comfort-elastic-Personal-protection/dp/B08L1DBQGY/ref=sr_1_9?keywords=A+Care+3-Layer+Ear+Loop+Disposable+Face+Mask%2C+50+Pcs.&amp;qid=1695170045&amp;sr=8-9")</f>
        <v/>
      </c>
      <c r="F570" t="inlineStr">
        <is>
          <t>B08L1DBQGY</t>
        </is>
      </c>
      <c r="G570">
        <f>_xludf.IMAGE("https://www.shelhealth.com/cdn/shop/products/a-care-3-layer-ear-loop-disposable-face-mask-50-pcs-shelhealth-812.jpg?v=1663372428&amp;width=1946")</f>
        <v/>
      </c>
      <c r="H570">
        <f>_xludf.IMAGE("https://m.media-amazon.com/images/I/61igAW+ZOqL._AC_UY218_.jpg")</f>
        <v/>
      </c>
      <c r="K570" t="inlineStr">
        <is>
          <t>38.99</t>
        </is>
      </c>
      <c r="L570" t="n">
        <v>12.95</v>
      </c>
      <c r="M570" s="1" t="inlineStr">
        <is>
          <t>-66.79%</t>
        </is>
      </c>
      <c r="N570" s="3" t="n">
        <v>-66.79000000000001</v>
      </c>
      <c r="O570" t="n">
        <v>4.4</v>
      </c>
      <c r="P570" t="n">
        <v>677</v>
      </c>
      <c r="R570" t="inlineStr">
        <is>
          <t>OutOfStock</t>
        </is>
      </c>
      <c r="S570" t="inlineStr">
        <is>
          <t>38.99</t>
        </is>
      </c>
      <c r="T570" t="inlineStr">
        <is>
          <t>4692421148761</t>
        </is>
      </c>
    </row>
    <row r="571" hidden="1" ht="15.75" customHeight="1">
      <c r="A571" s="2">
        <f>HYPERLINK("https://www.shelhealth.com/products/856885200130-south-of-france-french-milled-oval-soap-almond-gourmande-6-oz", "https://www.shelhealth.com/products/856885200130-south-of-france-french-milled-oval-soap-almond-gourmande-6-oz")</f>
        <v/>
      </c>
      <c r="B571" s="2">
        <f>HYPERLINK("https://www.shelhealth.com/products/856885200130-south-of-france-french-milled-oval-soap-almond-gourmande-6-oz", "https://www.shelhealth.com/products/856885200130-south-of-france-french-milled-oval-soap-almond-gourmande-6-oz")</f>
        <v/>
      </c>
      <c r="C571" t="inlineStr">
        <is>
          <t>South Of France French Milled Oval Soap Almond Gourmande, 6 Oz (Case of 4)</t>
        </is>
      </c>
      <c r="D571" t="inlineStr">
        <is>
          <t>South Of France French Milled Vegetable Bar Soap, Almond Gourmande, 6 Oz</t>
        </is>
      </c>
      <c r="E571" s="2">
        <f>HYPERLINK("https://www.amazon.com/South-France-Natural-Almond-Gourmande/dp/B0143LGBL8/ref=sr_1_4?keywords=South+Of+France+French+Milled+Oval+Soap+Almond+Gourmande%2C+6+Oz+%28Case+of+4%29&amp;qid=1695170102&amp;sr=8-4", "https://www.amazon.com/South-France-Natural-Almond-Gourmande/dp/B0143LGBL8/ref=sr_1_4?keywords=South+Of+France+French+Milled+Oval+Soap+Almond+Gourmande%2C+6+Oz+%28Case+of+4%29&amp;qid=1695170102&amp;sr=8-4")</f>
        <v/>
      </c>
      <c r="F571" t="inlineStr">
        <is>
          <t>B0143LGBL8</t>
        </is>
      </c>
      <c r="G571">
        <f>_xludf.IMAGE("https://www.shelhealth.com/cdn/shop/files/south-of-france-french-milled-oval-soap-almond-gourmande-6-oz-case-4-beauty-body-care-shelhealth-660.jpg?v=1688533752&amp;width=1946")</f>
        <v/>
      </c>
      <c r="H571">
        <f>_xludf.IMAGE("https://m.media-amazon.com/images/I/71YMGbkd0DL._AC_UL320_.jpg")</f>
        <v/>
      </c>
      <c r="K571" t="inlineStr">
        <is>
          <t>17.99</t>
        </is>
      </c>
      <c r="L571" t="n">
        <v>5.88</v>
      </c>
      <c r="M571" s="1" t="inlineStr">
        <is>
          <t>-67.32%</t>
        </is>
      </c>
      <c r="N571" s="3" t="n">
        <v>-67.31999999999999</v>
      </c>
      <c r="O571" t="n">
        <v>3.6</v>
      </c>
      <c r="P571" t="n">
        <v>14</v>
      </c>
      <c r="R571" t="inlineStr">
        <is>
          <t>InStock</t>
        </is>
      </c>
      <c r="S571" t="inlineStr">
        <is>
          <t>17.99</t>
        </is>
      </c>
      <c r="T571" t="inlineStr">
        <is>
          <t>7242003644604</t>
        </is>
      </c>
    </row>
    <row r="572" hidden="1" ht="15.75" customHeight="1">
      <c r="A572" s="2">
        <f>HYPERLINK("https://www.shelhealth.com/products/dial-gold-antibacterial-bar-soap-22-ct-4-oz", "https://www.shelhealth.com/products/dial-gold-antibacterial-bar-soap-22-ct-4-oz")</f>
        <v/>
      </c>
      <c r="B572" s="2">
        <f>HYPERLINK("https://www.shelhealth.com/products/dial-gold-antibacterial-bar-soap-22-ct-4-oz", "https://www.shelhealth.com/products/dial-gold-antibacterial-bar-soap-22-ct-4-oz")</f>
        <v/>
      </c>
      <c r="C572" t="inlineStr">
        <is>
          <t>Dial Gold Antibacterial Bar Soap, 22 ct./4 oz.</t>
        </is>
      </c>
      <c r="D572" t="inlineStr">
        <is>
          <t>Dial Antibacterial Bar Soap, Gold, 4 Ounce - 8 Bars</t>
        </is>
      </c>
      <c r="E572" s="2">
        <f>HYPERLINK("https://www.amazon.com/Dial-Antibacterial-Soap-Ounce-Count/dp/B000VB0C6K/ref=sr_1_4?keywords=Dial+Gold+Antibacterial+Bar+Soap%2C+22+ct.%2F4+oz.&amp;qid=1695170040&amp;sr=8-4", "https://www.amazon.com/Dial-Antibacterial-Soap-Ounce-Count/dp/B000VB0C6K/ref=sr_1_4?keywords=Dial+Gold+Antibacterial+Bar+Soap%2C+22+ct.%2F4+oz.&amp;qid=1695170040&amp;sr=8-4")</f>
        <v/>
      </c>
      <c r="F572" t="inlineStr">
        <is>
          <t>B000VB0C6K</t>
        </is>
      </c>
      <c r="G572">
        <f>_xludf.IMAGE("https://www.shelhealth.com/cdn/shop/products/dial-gold-antibacterial-bar-soap-22-ct-4-oz-shelhealth-711.jpg?v=1663354241&amp;width=1946")</f>
        <v/>
      </c>
      <c r="H572">
        <f>_xludf.IMAGE("https://m.media-amazon.com/images/I/81gbgVAIP+L._AC_UL320_.jpg")</f>
        <v/>
      </c>
      <c r="K572" t="inlineStr">
        <is>
          <t>19.99</t>
        </is>
      </c>
      <c r="L572" t="n">
        <v>6.47</v>
      </c>
      <c r="M572" s="1" t="inlineStr">
        <is>
          <t>-67.63%</t>
        </is>
      </c>
      <c r="N572" s="3" t="n">
        <v>-67.63</v>
      </c>
      <c r="O572" t="n">
        <v>4.8</v>
      </c>
      <c r="P572" t="n">
        <v>17091</v>
      </c>
      <c r="R572" t="inlineStr">
        <is>
          <t>OutOfStock</t>
        </is>
      </c>
      <c r="S572" t="inlineStr">
        <is>
          <t>19.99</t>
        </is>
      </c>
      <c r="T572" t="inlineStr">
        <is>
          <t>4167534379060</t>
        </is>
      </c>
    </row>
    <row r="573" hidden="1" ht="15.75" customHeight="1">
      <c r="A573" s="2">
        <f>HYPERLINK("https://www.shelhealth.com/products/dove-purely-pampering-shea-butter-beauty-bar-16-ct-4-oz", "https://www.shelhealth.com/products/dove-purely-pampering-shea-butter-beauty-bar-16-ct-4-oz")</f>
        <v/>
      </c>
      <c r="B573" s="2">
        <f>HYPERLINK("https://www.shelhealth.com/products/dove-purely-pampering-shea-butter-beauty-bar-16-ct-4-oz", "https://www.shelhealth.com/products/dove-purely-pampering-shea-butter-beauty-bar-16-ct-4-oz")</f>
        <v/>
      </c>
      <c r="C573" t="inlineStr">
        <is>
          <t>Dove Purely Pampering Shea Butter Beauty Bar, 16 ct./4 oz.</t>
        </is>
      </c>
      <c r="D573" t="inlineStr">
        <is>
          <t>Dove Purely Pampering Shea Butter Beauty Bar, 4 oz, 2 Bar</t>
        </is>
      </c>
      <c r="E573" s="2">
        <f>HYPERLINK("https://www.amazon.com/Dove-Purely-Pampering-Butter-Beauty/dp/B0094BP7W2/ref=sr_1_2?keywords=Dove+Purely+Pampering+Shea+Butter+Beauty+Bar%2C+16+ct.%2F4+oz.&amp;qid=1695170047&amp;sr=8-2", "https://www.amazon.com/Dove-Purely-Pampering-Butter-Beauty/dp/B0094BP7W2/ref=sr_1_2?keywords=Dove+Purely+Pampering+Shea+Butter+Beauty+Bar%2C+16+ct.%2F4+oz.&amp;qid=1695170047&amp;sr=8-2")</f>
        <v/>
      </c>
      <c r="F573" t="inlineStr">
        <is>
          <t>B0094BP7W2</t>
        </is>
      </c>
      <c r="G573">
        <f>_xludf.IMAGE("https://www.shelhealth.com/cdn/shop/products/dove-purely-pampering-shea-butter-beauty-bar-16-ct-4-oz-shelhealth-401.jpg?v=1663354627&amp;width=1946")</f>
        <v/>
      </c>
      <c r="H573">
        <f>_xludf.IMAGE("https://m.media-amazon.com/images/I/61x8jNbgVWL._AC_UL320_.jpg")</f>
        <v/>
      </c>
      <c r="K573" t="inlineStr">
        <is>
          <t>23.99</t>
        </is>
      </c>
      <c r="L573" t="n">
        <v>7.14</v>
      </c>
      <c r="M573" s="1" t="inlineStr">
        <is>
          <t>-70.24%</t>
        </is>
      </c>
      <c r="N573" s="3" t="n">
        <v>-70.23999999999999</v>
      </c>
      <c r="O573" t="n">
        <v>4.6</v>
      </c>
      <c r="P573" t="n">
        <v>161</v>
      </c>
      <c r="R573" t="inlineStr">
        <is>
          <t>InStock</t>
        </is>
      </c>
      <c r="S573" t="inlineStr">
        <is>
          <t>23.99</t>
        </is>
      </c>
      <c r="T573" t="inlineStr">
        <is>
          <t>4167683506228</t>
        </is>
      </c>
    </row>
    <row r="574" hidden="1" ht="15.75" customHeight="1">
      <c r="A574" s="2">
        <f>HYPERLINK("https://www.shelhealth.com/products/856885200116-south-of-france-french-milled-oval-soap-lemon-verbena-6-oz", "https://www.shelhealth.com/products/856885200116-south-of-france-french-milled-oval-soap-lemon-verbena-6-oz")</f>
        <v/>
      </c>
      <c r="B574" s="2">
        <f>HYPERLINK("https://www.shelhealth.com/products/856885200116-south-of-france-french-milled-oval-soap-lemon-verbena-6-oz", "https://www.shelhealth.com/products/856885200116-south-of-france-french-milled-oval-soap-lemon-verbena-6-oz")</f>
        <v/>
      </c>
      <c r="C574" t="inlineStr">
        <is>
          <t>South Of France French Milled Oval Soap Lemon Verbena, 6 Oz (Case of 4)</t>
        </is>
      </c>
      <c r="D574" t="inlineStr">
        <is>
          <t>South Of France French Milled Vegetable Bar Soap Lemon Verbena, 6 Oz</t>
        </is>
      </c>
      <c r="E574" s="2">
        <f>HYPERLINK("https://www.amazon.com/SOUTH-FRANCE-Lemon-Verbena-Pound/dp/B0143LGCKS/ref=sr_1_1?keywords=South+Of+France+French+Milled+Oval+Soap+Lemon+Verbena%2C+6+Oz+%28Case+of+4%29&amp;qid=1695170096&amp;sr=8-1", "https://www.amazon.com/SOUTH-FRANCE-Lemon-Verbena-Pound/dp/B0143LGCKS/ref=sr_1_1?keywords=South+Of+France+French+Milled+Oval+Soap+Lemon+Verbena%2C+6+Oz+%28Case+of+4%29&amp;qid=1695170096&amp;sr=8-1")</f>
        <v/>
      </c>
      <c r="F574" t="inlineStr">
        <is>
          <t>B0143LGCKS</t>
        </is>
      </c>
      <c r="G574">
        <f>_xludf.IMAGE("https://www.shelhealth.com/cdn/shop/files/south-of-france-french-milled-oval-soap-lemon-verbena-6-oz-case-4-beauty-body-care-shelhealth-349.jpg?v=1688533629&amp;width=1946")</f>
        <v/>
      </c>
      <c r="H574">
        <f>_xludf.IMAGE("https://m.media-amazon.com/images/I/61975aZFiYL._AC_UL320_.jpg")</f>
        <v/>
      </c>
      <c r="K574" t="inlineStr">
        <is>
          <t>17.99</t>
        </is>
      </c>
      <c r="L574" t="n">
        <v>4.99</v>
      </c>
      <c r="M574" s="1" t="inlineStr">
        <is>
          <t>-72.26%</t>
        </is>
      </c>
      <c r="N574" s="3" t="n">
        <v>-72.26000000000001</v>
      </c>
      <c r="O574" t="n">
        <v>4.2</v>
      </c>
      <c r="P574" t="n">
        <v>17</v>
      </c>
      <c r="R574" t="inlineStr">
        <is>
          <t>InStock</t>
        </is>
      </c>
      <c r="S574" t="inlineStr">
        <is>
          <t>17.99</t>
        </is>
      </c>
      <c r="T574" t="inlineStr">
        <is>
          <t>7242003808444</t>
        </is>
      </c>
    </row>
    <row r="575" hidden="1" ht="15.75" customHeight="1">
      <c r="A575" s="2">
        <f>HYPERLINK("https://www.shelhealth.com/products/a-care-3-layer-ear-loop-disposable-face-mask-50-pcs", "https://www.shelhealth.com/products/a-care-3-layer-ear-loop-disposable-face-mask-50-pcs")</f>
        <v/>
      </c>
      <c r="B575" s="2">
        <f>HYPERLINK("https://www.shelhealth.com/products/a-care-3-layer-ear-loop-disposable-face-mask-50-pcs", "https://www.shelhealth.com/products/a-care-3-layer-ear-loop-disposable-face-mask-50-pcs")</f>
        <v/>
      </c>
      <c r="C575" t="inlineStr">
        <is>
          <t>A Care 3-Layer Ear Loop Disposable Face Mask, 50 Pcs.</t>
        </is>
      </c>
      <c r="D575" t="inlineStr">
        <is>
          <t>SoneBot Christmas Printed Kids Face_Mask, Disposable Personal Protective 3 Layers Ear loop Face Balaclava for Kids 50PC</t>
        </is>
      </c>
      <c r="E575" s="2">
        <f>HYPERLINK("https://www.amazon.com/SoneBot-Halloween-Disposable-Protective-AA-Multicolor/dp/B09DP38GVQ/ref=sr_1_6?keywords=A+Care+3-Layer+Ear+Loop+Disposable+Face+Mask%2C+50+Pcs.&amp;qid=1695170045&amp;sr=8-6", "https://www.amazon.com/SoneBot-Halloween-Disposable-Protective-AA-Multicolor/dp/B09DP38GVQ/ref=sr_1_6?keywords=A+Care+3-Layer+Ear+Loop+Disposable+Face+Mask%2C+50+Pcs.&amp;qid=1695170045&amp;sr=8-6")</f>
        <v/>
      </c>
      <c r="F575" t="inlineStr">
        <is>
          <t>B09DP38GVQ</t>
        </is>
      </c>
      <c r="G575">
        <f>_xludf.IMAGE("https://www.shelhealth.com/cdn/shop/products/a-care-3-layer-ear-loop-disposable-face-mask-50-pcs-shelhealth-812.jpg?v=1663372428&amp;width=1946")</f>
        <v/>
      </c>
      <c r="H575">
        <f>_xludf.IMAGE("https://m.media-amazon.com/images/I/715sAaTZXeL._AC_UY218_.jpg")</f>
        <v/>
      </c>
      <c r="K575" t="inlineStr">
        <is>
          <t>38.99</t>
        </is>
      </c>
      <c r="L575" t="n">
        <v>10.69</v>
      </c>
      <c r="M575" s="1" t="inlineStr">
        <is>
          <t>-72.58%</t>
        </is>
      </c>
      <c r="N575" s="3" t="n">
        <v>-72.58</v>
      </c>
      <c r="O575" t="n">
        <v>4.6</v>
      </c>
      <c r="P575" t="n">
        <v>11</v>
      </c>
      <c r="R575" t="inlineStr">
        <is>
          <t>OutOfStock</t>
        </is>
      </c>
      <c r="S575" t="inlineStr">
        <is>
          <t>38.99</t>
        </is>
      </c>
      <c r="T575" t="inlineStr">
        <is>
          <t>4692421148761</t>
        </is>
      </c>
    </row>
    <row r="576" hidden="1" ht="15.75" customHeight="1">
      <c r="A576" s="2">
        <f>HYPERLINK("https://www.shelhealth.com/products/a-care-disposable-face-shield-10-pack", "https://www.shelhealth.com/products/a-care-disposable-face-shield-10-pack")</f>
        <v/>
      </c>
      <c r="B576" s="2">
        <f>HYPERLINK("https://www.shelhealth.com/products/a-care-disposable-face-shield-10-pack", "https://www.shelhealth.com/products/a-care-disposable-face-shield-10-pack")</f>
        <v/>
      </c>
      <c r="C576" t="inlineStr">
        <is>
          <t>A Care Disposable Face Shield, 10 Pack.</t>
        </is>
      </c>
      <c r="D576" t="inlineStr">
        <is>
          <t>10 Pcs Protective Clear Safety Face Shields - Spit, Splash And Splatter Protection. Plastic Face Shields For Men, Full Face Shield, Clear Face Shield With Elastic Headband. Disposable Face Shield</t>
        </is>
      </c>
      <c r="E576" s="2">
        <f>HYPERLINK("https://www.amazon.com/Protective-Clear-Safety-Face-Shields/dp/B086WNG2HM/ref=sr_1_3?keywords=A+Care+Disposable+Face+Shield%2C+10+Pack.&amp;qid=1695170142&amp;sr=8-3", "https://www.amazon.com/Protective-Clear-Safety-Face-Shields/dp/B086WNG2HM/ref=sr_1_3?keywords=A+Care+Disposable+Face+Shield%2C+10+Pack.&amp;qid=1695170142&amp;sr=8-3")</f>
        <v/>
      </c>
      <c r="F576" t="inlineStr">
        <is>
          <t>B086WNG2HM</t>
        </is>
      </c>
      <c r="G576">
        <f>_xludf.IMAGE("https://www.shelhealth.com/cdn/shop/products/a-care-disposable-face-shield-10-pack-shelhealth-281.jpg?v=1663373450&amp;width=1946")</f>
        <v/>
      </c>
      <c r="H576">
        <f>_xludf.IMAGE("https://m.media-amazon.com/images/I/71tvLCeJkxL._AC_UY218_.jpg")</f>
        <v/>
      </c>
      <c r="K576" t="inlineStr">
        <is>
          <t>43.99</t>
        </is>
      </c>
      <c r="L576" t="n">
        <v>11.99</v>
      </c>
      <c r="M576" s="1" t="inlineStr">
        <is>
          <t>-72.74%</t>
        </is>
      </c>
      <c r="N576" s="3" t="n">
        <v>-72.73999999999999</v>
      </c>
      <c r="O576" t="n">
        <v>4.2</v>
      </c>
      <c r="P576" t="n">
        <v>150</v>
      </c>
      <c r="R576" t="inlineStr">
        <is>
          <t>OutOfStock</t>
        </is>
      </c>
      <c r="S576" t="inlineStr">
        <is>
          <t>43.99</t>
        </is>
      </c>
      <c r="T576" t="inlineStr">
        <is>
          <t>4706392506457</t>
        </is>
      </c>
    </row>
    <row r="577" hidden="1" ht="15.75" customHeight="1">
      <c r="A577" s="2">
        <f>HYPERLINK("https://www.shelhealth.com/products/bask-clear-vinyl-disposable-gloves-100-gloves", "https://www.shelhealth.com/products/bask-clear-vinyl-disposable-gloves-100-gloves")</f>
        <v/>
      </c>
      <c r="B577" s="2">
        <f>HYPERLINK("https://www.shelhealth.com/products/bask-clear-vinyl-disposable-gloves-100-gloves", "https://www.shelhealth.com/products/bask-clear-vinyl-disposable-gloves-100-gloves")</f>
        <v/>
      </c>
      <c r="C577" t="inlineStr">
        <is>
          <t>Bask Clear Vinyl Disposable Gloves, 100 Gloves</t>
        </is>
      </c>
      <c r="D577" t="inlineStr">
        <is>
          <t>Comfy Package [100 Pack] Clear Powder Free Vinyl Disposable Plastic Gloves</t>
        </is>
      </c>
      <c r="E577" s="2">
        <f>HYPERLINK("https://www.amazon.com/Clear-Powder-Disposable-Plastic-Gloves/dp/B07N1SZ6FH/ref=sr_1_8?keywords=Bask+Clear+Vinyl+Disposable+Gloves%2C+100+Gloves&amp;qid=1695170141&amp;sr=8-8", "https://www.amazon.com/Clear-Powder-Disposable-Plastic-Gloves/dp/B07N1SZ6FH/ref=sr_1_8?keywords=Bask+Clear+Vinyl+Disposable+Gloves%2C+100+Gloves&amp;qid=1695170141&amp;sr=8-8")</f>
        <v/>
      </c>
      <c r="F577" t="inlineStr">
        <is>
          <t>B07N1SZ6FH</t>
        </is>
      </c>
      <c r="G577">
        <f>_xludf.IMAGE("https://www.shelhealth.com/cdn/shop/products/bask-clear-vinyl-disposable-gloves-100-shelhealth-783.jpg?v=1663374232&amp;width=1946")</f>
        <v/>
      </c>
      <c r="H577">
        <f>_xludf.IMAGE("https://m.media-amazon.com/images/I/71K2Yhvz9-L._AC_UL320_.jpg")</f>
        <v/>
      </c>
      <c r="K577" t="inlineStr">
        <is>
          <t>21.99</t>
        </is>
      </c>
      <c r="L577" t="n">
        <v>5.99</v>
      </c>
      <c r="M577" s="1" t="inlineStr">
        <is>
          <t>-72.76%</t>
        </is>
      </c>
      <c r="N577" s="3" t="n">
        <v>-72.76000000000001</v>
      </c>
      <c r="O577" t="n">
        <v>4.5</v>
      </c>
      <c r="P577" t="n">
        <v>14379</v>
      </c>
      <c r="R577" t="inlineStr">
        <is>
          <t>InStock</t>
        </is>
      </c>
      <c r="S577" t="inlineStr">
        <is>
          <t>21.99</t>
        </is>
      </c>
      <c r="T577" t="inlineStr">
        <is>
          <t>4713271525465</t>
        </is>
      </c>
    </row>
    <row r="578" hidden="1" ht="15.75" customHeight="1">
      <c r="A578" s="2">
        <f>HYPERLINK("https://www.shelhealth.com/products/81738373062-shikai-very-clean-liquid-hand-soap-lavender-12-oz", "https://www.shelhealth.com/products/81738373062-shikai-very-clean-liquid-hand-soap-lavender-12-oz")</f>
        <v/>
      </c>
      <c r="B578" s="2">
        <f>HYPERLINK("https://www.shelhealth.com/products/81738373062-shikai-very-clean-liquid-hand-soap-lavender-12-oz", "https://www.shelhealth.com/products/81738373062-shikai-very-clean-liquid-hand-soap-lavender-12-oz")</f>
        <v/>
      </c>
      <c r="C578" t="inlineStr">
        <is>
          <t>SHIKAI Very Clean Liquid Hand Soap Lavender, 12 oz (Case of 4)</t>
        </is>
      </c>
      <c r="D578" t="inlineStr">
        <is>
          <t>ShiKai - Very Clean Liquid Hand Soap, Removes Tough Grease &amp;amp; Dirt Yet Very Gentle On Hands, Won't Dry Out Hands, Mild Enough For The Whole Family (Lavender, 12 oz)</t>
        </is>
      </c>
      <c r="E578" s="2">
        <f>HYPERLINK("https://www.amazon.com/ShiKai-Liquid-Removes-Grease-Lavender/dp/B08MQQH64Y/ref=sr_1_1?keywords=SHIKAI+Very+Clean+Liquid+Hand+Soap+Lavender%2C+12+oz+%28Case+of+4%29&amp;qid=1695170142&amp;sr=8-1", "https://www.amazon.com/ShiKai-Liquid-Removes-Grease-Lavender/dp/B08MQQH64Y/ref=sr_1_1?keywords=SHIKAI+Very+Clean+Liquid+Hand+Soap+Lavender%2C+12+oz+%28Case+of+4%29&amp;qid=1695170142&amp;sr=8-1")</f>
        <v/>
      </c>
      <c r="F578" t="inlineStr">
        <is>
          <t>B08MQQH64Y</t>
        </is>
      </c>
      <c r="G578">
        <f>_xludf.IMAGE("https://www.shelhealth.com/cdn/shop/files/shikai-very-clean-liquid-hand-soap-lavender-12-oz-case-of-4-bath-body-shelhealth-919.jpg?v=1686224822&amp;width=1946")</f>
        <v/>
      </c>
      <c r="H578">
        <f>_xludf.IMAGE("https://m.media-amazon.com/images/I/712BJWA1XIL._AC_UL320_.jpg")</f>
        <v/>
      </c>
      <c r="K578" t="inlineStr">
        <is>
          <t>25.99</t>
        </is>
      </c>
      <c r="L578" t="n">
        <v>6.97</v>
      </c>
      <c r="M578" s="1" t="inlineStr">
        <is>
          <t>-73.18%</t>
        </is>
      </c>
      <c r="N578" s="3" t="n">
        <v>-73.18000000000001</v>
      </c>
      <c r="O578" t="n">
        <v>5</v>
      </c>
      <c r="P578" t="n">
        <v>4</v>
      </c>
      <c r="R578" t="inlineStr">
        <is>
          <t>OutOfStock</t>
        </is>
      </c>
      <c r="S578" t="inlineStr">
        <is>
          <t>25.99</t>
        </is>
      </c>
      <c r="T578" t="inlineStr">
        <is>
          <t>7574289678568</t>
        </is>
      </c>
    </row>
    <row r="579" hidden="1" ht="15.75" customHeight="1">
      <c r="A579" s="2">
        <f>HYPERLINK("https://www.shelhealth.com/products/a-care-3-layer-ear-loop-disposable-face-mask-50-pcs", "https://www.shelhealth.com/products/a-care-3-layer-ear-loop-disposable-face-mask-50-pcs")</f>
        <v/>
      </c>
      <c r="B579" s="2">
        <f>HYPERLINK("https://www.shelhealth.com/products/a-care-3-layer-ear-loop-disposable-face-mask-50-pcs", "https://www.shelhealth.com/products/a-care-3-layer-ear-loop-disposable-face-mask-50-pcs")</f>
        <v/>
      </c>
      <c r="C579" t="inlineStr">
        <is>
          <t>A Care 3-Layer Ear Loop Disposable Face Mask, 50 Pcs.</t>
        </is>
      </c>
      <c r="D579" t="inlineStr">
        <is>
          <t>Face Mask 50PCS Adult Black Disposable Masks 3-Layer Filter Protection Breathable Dust Face Masks with Elastic Ear Loop for Men Women</t>
        </is>
      </c>
      <c r="E579" s="2">
        <f>HYPERLINK("https://www.amazon.com/Disposable-3-Layer-Breathable-Protective-Elastic/dp/B09KNMDFL6/ref=sr_1_10?keywords=A+Care+3-Layer+Ear+Loop+Disposable+Face+Mask%2C+50+Pcs.&amp;qid=1695170045&amp;sr=8-10", "https://www.amazon.com/Disposable-3-Layer-Breathable-Protective-Elastic/dp/B09KNMDFL6/ref=sr_1_10?keywords=A+Care+3-Layer+Ear+Loop+Disposable+Face+Mask%2C+50+Pcs.&amp;qid=1695170045&amp;sr=8-10")</f>
        <v/>
      </c>
      <c r="F579" t="inlineStr">
        <is>
          <t>B09KNMDFL6</t>
        </is>
      </c>
      <c r="G579">
        <f>_xludf.IMAGE("https://www.shelhealth.com/cdn/shop/products/a-care-3-layer-ear-loop-disposable-face-mask-50-pcs-shelhealth-812.jpg?v=1663372428&amp;width=1946")</f>
        <v/>
      </c>
      <c r="H579">
        <f>_xludf.IMAGE("https://m.media-amazon.com/images/I/61+mI3dwtCL._AC_UY218_.jpg")</f>
        <v/>
      </c>
      <c r="K579" t="inlineStr">
        <is>
          <t>38.99</t>
        </is>
      </c>
      <c r="L579" t="n">
        <v>8.99</v>
      </c>
      <c r="M579" s="1" t="inlineStr">
        <is>
          <t>-76.94%</t>
        </is>
      </c>
      <c r="N579" s="3" t="n">
        <v>-76.94</v>
      </c>
      <c r="O579" t="n">
        <v>4.4</v>
      </c>
      <c r="P579" t="n">
        <v>39373</v>
      </c>
      <c r="R579" t="inlineStr">
        <is>
          <t>OutOfStock</t>
        </is>
      </c>
      <c r="S579" t="inlineStr">
        <is>
          <t>38.99</t>
        </is>
      </c>
      <c r="T579" t="inlineStr">
        <is>
          <t>4692421148761</t>
        </is>
      </c>
    </row>
    <row r="580" hidden="1" ht="15.75" customHeight="1">
      <c r="A580" s="2">
        <f>HYPERLINK("https://www.shelhealth.com/products/856885200833-south-of-france-hand-wash-orange-blossom-honey-8-oz", "https://www.shelhealth.com/products/856885200833-south-of-france-hand-wash-orange-blossom-honey-8-oz")</f>
        <v/>
      </c>
      <c r="B580" s="2">
        <f>HYPERLINK("https://www.shelhealth.com/products/856885200833-south-of-france-hand-wash-orange-blossom-honey-8-oz", "https://www.shelhealth.com/products/856885200833-south-of-france-hand-wash-orange-blossom-honey-8-oz")</f>
        <v/>
      </c>
      <c r="C580" t="inlineStr">
        <is>
          <t>South Of France Hand Wash Orange Blossom Honey, 8 Oz (Case of 4)</t>
        </is>
      </c>
      <c r="D580" t="inlineStr">
        <is>
          <t>South Of France Hand Wash - Orange Blossom Honey - 8 Oz - 1 Each</t>
        </is>
      </c>
      <c r="E580" s="2">
        <f>HYPERLINK("https://www.amazon.com/South-France-Hand-Wash-Blossom/dp/B01M4RMCO3/ref=sr_1_1?keywords=South+Of+France+Hand+Wash+Orange+Blossom+Honey%2C+8+Oz+%28Case+of+4%29&amp;qid=1695170057&amp;sr=8-1", "https://www.amazon.com/South-France-Hand-Wash-Blossom/dp/B01M4RMCO3/ref=sr_1_1?keywords=South+Of+France+Hand+Wash+Orange+Blossom+Honey%2C+8+Oz+%28Case+of+4%29&amp;qid=1695170057&amp;sr=8-1")</f>
        <v/>
      </c>
      <c r="F580" t="inlineStr">
        <is>
          <t>B01M4RMCO3</t>
        </is>
      </c>
      <c r="G580">
        <f>_xludf.IMAGE("https://www.shelhealth.com/cdn/shop/files/south-of-france-hand-wash-orange-blossom-honey-8-oz-case-4-beauty-body-care-shelhealth-727.jpg?v=1686481233&amp;width=1946")</f>
        <v/>
      </c>
      <c r="H580">
        <f>_xludf.IMAGE("https://m.media-amazon.com/images/I/71YM5UCBwHL._AC_UL320_.jpg")</f>
        <v/>
      </c>
      <c r="K580" t="inlineStr">
        <is>
          <t>17.99</t>
        </is>
      </c>
      <c r="L580" t="n">
        <v>2.91</v>
      </c>
      <c r="M580" s="1" t="inlineStr">
        <is>
          <t>-83.82%</t>
        </is>
      </c>
      <c r="N580" s="3" t="n">
        <v>-83.81999999999999</v>
      </c>
      <c r="O580" t="n">
        <v>4</v>
      </c>
      <c r="P580" t="n">
        <v>1</v>
      </c>
      <c r="R580" t="inlineStr">
        <is>
          <t>InStock</t>
        </is>
      </c>
      <c r="S580" t="inlineStr">
        <is>
          <t>17.99</t>
        </is>
      </c>
      <c r="T580" t="inlineStr">
        <is>
          <t>7242004365500</t>
        </is>
      </c>
    </row>
    <row r="581" hidden="1" ht="15.75" customHeight="1">
      <c r="A581" s="2">
        <f>HYPERLINK("https://www.shelhealth.com/products/a-care-3-layer-ear-loop-disposable-face-mask-50-pcs", "https://www.shelhealth.com/products/a-care-3-layer-ear-loop-disposable-face-mask-50-pcs")</f>
        <v/>
      </c>
      <c r="B581" s="2">
        <f>HYPERLINK("https://www.shelhealth.com/products/a-care-3-layer-ear-loop-disposable-face-mask-50-pcs", "https://www.shelhealth.com/products/a-care-3-layer-ear-loop-disposable-face-mask-50-pcs")</f>
        <v/>
      </c>
      <c r="C581" t="inlineStr">
        <is>
          <t>A Care 3-Layer Ear Loop Disposable Face Mask, 50 Pcs.</t>
        </is>
      </c>
      <c r="D581" t="inlineStr">
        <is>
          <t>50 PCS Disposable Face Mask, 3 Layers Filter Non-Woven Anti Dust Ear Loop Comfort</t>
        </is>
      </c>
      <c r="E581" s="2">
        <f>HYPERLINK("https://www.amazon.com/Disposable-Layers-Filter-Non-Woven-Comfort/dp/B087ZGHQZM/ref=sr_1_2?keywords=A+Care+3-Layer+Ear+Loop+Disposable+Face+Mask%2C+50+Pcs.&amp;qid=1695170045&amp;sr=8-2", "https://www.amazon.com/Disposable-Layers-Filter-Non-Woven-Comfort/dp/B087ZGHQZM/ref=sr_1_2?keywords=A+Care+3-Layer+Ear+Loop+Disposable+Face+Mask%2C+50+Pcs.&amp;qid=1695170045&amp;sr=8-2")</f>
        <v/>
      </c>
      <c r="F581" t="inlineStr">
        <is>
          <t>B087ZGHQZM</t>
        </is>
      </c>
      <c r="G581">
        <f>_xludf.IMAGE("https://www.shelhealth.com/cdn/shop/products/a-care-3-layer-ear-loop-disposable-face-mask-50-pcs-shelhealth-812.jpg?v=1663372428&amp;width=1946")</f>
        <v/>
      </c>
      <c r="H581">
        <f>_xludf.IMAGE("https://m.media-amazon.com/images/I/41QLmkdV9ZL._AC_UY218_.jpg")</f>
        <v/>
      </c>
      <c r="K581" t="inlineStr">
        <is>
          <t>38.99</t>
        </is>
      </c>
      <c r="L581" t="n">
        <v>5.59</v>
      </c>
      <c r="M581" s="1" t="inlineStr">
        <is>
          <t>-85.66%</t>
        </is>
      </c>
      <c r="N581" s="3" t="n">
        <v>-85.66</v>
      </c>
      <c r="O581" t="n">
        <v>4.5</v>
      </c>
      <c r="P581" t="n">
        <v>5132</v>
      </c>
      <c r="R581" t="inlineStr">
        <is>
          <t>OutOfStock</t>
        </is>
      </c>
      <c r="S581" t="inlineStr">
        <is>
          <t>38.99</t>
        </is>
      </c>
      <c r="T581" t="inlineStr">
        <is>
          <t>4692421148761</t>
        </is>
      </c>
    </row>
    <row r="582" hidden="1" ht="15.75" customHeight="1">
      <c r="A582" s="2">
        <f>HYPERLINK("https://www.shelhealth.com/products/a-care-3-layer-ear-loop-disposable-face-mask-50-pcs", "https://www.shelhealth.com/products/a-care-3-layer-ear-loop-disposable-face-mask-50-pcs")</f>
        <v/>
      </c>
      <c r="B582" s="2">
        <f>HYPERLINK("https://www.shelhealth.com/products/a-care-3-layer-ear-loop-disposable-face-mask-50-pcs", "https://www.shelhealth.com/products/a-care-3-layer-ear-loop-disposable-face-mask-50-pcs")</f>
        <v/>
      </c>
      <c r="C582" t="inlineStr">
        <is>
          <t>A Care 3-Layer Ear Loop Disposable Face Mask, 50 Pcs.</t>
        </is>
      </c>
      <c r="D582" t="inlineStr">
        <is>
          <t>BYD Masks Medical Grade ASTM Level 3 Blue 3-Layer Disposable Face Masks 50 PCS(1 Box) for High Protection,Qualification of EN14683,Elastic Ear-Loops,Metal Nose Wire,Plus 1 Pack White Air Queen</t>
        </is>
      </c>
      <c r="E582" s="2">
        <f>HYPERLINK("https://www.amazon.com/Disposable-EBAT-Qualification-Filtration-Ventilation/dp/B09WY2BNM8/ref=sr_1_7?keywords=A+Care+3-Layer+Ear+Loop+Disposable+Face+Mask%2C+50+Pcs.&amp;qid=1695170045&amp;sr=8-7", "https://www.amazon.com/Disposable-EBAT-Qualification-Filtration-Ventilation/dp/B09WY2BNM8/ref=sr_1_7?keywords=A+Care+3-Layer+Ear+Loop+Disposable+Face+Mask%2C+50+Pcs.&amp;qid=1695170045&amp;sr=8-7")</f>
        <v/>
      </c>
      <c r="F582" t="inlineStr">
        <is>
          <t>B09WY2BNM8</t>
        </is>
      </c>
      <c r="G582">
        <f>_xludf.IMAGE("https://www.shelhealth.com/cdn/shop/products/a-care-3-layer-ear-loop-disposable-face-mask-50-pcs-shelhealth-812.jpg?v=1663372428&amp;width=1946")</f>
        <v/>
      </c>
      <c r="H582">
        <f>_xludf.IMAGE("https://m.media-amazon.com/images/I/81aaRixrcmL._AC_UY218_.jpg")</f>
        <v/>
      </c>
      <c r="K582" t="inlineStr">
        <is>
          <t>38.99</t>
        </is>
      </c>
      <c r="L582" t="n">
        <v>4.75</v>
      </c>
      <c r="M582" s="1" t="inlineStr">
        <is>
          <t>-87.82%</t>
        </is>
      </c>
      <c r="N582" s="3" t="n">
        <v>-87.81999999999999</v>
      </c>
      <c r="O582" t="n">
        <v>4.2</v>
      </c>
      <c r="P582" t="n">
        <v>43</v>
      </c>
      <c r="R582" t="inlineStr">
        <is>
          <t>OutOfStock</t>
        </is>
      </c>
      <c r="S582" t="inlineStr">
        <is>
          <t>38.99</t>
        </is>
      </c>
      <c r="T582" t="inlineStr">
        <is>
          <t>4692421148761</t>
        </is>
      </c>
    </row>
    <row r="583" ht="75" customHeight="1">
      <c r="A583" s="2">
        <f>HYPERLINK("https://www.shelhealth.com/products/taliah-waajid-african-healing-oyl-8oz", "https://www.shelhealth.com/products/taliah-waajid-african-healing-oyl-8oz")</f>
        <v/>
      </c>
      <c r="B583" s="2">
        <f>HYPERLINK("https://www.shelhealth.com/products/taliah-waajid-african-healing-oyl-8oz", "https://www.shelhealth.com/products/taliah-waajid-african-healing-oyl-8oz")</f>
        <v/>
      </c>
      <c r="C583" t="inlineStr">
        <is>
          <t>Taliah Waajid African Healing Oyl, 8oz</t>
        </is>
      </c>
      <c r="D583" t="inlineStr">
        <is>
          <t>Taliah Waajid African Healing Oyl, 8 oz (Pack of 12)</t>
        </is>
      </c>
      <c r="E583" s="2">
        <f>HYPERLINK("https://www.amazon.com/Taliah-Waajid-African-Healing-Pack/dp/B01IAERSDY/ref=sr_1_8?keywords=taliah+waajid+african+healing+oil%2C+8oz&amp;qid=1695170161&amp;sr=8-8", "https://www.amazon.com/Taliah-Waajid-African-Healing-Pack/dp/B01IAERSDY/ref=sr_1_8?keywords=taliah+waajid+african+healing+oil%2C+8oz&amp;qid=1695170161&amp;sr=8-8")</f>
        <v/>
      </c>
      <c r="F583" t="inlineStr">
        <is>
          <t>B01IAERSDY</t>
        </is>
      </c>
      <c r="G583">
        <f>_xlfn.IMAGE("https://www.shelhealth.com/cdn/shop/products/taliah-waajid-african-healing-oyl-8oz-shelhealth-443.jpg?v=1663350050&amp;width=1946")</f>
        <v/>
      </c>
      <c r="H583">
        <f>_xlfn.IMAGE("https://m.media-amazon.com/images/I/613tNOIzQ9L._AC_UL320_.jpg")</f>
        <v/>
      </c>
      <c r="K583" t="inlineStr">
        <is>
          <t>8.99</t>
        </is>
      </c>
      <c r="L583" t="n">
        <v>95.68000000000001</v>
      </c>
      <c r="M583" s="1" t="inlineStr">
        <is>
          <t>964.29%</t>
        </is>
      </c>
      <c r="N583" s="3" t="n">
        <v>964.29</v>
      </c>
      <c r="O583" t="n">
        <v>5</v>
      </c>
      <c r="P583" t="n">
        <v>1</v>
      </c>
      <c r="R583" t="inlineStr">
        <is>
          <t>InStock</t>
        </is>
      </c>
      <c r="S583" t="inlineStr">
        <is>
          <t>8.99</t>
        </is>
      </c>
      <c r="T583" t="inlineStr">
        <is>
          <t>4045855653940</t>
        </is>
      </c>
    </row>
    <row r="584" ht="75" customHeight="1">
      <c r="A584" s="2">
        <f>HYPERLINK("https://www.shelhealth.com/products/661176010066-naturtint-permanent-hair-color-8n-wheat-germ-blonde-5-28-oz", "https://www.shelhealth.com/products/661176010066-naturtint-permanent-hair-color-8n-wheat-germ-blonde-5-28-oz")</f>
        <v/>
      </c>
      <c r="B584" s="2">
        <f>HYPERLINK("https://www.shelhealth.com/products/661176010066-naturtint-permanent-hair-color-8n-wheat-germ-blonde-5-28-oz", "https://www.shelhealth.com/products/661176010066-naturtint-permanent-hair-color-8n-wheat-germ-blonde-5-28-oz")</f>
        <v/>
      </c>
      <c r="C584" t="inlineStr">
        <is>
          <t>Naturtint Permanent Hair Color 8N Wheat Germ Blonde, 5.28 Oz</t>
        </is>
      </c>
      <c r="D584" t="inlineStr">
        <is>
          <t>Naturtint Permanent Hair Color 8N Wheat Germ Blonde (Pack of 6), Ammonia Free, Vegan, Cruelty Free, up to 100% Gray Coverage, Long Lasting Results</t>
        </is>
      </c>
      <c r="E584" s="2">
        <f>HYPERLINK("https://www.amazon.com/Naturtint-Permanent-Ammonia-Cruelty-Coverage/dp/B001E0ZSOI/ref=sr_1_2?keywords=Naturtint+Permanent+Hair+Color+8N+Wheat+Germ+Blonde%2C+5.28+Oz&amp;qid=1695170196&amp;sr=8-2", "https://www.amazon.com/Naturtint-Permanent-Ammonia-Cruelty-Coverage/dp/B001E0ZSOI/ref=sr_1_2?keywords=Naturtint+Permanent+Hair+Color+8N+Wheat+Germ+Blonde%2C+5.28+Oz&amp;qid=1695170196&amp;sr=8-2")</f>
        <v/>
      </c>
      <c r="F584" t="inlineStr">
        <is>
          <t>B001E0ZSOI</t>
        </is>
      </c>
      <c r="G584">
        <f>_xlfn.IMAGE("https://www.shelhealth.com/cdn/shop/files/naturtint-permanent-hair-color-8n-wheat-germ-blonde-5-28-oz-beauty-body-care-shelhealth-285.jpg?v=1686533145&amp;width=1946")</f>
        <v/>
      </c>
      <c r="H584">
        <f>_xlfn.IMAGE("https://m.media-amazon.com/images/I/813J3JR58RL._AC_UL320_.jpg")</f>
        <v/>
      </c>
      <c r="K584" t="inlineStr">
        <is>
          <t>17.99</t>
        </is>
      </c>
      <c r="L584" t="n">
        <v>77.98999999999999</v>
      </c>
      <c r="M584" s="1" t="inlineStr">
        <is>
          <t>333.52%</t>
        </is>
      </c>
      <c r="N584" s="3" t="n">
        <v>333.52</v>
      </c>
      <c r="O584" t="n">
        <v>4.4</v>
      </c>
      <c r="P584" t="n">
        <v>9436</v>
      </c>
      <c r="R584" t="inlineStr">
        <is>
          <t>InStock</t>
        </is>
      </c>
      <c r="S584" t="inlineStr">
        <is>
          <t>17.99</t>
        </is>
      </c>
      <c r="T584" t="inlineStr">
        <is>
          <t>7241867460796</t>
        </is>
      </c>
    </row>
    <row r="585" ht="75" customHeight="1">
      <c r="A585" s="2">
        <f>HYPERLINK("https://www.shelhealth.com/products/661176010103-naturtint-permanent-hair-color-6g-dark-golden-blonde-5-28-oz", "https://www.shelhealth.com/products/661176010103-naturtint-permanent-hair-color-6g-dark-golden-blonde-5-28-oz")</f>
        <v/>
      </c>
      <c r="B585" s="2">
        <f>HYPERLINK("https://www.shelhealth.com/products/661176010103-naturtint-permanent-hair-color-6g-dark-golden-blonde-5-28-oz", "https://www.shelhealth.com/products/661176010103-naturtint-permanent-hair-color-6g-dark-golden-blonde-5-28-oz")</f>
        <v/>
      </c>
      <c r="C585" t="inlineStr">
        <is>
          <t>Naturtint Permanent Hair Color 6G Dark Golden Blonde, 5.28 Oz</t>
        </is>
      </c>
      <c r="D585" t="inlineStr">
        <is>
          <t>Naturtint Permanent Hair Color 6G Dark Golden Blonde (Pack of 6), Ammonia Free, Vegan, Cruelty Free, up to 100% Gray Coverage, Long Lasting Results</t>
        </is>
      </c>
      <c r="E585" s="2">
        <f>HYPERLINK("https://www.amazon.com/Naturtint-Permanent-Hair-Color-Golden/dp/B001E0XSE0/ref=sr_1_7?keywords=Naturtint+Permanent+Hair+Color+6G+Dark+Golden+Blonde%2C+5.28+Oz&amp;qid=1695170205&amp;sr=8-7", "https://www.amazon.com/Naturtint-Permanent-Hair-Color-Golden/dp/B001E0XSE0/ref=sr_1_7?keywords=Naturtint+Permanent+Hair+Color+6G+Dark+Golden+Blonde%2C+5.28+Oz&amp;qid=1695170205&amp;sr=8-7")</f>
        <v/>
      </c>
      <c r="F585" t="inlineStr">
        <is>
          <t>B001E0XSE0</t>
        </is>
      </c>
      <c r="G585">
        <f>_xlfn.IMAGE("https://www.shelhealth.com/cdn/shop/files/naturtint-permanent-hair-color-6g-dark-golden-blonde-5-28-oz-beauty-body-care-shelhealth-442.jpg?v=1686533289&amp;width=1946")</f>
        <v/>
      </c>
      <c r="H585">
        <f>_xlfn.IMAGE("https://m.media-amazon.com/images/I/51ZwPjyZjFL._AC_UL320_.jpg")</f>
        <v/>
      </c>
      <c r="K585" t="inlineStr">
        <is>
          <t>17.99</t>
        </is>
      </c>
      <c r="L585" t="n">
        <v>77.98999999999999</v>
      </c>
      <c r="M585" s="1" t="inlineStr">
        <is>
          <t>333.52%</t>
        </is>
      </c>
      <c r="N585" s="3" t="n">
        <v>333.52</v>
      </c>
      <c r="O585" t="n">
        <v>4.6</v>
      </c>
      <c r="P585" t="n">
        <v>240</v>
      </c>
      <c r="R585" t="inlineStr">
        <is>
          <t>InStock</t>
        </is>
      </c>
      <c r="S585" t="inlineStr">
        <is>
          <t>17.99</t>
        </is>
      </c>
      <c r="T585" t="inlineStr">
        <is>
          <t>7241866903740</t>
        </is>
      </c>
    </row>
    <row r="586" ht="75" customHeight="1">
      <c r="A586" s="2">
        <f>HYPERLINK("https://www.shelhealth.com/products/661176010080-naturtint-permanent-hair-color-10n-light-dawn-blonde-5-28-oz", "https://www.shelhealth.com/products/661176010080-naturtint-permanent-hair-color-10n-light-dawn-blonde-5-28-oz")</f>
        <v/>
      </c>
      <c r="B586" s="2">
        <f>HYPERLINK("https://www.shelhealth.com/products/661176010080-naturtint-permanent-hair-color-10n-light-dawn-blonde-5-28-oz", "https://www.shelhealth.com/products/661176010080-naturtint-permanent-hair-color-10n-light-dawn-blonde-5-28-oz")</f>
        <v/>
      </c>
      <c r="C586" t="inlineStr">
        <is>
          <t>Naturtint Permanent Hair Color 10N Light Dawn Blonde, 5.28 Oz</t>
        </is>
      </c>
      <c r="D586" t="inlineStr">
        <is>
          <t>Naturtint Permanent Hair Color 10N Light Dawn Blonde (Pack of 6), Ammonia Free, Vegan, Cruelty Free, up to 100% Gray Coverage, Long Lasting Results</t>
        </is>
      </c>
      <c r="E586" s="2">
        <f>HYPERLINK("https://www.amazon.com/Naturtint-Permanent-Hair-Color-Blonde/dp/B001E0ZSRA/ref=sr_1_2?keywords=Naturtint+Permanent+Hair+Color+10N+Light+Dawn+Blonde%2C+5.28+Oz&amp;qid=1695170259&amp;sr=8-2", "https://www.amazon.com/Naturtint-Permanent-Hair-Color-Blonde/dp/B001E0ZSRA/ref=sr_1_2?keywords=Naturtint+Permanent+Hair+Color+10N+Light+Dawn+Blonde%2C+5.28+Oz&amp;qid=1695170259&amp;sr=8-2")</f>
        <v/>
      </c>
      <c r="F586" t="inlineStr">
        <is>
          <t>B001E0ZSRA</t>
        </is>
      </c>
      <c r="G586">
        <f>_xlfn.IMAGE("https://www.shelhealth.com/cdn/shop/files/naturtint-permanent-hair-color-10n-light-dawn-blonde-5-28-oz-beauty-body-care-shelhealth-292.jpg?v=1686533104&amp;width=1946")</f>
        <v/>
      </c>
      <c r="H586">
        <f>_xlfn.IMAGE("https://m.media-amazon.com/images/I/81VQ+9sCZaS._AC_UL320_.jpg")</f>
        <v/>
      </c>
      <c r="K586" t="inlineStr">
        <is>
          <t>17.99</t>
        </is>
      </c>
      <c r="L586" t="n">
        <v>77.98999999999999</v>
      </c>
      <c r="M586" s="1" t="inlineStr">
        <is>
          <t>333.52%</t>
        </is>
      </c>
      <c r="N586" s="3" t="n">
        <v>333.52</v>
      </c>
      <c r="O586" t="n">
        <v>4.4</v>
      </c>
      <c r="P586" t="n">
        <v>9436</v>
      </c>
      <c r="R586" t="inlineStr">
        <is>
          <t>InStock</t>
        </is>
      </c>
      <c r="S586" t="inlineStr">
        <is>
          <t>17.99</t>
        </is>
      </c>
      <c r="T586" t="inlineStr">
        <is>
          <t>7241866084540</t>
        </is>
      </c>
    </row>
    <row r="587" ht="75" customHeight="1">
      <c r="A587" s="2">
        <f>HYPERLINK("https://www.shelhealth.com/products/661176010141-naturtint-permanent-hair-color-5m-light-mahogany-chestnut-5-28-oz", "https://www.shelhealth.com/products/661176010141-naturtint-permanent-hair-color-5m-light-mahogany-chestnut-5-28-oz")</f>
        <v/>
      </c>
      <c r="B587" s="2">
        <f>HYPERLINK("https://www.shelhealth.com/products/661176010141-naturtint-permanent-hair-color-5m-light-mahogany-chestnut-5-28-oz", "https://www.shelhealth.com/products/661176010141-naturtint-permanent-hair-color-5m-light-mahogany-chestnut-5-28-oz")</f>
        <v/>
      </c>
      <c r="C587" t="inlineStr">
        <is>
          <t>Naturtint Permanent Hair Color 5M Light Mahogany Chestnut, 5.28 Oz</t>
        </is>
      </c>
      <c r="D587" t="inlineStr">
        <is>
          <t>Naturtint Permanent Hair Color 5M Light Mahogany Chestnut (Pack of 6), Ammonia Free, Vegan, Cruelty Free, up to 100% Gray Coverage, Long Lasting Results</t>
        </is>
      </c>
      <c r="E587" s="2">
        <f>HYPERLINK("https://www.amazon.com/Naturtint-Permanent-Hair-Color-Mahogany/dp/B001E0QWZ2/ref=sr_1_4?keywords=Naturtint+Permanent+Hair+Color+5M+Light+Mahogany+Chestnut%2C+5.28+Oz&amp;qid=1695170206&amp;sr=8-4", "https://www.amazon.com/Naturtint-Permanent-Hair-Color-Mahogany/dp/B001E0QWZ2/ref=sr_1_4?keywords=Naturtint+Permanent+Hair+Color+5M+Light+Mahogany+Chestnut%2C+5.28+Oz&amp;qid=1695170206&amp;sr=8-4")</f>
        <v/>
      </c>
      <c r="F587" t="inlineStr">
        <is>
          <t>B001E0QWZ2</t>
        </is>
      </c>
      <c r="G587">
        <f>_xlfn.IMAGE("https://www.shelhealth.com/cdn/shop/files/naturtint-permanent-hair-color-5m-light-mahogany-chestnut-5-28-oz-beauty-body-care-shelhealth-137.jpg?v=1686533115&amp;width=1946")</f>
        <v/>
      </c>
      <c r="H587">
        <f>_xlfn.IMAGE("https://m.media-amazon.com/images/I/819Bt4moQrS._AC_UL320_.jpg")</f>
        <v/>
      </c>
      <c r="K587" t="inlineStr">
        <is>
          <t>17.99</t>
        </is>
      </c>
      <c r="L587" t="n">
        <v>73.25</v>
      </c>
      <c r="M587" s="1" t="inlineStr">
        <is>
          <t>307.17%</t>
        </is>
      </c>
      <c r="N587" s="3" t="n">
        <v>307.17</v>
      </c>
      <c r="O587" t="n">
        <v>4.4</v>
      </c>
      <c r="P587" t="n">
        <v>112</v>
      </c>
      <c r="R587" t="inlineStr">
        <is>
          <t>InStock</t>
        </is>
      </c>
      <c r="S587" t="inlineStr">
        <is>
          <t>17.99</t>
        </is>
      </c>
      <c r="T587" t="inlineStr">
        <is>
          <t>7241866379452</t>
        </is>
      </c>
    </row>
    <row r="588" ht="75" customHeight="1">
      <c r="A588" s="2">
        <f>HYPERLINK("https://www.shelhealth.com/products/661176010035-naturtint-permanent-hair-color-5n-light-chestnut-brown-5-28-oz", "https://www.shelhealth.com/products/661176010035-naturtint-permanent-hair-color-5n-light-chestnut-brown-5-28-oz")</f>
        <v/>
      </c>
      <c r="B588" s="2">
        <f>HYPERLINK("https://www.shelhealth.com/products/661176010035-naturtint-permanent-hair-color-5n-light-chestnut-brown-5-28-oz", "https://www.shelhealth.com/products/661176010035-naturtint-permanent-hair-color-5n-light-chestnut-brown-5-28-oz")</f>
        <v/>
      </c>
      <c r="C588" t="inlineStr">
        <is>
          <t>Naturtint Permanent Hair Color 5N Light Chestnut Brown, 5.28 Oz</t>
        </is>
      </c>
      <c r="D588" t="inlineStr">
        <is>
          <t>Naturtint Permanent Hair Color 5N Light Chestnut Brown (Pack of 6), Ammonia Free, Vegan, Cruelty Free, up to 100% Gray Coverage, Long Lasting Results</t>
        </is>
      </c>
      <c r="E588" s="2">
        <f>HYPERLINK("https://www.amazon.com/pack-Permanent-Hair-Color-Chestnut/dp/B001E0VWNO/ref=sr_1_2?keywords=Naturtint+Permanent+Hair+Color+5N+Light+Chestnut+Brown%2C+5.28+Oz&amp;qid=1695170200&amp;sr=8-2", "https://www.amazon.com/pack-Permanent-Hair-Color-Chestnut/dp/B001E0VWNO/ref=sr_1_2?keywords=Naturtint+Permanent+Hair+Color+5N+Light+Chestnut+Brown%2C+5.28+Oz&amp;qid=1695170200&amp;sr=8-2")</f>
        <v/>
      </c>
      <c r="F588" t="inlineStr">
        <is>
          <t>B001E0VWNO</t>
        </is>
      </c>
      <c r="G588">
        <f>_xlfn.IMAGE("https://www.shelhealth.com/cdn/shop/files/naturtint-permanent-hair-color-5n-light-chestnut-brown-5-28-oz-beauty-body-care-shelhealth-188.jpg?v=1686533265&amp;width=1946")</f>
        <v/>
      </c>
      <c r="H588">
        <f>_xlfn.IMAGE("https://m.media-amazon.com/images/I/51ry2simBGL._AC_UL320_.jpg")</f>
        <v/>
      </c>
      <c r="K588" t="inlineStr">
        <is>
          <t>17.99</t>
        </is>
      </c>
      <c r="L588" t="n">
        <v>71.98999999999999</v>
      </c>
      <c r="M588" s="1" t="inlineStr">
        <is>
          <t>300.17%</t>
        </is>
      </c>
      <c r="N588" s="3" t="n">
        <v>300.17</v>
      </c>
      <c r="O588" t="n">
        <v>4.4</v>
      </c>
      <c r="P588" t="n">
        <v>9436</v>
      </c>
      <c r="R588" t="inlineStr">
        <is>
          <t>InStock</t>
        </is>
      </c>
      <c r="S588" t="inlineStr">
        <is>
          <t>17.99</t>
        </is>
      </c>
      <c r="T588" t="inlineStr">
        <is>
          <t>7241866576060</t>
        </is>
      </c>
    </row>
    <row r="589" ht="75" customHeight="1">
      <c r="A589" s="2">
        <f>HYPERLINK("https://www.shelhealth.com/products/661176010127-naturtint-permanent-hair-color-8g-sandy-golden-blonde-5-28-oz", "https://www.shelhealth.com/products/661176010127-naturtint-permanent-hair-color-8g-sandy-golden-blonde-5-28-oz")</f>
        <v/>
      </c>
      <c r="B589" s="2">
        <f>HYPERLINK("https://www.shelhealth.com/products/661176010127-naturtint-permanent-hair-color-8g-sandy-golden-blonde-5-28-oz", "https://www.shelhealth.com/products/661176010127-naturtint-permanent-hair-color-8g-sandy-golden-blonde-5-28-oz")</f>
        <v/>
      </c>
      <c r="C589" t="inlineStr">
        <is>
          <t>Naturtint Permanent Hair Color 8G Sandy Golden Blonde, 5.28 Oz</t>
        </is>
      </c>
      <c r="D589" t="inlineStr">
        <is>
          <t>Naturtint Permanent Hair Color 8G Sandy Golden Blonde (Pack of 6), Ammonia Free, Vegan, Cruelty Free, up to 100% Gray Coverage, Long Lasting Results</t>
        </is>
      </c>
      <c r="E589" s="2">
        <f>HYPERLINK("https://www.amazon.com/Naturtint-Permanent-Hair-Color-Golden/dp/B001E0VX0Q/ref=sr_1_5?keywords=Naturtint+Permanent+Hair+Color+8G+Sandy+Golden+Blonde%2C+5.28+Oz&amp;qid=1695170200&amp;sr=8-5", "https://www.amazon.com/Naturtint-Permanent-Hair-Color-Golden/dp/B001E0VX0Q/ref=sr_1_5?keywords=Naturtint+Permanent+Hair+Color+8G+Sandy+Golden+Blonde%2C+5.28+Oz&amp;qid=1695170200&amp;sr=8-5")</f>
        <v/>
      </c>
      <c r="F589" t="inlineStr">
        <is>
          <t>B001E0VX0Q</t>
        </is>
      </c>
      <c r="G589">
        <f>_xlfn.IMAGE("https://www.shelhealth.com/cdn/shop/files/naturtint-permanent-hair-color-8g-sandy-golden-blonde-5-28-oz-beauty-body-care-shelhealth-148.jpg?v=1686533299&amp;width=1946")</f>
        <v/>
      </c>
      <c r="H589">
        <f>_xlfn.IMAGE("https://m.media-amazon.com/images/I/81SzS+zzZOL._AC_UL320_.jpg")</f>
        <v/>
      </c>
      <c r="K589" t="inlineStr">
        <is>
          <t>17.99</t>
        </is>
      </c>
      <c r="L589" t="n">
        <v>69.20999999999999</v>
      </c>
      <c r="M589" s="1" t="inlineStr">
        <is>
          <t>284.71%</t>
        </is>
      </c>
      <c r="N589" s="3" t="n">
        <v>284.71</v>
      </c>
      <c r="O589" t="n">
        <v>4.7</v>
      </c>
      <c r="P589" t="n">
        <v>79</v>
      </c>
      <c r="R589" t="inlineStr">
        <is>
          <t>InStock</t>
        </is>
      </c>
      <c r="S589" t="inlineStr">
        <is>
          <t>17.99</t>
        </is>
      </c>
      <c r="T589" t="inlineStr">
        <is>
          <t>7241867362492</t>
        </is>
      </c>
    </row>
    <row r="590" ht="75" customHeight="1">
      <c r="A590" s="2">
        <f>HYPERLINK("https://www.shelhealth.com/products/661176010028-naturtint-permanent-hair-color-3n-dark-chestnut-brown-5-28-oz", "https://www.shelhealth.com/products/661176010028-naturtint-permanent-hair-color-3n-dark-chestnut-brown-5-28-oz")</f>
        <v/>
      </c>
      <c r="B590" s="2">
        <f>HYPERLINK("https://www.shelhealth.com/products/661176010028-naturtint-permanent-hair-color-3n-dark-chestnut-brown-5-28-oz", "https://www.shelhealth.com/products/661176010028-naturtint-permanent-hair-color-3n-dark-chestnut-brown-5-28-oz")</f>
        <v/>
      </c>
      <c r="C590" t="inlineStr">
        <is>
          <t>Naturtint Permanent Hair Color 3N Dark Chestnut Brown, 5.28 Oz</t>
        </is>
      </c>
      <c r="D590" t="inlineStr">
        <is>
          <t>Permanent Hair Color - 3N, Dark Chestnut Brown, 5.45 oz (4 units Multi-Pack)</t>
        </is>
      </c>
      <c r="E590" s="2">
        <f>HYPERLINK("https://www.amazon.com/Permanent-Hair-Color-Chestnut-Multi-Pack/dp/B001E16PRG/ref=sr_1_3?keywords=Naturtint+Permanent+Hair+Color+3N+Dark+Chestnut+Brown%2C+5.28+Oz&amp;qid=1695170197&amp;sr=8-3", "https://www.amazon.com/Permanent-Hair-Color-Chestnut-Multi-Pack/dp/B001E16PRG/ref=sr_1_3?keywords=Naturtint+Permanent+Hair+Color+3N+Dark+Chestnut+Brown%2C+5.28+Oz&amp;qid=1695170197&amp;sr=8-3")</f>
        <v/>
      </c>
      <c r="F590" t="inlineStr">
        <is>
          <t>B001E16PRG</t>
        </is>
      </c>
      <c r="G590">
        <f>_xlfn.IMAGE("https://www.shelhealth.com/cdn/shop/files/naturtint-permanent-hair-color-3n-dark-chestnut-brown-5-28-oz-beauty-body-care-shelhealth-331.jpg?v=1686533225&amp;width=1946")</f>
        <v/>
      </c>
      <c r="H590">
        <f>_xlfn.IMAGE("https://m.media-amazon.com/images/I/71OeA-YDtPL._AC_UL320_.jpg")</f>
        <v/>
      </c>
      <c r="K590" t="inlineStr">
        <is>
          <t>17.99</t>
        </is>
      </c>
      <c r="L590" t="n">
        <v>68.84</v>
      </c>
      <c r="M590" s="1" t="inlineStr">
        <is>
          <t>282.66%</t>
        </is>
      </c>
      <c r="N590" s="3" t="n">
        <v>282.66</v>
      </c>
      <c r="O590" t="n">
        <v>4.4</v>
      </c>
      <c r="P590" t="n">
        <v>9436</v>
      </c>
      <c r="R590" t="inlineStr">
        <is>
          <t>InStock</t>
        </is>
      </c>
      <c r="S590" t="inlineStr">
        <is>
          <t>17.99</t>
        </is>
      </c>
      <c r="T590" t="inlineStr">
        <is>
          <t>7241866281148</t>
        </is>
      </c>
    </row>
    <row r="591" ht="75" customHeight="1">
      <c r="A591" s="2">
        <f>HYPERLINK("https://www.shelhealth.com/products/666248001126-herbatint-permanent-hair-color-gel-6d-dark-golden-blonde-4-56-oz", "https://www.shelhealth.com/products/666248001126-herbatint-permanent-hair-color-gel-6d-dark-golden-blonde-4-56-oz")</f>
        <v/>
      </c>
      <c r="B591" s="2">
        <f>HYPERLINK("https://www.shelhealth.com/products/666248001126-herbatint-permanent-hair-color-gel-6d-dark-golden-blonde-4-56-oz", "https://www.shelhealth.com/products/666248001126-herbatint-permanent-hair-color-gel-6d-dark-golden-blonde-4-56-oz")</f>
        <v/>
      </c>
      <c r="C591" t="inlineStr">
        <is>
          <t>Herbatint Permanent Hair Color Gel 6D Dark Golden Blonde, 4.56 Oz</t>
        </is>
      </c>
      <c r="D591" t="inlineStr">
        <is>
          <t>Herbatint 6D Permanent Herbal Dark Golden Blonde Haircolor Gel Kit - 3 per case.</t>
        </is>
      </c>
      <c r="E591" s="2">
        <f>HYPERLINK("https://www.amazon.com/Herbatint-Permanent-Herbal-Golden-Haircolor/dp/B001E0X1QU/ref=sr_1_2?keywords=Herbatint+Permanent+Hair+Color+Gel+6D+Dark+Golden+Blonde%2C+4.56+Oz&amp;qid=1695170201&amp;sr=8-2", "https://www.amazon.com/Herbatint-Permanent-Herbal-Golden-Haircolor/dp/B001E0X1QU/ref=sr_1_2?keywords=Herbatint+Permanent+Hair+Color+Gel+6D+Dark+Golden+Blonde%2C+4.56+Oz&amp;qid=1695170201&amp;sr=8-2")</f>
        <v/>
      </c>
      <c r="F591" t="inlineStr">
        <is>
          <t>B001E0X1QU</t>
        </is>
      </c>
      <c r="G591">
        <f>_xlfn.IMAGE("https://www.shelhealth.com/cdn/shop/files/herbatint-permanent-hair-color-gel-6d-dark-golden-blonde-4-56-oz-beauty-body-care-shelhealth-649.jpg?v=1686528158&amp;width=1946")</f>
        <v/>
      </c>
      <c r="H591">
        <f>_xlfn.IMAGE("https://m.media-amazon.com/images/I/71ZnLn9+I+L._AC_UL320_.jpg")</f>
        <v/>
      </c>
      <c r="K591" t="inlineStr">
        <is>
          <t>17.99</t>
        </is>
      </c>
      <c r="L591" t="n">
        <v>68.12</v>
      </c>
      <c r="M591" s="1" t="inlineStr">
        <is>
          <t>278.65%</t>
        </is>
      </c>
      <c r="N591" s="3" t="n">
        <v>278.65</v>
      </c>
      <c r="O591" t="n">
        <v>5</v>
      </c>
      <c r="P591" t="n">
        <v>2</v>
      </c>
      <c r="R591" t="inlineStr">
        <is>
          <t>InStock</t>
        </is>
      </c>
      <c r="S591" t="inlineStr">
        <is>
          <t>17.99</t>
        </is>
      </c>
      <c r="T591" t="inlineStr">
        <is>
          <t>7241699590332</t>
        </is>
      </c>
    </row>
    <row r="592" ht="75" customHeight="1">
      <c r="A592" s="2">
        <f>HYPERLINK("https://www.shelhealth.com/products/taliah-waajid-african-healing-oyl-8oz", "https://www.shelhealth.com/products/taliah-waajid-african-healing-oyl-8oz")</f>
        <v/>
      </c>
      <c r="B592" s="2">
        <f>HYPERLINK("https://www.shelhealth.com/products/taliah-waajid-african-healing-oyl-8oz", "https://www.shelhealth.com/products/taliah-waajid-african-healing-oyl-8oz")</f>
        <v/>
      </c>
      <c r="C592" t="inlineStr">
        <is>
          <t>Taliah Waajid African Healing Oyl, 8oz</t>
        </is>
      </c>
      <c r="D592" t="inlineStr">
        <is>
          <t>Taliah Waajid African Healing Oyl, 8 oz (Pack of 4)</t>
        </is>
      </c>
      <c r="E592" s="2">
        <f>HYPERLINK("https://www.amazon.com/Taliah-Waajid-African-Healing-Pack/dp/B01IAERKBY/ref=sr_1_2?keywords=taliah+waajid+african+healing+oil%2C+8oz&amp;qid=1695170161&amp;sr=8-2", "https://www.amazon.com/Taliah-Waajid-African-Healing-Pack/dp/B01IAERKBY/ref=sr_1_2?keywords=taliah+waajid+african+healing+oil%2C+8oz&amp;qid=1695170161&amp;sr=8-2")</f>
        <v/>
      </c>
      <c r="F592" t="inlineStr">
        <is>
          <t>B01IAERKBY</t>
        </is>
      </c>
      <c r="G592">
        <f>_xlfn.IMAGE("https://www.shelhealth.com/cdn/shop/products/taliah-waajid-african-healing-oyl-8oz-shelhealth-443.jpg?v=1663350050&amp;width=1946")</f>
        <v/>
      </c>
      <c r="H592">
        <f>_xlfn.IMAGE("https://m.media-amazon.com/images/I/51ePbbGTokL._AC_UL320_.jpg")</f>
        <v/>
      </c>
      <c r="K592" t="inlineStr">
        <is>
          <t>8.99</t>
        </is>
      </c>
      <c r="L592" t="n">
        <v>32</v>
      </c>
      <c r="M592" s="1" t="inlineStr">
        <is>
          <t>255.95%</t>
        </is>
      </c>
      <c r="N592" s="3" t="n">
        <v>255.95</v>
      </c>
      <c r="O592" t="n">
        <v>4.8</v>
      </c>
      <c r="P592" t="n">
        <v>522</v>
      </c>
      <c r="R592" t="inlineStr">
        <is>
          <t>InStock</t>
        </is>
      </c>
      <c r="S592" t="inlineStr">
        <is>
          <t>8.99</t>
        </is>
      </c>
      <c r="T592" t="inlineStr">
        <is>
          <t>4045855653940</t>
        </is>
      </c>
    </row>
    <row r="593" ht="75" customHeight="1">
      <c r="A593" s="2">
        <f>HYPERLINK("https://www.shelhealth.com/products/187132005230-alaffia-conditioner-vanilla-mint-32-fo", "https://www.shelhealth.com/products/187132005230-alaffia-conditioner-vanilla-mint-32-fo")</f>
        <v/>
      </c>
      <c r="B593" s="2">
        <f>HYPERLINK("https://www.shelhealth.com/products/187132005230-alaffia-conditioner-vanilla-mint-32-fo", "https://www.shelhealth.com/products/187132005230-alaffia-conditioner-vanilla-mint-32-fo")</f>
        <v/>
      </c>
      <c r="C593" t="inlineStr">
        <is>
          <t>ALAFFIA Conditioner Vanilla Mint, 32 fo</t>
        </is>
      </c>
      <c r="D593" t="inlineStr">
        <is>
          <t>Alaffia EveryDay Shea Shampoo and Conditioner - For Normal to Very Dry Hair, Gently Cleanses, Moisturizes, Restores &amp;amp; Protects with Fair Trade Shea Butter, Vegan, No Parabens, Vanilla Mint, 16 Fl Oz Each</t>
        </is>
      </c>
      <c r="E593" s="2">
        <f>HYPERLINK("https://www.amazon.com/Alaffia-EveryDay-Shea-Shampoo-Conditioner/dp/B099BQGHR5/ref=sr_1_4?keywords=ALAFFIA+Conditioner+Vanilla+Mint%2C+32+fo&amp;qid=1695170243&amp;sr=8-4", "https://www.amazon.com/Alaffia-EveryDay-Shea-Shampoo-Conditioner/dp/B099BQGHR5/ref=sr_1_4?keywords=ALAFFIA+Conditioner+Vanilla+Mint%2C+32+fo&amp;qid=1695170243&amp;sr=8-4")</f>
        <v/>
      </c>
      <c r="F593" t="inlineStr">
        <is>
          <t>B099BQGHR5</t>
        </is>
      </c>
      <c r="G593">
        <f>_xlfn.IMAGE("https://www.shelhealth.com/cdn/shop/files/alaffia-conditioner-vanilla-mint-32-fo-beauty-body-care-shelhealth-370.jpg?v=1688538423&amp;width=1946")</f>
        <v/>
      </c>
      <c r="H593">
        <f>_xlfn.IMAGE("https://m.media-amazon.com/images/I/61G23tQeoJL._AC_UL320_.jpg")</f>
        <v/>
      </c>
      <c r="K593" t="inlineStr">
        <is>
          <t>13.99</t>
        </is>
      </c>
      <c r="L593" t="n">
        <v>45.99</v>
      </c>
      <c r="M593" s="1" t="inlineStr">
        <is>
          <t>228.73%</t>
        </is>
      </c>
      <c r="N593" s="3" t="n">
        <v>228.73</v>
      </c>
      <c r="O593" t="n">
        <v>3.9</v>
      </c>
      <c r="P593" t="n">
        <v>82</v>
      </c>
      <c r="R593" t="inlineStr">
        <is>
          <t>OutOfStock</t>
        </is>
      </c>
      <c r="S593" t="inlineStr">
        <is>
          <t>13.99</t>
        </is>
      </c>
      <c r="T593" t="inlineStr">
        <is>
          <t>7573948825832</t>
        </is>
      </c>
    </row>
    <row r="594" ht="75" customHeight="1">
      <c r="A594" s="2">
        <f>HYPERLINK("https://www.shelhealth.com/products/666248001157-herbatint-permanent-hair-color-gel-4m-mahogany-chestnut-4-56-oz", "https://www.shelhealth.com/products/666248001157-herbatint-permanent-hair-color-gel-4m-mahogany-chestnut-4-56-oz")</f>
        <v/>
      </c>
      <c r="B594" s="2">
        <f>HYPERLINK("https://www.shelhealth.com/products/666248001157-herbatint-permanent-hair-color-gel-4m-mahogany-chestnut-4-56-oz", "https://www.shelhealth.com/products/666248001157-herbatint-permanent-hair-color-gel-4m-mahogany-chestnut-4-56-oz")</f>
        <v/>
      </c>
      <c r="C594" t="inlineStr">
        <is>
          <t>Herbatint Permanent Hair Color Gel 4M Mahogany Chestnut, 4.56 Oz</t>
        </is>
      </c>
      <c r="D594" t="inlineStr">
        <is>
          <t>Herbatint 4M Permanent Herbal Mahogany Chestnut Haircolor Gel Kit - 3 per case.3</t>
        </is>
      </c>
      <c r="E594" s="2">
        <f>HYPERLINK("https://www.amazon.com/Herbatint-Permanent-Mahogany-Chestnut-Haircolor/dp/B001E12QWY/ref=sr_1_4?keywords=Herbatint+Permanent+Hair+Color+Gel+4M+Mahogany+Chestnut%2C+4.56+Oz&amp;qid=1695170205&amp;sr=8-4", "https://www.amazon.com/Herbatint-Permanent-Mahogany-Chestnut-Haircolor/dp/B001E12QWY/ref=sr_1_4?keywords=Herbatint+Permanent+Hair+Color+Gel+4M+Mahogany+Chestnut%2C+4.56+Oz&amp;qid=1695170205&amp;sr=8-4")</f>
        <v/>
      </c>
      <c r="F594" t="inlineStr">
        <is>
          <t>B001E12QWY</t>
        </is>
      </c>
      <c r="G594">
        <f>_xlfn.IMAGE("https://www.shelhealth.com/cdn/shop/files/herbatint-permanent-hair-color-gel-4m-mahogany-chestnut-4-56-oz-beauty-body-care-shelhealth-126.jpg?v=1693230047&amp;width=1946")</f>
        <v/>
      </c>
      <c r="H594">
        <f>_xlfn.IMAGE("https://m.media-amazon.com/images/I/61u9y-UWxtL._AC_UL320_.jpg")</f>
        <v/>
      </c>
      <c r="K594" t="inlineStr">
        <is>
          <t>17.99</t>
        </is>
      </c>
      <c r="L594" t="n">
        <v>58.75</v>
      </c>
      <c r="M594" s="1" t="inlineStr">
        <is>
          <t>226.57%</t>
        </is>
      </c>
      <c r="N594" s="3" t="n">
        <v>226.57</v>
      </c>
      <c r="O594" t="n">
        <v>5</v>
      </c>
      <c r="P594" t="n">
        <v>5</v>
      </c>
      <c r="R594" t="inlineStr">
        <is>
          <t>OutOfStock</t>
        </is>
      </c>
      <c r="S594" t="inlineStr">
        <is>
          <t>17.99</t>
        </is>
      </c>
      <c r="T594" t="inlineStr">
        <is>
          <t>7241699295420</t>
        </is>
      </c>
    </row>
    <row r="595" ht="75" customHeight="1">
      <c r="A595" s="2">
        <f>HYPERLINK("https://www.shelhealth.com/products/666248001072-herbatint-permanent-herbal-haircolor-gel-8n-light-blonde-4-oz", "https://www.shelhealth.com/products/666248001072-herbatint-permanent-herbal-haircolor-gel-8n-light-blonde-4-oz")</f>
        <v/>
      </c>
      <c r="B595" s="2">
        <f>HYPERLINK("https://www.shelhealth.com/products/666248001072-herbatint-permanent-herbal-haircolor-gel-8n-light-blonde-4-oz", "https://www.shelhealth.com/products/666248001072-herbatint-permanent-herbal-haircolor-gel-8n-light-blonde-4-oz")</f>
        <v/>
      </c>
      <c r="C595" t="inlineStr">
        <is>
          <t>Herbatint Permanent Herbal Haircolor Gel 8N Light Blonde, 4 Oz</t>
        </is>
      </c>
      <c r="D595" t="inlineStr">
        <is>
          <t>Herbatint 8N Permanent Herbal Light Blonde Haircolor Gel Kit - 3 per case.</t>
        </is>
      </c>
      <c r="E595" s="2">
        <f>HYPERLINK("https://www.amazon.com/Herbatint-Permanent-Herbal-Blonde-Haircolor/dp/B002LMNCUA/ref=sr_1_2?keywords=Herbatint+Permanent+Herbal+Haircolor+Gel+8N+Light+Blonde%2C+4+Oz&amp;qid=1695170199&amp;sr=8-2", "https://www.amazon.com/Herbatint-Permanent-Herbal-Blonde-Haircolor/dp/B002LMNCUA/ref=sr_1_2?keywords=Herbatint+Permanent+Herbal+Haircolor+Gel+8N+Light+Blonde%2C+4+Oz&amp;qid=1695170199&amp;sr=8-2")</f>
        <v/>
      </c>
      <c r="F595" t="inlineStr">
        <is>
          <t>B002LMNCUA</t>
        </is>
      </c>
      <c r="G595">
        <f>_xlfn.IMAGE("https://www.shelhealth.com/cdn/shop/files/herbatint-permanent-herbal-haircolor-gel-8n-light-blonde-4-oz-beauty-body-care-shelhealth-377.jpg?v=1686196957&amp;width=1946")</f>
        <v/>
      </c>
      <c r="H595">
        <f>_xlfn.IMAGE("https://m.media-amazon.com/images/I/61yT4pKD++L._AC_UL320_.jpg")</f>
        <v/>
      </c>
      <c r="K595" t="inlineStr">
        <is>
          <t>17.99</t>
        </is>
      </c>
      <c r="L595" t="n">
        <v>57.76</v>
      </c>
      <c r="M595" s="1" t="inlineStr">
        <is>
          <t>221.07%</t>
        </is>
      </c>
      <c r="N595" s="3" t="n">
        <v>221.07</v>
      </c>
      <c r="O595" t="n">
        <v>5</v>
      </c>
      <c r="P595" t="n">
        <v>3</v>
      </c>
      <c r="R595" t="inlineStr">
        <is>
          <t>OutOfStock</t>
        </is>
      </c>
      <c r="S595" t="inlineStr">
        <is>
          <t>17.99</t>
        </is>
      </c>
      <c r="T595" t="inlineStr">
        <is>
          <t>7241699950780</t>
        </is>
      </c>
    </row>
    <row r="596" ht="75" customHeight="1">
      <c r="A596" s="2">
        <f>HYPERLINK("https://www.shelhealth.com/products/kirkland-signature-professional-salon-formula-moisture-shampoo-33-8-fl-oz", "https://www.shelhealth.com/products/kirkland-signature-professional-salon-formula-moisture-shampoo-33-8-fl-oz")</f>
        <v/>
      </c>
      <c r="B596" s="2">
        <f>HYPERLINK("https://www.shelhealth.com/products/kirkland-signature-professional-salon-formula-moisture-shampoo-33-8-fl-oz", "https://www.shelhealth.com/products/kirkland-signature-professional-salon-formula-moisture-shampoo-33-8-fl-oz")</f>
        <v/>
      </c>
      <c r="C596" t="inlineStr">
        <is>
          <t>Kirkland Signature Professional Salon Formula Moisture Shampoo, 33.8 Fl. Oz</t>
        </is>
      </c>
      <c r="D596" t="inlineStr">
        <is>
          <t>Kirkland Signature Professional Salon Formula Shampoo &amp; Conditioner Bundle- Includes Two Salon Formula Moisture Shampoo (33.8 Fl. Oz Each) and Two Salon Formula Conditioner (33.8 Fl. Oz Each)</t>
        </is>
      </c>
      <c r="E596" s="2">
        <f>HYPERLINK("https://www.amazon.com/Kirkland-Signature-Professional-Conditioner-Moisture/dp/B07HM1PNVF/ref=sr_1_3?keywords=Kirkland+Signature+Professional+Salon+Formula+Moisture+Shampoo%2C+33.8+Fl.+Oz&amp;qid=1695170167&amp;sr=8-3", "https://www.amazon.com/Kirkland-Signature-Professional-Conditioner-Moisture/dp/B07HM1PNVF/ref=sr_1_3?keywords=Kirkland+Signature+Professional+Salon+Formula+Moisture+Shampoo%2C+33.8+Fl.+Oz&amp;qid=1695170167&amp;sr=8-3")</f>
        <v/>
      </c>
      <c r="F596" t="inlineStr">
        <is>
          <t>B07HM1PNVF</t>
        </is>
      </c>
      <c r="G596">
        <f>_xlfn.IMAGE("https://www.shelhealth.com/cdn/shop/products/kirkland-signature-professional-salon-formula-moisture-shampoo-33-8-fl-oz-shelhealth-735.jpg?v=1663336782&amp;width=1946")</f>
        <v/>
      </c>
      <c r="H596">
        <f>_xlfn.IMAGE("https://m.media-amazon.com/images/I/61V6qjN-yLL._AC_UL320_.jpg")</f>
        <v/>
      </c>
      <c r="K596" t="inlineStr">
        <is>
          <t>19.99</t>
        </is>
      </c>
      <c r="L596" t="n">
        <v>63.99</v>
      </c>
      <c r="M596" s="1" t="inlineStr">
        <is>
          <t>220.11%</t>
        </is>
      </c>
      <c r="N596" s="3" t="n">
        <v>220.11</v>
      </c>
      <c r="O596" t="n">
        <v>4.3</v>
      </c>
      <c r="P596" t="n">
        <v>58</v>
      </c>
      <c r="R596" t="inlineStr">
        <is>
          <t>InStock</t>
        </is>
      </c>
      <c r="S596" t="inlineStr">
        <is>
          <t>19.99</t>
        </is>
      </c>
      <c r="T596" t="inlineStr">
        <is>
          <t>3723632705588</t>
        </is>
      </c>
    </row>
    <row r="597" ht="75" customHeight="1">
      <c r="A597" s="2">
        <f>HYPERLINK("https://www.shelhealth.com/products/666248001041-herbatint-permanent-herbal-haircolor-gel-5n-light-chestnut-4-56-oz", "https://www.shelhealth.com/products/666248001041-herbatint-permanent-herbal-haircolor-gel-5n-light-chestnut-4-56-oz")</f>
        <v/>
      </c>
      <c r="B597" s="2">
        <f>HYPERLINK("https://www.shelhealth.com/products/666248001041-herbatint-permanent-herbal-haircolor-gel-5n-light-chestnut-4-56-oz", "https://www.shelhealth.com/products/666248001041-herbatint-permanent-herbal-haircolor-gel-5n-light-chestnut-4-56-oz")</f>
        <v/>
      </c>
      <c r="C597" t="inlineStr">
        <is>
          <t>HERBATINT Permanent Herbal Haircolor Gel 5N Light Chestnut, 4.56 Oz</t>
        </is>
      </c>
      <c r="D597" t="inlineStr">
        <is>
          <t>Herbatint Permanent Haircolor Gel, 5N Light Chestnut, Alcohol Free, Vegan, 100% Grey Coverage - 4.56 oz - 4 Pack</t>
        </is>
      </c>
      <c r="E597" s="2">
        <f>HYPERLINK("https://www.amazon.com/Herbatint-Permanent-Color-Light-Chestnut/dp/B001E13F88/ref=sr_1_1?keywords=HERBATINT+Permanent+Herbal+Haircolor+Gel+5N+Light+Chestnut%2C+4.56+Oz&amp;qid=1695170204&amp;sr=8-1", "https://www.amazon.com/Herbatint-Permanent-Color-Light-Chestnut/dp/B001E13F88/ref=sr_1_1?keywords=HERBATINT+Permanent+Herbal+Haircolor+Gel+5N+Light+Chestnut%2C+4.56+Oz&amp;qid=1695170204&amp;sr=8-1")</f>
        <v/>
      </c>
      <c r="F597" t="inlineStr">
        <is>
          <t>B001E13F88</t>
        </is>
      </c>
      <c r="G597">
        <f>_xlfn.IMAGE("https://www.shelhealth.com/cdn/shop/files/herbatint-permanent-herbal-haircolor-gel-5n-light-chestnut-4-56-oz-beauty-body-care-shelhealth-981.jpg?v=1689698231&amp;width=1946")</f>
        <v/>
      </c>
      <c r="H597">
        <f>_xlfn.IMAGE("https://m.media-amazon.com/images/I/81qxh2oMpkL._AC_UL320_.jpg")</f>
        <v/>
      </c>
      <c r="K597" t="inlineStr">
        <is>
          <t>17.99</t>
        </is>
      </c>
      <c r="L597" t="n">
        <v>57.54</v>
      </c>
      <c r="M597" s="1" t="inlineStr">
        <is>
          <t>219.84%</t>
        </is>
      </c>
      <c r="N597" s="3" t="n">
        <v>219.84</v>
      </c>
      <c r="O597" t="n">
        <v>4.6</v>
      </c>
      <c r="P597" t="n">
        <v>166</v>
      </c>
      <c r="R597" t="inlineStr">
        <is>
          <t>OutOfStock</t>
        </is>
      </c>
      <c r="S597" t="inlineStr">
        <is>
          <t>17.99</t>
        </is>
      </c>
      <c r="T597" t="inlineStr">
        <is>
          <t>7574112010472</t>
        </is>
      </c>
    </row>
    <row r="598" ht="75" customHeight="1">
      <c r="A598" s="2">
        <f>HYPERLINK("https://www.shelhealth.com/products/661176010073-naturtint-permanent-hair-color-9n-honey-blonde-5-28-oz", "https://www.shelhealth.com/products/661176010073-naturtint-permanent-hair-color-9n-honey-blonde-5-28-oz")</f>
        <v/>
      </c>
      <c r="B598" s="2">
        <f>HYPERLINK("https://www.shelhealth.com/products/661176010073-naturtint-permanent-hair-color-9n-honey-blonde-5-28-oz", "https://www.shelhealth.com/products/661176010073-naturtint-permanent-hair-color-9n-honey-blonde-5-28-oz")</f>
        <v/>
      </c>
      <c r="C598" t="inlineStr">
        <is>
          <t>Naturtint Permanent Hair Color 9N Honey Blonde, 5.28 Oz</t>
        </is>
      </c>
      <c r="D598" t="inlineStr">
        <is>
          <t>Naturtint Permanent Hair Color 9N Honey Blonde, 5.75 ounce - 3 Pack</t>
        </is>
      </c>
      <c r="E598" s="2">
        <f>HYPERLINK("https://www.amazon.com/Naturtint-Permanent-Honey-Blonde-Haircolor/dp/B001E0XJGW/ref=sr_1_3?keywords=Naturtint+Permanent+Hair+Color+9N+Honey+Blonde%2C+5.28+Oz&amp;qid=1695170194&amp;sr=8-3", "https://www.amazon.com/Naturtint-Permanent-Honey-Blonde-Haircolor/dp/B001E0XJGW/ref=sr_1_3?keywords=Naturtint+Permanent+Hair+Color+9N+Honey+Blonde%2C+5.28+Oz&amp;qid=1695170194&amp;sr=8-3")</f>
        <v/>
      </c>
      <c r="F598" t="inlineStr">
        <is>
          <t>B001E0XJGW</t>
        </is>
      </c>
      <c r="G598">
        <f>_xlfn.IMAGE("https://www.shelhealth.com/cdn/shop/files/naturtint-permanent-hair-color-9n-honey-blonde-5-28-oz-beauty-body-care-shelhealth-719.jpg?v=1686533214&amp;width=1946")</f>
        <v/>
      </c>
      <c r="H598">
        <f>_xlfn.IMAGE("https://m.media-amazon.com/images/I/81Mda0bCXxL._AC_UL320_.jpg")</f>
        <v/>
      </c>
      <c r="K598" t="inlineStr">
        <is>
          <t>17.99</t>
        </is>
      </c>
      <c r="L598" t="n">
        <v>57.29</v>
      </c>
      <c r="M598" s="1" t="inlineStr">
        <is>
          <t>218.45%</t>
        </is>
      </c>
      <c r="N598" s="3" t="n">
        <v>218.45</v>
      </c>
      <c r="O598" t="n">
        <v>4</v>
      </c>
      <c r="P598" t="n">
        <v>11</v>
      </c>
      <c r="R598" t="inlineStr">
        <is>
          <t>InStock</t>
        </is>
      </c>
      <c r="S598" t="inlineStr">
        <is>
          <t>17.99</t>
        </is>
      </c>
      <c r="T598" t="inlineStr">
        <is>
          <t>7241867624636</t>
        </is>
      </c>
    </row>
    <row r="599" ht="75" customHeight="1">
      <c r="A599" s="2">
        <f>HYPERLINK("https://www.shelhealth.com/products/alterna-caviar-anti-aging-moisture-shampoo-and-conditioner-duo-8-5-ounce", "https://www.shelhealth.com/products/alterna-caviar-anti-aging-moisture-shampoo-and-conditioner-duo-8-5-ounce")</f>
        <v/>
      </c>
      <c r="B599" s="2">
        <f>HYPERLINK("https://www.shelhealth.com/products/alterna-caviar-anti-aging-moisture-shampoo-and-conditioner-duo-8-5-ounce", "https://www.shelhealth.com/products/alterna-caviar-anti-aging-moisture-shampoo-and-conditioner-duo-8-5-ounce")</f>
        <v/>
      </c>
      <c r="C599" t="inlineStr">
        <is>
          <t>Alterna Caviar Anti-Aging Moisture Shampoo and Conditioner Duo 8.5 Ounce</t>
        </is>
      </c>
      <c r="D599" t="inlineStr">
        <is>
          <t>Alterna Caviar Anti-Aging Replenishing Moisture Shampoo and Conditioner Jumbo Set, 16.5oz each | Protects, Restores &amp; Hydrates | Sulfate Free</t>
        </is>
      </c>
      <c r="E599" s="2">
        <f>HYPERLINK("https://www.amazon.com/Alterna-Anti-Aging-Replenishing-Moisture-Conditioner/dp/B0B57JTZTZ/ref=sr_1_1?keywords=Alterna+Caviar+Anti-Aging+Moisture+Shampoo+and+Conditioner+Duo+8.5+Ounce&amp;qid=1695170244&amp;sr=8-1", "https://www.amazon.com/Alterna-Anti-Aging-Replenishing-Moisture-Conditioner/dp/B0B57JTZTZ/ref=sr_1_1?keywords=Alterna+Caviar+Anti-Aging+Moisture+Shampoo+and+Conditioner+Duo+8.5+Ounce&amp;qid=1695170244&amp;sr=8-1")</f>
        <v/>
      </c>
      <c r="F599" t="inlineStr">
        <is>
          <t>B0B57JTZTZ</t>
        </is>
      </c>
      <c r="G599">
        <f>_xlfn.IMAGE("https://www.shelhealth.com/cdn/shop/products/alterna-caviar-anti-aging-moisture-shampoo-and-conditioner-duo-8-5-ounce-shelhealth-787.jpg?v=1663351409&amp;width=1946")</f>
        <v/>
      </c>
      <c r="H599">
        <f>_xlfn.IMAGE("https://m.media-amazon.com/images/I/51E41Dla5IL._AC_UL320_.jpg")</f>
        <v/>
      </c>
      <c r="K599" t="inlineStr">
        <is>
          <t>32.99</t>
        </is>
      </c>
      <c r="L599" t="n">
        <v>104</v>
      </c>
      <c r="M599" s="1" t="inlineStr">
        <is>
          <t>215.25%</t>
        </is>
      </c>
      <c r="N599" s="3" t="n">
        <v>215.25</v>
      </c>
      <c r="O599" t="n">
        <v>4.6</v>
      </c>
      <c r="P599" t="n">
        <v>6</v>
      </c>
      <c r="R599" t="inlineStr">
        <is>
          <t>OutOfStock</t>
        </is>
      </c>
      <c r="S599" t="inlineStr">
        <is>
          <t>32.99</t>
        </is>
      </c>
      <c r="T599" t="inlineStr">
        <is>
          <t>4101749145652</t>
        </is>
      </c>
    </row>
    <row r="600" ht="75" customHeight="1">
      <c r="A600" s="2">
        <f>HYPERLINK("https://www.shelhealth.com/products/661176010028-naturtint-permanent-hair-color-3n-dark-chestnut-brown-5-28-oz", "https://www.shelhealth.com/products/661176010028-naturtint-permanent-hair-color-3n-dark-chestnut-brown-5-28-oz")</f>
        <v/>
      </c>
      <c r="B600" s="2">
        <f>HYPERLINK("https://www.shelhealth.com/products/661176010028-naturtint-permanent-hair-color-3n-dark-chestnut-brown-5-28-oz", "https://www.shelhealth.com/products/661176010028-naturtint-permanent-hair-color-3n-dark-chestnut-brown-5-28-oz")</f>
        <v/>
      </c>
      <c r="C600" t="inlineStr">
        <is>
          <t>Naturtint Permanent Hair Color 3N Dark Chestnut Brown, 5.28 Oz</t>
        </is>
      </c>
      <c r="D600" t="inlineStr">
        <is>
          <t>Naturtint Permanent Hair Color 3N Dark Chestnut Brown, 5.75 ounce - 3 Pack</t>
        </is>
      </c>
      <c r="E600" s="2">
        <f>HYPERLINK("https://www.amazon.com/Naturtint-Permanent-Chestnut-Brown-Haircolor/dp/B001E14SI4/ref=sr_1_5?keywords=Naturtint+Permanent+Hair+Color+3N+Dark+Chestnut+Brown%2C+5.28+Oz&amp;qid=1695170197&amp;sr=8-5", "https://www.amazon.com/Naturtint-Permanent-Chestnut-Brown-Haircolor/dp/B001E14SI4/ref=sr_1_5?keywords=Naturtint+Permanent+Hair+Color+3N+Dark+Chestnut+Brown%2C+5.28+Oz&amp;qid=1695170197&amp;sr=8-5")</f>
        <v/>
      </c>
      <c r="F600" t="inlineStr">
        <is>
          <t>B001E14SI4</t>
        </is>
      </c>
      <c r="G600">
        <f>_xlfn.IMAGE("https://www.shelhealth.com/cdn/shop/files/naturtint-permanent-hair-color-3n-dark-chestnut-brown-5-28-oz-beauty-body-care-shelhealth-331.jpg?v=1686533225&amp;width=1946")</f>
        <v/>
      </c>
      <c r="H600">
        <f>_xlfn.IMAGE("https://m.media-amazon.com/images/I/81zQWt00lxL._AC_UL320_.jpg")</f>
        <v/>
      </c>
      <c r="K600" t="inlineStr">
        <is>
          <t>17.99</t>
        </is>
      </c>
      <c r="L600" t="n">
        <v>54.57</v>
      </c>
      <c r="M600" s="1" t="inlineStr">
        <is>
          <t>203.34%</t>
        </is>
      </c>
      <c r="N600" s="3" t="n">
        <v>203.34</v>
      </c>
      <c r="O600" t="n">
        <v>4.8</v>
      </c>
      <c r="P600" t="n">
        <v>7</v>
      </c>
      <c r="R600" t="inlineStr">
        <is>
          <t>InStock</t>
        </is>
      </c>
      <c r="S600" t="inlineStr">
        <is>
          <t>17.99</t>
        </is>
      </c>
      <c r="T600" t="inlineStr">
        <is>
          <t>7241866281148</t>
        </is>
      </c>
    </row>
    <row r="601" ht="75" customHeight="1">
      <c r="A601" s="2">
        <f>HYPERLINK("https://www.shelhealth.com/products/661176010097-naturtint-hair-color-5g-light-golden-chestnut-5-28-oz", "https://www.shelhealth.com/products/661176010097-naturtint-hair-color-5g-light-golden-chestnut-5-28-oz")</f>
        <v/>
      </c>
      <c r="B601" s="2">
        <f>HYPERLINK("https://www.shelhealth.com/products/661176010097-naturtint-hair-color-5g-light-golden-chestnut-5-28-oz", "https://www.shelhealth.com/products/661176010097-naturtint-hair-color-5g-light-golden-chestnut-5-28-oz")</f>
        <v/>
      </c>
      <c r="C601" t="inlineStr">
        <is>
          <t>Naturtint Hair Color 5G Light Golden Chestnut, 5.28 Oz</t>
        </is>
      </c>
      <c r="D601" t="inlineStr">
        <is>
          <t>Naturtint Permanent Hair Color 5G Light Golden Chestnut, 5.75 ounce - 3 Pack</t>
        </is>
      </c>
      <c r="E601" s="2">
        <f>HYPERLINK("https://www.amazon.com/Naturtint-Permanent-Golden-Chestnut-Haircolor/dp/B001E11DRI/ref=sr_1_3?keywords=Naturtint+Hair+Color+5G+Light+Golden+Chestnut%2C+5.28+Oz&amp;qid=1695170198&amp;sr=8-3", "https://www.amazon.com/Naturtint-Permanent-Golden-Chestnut-Haircolor/dp/B001E11DRI/ref=sr_1_3?keywords=Naturtint+Hair+Color+5G+Light+Golden+Chestnut%2C+5.28+Oz&amp;qid=1695170198&amp;sr=8-3")</f>
        <v/>
      </c>
      <c r="F601" t="inlineStr">
        <is>
          <t>B001E11DRI</t>
        </is>
      </c>
      <c r="G601">
        <f>_xlfn.IMAGE("https://www.shelhealth.com/cdn/shop/files/naturtint-hair-color-5g-light-golden-chestnut-5-28-oz-beauty-body-care-shelhealth-114.jpg?v=1686533233&amp;width=1946")</f>
        <v/>
      </c>
      <c r="H601">
        <f>_xlfn.IMAGE("https://m.media-amazon.com/images/I/81d2fJmrx0L._AC_UL320_.jpg")</f>
        <v/>
      </c>
      <c r="K601" t="inlineStr">
        <is>
          <t>17.99</t>
        </is>
      </c>
      <c r="L601" t="n">
        <v>54.42</v>
      </c>
      <c r="M601" s="1" t="inlineStr">
        <is>
          <t>202.50%</t>
        </is>
      </c>
      <c r="N601" s="3" t="n">
        <v>202.5</v>
      </c>
      <c r="O601" t="n">
        <v>4.8</v>
      </c>
      <c r="P601" t="n">
        <v>9</v>
      </c>
      <c r="R601" t="inlineStr">
        <is>
          <t>InStock</t>
        </is>
      </c>
      <c r="S601" t="inlineStr">
        <is>
          <t>17.99</t>
        </is>
      </c>
      <c r="T601" t="inlineStr">
        <is>
          <t>7241865887932</t>
        </is>
      </c>
    </row>
    <row r="602" ht="75" customHeight="1">
      <c r="A602" s="2">
        <f>HYPERLINK("https://www.shelhealth.com/products/pantene-detangling-milk-hair-treatment-sulfate-free-pro-v-gold-series-for-natural-and-curly-textured-hair-7-6-fl-oz", "https://www.shelhealth.com/products/pantene-detangling-milk-hair-treatment-sulfate-free-pro-v-gold-series-for-natural-and-curly-textured-hair-7-6-fl-oz")</f>
        <v/>
      </c>
      <c r="B602" s="2">
        <f>HYPERLINK("https://www.shelhealth.com/products/pantene-detangling-milk-hair-treatment-sulfate-free-pro-v-gold-series-for-natural-and-curly-textured-hair-7-6-fl-oz", "https://www.shelhealth.com/products/pantene-detangling-milk-hair-treatment-sulfate-free-pro-v-gold-series-for-natural-and-curly-textured-hair-7-6-fl-oz")</f>
        <v/>
      </c>
      <c r="C602" t="inlineStr">
        <is>
          <t>Pantene, Detangling Milk Hair Treatment, Sulfate Free, Pro-V Gold Series, for Natural and Curly Textured Hair, 7.6 fl oz</t>
        </is>
      </c>
      <c r="D602" t="inlineStr">
        <is>
          <t>Pantene, Shampoo, Conditioner, Detangling Milk, and Hair Oil Treatment Kit, with Argan Oil, Sulfate Free, Pro-V Gold Series, for Natural and Curly Textured Hair</t>
        </is>
      </c>
      <c r="E602" s="2" t="n"/>
      <c r="F602" t="inlineStr">
        <is>
          <t>B07GPV6LZD</t>
        </is>
      </c>
      <c r="G602">
        <f>_xlfn.IMAGE("https://www.shelhealth.com/cdn/shop/products/pantene-detangling-milk-hair-treatment-sulfate-free-pro-v-gold-series-for-natural-and-curly-textured-7-6-fl-oz-shelhealth-371.jpg?v=1663350076&amp;width=1946")</f>
        <v/>
      </c>
      <c r="H602">
        <f>_xlfn.IMAGE("https://m.media-amazon.com/images/I/81-CaA30wvL._AC_UL320_.jpg")</f>
        <v/>
      </c>
      <c r="K602" t="inlineStr">
        <is>
          <t>10.99</t>
        </is>
      </c>
      <c r="L602" t="n">
        <v>30.74</v>
      </c>
      <c r="M602" s="1" t="inlineStr">
        <is>
          <t>179.71%</t>
        </is>
      </c>
      <c r="N602" s="3" t="n">
        <v>179.71</v>
      </c>
      <c r="O602" t="n">
        <v>4.6</v>
      </c>
      <c r="P602" t="n">
        <v>971</v>
      </c>
      <c r="R602" t="inlineStr">
        <is>
          <t>InStock</t>
        </is>
      </c>
      <c r="S602" t="inlineStr">
        <is>
          <t>10.99</t>
        </is>
      </c>
      <c r="T602" t="inlineStr">
        <is>
          <t>4045921321012</t>
        </is>
      </c>
    </row>
    <row r="603" ht="75" customHeight="1">
      <c r="A603" s="2">
        <f>HYPERLINK("https://www.shelhealth.com/products/orlando-pita-argan-gloss-shampoo-w-moroccan-argan-oil-27-oz", "https://www.shelhealth.com/products/orlando-pita-argan-gloss-shampoo-w-moroccan-argan-oil-27-oz")</f>
        <v/>
      </c>
      <c r="B603" s="2">
        <f>HYPERLINK("https://www.shelhealth.com/products/orlando-pita-argan-gloss-shampoo-w-moroccan-argan-oil-27-oz", "https://www.shelhealth.com/products/orlando-pita-argan-gloss-shampoo-w-moroccan-argan-oil-27-oz")</f>
        <v/>
      </c>
      <c r="C603" t="inlineStr">
        <is>
          <t>Orlando Pita Moroccan Argan Oil Gloss Shampoo 27 OZ.</t>
        </is>
      </c>
      <c r="D603" t="inlineStr">
        <is>
          <t>ORLANDO PITA + Moroccan Argan Oil Bundle, Moisturizing, Softening, &amp; Shine-Enhancing for Smoother, More Manageable, &amp; Overall Healthier Hair, Shampoo &amp; Conditioner, 27 Oz Each, Serums, 5.2 Oz Each</t>
        </is>
      </c>
      <c r="E603" s="2">
        <f>HYPERLINK("https://www.amazon.com/ORLANDO-PITA-Moisturizing-Shine-Enhancing-Conditioner/dp/B0BGYXRB7M/ref=sr_1_3?keywords=Orlando+Pita+Moroccan+Argan+Oil+Gloss+Shampoo+27+OZ.&amp;qid=1695170162&amp;sr=8-3", "https://www.amazon.com/ORLANDO-PITA-Moisturizing-Shine-Enhancing-Conditioner/dp/B0BGYXRB7M/ref=sr_1_3?keywords=Orlando+Pita+Moroccan+Argan+Oil+Gloss+Shampoo+27+OZ.&amp;qid=1695170162&amp;sr=8-3")</f>
        <v/>
      </c>
      <c r="F603" t="inlineStr">
        <is>
          <t>B0BGYXRB7M</t>
        </is>
      </c>
      <c r="G603">
        <f>_xlfn.IMAGE("https://www.shelhealth.com/cdn/shop/products/orlando-pita-moroccan-argan-oil-gloss-shampoo-27-oz-shelhealth-685.jpg?v=1663338710&amp;width=1946")</f>
        <v/>
      </c>
      <c r="H603">
        <f>_xlfn.IMAGE("https://m.media-amazon.com/images/I/61aQgdds2iL._AC_UL320_.jpg")</f>
        <v/>
      </c>
      <c r="K603" t="inlineStr">
        <is>
          <t>21.99</t>
        </is>
      </c>
      <c r="L603" t="n">
        <v>59.99</v>
      </c>
      <c r="M603" s="1" t="inlineStr">
        <is>
          <t>172.81%</t>
        </is>
      </c>
      <c r="N603" s="3" t="n">
        <v>172.81</v>
      </c>
      <c r="O603" t="n">
        <v>5</v>
      </c>
      <c r="P603" t="n">
        <v>6</v>
      </c>
      <c r="R603" t="inlineStr">
        <is>
          <t>OutOfStock</t>
        </is>
      </c>
      <c r="S603" t="inlineStr">
        <is>
          <t>21.99</t>
        </is>
      </c>
      <c r="T603" t="inlineStr">
        <is>
          <t>3787617468468</t>
        </is>
      </c>
    </row>
    <row r="604" ht="75" customHeight="1">
      <c r="A604" s="2">
        <f>HYPERLINK("https://www.shelhealth.com/products/taliah-waajid-african-healing-oyl-8oz", "https://www.shelhealth.com/products/taliah-waajid-african-healing-oyl-8oz")</f>
        <v/>
      </c>
      <c r="B604" s="2">
        <f>HYPERLINK("https://www.shelhealth.com/products/taliah-waajid-african-healing-oyl-8oz", "https://www.shelhealth.com/products/taliah-waajid-african-healing-oyl-8oz")</f>
        <v/>
      </c>
      <c r="C604" t="inlineStr">
        <is>
          <t>Taliah Waajid African Healing Oyl, 8oz</t>
        </is>
      </c>
      <c r="D604" t="inlineStr">
        <is>
          <t>Taliah Waajid African Healing Oyl, 8 oz (Pack of 2)</t>
        </is>
      </c>
      <c r="E604" s="2">
        <f>HYPERLINK("https://www.amazon.com/Taliah-Waajid-African-Healing-Pack/dp/B00IAAKDNQ/ref=sr_1_3?keywords=taliah+waajid+african+healing+oil%2C+8oz&amp;qid=1695170161&amp;sr=8-3", "https://www.amazon.com/Taliah-Waajid-African-Healing-Pack/dp/B00IAAKDNQ/ref=sr_1_3?keywords=taliah+waajid+african+healing+oil%2C+8oz&amp;qid=1695170161&amp;sr=8-3")</f>
        <v/>
      </c>
      <c r="F604" t="inlineStr">
        <is>
          <t>B00IAAKDNQ</t>
        </is>
      </c>
      <c r="G604">
        <f>_xlfn.IMAGE("https://www.shelhealth.com/cdn/shop/products/taliah-waajid-african-healing-oyl-8oz-shelhealth-443.jpg?v=1663350050&amp;width=1946")</f>
        <v/>
      </c>
      <c r="H604">
        <f>_xlfn.IMAGE("https://m.media-amazon.com/images/I/510MCwbuYvL._AC_UL320_.jpg")</f>
        <v/>
      </c>
      <c r="K604" t="inlineStr">
        <is>
          <t>8.99</t>
        </is>
      </c>
      <c r="L604" t="n">
        <v>24.26</v>
      </c>
      <c r="M604" s="1" t="inlineStr">
        <is>
          <t>169.86%</t>
        </is>
      </c>
      <c r="N604" s="3" t="n">
        <v>169.86</v>
      </c>
      <c r="O604" t="n">
        <v>4.7</v>
      </c>
      <c r="P604" t="n">
        <v>273</v>
      </c>
      <c r="R604" t="inlineStr">
        <is>
          <t>InStock</t>
        </is>
      </c>
      <c r="S604" t="inlineStr">
        <is>
          <t>8.99</t>
        </is>
      </c>
      <c r="T604" t="inlineStr">
        <is>
          <t>4045855653940</t>
        </is>
      </c>
    </row>
    <row r="605" ht="75" customHeight="1">
      <c r="A605" s="2">
        <f>HYPERLINK("https://www.shelhealth.com/products/666248001164-herbatint-permanent-hair-color-gel-5m-light-mahogany-chestnut-4-56-oz", "https://www.shelhealth.com/products/666248001164-herbatint-permanent-hair-color-gel-5m-light-mahogany-chestnut-4-56-oz")</f>
        <v/>
      </c>
      <c r="B605" s="2">
        <f>HYPERLINK("https://www.shelhealth.com/products/666248001164-herbatint-permanent-hair-color-gel-5m-light-mahogany-chestnut-4-56-oz", "https://www.shelhealth.com/products/666248001164-herbatint-permanent-hair-color-gel-5m-light-mahogany-chestnut-4-56-oz")</f>
        <v/>
      </c>
      <c r="C605" t="inlineStr">
        <is>
          <t>Herbatint Permanent Hair Color Gel 5M Light Mahogany Chestnut, 4.56 Oz</t>
        </is>
      </c>
      <c r="D605" t="inlineStr">
        <is>
          <t>Herbatint 5M Permanent Herbal Light Mahogany Chestnut Haircolor Gel Kit - 3 per case.</t>
        </is>
      </c>
      <c r="E605" s="2">
        <f>HYPERLINK("https://www.amazon.com/Herbatint-Permanent-Mahogany-Chestnut-Haircolor/dp/B001E14CIK/ref=sr_1_3?keywords=Herbatint+Permanent+Hair+Color+Gel+5M+Light+Mahogany+Chestnut%2C+4.56+Oz&amp;qid=1695170205&amp;sr=8-3", "https://www.amazon.com/Herbatint-Permanent-Mahogany-Chestnut-Haircolor/dp/B001E14CIK/ref=sr_1_3?keywords=Herbatint+Permanent+Hair+Color+Gel+5M+Light+Mahogany+Chestnut%2C+4.56+Oz&amp;qid=1695170205&amp;sr=8-3")</f>
        <v/>
      </c>
      <c r="F605" t="inlineStr">
        <is>
          <t>B001E14CIK</t>
        </is>
      </c>
      <c r="G605">
        <f>_xlfn.IMAGE("https://www.shelhealth.com/cdn/shop/files/herbatint-permanent-hair-color-gel-5m-light-mahogany-chestnut-4-56-oz-beauty-body-care-shelhealth-333.jpg?v=1693230037&amp;width=1946")</f>
        <v/>
      </c>
      <c r="H605">
        <f>_xlfn.IMAGE("https://m.media-amazon.com/images/I/61mTGE0TXhL._AC_UL320_.jpg")</f>
        <v/>
      </c>
      <c r="K605" t="inlineStr">
        <is>
          <t>17.99</t>
        </is>
      </c>
      <c r="L605" t="n">
        <v>48.03</v>
      </c>
      <c r="M605" s="1" t="inlineStr">
        <is>
          <t>166.98%</t>
        </is>
      </c>
      <c r="N605" s="3" t="n">
        <v>166.98</v>
      </c>
      <c r="O605" t="n">
        <v>5</v>
      </c>
      <c r="P605" t="n">
        <v>1</v>
      </c>
      <c r="R605" t="inlineStr">
        <is>
          <t>OutOfStock</t>
        </is>
      </c>
      <c r="S605" t="inlineStr">
        <is>
          <t>17.99</t>
        </is>
      </c>
      <c r="T605" t="inlineStr">
        <is>
          <t>7241699557564</t>
        </is>
      </c>
    </row>
    <row r="606" ht="75" customHeight="1">
      <c r="A606" s="2">
        <f>HYPERLINK("https://www.shelhealth.com/products/666248001010-herbatint-permanent-herbal-haircolor-gel-2n-brown-4-oz", "https://www.shelhealth.com/products/666248001010-herbatint-permanent-herbal-haircolor-gel-2n-brown-4-oz")</f>
        <v/>
      </c>
      <c r="B606" s="2">
        <f>HYPERLINK("https://www.shelhealth.com/products/666248001010-herbatint-permanent-herbal-haircolor-gel-2n-brown-4-oz", "https://www.shelhealth.com/products/666248001010-herbatint-permanent-herbal-haircolor-gel-2n-brown-4-oz")</f>
        <v/>
      </c>
      <c r="C606" t="inlineStr">
        <is>
          <t>Herbatint Permanent Herbal Haircolor Gel 2N Brown, 4 Oz</t>
        </is>
      </c>
      <c r="D606" t="inlineStr">
        <is>
          <t>Herbatint Permanent Haircolor Gel, 2N Brown, Alcohol Free, Vegan, 100% Grey Coverage - 4.56 oz (3 Pack)</t>
        </is>
      </c>
      <c r="E606" s="2">
        <f>HYPERLINK("https://www.amazon.com/Herbatint-Permanent-Herbal-Brown-Haircolor/dp/B001E12RCS/ref=sr_1_1?keywords=Herbatint+Permanent+Herbal+Haircolor+Gel+2N+Brown%2C+4+Oz&amp;qid=1695170201&amp;sr=8-1", "https://www.amazon.com/Herbatint-Permanent-Herbal-Brown-Haircolor/dp/B001E12RCS/ref=sr_1_1?keywords=Herbatint+Permanent+Herbal+Haircolor+Gel+2N+Brown%2C+4+Oz&amp;qid=1695170201&amp;sr=8-1")</f>
        <v/>
      </c>
      <c r="F606" t="inlineStr">
        <is>
          <t>B001E12RCS</t>
        </is>
      </c>
      <c r="G606">
        <f>_xlfn.IMAGE("https://www.shelhealth.com/cdn/shop/files/herbatint-permanent-herbal-haircolor-gel-2n-brown-4-oz-beauty-body-care-shelhealth-282.jpg?v=1686528266&amp;width=1946")</f>
        <v/>
      </c>
      <c r="H606">
        <f>_xlfn.IMAGE("https://m.media-amazon.com/images/I/81gEbTjSxSL._AC_UL320_.jpg")</f>
        <v/>
      </c>
      <c r="K606" t="inlineStr">
        <is>
          <t>17.99</t>
        </is>
      </c>
      <c r="L606" t="n">
        <v>47.74</v>
      </c>
      <c r="M606" s="1" t="inlineStr">
        <is>
          <t>165.37%</t>
        </is>
      </c>
      <c r="N606" s="3" t="n">
        <v>165.37</v>
      </c>
      <c r="O606" t="n">
        <v>4.7</v>
      </c>
      <c r="P606" t="n">
        <v>50</v>
      </c>
      <c r="R606" t="inlineStr">
        <is>
          <t>InStock</t>
        </is>
      </c>
      <c r="S606" t="inlineStr">
        <is>
          <t>17.99</t>
        </is>
      </c>
      <c r="T606" t="inlineStr">
        <is>
          <t>7241699885244</t>
        </is>
      </c>
    </row>
    <row r="607" ht="75" customHeight="1">
      <c r="A607" s="2">
        <f>HYPERLINK("https://www.shelhealth.com/products/kirkland-signature-professional-salon-formula-moisture-shampoo-33-8-fl-oz", "https://www.shelhealth.com/products/kirkland-signature-professional-salon-formula-moisture-shampoo-33-8-fl-oz")</f>
        <v/>
      </c>
      <c r="B607" s="2">
        <f>HYPERLINK("https://www.shelhealth.com/products/kirkland-signature-professional-salon-formula-moisture-shampoo-33-8-fl-oz", "https://www.shelhealth.com/products/kirkland-signature-professional-salon-formula-moisture-shampoo-33-8-fl-oz")</f>
        <v/>
      </c>
      <c r="C607" t="inlineStr">
        <is>
          <t>Kirkland Signature Professional Salon Formula Moisture Shampoo, 33.8 Fl. Oz</t>
        </is>
      </c>
      <c r="D607" t="inlineStr">
        <is>
          <t>Kirkland Signature Shampoo,Conditioner and Body Wash Bundle - Includes Kirkland Signature Professional Salon Formula 1 Shampoo (33.8 FL. OZ), 1 Conditioner (33.8 FL. OZ) &amp; 2 Body Wash (27 FL. OZ)</t>
        </is>
      </c>
      <c r="E607" s="2">
        <f>HYPERLINK("https://www.amazon.com/Kirkland-Signature-Shampoo-Conditioner-Bundle/dp/B07HY855PJ/ref=sr_1_4?keywords=Kirkland+Signature+Professional+Salon+Formula+Moisture+Shampoo%2C+33.8+Fl.+Oz&amp;qid=1695170167&amp;sr=8-4", "https://www.amazon.com/Kirkland-Signature-Shampoo-Conditioner-Bundle/dp/B07HY855PJ/ref=sr_1_4?keywords=Kirkland+Signature+Professional+Salon+Formula+Moisture+Shampoo%2C+33.8+Fl.+Oz&amp;qid=1695170167&amp;sr=8-4")</f>
        <v/>
      </c>
      <c r="F607" t="inlineStr">
        <is>
          <t>B07HY855PJ</t>
        </is>
      </c>
      <c r="G607">
        <f>_xlfn.IMAGE("https://www.shelhealth.com/cdn/shop/products/kirkland-signature-professional-salon-formula-moisture-shampoo-33-8-fl-oz-shelhealth-735.jpg?v=1663336782&amp;width=1946")</f>
        <v/>
      </c>
      <c r="H607">
        <f>_xlfn.IMAGE("https://m.media-amazon.com/images/I/61HWoUpXUOL._AC_UL320_.jpg")</f>
        <v/>
      </c>
      <c r="K607" t="inlineStr">
        <is>
          <t>19.99</t>
        </is>
      </c>
      <c r="L607" t="n">
        <v>53</v>
      </c>
      <c r="M607" s="1" t="inlineStr">
        <is>
          <t>165.13%</t>
        </is>
      </c>
      <c r="N607" s="3" t="n">
        <v>165.13</v>
      </c>
      <c r="O607" t="n">
        <v>4.7</v>
      </c>
      <c r="P607" t="n">
        <v>3</v>
      </c>
      <c r="R607" t="inlineStr">
        <is>
          <t>InStock</t>
        </is>
      </c>
      <c r="S607" t="inlineStr">
        <is>
          <t>19.99</t>
        </is>
      </c>
      <c r="T607" t="inlineStr">
        <is>
          <t>3723632705588</t>
        </is>
      </c>
    </row>
    <row r="608" ht="75" customHeight="1">
      <c r="A608" s="2">
        <f>HYPERLINK("https://www.shelhealth.com/products/pantene-daily-moisture-renewal-shampoo-38-2-oz", "https://www.shelhealth.com/products/pantene-daily-moisture-renewal-shampoo-38-2-oz")</f>
        <v/>
      </c>
      <c r="B608" s="2">
        <f>HYPERLINK("https://www.shelhealth.com/products/pantene-daily-moisture-renewal-shampoo-38-2-oz", "https://www.shelhealth.com/products/pantene-daily-moisture-renewal-shampoo-38-2-oz")</f>
        <v/>
      </c>
      <c r="C608" t="inlineStr">
        <is>
          <t>Pantene Daily Moisture Renewal Shampoo, 38.2 oz</t>
        </is>
      </c>
      <c r="D608" t="inlineStr">
        <is>
          <t>Pantene Daily Moisture Renewal 2 in 1 Shampoo and Conditioner 25.4 Fl Oz (Pack of 2)</t>
        </is>
      </c>
      <c r="E608" s="2">
        <f>HYPERLINK("https://www.amazon.com/Pantene-Moisturizing-Shampoo-Conditioner-Moisture/dp/B07F3LMFKT/ref=sr_1_3?keywords=Pantene+Daily+Moisture+Renewal+Shampoo%2C+38.2+oz&amp;qid=1695170247&amp;sr=8-3", "https://www.amazon.com/Pantene-Moisturizing-Shampoo-Conditioner-Moisture/dp/B07F3LMFKT/ref=sr_1_3?keywords=Pantene+Daily+Moisture+Renewal+Shampoo%2C+38.2+oz&amp;qid=1695170247&amp;sr=8-3")</f>
        <v/>
      </c>
      <c r="F608" t="inlineStr">
        <is>
          <t>B07F3LMFKT</t>
        </is>
      </c>
      <c r="G608">
        <f>_xlfn.IMAGE("https://www.shelhealth.com/cdn/shop/products/pantene-daily-moisture-renewal-shampoo-38-2-oz-shelhealth-186.jpg?v=1663350185&amp;width=1946")</f>
        <v/>
      </c>
      <c r="H608">
        <f>_xlfn.IMAGE("https://m.media-amazon.com/images/I/71KweBk41NL._AC_UL320_.jpg")</f>
        <v/>
      </c>
      <c r="K608" t="inlineStr">
        <is>
          <t>15.99</t>
        </is>
      </c>
      <c r="L608" t="n">
        <v>39.65</v>
      </c>
      <c r="M608" s="1" t="inlineStr">
        <is>
          <t>147.97%</t>
        </is>
      </c>
      <c r="N608" s="3" t="n">
        <v>147.97</v>
      </c>
      <c r="O608" t="n">
        <v>4.7</v>
      </c>
      <c r="P608" t="n">
        <v>2889</v>
      </c>
      <c r="R608" t="inlineStr">
        <is>
          <t>InStock</t>
        </is>
      </c>
      <c r="S608" t="inlineStr">
        <is>
          <t>15.99</t>
        </is>
      </c>
      <c r="T608" t="inlineStr">
        <is>
          <t>4045975027764</t>
        </is>
      </c>
    </row>
    <row r="609" ht="75" customHeight="1">
      <c r="A609" s="2">
        <f>HYPERLINK("https://www.shelhealth.com/products/tresemme-keratin-smooth-with-marula-oil-shampoo-and-conditioner-28-fl-oz-2-pk", "https://www.shelhealth.com/products/tresemme-keratin-smooth-with-marula-oil-shampoo-and-conditioner-28-fl-oz-2-pk")</f>
        <v/>
      </c>
      <c r="B609" s="2">
        <f>HYPERLINK("https://www.shelhealth.com/products/tresemme-keratin-smooth-with-marula-oil-shampoo-and-conditioner-28-fl-oz-2-pk", "https://www.shelhealth.com/products/tresemme-keratin-smooth-with-marula-oil-shampoo-and-conditioner-28-fl-oz-2-pk")</f>
        <v/>
      </c>
      <c r="C609" t="inlineStr">
        <is>
          <t>TRESemme Keratin Smooth with Marula Oil Shampoo and Conditioner (28 fl. oz, 2 pk.)</t>
        </is>
      </c>
      <c r="D609" t="inlineStr">
        <is>
          <t>TRESemme Keratin Smooth with Marula Oil Shampoo and Conditioner (28 fl. oz, 2 pk.)</t>
        </is>
      </c>
      <c r="E609" s="2">
        <f>HYPERLINK("https://www.amazon.com/TRESemme-Keratin-Smooth-Shampoo-Conditioner/dp/B07LDYMZ82/ref=sr_1_1?keywords=TRESemme+Keratin+Smooth+with+Marula+Oil+Shampoo+and+Conditioner+%2828+fl.+oz%2C+2+pk.%29&amp;qid=1695170171&amp;sr=8-1", "https://www.amazon.com/TRESemme-Keratin-Smooth-Shampoo-Conditioner/dp/B07LDYMZ82/ref=sr_1_1?keywords=TRESemme+Keratin+Smooth+with+Marula+Oil+Shampoo+and+Conditioner+%2828+fl.+oz%2C+2+pk.%29&amp;qid=1695170171&amp;sr=8-1")</f>
        <v/>
      </c>
      <c r="F609" t="inlineStr">
        <is>
          <t>B07LDYMZ82</t>
        </is>
      </c>
      <c r="G609">
        <f>_xlfn.IMAGE("https://www.shelhealth.com/cdn/shop/products/tresemme-keratin-smooth-with-marula-oil-shampoo-and-conditioner-28-fl-oz-2-pk-shelhealth-574.jpg?v=1663350033&amp;width=1946")</f>
        <v/>
      </c>
      <c r="H609">
        <f>_xlfn.IMAGE("https://m.media-amazon.com/images/I/71ANG+w5RgL._AC_UL320_.jpg")</f>
        <v/>
      </c>
      <c r="I609" t="n">
        <v>5</v>
      </c>
      <c r="J609" t="inlineStr">
        <is>
          <t>shipping fee of $19.62 / code: IAMBACK10</t>
        </is>
      </c>
      <c r="K609" t="inlineStr">
        <is>
          <t>16.99</t>
        </is>
      </c>
      <c r="L609" t="n">
        <v>41</v>
      </c>
      <c r="M609" s="1" t="inlineStr">
        <is>
          <t>141.32%</t>
        </is>
      </c>
      <c r="N609" s="3" t="n">
        <v>141.32</v>
      </c>
      <c r="O609" t="n">
        <v>4.5</v>
      </c>
      <c r="P609" t="n">
        <v>310</v>
      </c>
      <c r="R609" t="inlineStr">
        <is>
          <t>InStock</t>
        </is>
      </c>
      <c r="S609" t="inlineStr">
        <is>
          <t>16.99</t>
        </is>
      </c>
      <c r="T609" t="inlineStr">
        <is>
          <t>3853329858612</t>
        </is>
      </c>
    </row>
    <row r="610" ht="75" customHeight="1">
      <c r="A610" s="2">
        <f>HYPERLINK("https://www.shelhealth.com/products/pantene-hairspray-extra-strong-hold-8-5-fl-oz", "https://www.shelhealth.com/products/pantene-hairspray-extra-strong-hold-8-5-fl-oz")</f>
        <v/>
      </c>
      <c r="B610" s="2">
        <f>HYPERLINK("https://www.shelhealth.com/products/pantene-hairspray-extra-strong-hold-8-5-fl-oz", "https://www.shelhealth.com/products/pantene-hairspray-extra-strong-hold-8-5-fl-oz")</f>
        <v/>
      </c>
      <c r="C610" t="inlineStr">
        <is>
          <t>Pantene Hairspray Extra Strong Hold, 8.5 fl oz (Case of 4)</t>
        </is>
      </c>
      <c r="D610" t="inlineStr">
        <is>
          <t>Pantene Pro-V Classic Style Extra Strong Hold Unforgettable Non Aerosol Hairspray 8.5 Fl Oz (Pack of 3)</t>
        </is>
      </c>
      <c r="E610" s="2">
        <f>HYPERLINK("https://www.amazon.com/Pantene-Classic-Unforgettable-Aerosol-Hairspray/dp/B003F6VKKU/ref=sr_1_3?keywords=Pantene+Hairspray+Extra+Strong+Hold%2C+8.5+fl+oz+%28Case+of+4%29&amp;qid=1695170163&amp;sr=8-3", "https://www.amazon.com/Pantene-Classic-Unforgettable-Aerosol-Hairspray/dp/B003F6VKKU/ref=sr_1_3?keywords=Pantene+Hairspray+Extra+Strong+Hold%2C+8.5+fl+oz+%28Case+of+4%29&amp;qid=1695170163&amp;sr=8-3")</f>
        <v/>
      </c>
      <c r="F610" t="inlineStr">
        <is>
          <t>B003F6VKKU</t>
        </is>
      </c>
      <c r="G610">
        <f>_xlfn.IMAGE("https://www.shelhealth.com/cdn/shop/products/pantene-hairspray-extra-strong-hold-8-5-fl-oz-case-of-4-shelhealth-326.jpg?v=1675328111&amp;width=1946")</f>
        <v/>
      </c>
      <c r="H610">
        <f>_xlfn.IMAGE("https://m.media-amazon.com/images/I/71MwsrUyfmL._AC_UL320_.jpg")</f>
        <v/>
      </c>
      <c r="K610" t="inlineStr">
        <is>
          <t>39.99</t>
        </is>
      </c>
      <c r="L610" t="n">
        <v>95</v>
      </c>
      <c r="M610" s="1" t="inlineStr">
        <is>
          <t>137.56%</t>
        </is>
      </c>
      <c r="N610" s="3" t="n">
        <v>137.56</v>
      </c>
      <c r="O610" t="n">
        <v>3.9</v>
      </c>
      <c r="P610" t="n">
        <v>15</v>
      </c>
      <c r="R610" t="inlineStr">
        <is>
          <t>InStock</t>
        </is>
      </c>
      <c r="S610" t="inlineStr">
        <is>
          <t>39.99</t>
        </is>
      </c>
      <c r="T610" t="inlineStr">
        <is>
          <t>4429459292249</t>
        </is>
      </c>
    </row>
    <row r="611" ht="75" customHeight="1">
      <c r="A611" s="2">
        <f>HYPERLINK("https://www.shelhealth.com/products/kirkland-signature-professional-salon-formula-moisture-shampoo-33-8-fl-oz", "https://www.shelhealth.com/products/kirkland-signature-professional-salon-formula-moisture-shampoo-33-8-fl-oz")</f>
        <v/>
      </c>
      <c r="B611" s="2">
        <f>HYPERLINK("https://www.shelhealth.com/products/kirkland-signature-professional-salon-formula-moisture-shampoo-33-8-fl-oz", "https://www.shelhealth.com/products/kirkland-signature-professional-salon-formula-moisture-shampoo-33-8-fl-oz")</f>
        <v/>
      </c>
      <c r="C611" t="inlineStr">
        <is>
          <t>Kirkland Signature Professional Salon Formula Moisture Shampoo, 33.8 Fl. Oz</t>
        </is>
      </c>
      <c r="D611" t="inlineStr">
        <is>
          <t>Kirkland Signature Shampoo &amp; Conditioner Bundle- Includes One Professional Salon Formula Moisture Shampoo (33.8 Fl. Oz) and Two Professional Salon Formula Conditioner (33.8 Fl. Oz Each)</t>
        </is>
      </c>
      <c r="E611" s="2">
        <f>HYPERLINK("https://www.amazon.com/Kirkland-Signature-Conditioner-Professional-Moisture/dp/B07HM87SNH/ref=sr_1_2?keywords=Kirkland+Signature+Professional+Salon+Formula+Moisture+Shampoo%2C+33.8+Fl.+Oz&amp;qid=1695170167&amp;sr=8-2", "https://www.amazon.com/Kirkland-Signature-Conditioner-Professional-Moisture/dp/B07HM87SNH/ref=sr_1_2?keywords=Kirkland+Signature+Professional+Salon+Formula+Moisture+Shampoo%2C+33.8+Fl.+Oz&amp;qid=1695170167&amp;sr=8-2")</f>
        <v/>
      </c>
      <c r="F611" t="inlineStr">
        <is>
          <t>B07HM87SNH</t>
        </is>
      </c>
      <c r="G611">
        <f>_xlfn.IMAGE("https://www.shelhealth.com/cdn/shop/products/kirkland-signature-professional-salon-formula-moisture-shampoo-33-8-fl-oz-shelhealth-735.jpg?v=1663336782&amp;width=1946")</f>
        <v/>
      </c>
      <c r="H611">
        <f>_xlfn.IMAGE("https://m.media-amazon.com/images/I/51dplOct12L._AC_UL320_.jpg")</f>
        <v/>
      </c>
      <c r="K611" t="inlineStr">
        <is>
          <t>19.99</t>
        </is>
      </c>
      <c r="L611" t="n">
        <v>47.39</v>
      </c>
      <c r="M611" s="1" t="inlineStr">
        <is>
          <t>137.07%</t>
        </is>
      </c>
      <c r="N611" s="3" t="n">
        <v>137.07</v>
      </c>
      <c r="O611" t="n">
        <v>4</v>
      </c>
      <c r="P611" t="n">
        <v>35</v>
      </c>
      <c r="R611" t="inlineStr">
        <is>
          <t>InStock</t>
        </is>
      </c>
      <c r="S611" t="inlineStr">
        <is>
          <t>19.99</t>
        </is>
      </c>
      <c r="T611" t="inlineStr">
        <is>
          <t>3723632705588</t>
        </is>
      </c>
    </row>
    <row r="612" ht="75" customHeight="1">
      <c r="A612" s="2">
        <f>HYPERLINK("https://www.shelhealth.com/products/pantene-daily-moisture-renewal-shampoo-38-2-oz", "https://www.shelhealth.com/products/pantene-daily-moisture-renewal-shampoo-38-2-oz")</f>
        <v/>
      </c>
      <c r="B612" s="2">
        <f>HYPERLINK("https://www.shelhealth.com/products/pantene-daily-moisture-renewal-shampoo-38-2-oz", "https://www.shelhealth.com/products/pantene-daily-moisture-renewal-shampoo-38-2-oz")</f>
        <v/>
      </c>
      <c r="C612" t="inlineStr">
        <is>
          <t>Pantene Daily Moisture Renewal Shampoo, 38.2 oz</t>
        </is>
      </c>
      <c r="D612" t="inlineStr">
        <is>
          <t>Pantene, Shampoo, Pro-V Daily Moisture Renewal for Dry Hair, 25.4 Fl Oz, Twin Pack</t>
        </is>
      </c>
      <c r="E612" s="2">
        <f>HYPERLINK("https://www.amazon.com/Pantene-Moisturizing-Shampoo-Moisture-Packaging/dp/B01M2DNKV7/ref=sr_1_4?keywords=Pantene+Daily+Moisture+Renewal+Shampoo%2C+38.2+oz&amp;qid=1695170247&amp;sr=8-4", "https://www.amazon.com/Pantene-Moisturizing-Shampoo-Moisture-Packaging/dp/B01M2DNKV7/ref=sr_1_4?keywords=Pantene+Daily+Moisture+Renewal+Shampoo%2C+38.2+oz&amp;qid=1695170247&amp;sr=8-4")</f>
        <v/>
      </c>
      <c r="F612" t="inlineStr">
        <is>
          <t>B01M2DNKV7</t>
        </is>
      </c>
      <c r="G612">
        <f>_xlfn.IMAGE("https://www.shelhealth.com/cdn/shop/products/pantene-daily-moisture-renewal-shampoo-38-2-oz-shelhealth-186.jpg?v=1663350185&amp;width=1946")</f>
        <v/>
      </c>
      <c r="H612">
        <f>_xlfn.IMAGE("https://m.media-amazon.com/images/I/61B81NI9f7L._AC_UL320_.jpg")</f>
        <v/>
      </c>
      <c r="K612" t="inlineStr">
        <is>
          <t>15.99</t>
        </is>
      </c>
      <c r="L612" t="n">
        <v>35.29</v>
      </c>
      <c r="M612" s="1" t="inlineStr">
        <is>
          <t>120.70%</t>
        </is>
      </c>
      <c r="N612" s="3" t="n">
        <v>120.7</v>
      </c>
      <c r="O612" t="n">
        <v>4.7</v>
      </c>
      <c r="P612" t="n">
        <v>4866</v>
      </c>
      <c r="R612" t="inlineStr">
        <is>
          <t>InStock</t>
        </is>
      </c>
      <c r="S612" t="inlineStr">
        <is>
          <t>15.99</t>
        </is>
      </c>
      <c r="T612" t="inlineStr">
        <is>
          <t>4045975027764</t>
        </is>
      </c>
    </row>
    <row r="613" ht="75" customHeight="1">
      <c r="A613" s="2">
        <f>HYPERLINK("https://www.shelhealth.com/products/pantene-daily-moisture-shampoo-38-2-oz", "https://www.shelhealth.com/products/pantene-daily-moisture-shampoo-38-2-oz")</f>
        <v/>
      </c>
      <c r="B613" s="2">
        <f>HYPERLINK("https://www.shelhealth.com/products/pantene-daily-moisture-shampoo-38-2-oz", "https://www.shelhealth.com/products/pantene-daily-moisture-shampoo-38-2-oz")</f>
        <v/>
      </c>
      <c r="C613" t="inlineStr">
        <is>
          <t>Pantene Daily Moisture Renewal Conditioner, 38.2 oz</t>
        </is>
      </c>
      <c r="D613" t="inlineStr">
        <is>
          <t>Pantene Conditioner Daily Moisture Renewal 25.4oz (2 Pack)</t>
        </is>
      </c>
      <c r="E613" s="2">
        <f>HYPERLINK("https://www.amazon.com/Pantene-Conditioner-Moisture-Renewal-25-4oz/dp/B00NFUC596/ref=sr_1_10?keywords=Pantene+Daily+Moisture+Renewal+Conditioner%2C+38.2+oz&amp;qid=1695170178&amp;sr=8-10", "https://www.amazon.com/Pantene-Conditioner-Moisture-Renewal-25-4oz/dp/B00NFUC596/ref=sr_1_10?keywords=Pantene+Daily+Moisture+Renewal+Conditioner%2C+38.2+oz&amp;qid=1695170178&amp;sr=8-10")</f>
        <v/>
      </c>
      <c r="F613" t="inlineStr">
        <is>
          <t>B00NFUC596</t>
        </is>
      </c>
      <c r="G613">
        <f>_xlfn.IMAGE("https://www.shelhealth.com/cdn/shop/products/pantene-daily-moisture-renewal-conditioner-38-2-oz-shelhealth-144.jpg?v=1663350178&amp;width=1946")</f>
        <v/>
      </c>
      <c r="H613">
        <f>_xlfn.IMAGE("https://m.media-amazon.com/images/I/61xYFYI6UdL._AC_UL320_.jpg")</f>
        <v/>
      </c>
      <c r="K613" t="inlineStr">
        <is>
          <t>15.99</t>
        </is>
      </c>
      <c r="L613" t="n">
        <v>35</v>
      </c>
      <c r="M613" s="1" t="inlineStr">
        <is>
          <t>118.89%</t>
        </is>
      </c>
      <c r="N613" s="3" t="n">
        <v>118.89</v>
      </c>
      <c r="O613" t="n">
        <v>4.1</v>
      </c>
      <c r="P613" t="n">
        <v>19</v>
      </c>
      <c r="R613" t="inlineStr">
        <is>
          <t>InStock</t>
        </is>
      </c>
      <c r="S613" t="inlineStr">
        <is>
          <t>15.99</t>
        </is>
      </c>
      <c r="T613" t="inlineStr">
        <is>
          <t>4045973946420</t>
        </is>
      </c>
    </row>
    <row r="614" ht="75" customHeight="1">
      <c r="A614" s="2">
        <f>HYPERLINK("https://www.shelhealth.com/products/alterna-caviar-anti-aging-moisture-shampoo-and-conditioner-duo-8-5-ounce", "https://www.shelhealth.com/products/alterna-caviar-anti-aging-moisture-shampoo-and-conditioner-duo-8-5-ounce")</f>
        <v/>
      </c>
      <c r="B614" s="2">
        <f>HYPERLINK("https://www.shelhealth.com/products/alterna-caviar-anti-aging-moisture-shampoo-and-conditioner-duo-8-5-ounce", "https://www.shelhealth.com/products/alterna-caviar-anti-aging-moisture-shampoo-and-conditioner-duo-8-5-ounce")</f>
        <v/>
      </c>
      <c r="C614" t="inlineStr">
        <is>
          <t>Alterna Caviar Anti-Aging Moisture Shampoo and Conditioner Duo 8.5 Ounce</t>
        </is>
      </c>
      <c r="D614" t="inlineStr">
        <is>
          <t>Alterna Caviar Anti-Aging Restructuring Bond Repair Shampoo and Conditioner Standard Set, 8.5oz each | Rebuilds &amp; Strengthens Damaged Hair | Sulfate Free</t>
        </is>
      </c>
      <c r="E614" s="2">
        <f>HYPERLINK("https://www.amazon.com/Alterna-Anti-Aging-Restructuring-Conditioner-Strengthens/dp/B0B57QTRKZ/ref=sr_1_6?keywords=Alterna+Caviar+Anti-Aging+Moisture+Shampoo+and+Conditioner+Duo+8.5+Ounce&amp;qid=1695170244&amp;sr=8-6", "https://www.amazon.com/Alterna-Anti-Aging-Restructuring-Conditioner-Strengthens/dp/B0B57QTRKZ/ref=sr_1_6?keywords=Alterna+Caviar+Anti-Aging+Moisture+Shampoo+and+Conditioner+Duo+8.5+Ounce&amp;qid=1695170244&amp;sr=8-6")</f>
        <v/>
      </c>
      <c r="F614" t="inlineStr">
        <is>
          <t>B0B57QTRKZ</t>
        </is>
      </c>
      <c r="G614">
        <f>_xlfn.IMAGE("https://www.shelhealth.com/cdn/shop/products/alterna-caviar-anti-aging-moisture-shampoo-and-conditioner-duo-8-5-ounce-shelhealth-787.jpg?v=1663351409&amp;width=1946")</f>
        <v/>
      </c>
      <c r="H614">
        <f>_xlfn.IMAGE("https://m.media-amazon.com/images/I/51rWXepelzL._AC_UL320_.jpg")</f>
        <v/>
      </c>
      <c r="K614" t="inlineStr">
        <is>
          <t>32.99</t>
        </is>
      </c>
      <c r="L614" t="n">
        <v>72</v>
      </c>
      <c r="M614" s="1" t="inlineStr">
        <is>
          <t>118.25%</t>
        </is>
      </c>
      <c r="N614" s="3" t="n">
        <v>118.25</v>
      </c>
      <c r="O614" t="n">
        <v>5</v>
      </c>
      <c r="P614" t="n">
        <v>1</v>
      </c>
      <c r="R614" t="inlineStr">
        <is>
          <t>OutOfStock</t>
        </is>
      </c>
      <c r="S614" t="inlineStr">
        <is>
          <t>32.99</t>
        </is>
      </c>
      <c r="T614" t="inlineStr">
        <is>
          <t>4101749145652</t>
        </is>
      </c>
    </row>
    <row r="615" ht="75" customHeight="1">
      <c r="A615" s="2">
        <f>HYPERLINK("https://www.shelhealth.com/products/axe-clean-cut-look-classic-hair-pomade-2-64-oz-3-count", "https://www.shelhealth.com/products/axe-clean-cut-look-classic-hair-pomade-2-64-oz-3-count")</f>
        <v/>
      </c>
      <c r="B615" s="2">
        <f>HYPERLINK("https://www.shelhealth.com/products/axe-clean-cut-look-classic-hair-pomade-2-64-oz-3-count", "https://www.shelhealth.com/products/axe-clean-cut-look-classic-hair-pomade-2-64-oz-3-count")</f>
        <v/>
      </c>
      <c r="C615" t="inlineStr">
        <is>
          <t>AXE Clean Cut Look Classic Hair Pomade 2.64 oz, 3 Count</t>
        </is>
      </c>
      <c r="D615" t="inlineStr">
        <is>
          <t>Axe Clean Cut Look Hair Pomade Classic 2.64 oz (Pack of 6)</t>
        </is>
      </c>
      <c r="E615" s="2">
        <f>HYPERLINK("https://www.amazon.com/AXE-Styling-Smooth-Shine-Pomade/dp/B0161S4L8Q/ref=sr_1_4?keywords=AXE+Clean+Cut+Look+Classic+Hair+Pomade+2.64+oz%2C+3+Count&amp;qid=1695170243&amp;sr=8-4", "https://www.amazon.com/AXE-Styling-Smooth-Shine-Pomade/dp/B0161S4L8Q/ref=sr_1_4?keywords=AXE+Clean+Cut+Look+Classic+Hair+Pomade+2.64+oz%2C+3+Count&amp;qid=1695170243&amp;sr=8-4")</f>
        <v/>
      </c>
      <c r="F615" t="inlineStr">
        <is>
          <t>B0161S4L8Q</t>
        </is>
      </c>
      <c r="G615">
        <f>_xlfn.IMAGE("https://www.shelhealth.com/cdn/shop/products/axe-clean-cut-look-classic-hair-pomade-2-64-oz-3-count-shelhealth-674.jpg?v=1663371224&amp;width=1946")</f>
        <v/>
      </c>
      <c r="H615">
        <f>_xlfn.IMAGE("https://m.media-amazon.com/images/I/61ubH9ZugXL._AC_UL320_.jpg")</f>
        <v/>
      </c>
      <c r="K615" t="inlineStr">
        <is>
          <t>20.99</t>
        </is>
      </c>
      <c r="L615" t="n">
        <v>45.5</v>
      </c>
      <c r="M615" s="1" t="inlineStr">
        <is>
          <t>116.77%</t>
        </is>
      </c>
      <c r="N615" s="3" t="n">
        <v>116.77</v>
      </c>
      <c r="O615" t="n">
        <v>4.8</v>
      </c>
      <c r="P615" t="n">
        <v>83</v>
      </c>
      <c r="R615" t="inlineStr">
        <is>
          <t>OutOfStock</t>
        </is>
      </c>
      <c r="S615" t="inlineStr">
        <is>
          <t>20.99</t>
        </is>
      </c>
      <c r="T615" t="inlineStr">
        <is>
          <t>4668931965017</t>
        </is>
      </c>
    </row>
    <row r="616" ht="75" customHeight="1">
      <c r="A616" s="2">
        <f>HYPERLINK("https://www.shelhealth.com/products/661176010035-naturtint-permanent-hair-color-5n-light-chestnut-brown-5-28-oz", "https://www.shelhealth.com/products/661176010035-naturtint-permanent-hair-color-5n-light-chestnut-brown-5-28-oz")</f>
        <v/>
      </c>
      <c r="B616" s="2">
        <f>HYPERLINK("https://www.shelhealth.com/products/661176010035-naturtint-permanent-hair-color-5n-light-chestnut-brown-5-28-oz", "https://www.shelhealth.com/products/661176010035-naturtint-permanent-hair-color-5n-light-chestnut-brown-5-28-oz")</f>
        <v/>
      </c>
      <c r="C616" t="inlineStr">
        <is>
          <t>Naturtint Permanent Hair Color 5N Light Chestnut Brown, 5.28 Oz</t>
        </is>
      </c>
      <c r="D616" t="inlineStr">
        <is>
          <t>Naturtint 5N Permanent Light Chestnut Brown Haircolor Kit, 4.5 Ounce - 3 per case.</t>
        </is>
      </c>
      <c r="E616" s="2">
        <f>HYPERLINK("https://www.amazon.com/Naturtint-Permanent-Light-Chestnut-Haircolor/dp/B001E0ZD16/ref=sr_1_4?keywords=Naturtint+Permanent+Hair+Color+5N+Light+Chestnut+Brown%2C+5.28+Oz&amp;qid=1695170200&amp;sr=8-4", "https://www.amazon.com/Naturtint-Permanent-Light-Chestnut-Haircolor/dp/B001E0ZD16/ref=sr_1_4?keywords=Naturtint+Permanent+Hair+Color+5N+Light+Chestnut+Brown%2C+5.28+Oz&amp;qid=1695170200&amp;sr=8-4")</f>
        <v/>
      </c>
      <c r="F616" t="inlineStr">
        <is>
          <t>B001E0ZD16</t>
        </is>
      </c>
      <c r="G616">
        <f>_xlfn.IMAGE("https://www.shelhealth.com/cdn/shop/files/naturtint-permanent-hair-color-5n-light-chestnut-brown-5-28-oz-beauty-body-care-shelhealth-188.jpg?v=1686533265&amp;width=1946")</f>
        <v/>
      </c>
      <c r="H616">
        <f>_xlfn.IMAGE("https://m.media-amazon.com/images/I/81MeKscus+L._AC_UL320_.jpg")</f>
        <v/>
      </c>
      <c r="K616" t="inlineStr">
        <is>
          <t>17.99</t>
        </is>
      </c>
      <c r="L616" t="n">
        <v>38.12</v>
      </c>
      <c r="M616" s="1" t="inlineStr">
        <is>
          <t>111.90%</t>
        </is>
      </c>
      <c r="N616" s="3" t="n">
        <v>111.9</v>
      </c>
      <c r="O616" t="n">
        <v>4.2</v>
      </c>
      <c r="P616" t="n">
        <v>24</v>
      </c>
      <c r="R616" t="inlineStr">
        <is>
          <t>InStock</t>
        </is>
      </c>
      <c r="S616" t="inlineStr">
        <is>
          <t>17.99</t>
        </is>
      </c>
      <c r="T616" t="inlineStr">
        <is>
          <t>7241866576060</t>
        </is>
      </c>
    </row>
    <row r="617" ht="75" customHeight="1">
      <c r="A617" s="2">
        <f>HYPERLINK("https://www.shelhealth.com/products/pantene-pro-v-advanced-care-shampoo-38-2-oz", "https://www.shelhealth.com/products/pantene-pro-v-advanced-care-shampoo-38-2-oz")</f>
        <v/>
      </c>
      <c r="B617" s="2">
        <f>HYPERLINK("https://www.shelhealth.com/products/pantene-pro-v-advanced-care-shampoo-38-2-oz", "https://www.shelhealth.com/products/pantene-pro-v-advanced-care-shampoo-38-2-oz")</f>
        <v/>
      </c>
      <c r="C617" t="inlineStr">
        <is>
          <t>Pantene Pro-V Advanced Care Shampoo, 38.2 oz</t>
        </is>
      </c>
      <c r="D617" t="inlineStr">
        <is>
          <t>Pantene Advanced Care Shampoo 5 in 1 Pro-vitamin B5 Complex 36 oz (Pack of 2)</t>
        </is>
      </c>
      <c r="E617" s="2">
        <f>HYPERLINK("https://www.amazon.com/Pantene-Advanced-Shampoo-Pro-vitamin-Complex/dp/B0BZ5RBRQW/ref=sr_1_2?keywords=Pantene+Pro-V+Advanced+Care+Shampoo%2C+38.2+oz&amp;qid=1695170172&amp;sr=8-2", "https://www.amazon.com/Pantene-Advanced-Shampoo-Pro-vitamin-Complex/dp/B0BZ5RBRQW/ref=sr_1_2?keywords=Pantene+Pro-V+Advanced+Care+Shampoo%2C+38.2+oz&amp;qid=1695170172&amp;sr=8-2")</f>
        <v/>
      </c>
      <c r="F617" t="inlineStr">
        <is>
          <t>B0BZ5RBRQW</t>
        </is>
      </c>
      <c r="G617">
        <f>_xlfn.IMAGE("https://www.shelhealth.com/cdn/shop/products/pantene-pro-v-advanced-care-shampoo-38-2-oz-shelhealth-943.jpg?v=1663338554&amp;width=1946")</f>
        <v/>
      </c>
      <c r="H617">
        <f>_xlfn.IMAGE("https://m.media-amazon.com/images/I/61c-vzSO2wL._AC_UL320_.jpg")</f>
        <v/>
      </c>
      <c r="K617" t="inlineStr">
        <is>
          <t>16.99</t>
        </is>
      </c>
      <c r="L617" t="n">
        <v>35</v>
      </c>
      <c r="M617" s="1" t="inlineStr">
        <is>
          <t>106.00%</t>
        </is>
      </c>
      <c r="N617" s="3" t="n">
        <v>106</v>
      </c>
      <c r="O617" t="n">
        <v>4.6</v>
      </c>
      <c r="P617" t="n">
        <v>39</v>
      </c>
      <c r="R617" t="inlineStr">
        <is>
          <t>InStock</t>
        </is>
      </c>
      <c r="S617" t="inlineStr">
        <is>
          <t>16.99</t>
        </is>
      </c>
      <c r="T617" t="inlineStr">
        <is>
          <t>3785914679348</t>
        </is>
      </c>
    </row>
    <row r="618" ht="75" customHeight="1">
      <c r="A618" s="2">
        <f>HYPERLINK("https://www.shelhealth.com/products/orlando-pita-argan-gloss-shampoo-w-moroccan-argan-oil-27-oz", "https://www.shelhealth.com/products/orlando-pita-argan-gloss-shampoo-w-moroccan-argan-oil-27-oz")</f>
        <v/>
      </c>
      <c r="B618" s="2">
        <f>HYPERLINK("https://www.shelhealth.com/products/orlando-pita-argan-gloss-shampoo-w-moroccan-argan-oil-27-oz", "https://www.shelhealth.com/products/orlando-pita-argan-gloss-shampoo-w-moroccan-argan-oil-27-oz")</f>
        <v/>
      </c>
      <c r="C618" t="inlineStr">
        <is>
          <t>Orlando Pita Moroccan Argan Oil Gloss Shampoo 27 OZ.</t>
        </is>
      </c>
      <c r="D618" t="inlineStr">
        <is>
          <t>ORLANDO PITA Moroccan Argan Oil Glossing Shampoo &amp; Conditioner Set, Moisturizing, Softening, &amp; Shine-Enhancing for Smoother, More Manageable, &amp; Overall Healthier Hair, 27 Fl Oz Each</t>
        </is>
      </c>
      <c r="E618" s="2">
        <f>HYPERLINK("https://www.amazon.com/ORLANDO-PITA-Conditioner-Moisturizing-Shine-Enhancing/dp/B0887NV1M8/ref=sr_1_4?keywords=Orlando+Pita+Moroccan+Argan+Oil+Gloss+Shampoo+27+OZ.&amp;qid=1695170162&amp;sr=8-4", "https://www.amazon.com/ORLANDO-PITA-Conditioner-Moisturizing-Shine-Enhancing/dp/B0887NV1M8/ref=sr_1_4?keywords=Orlando+Pita+Moroccan+Argan+Oil+Gloss+Shampoo+27+OZ.&amp;qid=1695170162&amp;sr=8-4")</f>
        <v/>
      </c>
      <c r="F618" t="inlineStr">
        <is>
          <t>B0887NV1M8</t>
        </is>
      </c>
      <c r="G618">
        <f>_xlfn.IMAGE("https://www.shelhealth.com/cdn/shop/products/orlando-pita-moroccan-argan-oil-gloss-shampoo-27-oz-shelhealth-685.jpg?v=1663338710&amp;width=1946")</f>
        <v/>
      </c>
      <c r="H618">
        <f>_xlfn.IMAGE("https://m.media-amazon.com/images/I/61aG9t+-3LL._AC_UL320_.jpg")</f>
        <v/>
      </c>
      <c r="K618" t="inlineStr">
        <is>
          <t>21.99</t>
        </is>
      </c>
      <c r="L618" t="n">
        <v>45</v>
      </c>
      <c r="M618" s="1" t="inlineStr">
        <is>
          <t>104.64%</t>
        </is>
      </c>
      <c r="N618" s="3" t="n">
        <v>104.64</v>
      </c>
      <c r="O618" t="n">
        <v>4.6</v>
      </c>
      <c r="P618" t="n">
        <v>1279</v>
      </c>
      <c r="R618" t="inlineStr">
        <is>
          <t>OutOfStock</t>
        </is>
      </c>
      <c r="S618" t="inlineStr">
        <is>
          <t>21.99</t>
        </is>
      </c>
      <c r="T618" t="inlineStr">
        <is>
          <t>3787617468468</t>
        </is>
      </c>
    </row>
    <row r="619" ht="75" customHeight="1">
      <c r="A619" s="2">
        <f>HYPERLINK("https://www.shelhealth.com/products/orlando-pita-argan-gloss-shampoo-w-moroccan-argan-oil-27-oz", "https://www.shelhealth.com/products/orlando-pita-argan-gloss-shampoo-w-moroccan-argan-oil-27-oz")</f>
        <v/>
      </c>
      <c r="B619" s="2">
        <f>HYPERLINK("https://www.shelhealth.com/products/orlando-pita-argan-gloss-shampoo-w-moroccan-argan-oil-27-oz", "https://www.shelhealth.com/products/orlando-pita-argan-gloss-shampoo-w-moroccan-argan-oil-27-oz")</f>
        <v/>
      </c>
      <c r="C619" t="inlineStr">
        <is>
          <t>Orlando Pita Moroccan Argan Oil Gloss Shampoo 27 OZ.</t>
        </is>
      </c>
      <c r="D619" t="inlineStr">
        <is>
          <t>ORLANDO PITA Salon Size Argan Oil Glossing Shampoo and Conditioner Set, Moisturizing &amp; Shine-Enhancing for Smoother &amp; Healthier Looking Hair, 27 Oz each</t>
        </is>
      </c>
      <c r="E619" s="2">
        <f>HYPERLINK("https://www.amazon.com/ORLANDO-PITA-Conditioner-Moisturizing-Shine-Enhancing/dp/B09PFFY6FD/ref=sr_1_5?keywords=Orlando+Pita+Moroccan+Argan+Oil+Gloss+Shampoo+27+OZ.&amp;qid=1695170162&amp;sr=8-5", "https://www.amazon.com/ORLANDO-PITA-Conditioner-Moisturizing-Shine-Enhancing/dp/B09PFFY6FD/ref=sr_1_5?keywords=Orlando+Pita+Moroccan+Argan+Oil+Gloss+Shampoo+27+OZ.&amp;qid=1695170162&amp;sr=8-5")</f>
        <v/>
      </c>
      <c r="F619" t="inlineStr">
        <is>
          <t>B09PFFY6FD</t>
        </is>
      </c>
      <c r="G619">
        <f>_xlfn.IMAGE("https://www.shelhealth.com/cdn/shop/products/orlando-pita-moroccan-argan-oil-gloss-shampoo-27-oz-shelhealth-685.jpg?v=1663338710&amp;width=1946")</f>
        <v/>
      </c>
      <c r="H619">
        <f>_xlfn.IMAGE("https://m.media-amazon.com/images/I/61Jj+HUyJYL._AC_UL320_.jpg")</f>
        <v/>
      </c>
      <c r="K619" t="inlineStr">
        <is>
          <t>21.99</t>
        </is>
      </c>
      <c r="L619" t="n">
        <v>45</v>
      </c>
      <c r="M619" s="1" t="inlineStr">
        <is>
          <t>104.64%</t>
        </is>
      </c>
      <c r="N619" s="3" t="n">
        <v>104.64</v>
      </c>
      <c r="O619" t="n">
        <v>4.7</v>
      </c>
      <c r="P619" t="n">
        <v>19</v>
      </c>
      <c r="R619" t="inlineStr">
        <is>
          <t>OutOfStock</t>
        </is>
      </c>
      <c r="S619" t="inlineStr">
        <is>
          <t>21.99</t>
        </is>
      </c>
      <c r="T619" t="inlineStr">
        <is>
          <t>3787617468468</t>
        </is>
      </c>
    </row>
    <row r="620" ht="75" customHeight="1">
      <c r="A620" s="2">
        <f>HYPERLINK("https://www.shelhealth.com/products/661176010080-naturtint-permanent-hair-color-10n-light-dawn-blonde-5-28-oz", "https://www.shelhealth.com/products/661176010080-naturtint-permanent-hair-color-10n-light-dawn-blonde-5-28-oz")</f>
        <v/>
      </c>
      <c r="B620" s="2">
        <f>HYPERLINK("https://www.shelhealth.com/products/661176010080-naturtint-permanent-hair-color-10n-light-dawn-blonde-5-28-oz", "https://www.shelhealth.com/products/661176010080-naturtint-permanent-hair-color-10n-light-dawn-blonde-5-28-oz")</f>
        <v/>
      </c>
      <c r="C620" t="inlineStr">
        <is>
          <t>Naturtint Permanent Hair Color 10N Light Dawn Blonde, 5.28 Oz</t>
        </is>
      </c>
      <c r="D620" t="inlineStr">
        <is>
          <t>Naturtint Permanent Hair Colorant, 10N Light Dawn Blonde, 5.4-Ounces (Pack of 2)</t>
        </is>
      </c>
      <c r="E620" s="2">
        <f>HYPERLINK("https://www.amazon.com/Naturtint-Permanent-Colorant-Blonde-5-4-Ounces/dp/B001G7PWQS/ref=sr_1_3?keywords=Naturtint+Permanent+Hair+Color+10N+Light+Dawn+Blonde%2C+5.28+Oz&amp;qid=1695170259&amp;sr=8-3", "https://www.amazon.com/Naturtint-Permanent-Colorant-Blonde-5-4-Ounces/dp/B001G7PWQS/ref=sr_1_3?keywords=Naturtint+Permanent+Hair+Color+10N+Light+Dawn+Blonde%2C+5.28+Oz&amp;qid=1695170259&amp;sr=8-3")</f>
        <v/>
      </c>
      <c r="F620" t="inlineStr">
        <is>
          <t>B001G7PWQS</t>
        </is>
      </c>
      <c r="G620">
        <f>_xlfn.IMAGE("https://www.shelhealth.com/cdn/shop/files/naturtint-permanent-hair-color-10n-light-dawn-blonde-5-28-oz-beauty-body-care-shelhealth-292.jpg?v=1686533104&amp;width=1946")</f>
        <v/>
      </c>
      <c r="H620">
        <f>_xlfn.IMAGE("https://m.media-amazon.com/images/I/91M9uGcoTyL._AC_UL320_.jpg")</f>
        <v/>
      </c>
      <c r="K620" t="inlineStr">
        <is>
          <t>17.99</t>
        </is>
      </c>
      <c r="L620" t="n">
        <v>35.3</v>
      </c>
      <c r="M620" s="1" t="inlineStr">
        <is>
          <t>96.22%</t>
        </is>
      </c>
      <c r="N620" s="3" t="n">
        <v>96.22</v>
      </c>
      <c r="O620" t="n">
        <v>3.9</v>
      </c>
      <c r="P620" t="n">
        <v>16</v>
      </c>
      <c r="R620" t="inlineStr">
        <is>
          <t>InStock</t>
        </is>
      </c>
      <c r="S620" t="inlineStr">
        <is>
          <t>17.99</t>
        </is>
      </c>
      <c r="T620" t="inlineStr">
        <is>
          <t>7241866084540</t>
        </is>
      </c>
    </row>
    <row r="621" ht="75" customHeight="1">
      <c r="A621" s="2">
        <f>HYPERLINK("https://www.shelhealth.com/products/pantene-pro-v-advanced-care-conditioner-38-2-oz", "https://www.shelhealth.com/products/pantene-pro-v-advanced-care-conditioner-38-2-oz")</f>
        <v/>
      </c>
      <c r="B621" s="2">
        <f>HYPERLINK("https://www.shelhealth.com/products/pantene-pro-v-advanced-care-conditioner-38-2-oz", "https://www.shelhealth.com/products/pantene-pro-v-advanced-care-conditioner-38-2-oz")</f>
        <v/>
      </c>
      <c r="C621" t="inlineStr">
        <is>
          <t>Pantene Pro-V Advanced Care Conditioner, 38.2 oz</t>
        </is>
      </c>
      <c r="D621" t="inlineStr">
        <is>
          <t>Pantene Pro-V Advanced Care Conditioner 5 in 1 Moisture, Pump Bottle For all Hair Types, 38.2 Ounces (Pack Of 3)</t>
        </is>
      </c>
      <c r="E621" s="2">
        <f>HYPERLINK("https://www.amazon.com/Pantene-Advanced-Conditioner-Moisture-Bottle/dp/B083SSFP7Z/ref=sr_1_1?keywords=Pantene+Pro-V+Advanced+Care+Conditioner%2C+38.2+oz&amp;qid=1695170181&amp;sr=8-1", "https://www.amazon.com/Pantene-Advanced-Conditioner-Moisture-Bottle/dp/B083SSFP7Z/ref=sr_1_1?keywords=Pantene+Pro-V+Advanced+Care+Conditioner%2C+38.2+oz&amp;qid=1695170181&amp;sr=8-1")</f>
        <v/>
      </c>
      <c r="F621" t="inlineStr">
        <is>
          <t>B083SSFP7Z</t>
        </is>
      </c>
      <c r="G621">
        <f>_xlfn.IMAGE("https://www.shelhealth.com/cdn/shop/products/pantene-pro-v-advanced-care-conditioner-38-2-oz-shelhealth-928.jpg?v=1663338586&amp;width=1946")</f>
        <v/>
      </c>
      <c r="H621">
        <f>_xlfn.IMAGE("https://m.media-amazon.com/images/I/51JDidH88gS._AC_UL320_.jpg")</f>
        <v/>
      </c>
      <c r="K621" t="inlineStr">
        <is>
          <t>16.99</t>
        </is>
      </c>
      <c r="L621" t="n">
        <v>33.15</v>
      </c>
      <c r="M621" s="1" t="inlineStr">
        <is>
          <t>95.11%</t>
        </is>
      </c>
      <c r="N621" s="3" t="n">
        <v>95.11</v>
      </c>
      <c r="O621" t="n">
        <v>4.9</v>
      </c>
      <c r="P621" t="n">
        <v>51</v>
      </c>
      <c r="R621" t="inlineStr">
        <is>
          <t>InStock</t>
        </is>
      </c>
      <c r="S621" t="inlineStr">
        <is>
          <t>16.99</t>
        </is>
      </c>
      <c r="T621" t="inlineStr">
        <is>
          <t>3785945088052</t>
        </is>
      </c>
    </row>
    <row r="622" ht="75" customHeight="1">
      <c r="A622" s="2">
        <f>HYPERLINK("https://www.shelhealth.com/products/716237180360-giovanni-cosmetics-shine-of-the-times-styling-spray-4-oz", "https://www.shelhealth.com/products/716237180360-giovanni-cosmetics-shine-of-the-times-styling-spray-4-oz")</f>
        <v/>
      </c>
      <c r="B622" s="2">
        <f>HYPERLINK("https://www.shelhealth.com/products/716237180360-giovanni-cosmetics-shine-of-the-times-styling-spray-4-oz", "https://www.shelhealth.com/products/716237180360-giovanni-cosmetics-shine-of-the-times-styling-spray-4-oz")</f>
        <v/>
      </c>
      <c r="C622" t="inlineStr">
        <is>
          <t>Giovanni Cosmetics Shine Of The Times Styling Spray, 4 Oz (Case of 2)</t>
        </is>
      </c>
      <c r="D622" t="inlineStr">
        <is>
          <t>Giovanni: Shine of the Times Styling Spray, 4 oz (4 pack)</t>
        </is>
      </c>
      <c r="E622" s="2">
        <f>HYPERLINK("https://www.amazon.com/Giovanni-Shine-Times-Styling-Spray/dp/B002LMLW0W/ref=sr_1_3?keywords=Giovanni+Cosmetics+Shine+Of+The+Times+Styling+Spray%2C+4+Oz+%28Case+of+2%29&amp;qid=1695170192&amp;sr=8-3", "https://www.amazon.com/Giovanni-Shine-Times-Styling-Spray/dp/B002LMLW0W/ref=sr_1_3?keywords=Giovanni+Cosmetics+Shine+Of+The+Times+Styling+Spray%2C+4+Oz+%28Case+of+2%29&amp;qid=1695170192&amp;sr=8-3")</f>
        <v/>
      </c>
      <c r="F622" t="inlineStr">
        <is>
          <t>B002LMLW0W</t>
        </is>
      </c>
      <c r="G622">
        <f>_xlfn.IMAGE("https://www.shelhealth.com/cdn/shop/files/giovanni-cosmetics-shine-of-the-times-styling-spray-4-oz-case-2-beauty-body-care-shelhealth-422.jpg?v=1686527427&amp;width=1946")</f>
        <v/>
      </c>
      <c r="H622">
        <f>_xlfn.IMAGE("https://m.media-amazon.com/images/I/516t4Ni4bNL._AC_UL320_.jpg")</f>
        <v/>
      </c>
      <c r="K622" t="inlineStr">
        <is>
          <t>21.99</t>
        </is>
      </c>
      <c r="L622" t="n">
        <v>40.89</v>
      </c>
      <c r="M622" s="1" t="inlineStr">
        <is>
          <t>85.95%</t>
        </is>
      </c>
      <c r="N622" s="3" t="n">
        <v>85.95</v>
      </c>
      <c r="O622" t="n">
        <v>5</v>
      </c>
      <c r="P622" t="n">
        <v>1</v>
      </c>
      <c r="R622" t="inlineStr">
        <is>
          <t>InStock</t>
        </is>
      </c>
      <c r="S622" t="inlineStr">
        <is>
          <t>21.99</t>
        </is>
      </c>
      <c r="T622" t="inlineStr">
        <is>
          <t>7241661284540</t>
        </is>
      </c>
    </row>
    <row r="623" ht="75" customHeight="1">
      <c r="A623" s="2">
        <f>HYPERLINK("https://www.shelhealth.com/products/kirkland-signature-professional-salon-formula-moisture-shampoo-33-8-fl-oz", "https://www.shelhealth.com/products/kirkland-signature-professional-salon-formula-moisture-shampoo-33-8-fl-oz")</f>
        <v/>
      </c>
      <c r="B623" s="2">
        <f>HYPERLINK("https://www.shelhealth.com/products/kirkland-signature-professional-salon-formula-moisture-shampoo-33-8-fl-oz", "https://www.shelhealth.com/products/kirkland-signature-professional-salon-formula-moisture-shampoo-33-8-fl-oz")</f>
        <v/>
      </c>
      <c r="C623" t="inlineStr">
        <is>
          <t>Kirkland Signature Professional Salon Formula Moisture Shampoo, 33.8 Fl. Oz</t>
        </is>
      </c>
      <c r="D623" t="inlineStr">
        <is>
          <t>Kirkland Signature Professional Salon Formula Moisture Shampoo or Conditioner (33.8 Oz Each) (shampoo &amp; Conditioner Set) By 1count</t>
        </is>
      </c>
      <c r="E623" s="2">
        <f>HYPERLINK("https://www.amazon.com/Professional-Moisture-Conditioner-Kirkland-Signature/dp/B00D1J091M/ref=sr_1_10?keywords=Kirkland+Signature+Professional+Salon+Formula+Moisture+Shampoo%2C+33.8+Fl.+Oz&amp;qid=1695170167&amp;sr=8-10", "https://www.amazon.com/Professional-Moisture-Conditioner-Kirkland-Signature/dp/B00D1J091M/ref=sr_1_10?keywords=Kirkland+Signature+Professional+Salon+Formula+Moisture+Shampoo%2C+33.8+Fl.+Oz&amp;qid=1695170167&amp;sr=8-10")</f>
        <v/>
      </c>
      <c r="F623" t="inlineStr">
        <is>
          <t>B00D1J091M</t>
        </is>
      </c>
      <c r="G623">
        <f>_xlfn.IMAGE("https://www.shelhealth.com/cdn/shop/products/kirkland-signature-professional-salon-formula-moisture-shampoo-33-8-fl-oz-shelhealth-735.jpg?v=1663336782&amp;width=1946")</f>
        <v/>
      </c>
      <c r="H623">
        <f>_xlfn.IMAGE("https://m.media-amazon.com/images/I/41mJF13nJqL._AC_UL320_.jpg")</f>
        <v/>
      </c>
      <c r="K623" t="inlineStr">
        <is>
          <t>19.99</t>
        </is>
      </c>
      <c r="L623" t="n">
        <v>36.5</v>
      </c>
      <c r="M623" s="1" t="inlineStr">
        <is>
          <t>82.59%</t>
        </is>
      </c>
      <c r="N623" s="3" t="n">
        <v>82.59</v>
      </c>
      <c r="O623" t="n">
        <v>4.5</v>
      </c>
      <c r="P623" t="n">
        <v>530</v>
      </c>
      <c r="R623" t="inlineStr">
        <is>
          <t>InStock</t>
        </is>
      </c>
      <c r="S623" t="inlineStr">
        <is>
          <t>19.99</t>
        </is>
      </c>
      <c r="T623" t="inlineStr">
        <is>
          <t>3723632705588</t>
        </is>
      </c>
    </row>
    <row r="624" ht="75" customHeight="1">
      <c r="A624" s="2">
        <f>HYPERLINK("https://www.shelhealth.com/products/head-and-shoulders-old-spice-pure-sport-dandruff-2-in-1-shampoo-and-conditioner-43-3-fl-oz", "https://www.shelhealth.com/products/head-and-shoulders-old-spice-pure-sport-dandruff-2-in-1-shampoo-and-conditioner-43-3-fl-oz")</f>
        <v/>
      </c>
      <c r="B624" s="2">
        <f>HYPERLINK("https://www.shelhealth.com/products/head-and-shoulders-old-spice-pure-sport-dandruff-2-in-1-shampoo-and-conditioner-43-3-fl-oz", "https://www.shelhealth.com/products/head-and-shoulders-old-spice-pure-sport-dandruff-2-in-1-shampoo-and-conditioner-43-3-fl-oz")</f>
        <v/>
      </c>
      <c r="C624" t="inlineStr">
        <is>
          <t>Head and Shoulders Old Spice Pure Sport Dandruff 2 in 1 Shampoo and Conditioner, 43.3 fl. oz.</t>
        </is>
      </c>
      <c r="D624" t="inlineStr">
        <is>
          <t>Head and Shoulders Mens 2 in 1 Dandruff Shampoo and Conditioner, Anti-Dandruff Treatment, Old Spice Swagger for Daily Use, Paraben Free, 31.4oz, 2 PACK</t>
        </is>
      </c>
      <c r="E624" s="2">
        <f>HYPERLINK("https://www.amazon.com/Head-Shoulders-Shampoo-Conditioner-Dandruff/dp/B07F39WKHD/ref=sr_1_6?keywords=Head+and+Shoulders+Old+Spice+Pure+Sport+Dandruff+2+in+1+Shampoo+and+Conditioner%2C+43.3+fl.+oz.&amp;qid=1695170247&amp;sr=8-6", "https://www.amazon.com/Head-Shoulders-Shampoo-Conditioner-Dandruff/dp/B07F39WKHD/ref=sr_1_6?keywords=Head+and+Shoulders+Old+Spice+Pure+Sport+Dandruff+2+in+1+Shampoo+and+Conditioner%2C+43.3+fl.+oz.&amp;qid=1695170247&amp;sr=8-6")</f>
        <v/>
      </c>
      <c r="F624" t="inlineStr">
        <is>
          <t>B07F39WKHD</t>
        </is>
      </c>
      <c r="G624">
        <f>_xlfn.IMAGE("https://www.shelhealth.com/cdn/shop/files/head-and-shoulders-old-spice-pure-sport-dandruff-2-in-1-shampoo-conditioner-43-3-fl-oz-health-beautyhair-care-shelhealth-147.jpg?v=1686282321&amp;width=1946")</f>
        <v/>
      </c>
      <c r="H624">
        <f>_xlfn.IMAGE("https://m.media-amazon.com/images/I/81eHLD+jhvL._AC_UL320_.jpg")</f>
        <v/>
      </c>
      <c r="K624" t="inlineStr">
        <is>
          <t>22.99</t>
        </is>
      </c>
      <c r="L624" t="n">
        <v>41.64</v>
      </c>
      <c r="M624" s="1" t="inlineStr">
        <is>
          <t>81.12%</t>
        </is>
      </c>
      <c r="N624" s="3" t="n">
        <v>81.12</v>
      </c>
      <c r="O624" t="n">
        <v>4.8</v>
      </c>
      <c r="P624" t="n">
        <v>2862</v>
      </c>
      <c r="R624" t="inlineStr">
        <is>
          <t>OutOfStock</t>
        </is>
      </c>
      <c r="S624" t="inlineStr">
        <is>
          <t>22.99</t>
        </is>
      </c>
      <c r="T624" t="inlineStr">
        <is>
          <t>4091405729844</t>
        </is>
      </c>
    </row>
    <row r="625" ht="75" customHeight="1">
      <c r="A625" s="2">
        <f>HYPERLINK("https://www.shelhealth.com/products/704326100306-tints-of-nature-3n-natural-dark-brown-permanent-hair-colour-4-4-fo", "https://www.shelhealth.com/products/704326100306-tints-of-nature-3n-natural-dark-brown-permanent-hair-colour-4-4-fo")</f>
        <v/>
      </c>
      <c r="B625" s="2">
        <f>HYPERLINK("https://www.shelhealth.com/products/704326100306-tints-of-nature-3n-natural-dark-brown-permanent-hair-colour-4-4-fo", "https://www.shelhealth.com/products/704326100306-tints-of-nature-3n-natural-dark-brown-permanent-hair-colour-4-4-fo")</f>
        <v/>
      </c>
      <c r="C625" t="inlineStr">
        <is>
          <t>Tints Of Nature 3N Natural Dark Brown Permanent Hair Colour, 4.4 Fo</t>
        </is>
      </c>
      <c r="D625" t="inlineStr">
        <is>
          <t>Tints of Nature, Permanent Color, Natural Dark Brown, 3N, 4.4 fl oz (130 ml)(pack of 2)</t>
        </is>
      </c>
      <c r="E625" s="2">
        <f>HYPERLINK("https://www.amazon.com/Tints-Nature-Permanent-Color-Natural/dp/B0190ISABI/ref=sr_1_1?keywords=Tints+Of+Nature+3N+Natural+Dark+Brown+Permanent+Hair+Colour%2C+4.4+Fo&amp;qid=1695170195&amp;sr=8-1", "https://www.amazon.com/Tints-Nature-Permanent-Color-Natural/dp/B0190ISABI/ref=sr_1_1?keywords=Tints+Of+Nature+3N+Natural+Dark+Brown+Permanent+Hair+Colour%2C+4.4+Fo&amp;qid=1695170195&amp;sr=8-1")</f>
        <v/>
      </c>
      <c r="F625" t="inlineStr">
        <is>
          <t>B0190ISABI</t>
        </is>
      </c>
      <c r="G625">
        <f>_xlfn.IMAGE("https://www.shelhealth.com/cdn/shop/files/tints-of-nature-3n-natural-dark-brown-permanent-hair-colour-4-fo-beauty-body-care-shelhealth-465.jpg?v=1689667949&amp;width=1946")</f>
        <v/>
      </c>
      <c r="H625">
        <f>_xlfn.IMAGE("https://m.media-amazon.com/images/I/71Qic6qR4vL._AC_UL320_.jpg")</f>
        <v/>
      </c>
      <c r="K625" t="inlineStr">
        <is>
          <t>19.99</t>
        </is>
      </c>
      <c r="L625" t="n">
        <v>35.83</v>
      </c>
      <c r="M625" s="1" t="inlineStr">
        <is>
          <t>79.24%</t>
        </is>
      </c>
      <c r="N625" s="3" t="n">
        <v>79.23999999999999</v>
      </c>
      <c r="O625" t="n">
        <v>4.6</v>
      </c>
      <c r="P625" t="n">
        <v>3</v>
      </c>
      <c r="R625" t="inlineStr">
        <is>
          <t>OutOfStock</t>
        </is>
      </c>
      <c r="S625" t="inlineStr">
        <is>
          <t>19.99</t>
        </is>
      </c>
      <c r="T625" t="inlineStr">
        <is>
          <t>7242043719868</t>
        </is>
      </c>
    </row>
    <row r="626" ht="75" customHeight="1">
      <c r="A626" s="2">
        <f>HYPERLINK("https://www.shelhealth.com/products/kirkland-signature-professional-salon-formula-moisture-shampoo-33-8-fl-oz", "https://www.shelhealth.com/products/kirkland-signature-professional-salon-formula-moisture-shampoo-33-8-fl-oz")</f>
        <v/>
      </c>
      <c r="B626" s="2">
        <f>HYPERLINK("https://www.shelhealth.com/products/kirkland-signature-professional-salon-formula-moisture-shampoo-33-8-fl-oz", "https://www.shelhealth.com/products/kirkland-signature-professional-salon-formula-moisture-shampoo-33-8-fl-oz")</f>
        <v/>
      </c>
      <c r="C626" t="inlineStr">
        <is>
          <t>Kirkland Signature Professional Salon Formula Moisture Shampoo, 33.8 Fl. Oz</t>
        </is>
      </c>
      <c r="D626" t="inlineStr">
        <is>
          <t>TraderB Kirkland Signature Professional Salon Formula Moisture Shampoo &amp; Conditioner 33.8fl oz 1 litter (Two Bottles)</t>
        </is>
      </c>
      <c r="E626" s="2">
        <f>HYPERLINK("https://www.amazon.com/Kirkland-Signature-Professional-Moisture-Conditioner/dp/B09WTZLVTD/ref=sr_1_7?keywords=Kirkland+Signature+Professional+Salon+Formula+Moisture+Shampoo%2C+33.8+Fl.+Oz&amp;qid=1695170167&amp;sr=8-7", "https://www.amazon.com/Kirkland-Signature-Professional-Moisture-Conditioner/dp/B09WTZLVTD/ref=sr_1_7?keywords=Kirkland+Signature+Professional+Salon+Formula+Moisture+Shampoo%2C+33.8+Fl.+Oz&amp;qid=1695170167&amp;sr=8-7")</f>
        <v/>
      </c>
      <c r="F626" t="inlineStr">
        <is>
          <t>B09WTZLVTD</t>
        </is>
      </c>
      <c r="G626">
        <f>_xlfn.IMAGE("https://www.shelhealth.com/cdn/shop/products/kirkland-signature-professional-salon-formula-moisture-shampoo-33-8-fl-oz-shelhealth-735.jpg?v=1663336782&amp;width=1946")</f>
        <v/>
      </c>
      <c r="H626">
        <f>_xlfn.IMAGE("https://m.media-amazon.com/images/I/61MkrLzygYL._AC_UL320_.jpg")</f>
        <v/>
      </c>
      <c r="K626" t="inlineStr">
        <is>
          <t>19.99</t>
        </is>
      </c>
      <c r="L626" t="n">
        <v>35.78</v>
      </c>
      <c r="M626" s="1" t="inlineStr">
        <is>
          <t>78.99%</t>
        </is>
      </c>
      <c r="N626" s="3" t="n">
        <v>78.98999999999999</v>
      </c>
      <c r="O626" t="n">
        <v>4.4</v>
      </c>
      <c r="P626" t="n">
        <v>107</v>
      </c>
      <c r="R626" t="inlineStr">
        <is>
          <t>InStock</t>
        </is>
      </c>
      <c r="S626" t="inlineStr">
        <is>
          <t>19.99</t>
        </is>
      </c>
      <c r="T626" t="inlineStr">
        <is>
          <t>3723632705588</t>
        </is>
      </c>
    </row>
    <row r="627" ht="75" customHeight="1">
      <c r="A627" s="2">
        <f>HYPERLINK("https://www.shelhealth.com/products/conair-infiniti-pro-11in-flat-iron", "https://www.shelhealth.com/products/conair-infiniti-pro-11in-flat-iron")</f>
        <v/>
      </c>
      <c r="B627" s="2">
        <f>HYPERLINK("https://www.shelhealth.com/products/conair-infiniti-pro-11in-flat-iron", "https://www.shelhealth.com/products/conair-infiniti-pro-11in-flat-iron")</f>
        <v/>
      </c>
      <c r="C627" t="inlineStr">
        <is>
          <t>Conair Infiniti Pro 11in. Flat Iron</t>
        </is>
      </c>
      <c r="D627" t="inlineStr">
        <is>
          <t>INFINITIPRO BY CONAIR QuadAir Flat Iron Hair Straightener, Damage Control with Single Pass Straightening, Quad Power is Four 1/2" Plates for Faster Styling and Less Damage</t>
        </is>
      </c>
      <c r="E627" s="2">
        <f>HYPERLINK("https://www.amazon.com/INFINITIPRO-QuadAir-Straightener-Control-Straightening/dp/B0C34QWJYK/ref=sr_1_8?keywords=Conair+Infiniti+Pro+11in.+Flat+Iron&amp;qid=1695170251&amp;sr=8-8", "https://www.amazon.com/INFINITIPRO-QuadAir-Straightener-Control-Straightening/dp/B0C34QWJYK/ref=sr_1_8?keywords=Conair+Infiniti+Pro+11in.+Flat+Iron&amp;qid=1695170251&amp;sr=8-8")</f>
        <v/>
      </c>
      <c r="F627" t="inlineStr">
        <is>
          <t>B0C34QWJYK</t>
        </is>
      </c>
      <c r="G627">
        <f>_xlfn.IMAGE("https://www.shelhealth.com/cdn/shop/products/conair-infiniti-pro-11in-flat-iron-shelhealth-337.jpg?v=1663343304&amp;width=1946")</f>
        <v/>
      </c>
      <c r="H627">
        <f>_xlfn.IMAGE("https://m.media-amazon.com/images/I/61ij8eHsTlL._AC_UL320_.jpg")</f>
        <v/>
      </c>
      <c r="K627" t="inlineStr">
        <is>
          <t>43.99</t>
        </is>
      </c>
      <c r="L627" t="n">
        <v>78.39</v>
      </c>
      <c r="M627" s="1" t="inlineStr">
        <is>
          <t>78.20%</t>
        </is>
      </c>
      <c r="N627" s="3" t="n">
        <v>78.2</v>
      </c>
      <c r="O627" t="n">
        <v>3.8</v>
      </c>
      <c r="P627" t="n">
        <v>2423</v>
      </c>
      <c r="R627" t="inlineStr">
        <is>
          <t>OutOfStock</t>
        </is>
      </c>
      <c r="S627" t="inlineStr">
        <is>
          <t>43.99</t>
        </is>
      </c>
      <c r="T627" t="inlineStr">
        <is>
          <t>3820080267316</t>
        </is>
      </c>
    </row>
    <row r="628" ht="75" customHeight="1">
      <c r="A628" s="2">
        <f>HYPERLINK("https://www.shelhealth.com/products/professional-salon-formula-moisture-shampoo-or-conditioner-33-8-oz-each-shampoo-conditioner-set", "https://www.shelhealth.com/products/professional-salon-formula-moisture-shampoo-or-conditioner-33-8-oz-each-shampoo-conditioner-set")</f>
        <v/>
      </c>
      <c r="B628" s="2">
        <f>HYPERLINK("https://www.shelhealth.com/products/professional-salon-formula-moisture-shampoo-or-conditioner-33-8-oz-each-shampoo-conditioner-set", "https://www.shelhealth.com/products/professional-salon-formula-moisture-shampoo-or-conditioner-33-8-oz-each-shampoo-conditioner-set")</f>
        <v/>
      </c>
      <c r="C628" t="inlineStr">
        <is>
          <t>Kirkland Signature Professional Salon Formula Moisture Shampoo &amp; Conditioner Set (33.8 Oz Each)</t>
        </is>
      </c>
      <c r="D628" t="inlineStr">
        <is>
          <t>Kirkland Signature Professional Salon Formula Shampoo &amp; Conditioner Bundle- Includes Two Salon Formula Moisture Shampoo (33.8 Fl. Oz Each) and Two Salon Formula Conditioner (33.8 Fl. Oz Each)</t>
        </is>
      </c>
      <c r="E628" s="2">
        <f>HYPERLINK("https://www.amazon.com/Kirkland-Signature-Professional-Conditioner-Moisture/dp/B07HM1PNVF/ref=sr_1_7?keywords=Kirkland+Signature+Professional+Salon+Formula+Moisture+Shampoo+%26+Conditioner+Set+%2833.8+Oz+Each%29&amp;qid=1695170176&amp;sr=8-7", "https://www.amazon.com/Kirkland-Signature-Professional-Conditioner-Moisture/dp/B07HM1PNVF/ref=sr_1_7?keywords=Kirkland+Signature+Professional+Salon+Formula+Moisture+Shampoo+%26+Conditioner+Set+%2833.8+Oz+Each%29&amp;qid=1695170176&amp;sr=8-7")</f>
        <v/>
      </c>
      <c r="F628" t="inlineStr">
        <is>
          <t>B07HM1PNVF</t>
        </is>
      </c>
      <c r="G628">
        <f>_xlfn.IMAGE("https://www.shelhealth.com/cdn/shop/products/kirkland-signature-professional-salon-formula-moisture-shampoo-conditioner-set-33-8-oz-each-shelhealth-113.jpg?v=1663336766&amp;width=1946")</f>
        <v/>
      </c>
      <c r="H628">
        <f>_xlfn.IMAGE("https://m.media-amazon.com/images/I/61V6qjN-yLL._AC_UL320_.jpg")</f>
        <v/>
      </c>
      <c r="K628" t="inlineStr">
        <is>
          <t>35.99</t>
        </is>
      </c>
      <c r="L628" t="n">
        <v>63.99</v>
      </c>
      <c r="M628" s="1" t="inlineStr">
        <is>
          <t>77.80%</t>
        </is>
      </c>
      <c r="N628" s="3" t="n">
        <v>77.8</v>
      </c>
      <c r="O628" t="n">
        <v>4.3</v>
      </c>
      <c r="P628" t="n">
        <v>58</v>
      </c>
      <c r="R628" t="inlineStr">
        <is>
          <t>InStock</t>
        </is>
      </c>
      <c r="S628" t="inlineStr">
        <is>
          <t>35.99</t>
        </is>
      </c>
      <c r="T628" t="inlineStr">
        <is>
          <t>3723631558708</t>
        </is>
      </c>
    </row>
    <row r="629" ht="75" customHeight="1">
      <c r="A629" s="2">
        <f>HYPERLINK("https://www.shelhealth.com/products/666248001188-herbatint-permanent-hair-color-gel-4r-copper-chestnut-4-56-fo", "https://www.shelhealth.com/products/666248001188-herbatint-permanent-hair-color-gel-4r-copper-chestnut-4-56-fo")</f>
        <v/>
      </c>
      <c r="B629" s="2">
        <f>HYPERLINK("https://www.shelhealth.com/products/666248001188-herbatint-permanent-hair-color-gel-4r-copper-chestnut-4-56-fo", "https://www.shelhealth.com/products/666248001188-herbatint-permanent-hair-color-gel-4r-copper-chestnut-4-56-fo")</f>
        <v/>
      </c>
      <c r="C629" t="inlineStr">
        <is>
          <t>Herbatint Permanent Hair Color Gel 4R Copper Chestnut, 4.56 Fo</t>
        </is>
      </c>
      <c r="D629" t="inlineStr">
        <is>
          <t>Herbatint, Permanent Haircolor Gel, 5C, Light Ash Chestnut, 4.56 fl oz (135 ml)</t>
        </is>
      </c>
      <c r="E629" s="2">
        <f>HYPERLINK("https://www.amazon.com/Herbatint-Permanent-Herbal-Haircolor-Chestnut/dp/B01LR81UQG/ref=sr_1_2?keywords=Herbatint+Permanent+Hair+Color+Gel+4R+Copper+Chestnut%2C+4.56+Fo&amp;qid=1695170230&amp;sr=8-2", "https://www.amazon.com/Herbatint-Permanent-Herbal-Haircolor-Chestnut/dp/B01LR81UQG/ref=sr_1_2?keywords=Herbatint+Permanent+Hair+Color+Gel+4R+Copper+Chestnut%2C+4.56+Fo&amp;qid=1695170230&amp;sr=8-2")</f>
        <v/>
      </c>
      <c r="F629" t="inlineStr">
        <is>
          <t>B01LR81UQG</t>
        </is>
      </c>
      <c r="G629">
        <f>_xlfn.IMAGE("https://www.shelhealth.com/cdn/shop/files/herbatint-permanent-hair-color-gel-4r-copper-chestnut-4-56-fo-beauty-body-care-shelhealth-948.jpg?v=1693230044&amp;width=1946")</f>
        <v/>
      </c>
      <c r="H629">
        <f>_xlfn.IMAGE("https://m.media-amazon.com/images/I/81pXCURrnSL._AC_UL320_.jpg")</f>
        <v/>
      </c>
      <c r="K629" t="inlineStr">
        <is>
          <t>17.99</t>
        </is>
      </c>
      <c r="L629" t="n">
        <v>31.98</v>
      </c>
      <c r="M629" s="1" t="inlineStr">
        <is>
          <t>77.77%</t>
        </is>
      </c>
      <c r="N629" s="3" t="n">
        <v>77.77</v>
      </c>
      <c r="O629" t="n">
        <v>5</v>
      </c>
      <c r="P629" t="n">
        <v>3</v>
      </c>
      <c r="R629" t="inlineStr">
        <is>
          <t>OutOfStock</t>
        </is>
      </c>
      <c r="S629" t="inlineStr">
        <is>
          <t>17.99</t>
        </is>
      </c>
      <c r="T629" t="inlineStr">
        <is>
          <t>7241699393724</t>
        </is>
      </c>
    </row>
    <row r="630" ht="75" customHeight="1">
      <c r="A630" s="2">
        <f>HYPERLINK("https://www.shelhealth.com/products/666248001164-herbatint-permanent-hair-color-gel-5m-light-mahogany-chestnut-4-56-oz", "https://www.shelhealth.com/products/666248001164-herbatint-permanent-hair-color-gel-5m-light-mahogany-chestnut-4-56-oz")</f>
        <v/>
      </c>
      <c r="B630" s="2">
        <f>HYPERLINK("https://www.shelhealth.com/products/666248001164-herbatint-permanent-hair-color-gel-5m-light-mahogany-chestnut-4-56-oz", "https://www.shelhealth.com/products/666248001164-herbatint-permanent-hair-color-gel-5m-light-mahogany-chestnut-4-56-oz")</f>
        <v/>
      </c>
      <c r="C630" t="inlineStr">
        <is>
          <t>Herbatint Permanent Hair Color Gel 5M Light Mahogany Chestnut, 4.56 Oz</t>
        </is>
      </c>
      <c r="D630" t="inlineStr">
        <is>
          <t>Herbatint, Permanent Haircolor Gel, 5C, Light Ash Chestnut, 4.56 fl oz (135 ml)</t>
        </is>
      </c>
      <c r="E630" s="2">
        <f>HYPERLINK("https://www.amazon.com/Herbatint-Permanent-Herbal-Haircolor-Chestnut/dp/B01LR81UQG/ref=sr_1_4?keywords=Herbatint+Permanent+Hair+Color+Gel+5M+Light+Mahogany+Chestnut%2C+4.56+Oz&amp;qid=1695170205&amp;sr=8-4", "https://www.amazon.com/Herbatint-Permanent-Herbal-Haircolor-Chestnut/dp/B01LR81UQG/ref=sr_1_4?keywords=Herbatint+Permanent+Hair+Color+Gel+5M+Light+Mahogany+Chestnut%2C+4.56+Oz&amp;qid=1695170205&amp;sr=8-4")</f>
        <v/>
      </c>
      <c r="F630" t="inlineStr">
        <is>
          <t>B01LR81UQG</t>
        </is>
      </c>
      <c r="G630">
        <f>_xlfn.IMAGE("https://www.shelhealth.com/cdn/shop/files/herbatint-permanent-hair-color-gel-5m-light-mahogany-chestnut-4-56-oz-beauty-body-care-shelhealth-333.jpg?v=1693230037&amp;width=1946")</f>
        <v/>
      </c>
      <c r="H630">
        <f>_xlfn.IMAGE("https://m.media-amazon.com/images/I/81pXCURrnSL._AC_UL320_.jpg")</f>
        <v/>
      </c>
      <c r="K630" t="inlineStr">
        <is>
          <t>17.99</t>
        </is>
      </c>
      <c r="L630" t="n">
        <v>31.98</v>
      </c>
      <c r="M630" s="1" t="inlineStr">
        <is>
          <t>77.77%</t>
        </is>
      </c>
      <c r="N630" s="3" t="n">
        <v>77.77</v>
      </c>
      <c r="O630" t="n">
        <v>5</v>
      </c>
      <c r="P630" t="n">
        <v>3</v>
      </c>
      <c r="R630" t="inlineStr">
        <is>
          <t>OutOfStock</t>
        </is>
      </c>
      <c r="S630" t="inlineStr">
        <is>
          <t>17.99</t>
        </is>
      </c>
      <c r="T630" t="inlineStr">
        <is>
          <t>7241699557564</t>
        </is>
      </c>
    </row>
    <row r="631" ht="75" customHeight="1">
      <c r="A631" s="2">
        <f>HYPERLINK("https://www.shelhealth.com/products/666248001041-herbatint-permanent-herbal-haircolor-gel-5n-light-chestnut-4-56-oz", "https://www.shelhealth.com/products/666248001041-herbatint-permanent-herbal-haircolor-gel-5n-light-chestnut-4-56-oz")</f>
        <v/>
      </c>
      <c r="B631" s="2">
        <f>HYPERLINK("https://www.shelhealth.com/products/666248001041-herbatint-permanent-herbal-haircolor-gel-5n-light-chestnut-4-56-oz", "https://www.shelhealth.com/products/666248001041-herbatint-permanent-herbal-haircolor-gel-5n-light-chestnut-4-56-oz")</f>
        <v/>
      </c>
      <c r="C631" t="inlineStr">
        <is>
          <t>HERBATINT Permanent Herbal Haircolor Gel 5N Light Chestnut, 4.56 Oz</t>
        </is>
      </c>
      <c r="D631" t="inlineStr">
        <is>
          <t>Herbatint, Permanent Haircolor Gel, 5C, Light Ash Chestnut, 4.56 fl oz (135 ml)</t>
        </is>
      </c>
      <c r="E631" s="2">
        <f>HYPERLINK("https://www.amazon.com/Herbatint-Permanent-Herbal-Haircolor-Chestnut/dp/B01LR81UQG/ref=sr_1_5?keywords=HERBATINT+Permanent+Herbal+Haircolor+Gel+5N+Light+Chestnut%2C+4.56+Oz&amp;qid=1695170204&amp;sr=8-5", "https://www.amazon.com/Herbatint-Permanent-Herbal-Haircolor-Chestnut/dp/B01LR81UQG/ref=sr_1_5?keywords=HERBATINT+Permanent+Herbal+Haircolor+Gel+5N+Light+Chestnut%2C+4.56+Oz&amp;qid=1695170204&amp;sr=8-5")</f>
        <v/>
      </c>
      <c r="F631" t="inlineStr">
        <is>
          <t>B01LR81UQG</t>
        </is>
      </c>
      <c r="G631">
        <f>_xlfn.IMAGE("https://www.shelhealth.com/cdn/shop/files/herbatint-permanent-herbal-haircolor-gel-5n-light-chestnut-4-56-oz-beauty-body-care-shelhealth-981.jpg?v=1689698231&amp;width=1946")</f>
        <v/>
      </c>
      <c r="H631">
        <f>_xlfn.IMAGE("https://m.media-amazon.com/images/I/81pXCURrnSL._AC_UL320_.jpg")</f>
        <v/>
      </c>
      <c r="K631" t="inlineStr">
        <is>
          <t>17.99</t>
        </is>
      </c>
      <c r="L631" t="n">
        <v>31.98</v>
      </c>
      <c r="M631" s="1" t="inlineStr">
        <is>
          <t>77.77%</t>
        </is>
      </c>
      <c r="N631" s="3" t="n">
        <v>77.77</v>
      </c>
      <c r="O631" t="n">
        <v>5</v>
      </c>
      <c r="P631" t="n">
        <v>3</v>
      </c>
      <c r="R631" t="inlineStr">
        <is>
          <t>OutOfStock</t>
        </is>
      </c>
      <c r="S631" t="inlineStr">
        <is>
          <t>17.99</t>
        </is>
      </c>
      <c r="T631" t="inlineStr">
        <is>
          <t>7574112010472</t>
        </is>
      </c>
    </row>
    <row r="632" ht="75" customHeight="1">
      <c r="A632" s="2">
        <f>HYPERLINK("https://www.shelhealth.com/products/666248001232-herbatint-hair-color-5c-ash-chestnut-lite-4-56-oz", "https://www.shelhealth.com/products/666248001232-herbatint-hair-color-5c-ash-chestnut-lite-4-56-oz")</f>
        <v/>
      </c>
      <c r="B632" s="2">
        <f>HYPERLINK("https://www.shelhealth.com/products/666248001232-herbatint-hair-color-5c-ash-chestnut-lite-4-56-oz", "https://www.shelhealth.com/products/666248001232-herbatint-hair-color-5c-ash-chestnut-lite-4-56-oz")</f>
        <v/>
      </c>
      <c r="C632" t="inlineStr">
        <is>
          <t>Herbatint Hair Color 5C Ash Chestnut Lite, 4.56 Oz</t>
        </is>
      </c>
      <c r="D632" t="inlineStr">
        <is>
          <t>Herbatint, Permanent Haircolor Gel, 5C, Light Ash Chestnut, 4.56 fl oz (135 ml)</t>
        </is>
      </c>
      <c r="E632" s="2">
        <f>HYPERLINK("https://www.amazon.com/Herbatint-Permanent-Herbal-Haircolor-Chestnut/dp/B01LR81UQG/ref=sr_1_3?keywords=Herbatint+Hair+Color+5C+Ash+Chestnut+Lite%2C+4.56+Oz&amp;qid=1695170214&amp;sr=8-3", "https://www.amazon.com/Herbatint-Permanent-Herbal-Haircolor-Chestnut/dp/B01LR81UQG/ref=sr_1_3?keywords=Herbatint+Hair+Color+5C+Ash+Chestnut+Lite%2C+4.56+Oz&amp;qid=1695170214&amp;sr=8-3")</f>
        <v/>
      </c>
      <c r="F632" t="inlineStr">
        <is>
          <t>B01LR81UQG</t>
        </is>
      </c>
      <c r="G632">
        <f>_xlfn.IMAGE("https://www.shelhealth.com/cdn/shop/files/herbatint-hair-color-5c-ash-chestnut-lite-4-56-oz-beauty-body-care-shelhealth-728.jpg?v=1693355093&amp;width=1946")</f>
        <v/>
      </c>
      <c r="H632">
        <f>_xlfn.IMAGE("https://m.media-amazon.com/images/I/81pXCURrnSL._AC_UL320_.jpg")</f>
        <v/>
      </c>
      <c r="K632" t="inlineStr">
        <is>
          <t>17.99</t>
        </is>
      </c>
      <c r="L632" t="n">
        <v>31.98</v>
      </c>
      <c r="M632" s="1" t="inlineStr">
        <is>
          <t>77.77%</t>
        </is>
      </c>
      <c r="N632" s="3" t="n">
        <v>77.77</v>
      </c>
      <c r="O632" t="n">
        <v>5</v>
      </c>
      <c r="P632" t="n">
        <v>3</v>
      </c>
      <c r="R632" t="inlineStr">
        <is>
          <t>OutOfStock</t>
        </is>
      </c>
      <c r="S632" t="inlineStr">
        <is>
          <t>17.99</t>
        </is>
      </c>
      <c r="T632" t="inlineStr">
        <is>
          <t>7241699033276</t>
        </is>
      </c>
    </row>
    <row r="633" ht="75" customHeight="1">
      <c r="A633" s="2">
        <f>HYPERLINK("https://www.shelhealth.com/products/666248001119-herbatint-permanent-hair-color-gel-5d-light-golden-chestnut-4-56-oz", "https://www.shelhealth.com/products/666248001119-herbatint-permanent-hair-color-gel-5d-light-golden-chestnut-4-56-oz")</f>
        <v/>
      </c>
      <c r="B633" s="2">
        <f>HYPERLINK("https://www.shelhealth.com/products/666248001119-herbatint-permanent-hair-color-gel-5d-light-golden-chestnut-4-56-oz", "https://www.shelhealth.com/products/666248001119-herbatint-permanent-hair-color-gel-5d-light-golden-chestnut-4-56-oz")</f>
        <v/>
      </c>
      <c r="C633" t="inlineStr">
        <is>
          <t>Herbatint Permanent Hair Color Gel 5D Light Golden Chestnut, 4.56 Oz</t>
        </is>
      </c>
      <c r="D633" t="inlineStr">
        <is>
          <t>Herbatint, Permanent Haircolor Gel, 5C, Light Ash Chestnut, 4.56 fl oz (135 ml)</t>
        </is>
      </c>
      <c r="E633" s="2">
        <f>HYPERLINK("https://www.amazon.com/Herbatint-Permanent-Herbal-Haircolor-Chestnut/dp/B01LR81UQG/ref=sr_1_6?keywords=Herbatint+Permanent+Hair+Color+Gel+5D+Light+Golden+Chestnut%2C+4.56+Oz&amp;qid=1695170207&amp;sr=8-6", "https://www.amazon.com/Herbatint-Permanent-Herbal-Haircolor-Chestnut/dp/B01LR81UQG/ref=sr_1_6?keywords=Herbatint+Permanent+Hair+Color+Gel+5D+Light+Golden+Chestnut%2C+4.56+Oz&amp;qid=1695170207&amp;sr=8-6")</f>
        <v/>
      </c>
      <c r="F633" t="inlineStr">
        <is>
          <t>B01LR81UQG</t>
        </is>
      </c>
      <c r="G633">
        <f>_xlfn.IMAGE("https://www.shelhealth.com/cdn/shop/files/herbatint-permanent-hair-color-gel-5d-light-golden-chestnut-4-56-oz-beauty-body-care-shelhealth-320.jpg?v=1686528264&amp;width=1946")</f>
        <v/>
      </c>
      <c r="H633">
        <f>_xlfn.IMAGE("https://m.media-amazon.com/images/I/81pXCURrnSL._AC_UL320_.jpg")</f>
        <v/>
      </c>
      <c r="K633" t="inlineStr">
        <is>
          <t>17.99</t>
        </is>
      </c>
      <c r="L633" t="n">
        <v>31.98</v>
      </c>
      <c r="M633" s="1" t="inlineStr">
        <is>
          <t>77.77%</t>
        </is>
      </c>
      <c r="N633" s="3" t="n">
        <v>77.77</v>
      </c>
      <c r="O633" t="n">
        <v>5</v>
      </c>
      <c r="P633" t="n">
        <v>3</v>
      </c>
      <c r="R633" t="inlineStr">
        <is>
          <t>InStock</t>
        </is>
      </c>
      <c r="S633" t="inlineStr">
        <is>
          <t>17.99</t>
        </is>
      </c>
      <c r="T633" t="inlineStr">
        <is>
          <t>7241699492028</t>
        </is>
      </c>
    </row>
    <row r="634" ht="75" customHeight="1">
      <c r="A634" s="2">
        <f>HYPERLINK("https://www.shelhealth.com/products/666248001157-herbatint-permanent-hair-color-gel-4m-mahogany-chestnut-4-56-oz", "https://www.shelhealth.com/products/666248001157-herbatint-permanent-hair-color-gel-4m-mahogany-chestnut-4-56-oz")</f>
        <v/>
      </c>
      <c r="B634" s="2">
        <f>HYPERLINK("https://www.shelhealth.com/products/666248001157-herbatint-permanent-hair-color-gel-4m-mahogany-chestnut-4-56-oz", "https://www.shelhealth.com/products/666248001157-herbatint-permanent-hair-color-gel-4m-mahogany-chestnut-4-56-oz")</f>
        <v/>
      </c>
      <c r="C634" t="inlineStr">
        <is>
          <t>Herbatint Permanent Hair Color Gel 4M Mahogany Chestnut, 4.56 Oz</t>
        </is>
      </c>
      <c r="D634" t="inlineStr">
        <is>
          <t>Herbatint, Permanent Haircolor Gel, 5C, Light Ash Chestnut, 4.56 fl oz (135 ml)</t>
        </is>
      </c>
      <c r="E634" s="2">
        <f>HYPERLINK("https://www.amazon.com/Herbatint-Permanent-Herbal-Haircolor-Chestnut/dp/B01LR81UQG/ref=sr_1_6?keywords=Herbatint+Permanent+Hair+Color+Gel+4M+Mahogany+Chestnut%2C+4.56+Oz&amp;qid=1695170205&amp;sr=8-6", "https://www.amazon.com/Herbatint-Permanent-Herbal-Haircolor-Chestnut/dp/B01LR81UQG/ref=sr_1_6?keywords=Herbatint+Permanent+Hair+Color+Gel+4M+Mahogany+Chestnut%2C+4.56+Oz&amp;qid=1695170205&amp;sr=8-6")</f>
        <v/>
      </c>
      <c r="F634" t="inlineStr">
        <is>
          <t>B01LR81UQG</t>
        </is>
      </c>
      <c r="G634">
        <f>_xlfn.IMAGE("https://www.shelhealth.com/cdn/shop/files/herbatint-permanent-hair-color-gel-4m-mahogany-chestnut-4-56-oz-beauty-body-care-shelhealth-126.jpg?v=1693230047&amp;width=1946")</f>
        <v/>
      </c>
      <c r="H634">
        <f>_xlfn.IMAGE("https://m.media-amazon.com/images/I/81pXCURrnSL._AC_UL320_.jpg")</f>
        <v/>
      </c>
      <c r="K634" t="inlineStr">
        <is>
          <t>17.99</t>
        </is>
      </c>
      <c r="L634" t="n">
        <v>31.98</v>
      </c>
      <c r="M634" s="1" t="inlineStr">
        <is>
          <t>77.77%</t>
        </is>
      </c>
      <c r="N634" s="3" t="n">
        <v>77.77</v>
      </c>
      <c r="O634" t="n">
        <v>5</v>
      </c>
      <c r="P634" t="n">
        <v>3</v>
      </c>
      <c r="R634" t="inlineStr">
        <is>
          <t>OutOfStock</t>
        </is>
      </c>
      <c r="S634" t="inlineStr">
        <is>
          <t>17.99</t>
        </is>
      </c>
      <c r="T634" t="inlineStr">
        <is>
          <t>7241699295420</t>
        </is>
      </c>
    </row>
    <row r="635" ht="75" customHeight="1">
      <c r="A635" s="2">
        <f>HYPERLINK("https://www.shelhealth.com/products/love-beauty-and-planet-blooming-color-conditioner-for-color-treated-hair-murumuru-butter-rose-22-oz", "https://www.shelhealth.com/products/love-beauty-and-planet-blooming-color-conditioner-for-color-treated-hair-murumuru-butter-rose-22-oz")</f>
        <v/>
      </c>
      <c r="B635" s="2">
        <f>HYPERLINK("https://www.shelhealth.com/products/love-beauty-and-planet-blooming-color-conditioner-for-color-treated-hair-murumuru-butter-rose-22-oz", "https://www.shelhealth.com/products/love-beauty-and-planet-blooming-color-conditioner-for-color-treated-hair-murumuru-butter-rose-22-oz")</f>
        <v/>
      </c>
      <c r="C635" t="inlineStr">
        <is>
          <t>Love Beauty and Planet Conditioner Blooming Color Murumuru Butter &amp; Rose, 22 FL OZ</t>
        </is>
      </c>
      <c r="D635" t="inlineStr">
        <is>
          <t>Love Beauty and Planet Blooming Color Sulfate-Free Shampoo and Conditioner for Color Treated Hair Murumuru Butter &amp; Rose 2 Count Vegan, Paraben-Free, Silicone-Free, Cruelty-Free 32 oz</t>
        </is>
      </c>
      <c r="E635" s="2">
        <f>HYPERLINK("https://www.amazon.com/Love-Beauty-Planet-Sulfate-Free-Silicone-Free/dp/B09LR9LHPG/ref=sr_1_2?keywords=Love+Beauty+and+Planet+Conditioner+Blooming+Color+Murumuru+Butter&amp;qid=1695170238&amp;sr=8-2", "https://www.amazon.com/Love-Beauty-Planet-Sulfate-Free-Silicone-Free/dp/B09LR9LHPG/ref=sr_1_2?keywords=Love+Beauty+and+Planet+Conditioner+Blooming+Color+Murumuru+Butter&amp;qid=1695170238&amp;sr=8-2")</f>
        <v/>
      </c>
      <c r="F635" t="inlineStr">
        <is>
          <t>B09LR9LHPG</t>
        </is>
      </c>
      <c r="G635">
        <f>_xlfn.IMAGE("https://www.shelhealth.com/cdn/shop/products/love-beauty-and-planet-conditioner-blooming-color-murumuru-butter-rose-22-fl-oz-shelhealth-412.jpg?v=1663360343&amp;width=1946")</f>
        <v/>
      </c>
      <c r="H635">
        <f>_xlfn.IMAGE("https://m.media-amazon.com/images/I/71hsLXnIopL._AC_UL320_.jpg")</f>
        <v/>
      </c>
      <c r="K635" t="inlineStr">
        <is>
          <t>16.99</t>
        </is>
      </c>
      <c r="L635" t="n">
        <v>29.98</v>
      </c>
      <c r="M635" s="1" t="inlineStr">
        <is>
          <t>76.46%</t>
        </is>
      </c>
      <c r="N635" s="3" t="n">
        <v>76.45999999999999</v>
      </c>
      <c r="O635" t="n">
        <v>4.5</v>
      </c>
      <c r="P635" t="n">
        <v>604</v>
      </c>
      <c r="R635" t="inlineStr">
        <is>
          <t>OutOfStock</t>
        </is>
      </c>
      <c r="S635" t="inlineStr">
        <is>
          <t>16.99</t>
        </is>
      </c>
      <c r="T635" t="inlineStr">
        <is>
          <t>4417498546265</t>
        </is>
      </c>
    </row>
    <row r="636" ht="75" customHeight="1">
      <c r="A636" s="2">
        <f>HYPERLINK("https://www.shelhealth.com/products/654749361290-avalon-organics-conditioner-tea-tree-32-oz", "https://www.shelhealth.com/products/654749361290-avalon-organics-conditioner-tea-tree-32-oz")</f>
        <v/>
      </c>
      <c r="B636" s="2">
        <f>HYPERLINK("https://www.shelhealth.com/products/654749361290-avalon-organics-conditioner-tea-tree-32-oz", "https://www.shelhealth.com/products/654749361290-avalon-organics-conditioner-tea-tree-32-oz")</f>
        <v/>
      </c>
      <c r="C636" t="inlineStr">
        <is>
          <t>Avalon Organics Conditioner Tea Tree, 32 Oz</t>
        </is>
      </c>
      <c r="D636" t="inlineStr">
        <is>
          <t>Avalon Organics Scalp Treatment Shampoo, Tea Tree, 32 Oz Conditioner, Scalp Treatment Tea Tree, 32 Oz</t>
        </is>
      </c>
      <c r="E636" s="2">
        <f>HYPERLINK("https://www.amazon.com/Avalon-Organics-Treatment-Shampoo-Conditioner/dp/B08VGR1544/ref=sr_1_2?keywords=Avalon+Organics+Conditioner+Tea+Tree%2C+32+Oz&amp;qid=1695170213&amp;sr=8-2", "https://www.amazon.com/Avalon-Organics-Treatment-Shampoo-Conditioner/dp/B08VGR1544/ref=sr_1_2?keywords=Avalon+Organics+Conditioner+Tea+Tree%2C+32+Oz&amp;qid=1695170213&amp;sr=8-2")</f>
        <v/>
      </c>
      <c r="F636" t="inlineStr">
        <is>
          <t>B08VGR1544</t>
        </is>
      </c>
      <c r="G636">
        <f>_xlfn.IMAGE("https://www.shelhealth.com/cdn/shop/files/avalon-organics-conditioner-tea-tree-32-oz-beauty-body-care-shelhealth-540.jpg?v=1686522279&amp;width=1946")</f>
        <v/>
      </c>
      <c r="H636">
        <f>_xlfn.IMAGE("https://m.media-amazon.com/images/I/61TDLB+c51L._AC_UL320_.jpg")</f>
        <v/>
      </c>
      <c r="K636" t="inlineStr">
        <is>
          <t>18.99</t>
        </is>
      </c>
      <c r="L636" t="n">
        <v>33.11</v>
      </c>
      <c r="M636" s="1" t="inlineStr">
        <is>
          <t>74.35%</t>
        </is>
      </c>
      <c r="N636" s="3" t="n">
        <v>74.34999999999999</v>
      </c>
      <c r="O636" t="n">
        <v>4.5</v>
      </c>
      <c r="P636" t="n">
        <v>110</v>
      </c>
      <c r="R636" t="inlineStr">
        <is>
          <t>InStock</t>
        </is>
      </c>
      <c r="S636" t="inlineStr">
        <is>
          <t>18.99</t>
        </is>
      </c>
      <c r="T636" t="inlineStr">
        <is>
          <t>7241470476476</t>
        </is>
      </c>
    </row>
    <row r="637" ht="75" customHeight="1">
      <c r="A637" s="2">
        <f>HYPERLINK("https://www.shelhealth.com/products/kirkland-signature-professional-salon-formula-moisture-shampoo-33-8-fl-oz", "https://www.shelhealth.com/products/kirkland-signature-professional-salon-formula-moisture-shampoo-33-8-fl-oz")</f>
        <v/>
      </c>
      <c r="B637" s="2">
        <f>HYPERLINK("https://www.shelhealth.com/products/kirkland-signature-professional-salon-formula-moisture-shampoo-33-8-fl-oz", "https://www.shelhealth.com/products/kirkland-signature-professional-salon-formula-moisture-shampoo-33-8-fl-oz")</f>
        <v/>
      </c>
      <c r="C637" t="inlineStr">
        <is>
          <t>Kirkland Signature Professional Salon Formula Moisture Shampoo, 33.8 Fl. Oz</t>
        </is>
      </c>
      <c r="D637" t="inlineStr">
        <is>
          <t>Kirkland Signature Professional Salon Formula Moisture Shampoo, 33.8 Fl. Oz. (Pack of 2, Total 67.6 Fl.Oz, Each 33.8 Fl. Oz.)</t>
        </is>
      </c>
      <c r="E637" s="2">
        <f>HYPERLINK("https://www.amazon.com/Kirkland-Signature-Professional-Formula-Moisture/dp/B07HLZLN6B/ref=sr_1_1?keywords=Kirkland+Signature+Professional+Salon+Formula+Moisture+Shampoo%2C+33.8+Fl.+Oz&amp;qid=1695170167&amp;sr=8-1", "https://www.amazon.com/Kirkland-Signature-Professional-Formula-Moisture/dp/B07HLZLN6B/ref=sr_1_1?keywords=Kirkland+Signature+Professional+Salon+Formula+Moisture+Shampoo%2C+33.8+Fl.+Oz&amp;qid=1695170167&amp;sr=8-1")</f>
        <v/>
      </c>
      <c r="F637" t="inlineStr">
        <is>
          <t>B07HLZLN6B</t>
        </is>
      </c>
      <c r="G637">
        <f>_xlfn.IMAGE("https://www.shelhealth.com/cdn/shop/products/kirkland-signature-professional-salon-formula-moisture-shampoo-33-8-fl-oz-shelhealth-735.jpg?v=1663336782&amp;width=1946")</f>
        <v/>
      </c>
      <c r="H637">
        <f>_xlfn.IMAGE("https://m.media-amazon.com/images/I/719l8sv9K5L._AC_UL320_.jpg")</f>
        <v/>
      </c>
      <c r="K637" t="inlineStr">
        <is>
          <t>19.99</t>
        </is>
      </c>
      <c r="L637" t="n">
        <v>34.25</v>
      </c>
      <c r="M637" s="1" t="inlineStr">
        <is>
          <t>71.34%</t>
        </is>
      </c>
      <c r="N637" s="3" t="n">
        <v>71.34</v>
      </c>
      <c r="O637" t="n">
        <v>4.6</v>
      </c>
      <c r="P637" t="n">
        <v>157</v>
      </c>
      <c r="R637" t="inlineStr">
        <is>
          <t>InStock</t>
        </is>
      </c>
      <c r="S637" t="inlineStr">
        <is>
          <t>19.99</t>
        </is>
      </c>
      <c r="T637" t="inlineStr">
        <is>
          <t>3723632705588</t>
        </is>
      </c>
    </row>
    <row r="638" ht="75" customHeight="1">
      <c r="A638" s="2">
        <f>HYPERLINK("https://www.shelhealth.com/products/love-beauty-and-planet-murumuru-butter-rose-blooming-color-shampoo-22-oz", "https://www.shelhealth.com/products/love-beauty-and-planet-murumuru-butter-rose-blooming-color-shampoo-22-oz")</f>
        <v/>
      </c>
      <c r="B638" s="2">
        <f>HYPERLINK("https://www.shelhealth.com/products/love-beauty-and-planet-murumuru-butter-rose-blooming-color-shampoo-22-oz", "https://www.shelhealth.com/products/love-beauty-and-planet-murumuru-butter-rose-blooming-color-shampoo-22-oz")</f>
        <v/>
      </c>
      <c r="C638" t="inlineStr">
        <is>
          <t>Love Beauty And Planet Murumuru Butter &amp; Rose Blooming Color Shampoo, 22 oz.</t>
        </is>
      </c>
      <c r="D638" t="inlineStr">
        <is>
          <t>Love Beauty and Planet Blooming Color Sulfate-Free Shampoo and Conditioner for Color Treated Hair Murumuru Butter &amp; Rose 2 Count Vegan, Paraben-Free, Silicone-Free, Cruelty-Free 32 oz</t>
        </is>
      </c>
      <c r="E638" s="2">
        <f>HYPERLINK("https://www.amazon.com/Love-Beauty-Planet-Sulfate-Free-Silicone-Free/dp/B09LR9LHPG/ref=sr_1_1?keywords=Love+Beauty+And+Planet+Murumuru+Butter&amp;qid=1695170247&amp;sr=8-1", "https://www.amazon.com/Love-Beauty-Planet-Sulfate-Free-Silicone-Free/dp/B09LR9LHPG/ref=sr_1_1?keywords=Love+Beauty+And+Planet+Murumuru+Butter&amp;qid=1695170247&amp;sr=8-1")</f>
        <v/>
      </c>
      <c r="F638" t="inlineStr">
        <is>
          <t>B09LR9LHPG</t>
        </is>
      </c>
      <c r="G638">
        <f>_xlfn.IMAGE("https://www.shelhealth.com/cdn/shop/products/love-beauty-and-planet-murumuru-butter-rose-blooming-color-shampoo-22-oz-shelhealth-314.jpg?v=1663355846&amp;width=1946")</f>
        <v/>
      </c>
      <c r="H638">
        <f>_xlfn.IMAGE("https://m.media-amazon.com/images/I/71hsLXnIopL._AC_UL320_.jpg")</f>
        <v/>
      </c>
      <c r="K638" t="inlineStr">
        <is>
          <t>17.99</t>
        </is>
      </c>
      <c r="L638" t="n">
        <v>29.98</v>
      </c>
      <c r="M638" s="1" t="inlineStr">
        <is>
          <t>66.65%</t>
        </is>
      </c>
      <c r="N638" s="3" t="n">
        <v>66.65000000000001</v>
      </c>
      <c r="O638" t="n">
        <v>4.5</v>
      </c>
      <c r="P638" t="n">
        <v>604</v>
      </c>
      <c r="R638" t="inlineStr">
        <is>
          <t>InStock</t>
        </is>
      </c>
      <c r="S638" t="inlineStr">
        <is>
          <t>17.99</t>
        </is>
      </c>
      <c r="T638" t="inlineStr">
        <is>
          <t>4172497518644</t>
        </is>
      </c>
    </row>
    <row r="639" ht="75" customHeight="1">
      <c r="A639" s="2">
        <f>HYPERLINK("https://www.shelhealth.com/products/pantene-pro-v-advanced-care-conditioner-38-2-oz", "https://www.shelhealth.com/products/pantene-pro-v-advanced-care-conditioner-38-2-oz")</f>
        <v/>
      </c>
      <c r="B639" s="2">
        <f>HYPERLINK("https://www.shelhealth.com/products/pantene-pro-v-advanced-care-conditioner-38-2-oz", "https://www.shelhealth.com/products/pantene-pro-v-advanced-care-conditioner-38-2-oz")</f>
        <v/>
      </c>
      <c r="C639" t="inlineStr">
        <is>
          <t>Pantene Pro-V Advanced Care Conditioner, 38.2 oz</t>
        </is>
      </c>
      <c r="D639" t="inlineStr">
        <is>
          <t>Set Pantene Advanced Care Shampoo and Conditioner 5 in 1 Moisture, Strength, Smoothness, Pro-vitamin B5 Complex 38.2 FL/OZ each - Packaging May Vary</t>
        </is>
      </c>
      <c r="E639" s="2">
        <f>HYPERLINK("https://www.amazon.com/Pantene-Advanced-Conditioner-Smoothness-Pro-vitamin/dp/B07382GMXW/ref=sr_1_4?keywords=Pantene+Pro-V+Advanced+Care+Conditioner%2C+38.2+oz&amp;qid=1695170181&amp;sr=8-4", "https://www.amazon.com/Pantene-Advanced-Conditioner-Smoothness-Pro-vitamin/dp/B07382GMXW/ref=sr_1_4?keywords=Pantene+Pro-V+Advanced+Care+Conditioner%2C+38.2+oz&amp;qid=1695170181&amp;sr=8-4")</f>
        <v/>
      </c>
      <c r="F639" t="inlineStr">
        <is>
          <t>B07382GMXW</t>
        </is>
      </c>
      <c r="G639">
        <f>_xlfn.IMAGE("https://www.shelhealth.com/cdn/shop/products/pantene-pro-v-advanced-care-conditioner-38-2-oz-shelhealth-928.jpg?v=1663338586&amp;width=1946")</f>
        <v/>
      </c>
      <c r="H639">
        <f>_xlfn.IMAGE("https://m.media-amazon.com/images/I/71dMkLUl1JL._AC_UL320_.jpg")</f>
        <v/>
      </c>
      <c r="K639" t="inlineStr">
        <is>
          <t>16.99</t>
        </is>
      </c>
      <c r="L639" t="n">
        <v>27.9</v>
      </c>
      <c r="M639" s="1" t="inlineStr">
        <is>
          <t>64.21%</t>
        </is>
      </c>
      <c r="N639" s="3" t="n">
        <v>64.20999999999999</v>
      </c>
      <c r="O639" t="n">
        <v>4.7</v>
      </c>
      <c r="P639" t="n">
        <v>2423</v>
      </c>
      <c r="R639" t="inlineStr">
        <is>
          <t>InStock</t>
        </is>
      </c>
      <c r="S639" t="inlineStr">
        <is>
          <t>16.99</t>
        </is>
      </c>
      <c r="T639" t="inlineStr">
        <is>
          <t>3785945088052</t>
        </is>
      </c>
    </row>
    <row r="640" ht="75" customHeight="1">
      <c r="A640" s="2">
        <f>HYPERLINK("https://www.shelhealth.com/products/dove-daily-moisture-conditioner-40-oz", "https://www.shelhealth.com/products/dove-daily-moisture-conditioner-40-oz")</f>
        <v/>
      </c>
      <c r="B640" s="2">
        <f>HYPERLINK("https://www.shelhealth.com/products/dove-daily-moisture-conditioner-40-oz", "https://www.shelhealth.com/products/dove-daily-moisture-conditioner-40-oz")</f>
        <v/>
      </c>
      <c r="C640" t="inlineStr">
        <is>
          <t>Dove Daily Moisture Conditioner, 40 oz.</t>
        </is>
      </c>
      <c r="D640" t="inlineStr">
        <is>
          <t>Dove Damage Therapy Shampoo - Daily Moisture - 40 oz. (Pack of 2)</t>
        </is>
      </c>
      <c r="E640" s="2">
        <f>HYPERLINK("https://www.amazon.com/Dove-Damage-Therapy-Shampoo-Moisture/dp/B00CR55U1A/ref=sr_1_10?keywords=Dove+Daily+Moisture+Conditioner%2C+40+oz.&amp;qid=1695170181&amp;sr=8-10", "https://www.amazon.com/Dove-Damage-Therapy-Shampoo-Moisture/dp/B00CR55U1A/ref=sr_1_10?keywords=Dove+Daily+Moisture+Conditioner%2C+40+oz.&amp;qid=1695170181&amp;sr=8-10")</f>
        <v/>
      </c>
      <c r="F640" t="inlineStr">
        <is>
          <t>B00CR55U1A</t>
        </is>
      </c>
      <c r="G640">
        <f>_xlfn.IMAGE("https://www.shelhealth.com/cdn/shop/products/dove-daily-moisture-conditioner-40-oz-shelhealth-775.jpg?v=1663350554&amp;width=1946")</f>
        <v/>
      </c>
      <c r="H640">
        <f>_xlfn.IMAGE("https://m.media-amazon.com/images/I/61vEdM8xBjL._AC_UL320_.jpg")</f>
        <v/>
      </c>
      <c r="K640" t="inlineStr">
        <is>
          <t>15.99</t>
        </is>
      </c>
      <c r="L640" t="n">
        <v>26.2</v>
      </c>
      <c r="M640" s="1" t="inlineStr">
        <is>
          <t>63.85%</t>
        </is>
      </c>
      <c r="N640" s="3" t="n">
        <v>63.85</v>
      </c>
      <c r="O640" t="n">
        <v>4.7</v>
      </c>
      <c r="P640" t="n">
        <v>540</v>
      </c>
      <c r="R640" t="inlineStr">
        <is>
          <t>InStock</t>
        </is>
      </c>
      <c r="S640" t="inlineStr">
        <is>
          <t>15.99</t>
        </is>
      </c>
      <c r="T640" t="inlineStr">
        <is>
          <t>4091399176244</t>
        </is>
      </c>
    </row>
    <row r="641" hidden="1" ht="15.75" customHeight="1">
      <c r="A641" s="2">
        <f>HYPERLINK("https://www.shelhealth.com/products/pantene-pro-v-daily-moisture-renewal-conditioner-12-fl-oz", "https://www.shelhealth.com/products/pantene-pro-v-daily-moisture-renewal-conditioner-12-fl-oz")</f>
        <v/>
      </c>
      <c r="B641" s="2">
        <f>HYPERLINK("https://www.shelhealth.com/products/pantene-pro-v-daily-moisture-renewal-conditioner-12-fl-oz", "https://www.shelhealth.com/products/pantene-pro-v-daily-moisture-renewal-conditioner-12-fl-oz")</f>
        <v/>
      </c>
      <c r="C641" t="inlineStr">
        <is>
          <t>Pantene Pro-V Daily Moisture Renewal Conditioner, 12 fl oz (Case of 4)</t>
        </is>
      </c>
      <c r="D641" t="inlineStr">
        <is>
          <t>Pantene Pro-V Conditioner, Daily Moisture Renewal, 25.4 fl oz (750 ml) (Pack of 2)</t>
        </is>
      </c>
      <c r="E641" s="2">
        <f>HYPERLINK("https://www.amazon.com/Pantene-Pro-V-Conditioner-Moisture-Renewal/dp/B001F51VDO/ref=sr_1_7?keywords=Pantene+Pro-V+Daily+Moisture+Renewal+Conditioner%2C+12+fl+oz+%28Case+of+4%29&amp;qid=1695170234&amp;sr=8-7", "https://www.amazon.com/Pantene-Pro-V-Conditioner-Moisture-Renewal/dp/B001F51VDO/ref=sr_1_7?keywords=Pantene+Pro-V+Daily+Moisture+Renewal+Conditioner%2C+12+fl+oz+%28Case+of+4%29&amp;qid=1695170234&amp;sr=8-7")</f>
        <v/>
      </c>
      <c r="F641" t="inlineStr">
        <is>
          <t>B001F51VDO</t>
        </is>
      </c>
      <c r="G641">
        <f>_xludf.IMAGE("https://www.shelhealth.com/cdn/shop/products/pantene-pro-v-daily-moisture-renewal-conditioner-12-fl-oz-case-of-4-shelhealth-777.jpg?v=1675328088&amp;width=1946")</f>
        <v/>
      </c>
      <c r="H641">
        <f>_xludf.IMAGE("https://m.media-amazon.com/images/I/61m7NGU64xS._AC_UL320_.jpg")</f>
        <v/>
      </c>
      <c r="K641" t="inlineStr">
        <is>
          <t>31.99</t>
        </is>
      </c>
      <c r="L641" t="n">
        <v>49.97</v>
      </c>
      <c r="M641" s="1" t="inlineStr">
        <is>
          <t>56.21%</t>
        </is>
      </c>
      <c r="N641" s="3" t="n">
        <v>56.21</v>
      </c>
      <c r="O641" t="n">
        <v>1</v>
      </c>
      <c r="P641" t="n">
        <v>1</v>
      </c>
      <c r="R641" t="inlineStr">
        <is>
          <t>InStock</t>
        </is>
      </c>
      <c r="S641" t="inlineStr">
        <is>
          <t>31.99</t>
        </is>
      </c>
      <c r="T641" t="inlineStr">
        <is>
          <t>4429452902489</t>
        </is>
      </c>
    </row>
    <row r="642" hidden="1" ht="15.75" customHeight="1">
      <c r="A642" s="2">
        <f>HYPERLINK("https://www.shelhealth.com/products/pantene-pro-v-daily-moisture-renewal-conditioner-12-fl-oz-1", "https://www.shelhealth.com/products/pantene-pro-v-daily-moisture-renewal-conditioner-12-fl-oz-1")</f>
        <v/>
      </c>
      <c r="B642" s="2">
        <f>HYPERLINK("https://www.shelhealth.com/products/pantene-pro-v-daily-moisture-renewal-conditioner-12-fl-oz-1", "https://www.shelhealth.com/products/pantene-pro-v-daily-moisture-renewal-conditioner-12-fl-oz-1")</f>
        <v/>
      </c>
      <c r="C642" t="inlineStr">
        <is>
          <t>Pantene Pro-V Daily Moisture Renewal Conditioner, 12 fl oz (Case of 4)</t>
        </is>
      </c>
      <c r="D642" t="inlineStr">
        <is>
          <t>Pantene Pro-V Conditioner, Daily Moisture Renewal, 25.4 fl oz (750 ml) (Pack of 2)</t>
        </is>
      </c>
      <c r="E642" s="2">
        <f>HYPERLINK("https://www.amazon.com/Pantene-Pro-V-Conditioner-Moisture-Renewal/dp/B001F51VDO/ref=sr_1_9?keywords=Pantene+Pro-V+Daily+Moisture+Renewal+Conditioner%2C+12+fl+oz+%28Case+of+4%29&amp;qid=1695170244&amp;sr=8-9", "https://www.amazon.com/Pantene-Pro-V-Conditioner-Moisture-Renewal/dp/B001F51VDO/ref=sr_1_9?keywords=Pantene+Pro-V+Daily+Moisture+Renewal+Conditioner%2C+12+fl+oz+%28Case+of+4%29&amp;qid=1695170244&amp;sr=8-9")</f>
        <v/>
      </c>
      <c r="F642" t="inlineStr">
        <is>
          <t>B001F51VDO</t>
        </is>
      </c>
      <c r="G642">
        <f>_xludf.IMAGE("https://www.shelhealth.com/cdn/shop/products/pantene-pro-v-daily-moisture-renewal-conditioner-12-fl-oz-case-of-4-shelhealth-219.jpg?v=1675328102&amp;width=1946")</f>
        <v/>
      </c>
      <c r="H642">
        <f>_xludf.IMAGE("https://m.media-amazon.com/images/I/61m7NGU64xS._AC_UL320_.jpg")</f>
        <v/>
      </c>
      <c r="K642" t="inlineStr">
        <is>
          <t>31.99</t>
        </is>
      </c>
      <c r="L642" t="n">
        <v>49.97</v>
      </c>
      <c r="M642" s="1" t="inlineStr">
        <is>
          <t>56.21%</t>
        </is>
      </c>
      <c r="N642" s="3" t="n">
        <v>56.21</v>
      </c>
      <c r="O642" t="n">
        <v>1</v>
      </c>
      <c r="P642" t="n">
        <v>1</v>
      </c>
      <c r="R642" t="inlineStr">
        <is>
          <t>InStock</t>
        </is>
      </c>
      <c r="S642" t="inlineStr">
        <is>
          <t>31.99</t>
        </is>
      </c>
      <c r="T642" t="inlineStr">
        <is>
          <t>4429456769113</t>
        </is>
      </c>
    </row>
    <row r="643" hidden="1" ht="15.75" customHeight="1">
      <c r="A643" s="2">
        <f>HYPERLINK("https://www.shelhealth.com/products/pantene-smooth-and-sleek-conditioner-38-2-oz", "https://www.shelhealth.com/products/pantene-smooth-and-sleek-conditioner-38-2-oz")</f>
        <v/>
      </c>
      <c r="B643" s="2">
        <f>HYPERLINK("https://www.shelhealth.com/products/pantene-smooth-and-sleek-conditioner-38-2-oz", "https://www.shelhealth.com/products/pantene-smooth-and-sleek-conditioner-38-2-oz")</f>
        <v/>
      </c>
      <c r="C643" t="inlineStr">
        <is>
          <t>Pantene Smooth And Sleek Conditioner, 38.2 oz</t>
        </is>
      </c>
      <c r="D643" t="inlineStr">
        <is>
          <t>Pantene Smooth and Sleek Conditioner 17.7 Fl Oz</t>
        </is>
      </c>
      <c r="E643" s="2">
        <f>HYPERLINK("https://www.amazon.com/Pantene-Pro-v-Smooth-Sleek-Conditioner/dp/B01MXF3FSR/ref=sr_1_2?keywords=Pantene+Smooth+And+Sleek+Conditioner%2C+38.2+oz&amp;qid=1695170249&amp;sr=8-2", "https://www.amazon.com/Pantene-Pro-v-Smooth-Sleek-Conditioner/dp/B01MXF3FSR/ref=sr_1_2?keywords=Pantene+Smooth+And+Sleek+Conditioner%2C+38.2+oz&amp;qid=1695170249&amp;sr=8-2")</f>
        <v/>
      </c>
      <c r="F643" t="inlineStr">
        <is>
          <t>B01MXF3FSR</t>
        </is>
      </c>
      <c r="G643">
        <f>_xludf.IMAGE("https://www.shelhealth.com/cdn/shop/products/pantene-smooth-and-sleek-conditioner-38-2-oz-shelhealth-407.jpg?v=1663350151&amp;width=1946")</f>
        <v/>
      </c>
      <c r="H643">
        <f>_xludf.IMAGE("https://m.media-amazon.com/images/I/71VzUfoGtUL._AC_UL320_.jpg")</f>
        <v/>
      </c>
      <c r="K643" t="inlineStr">
        <is>
          <t>15.99</t>
        </is>
      </c>
      <c r="L643" t="n">
        <v>24.97</v>
      </c>
      <c r="M643" s="1" t="inlineStr">
        <is>
          <t>56.16%</t>
        </is>
      </c>
      <c r="N643" s="3" t="n">
        <v>56.16</v>
      </c>
      <c r="O643" t="n">
        <v>4.7</v>
      </c>
      <c r="P643" t="n">
        <v>112</v>
      </c>
      <c r="R643" t="inlineStr">
        <is>
          <t>InStock</t>
        </is>
      </c>
      <c r="S643" t="inlineStr">
        <is>
          <t>15.99</t>
        </is>
      </c>
      <c r="T643" t="inlineStr">
        <is>
          <t>4045943898164</t>
        </is>
      </c>
    </row>
    <row r="644" hidden="1" ht="15.75" customHeight="1">
      <c r="A644" s="2">
        <f>HYPERLINK("https://www.shelhealth.com/products/pantene-essential-oils-volumizing-conditioner-38-2-fl-oz", "https://www.shelhealth.com/products/pantene-essential-oils-volumizing-conditioner-38-2-fl-oz")</f>
        <v/>
      </c>
      <c r="B644" s="2">
        <f>HYPERLINK("https://www.shelhealth.com/products/pantene-essential-oils-volumizing-conditioner-38-2-fl-oz", "https://www.shelhealth.com/products/pantene-essential-oils-volumizing-conditioner-38-2-fl-oz")</f>
        <v/>
      </c>
      <c r="C644" t="inlineStr">
        <is>
          <t>Pantene essential oils Volumizing Conditioner, 38.2 fl oz.</t>
        </is>
      </c>
      <c r="D644" t="inlineStr">
        <is>
          <t>Pantene Essential Botanicals Rosemary and Lemon Volumizing Shampoo and Conditioner Set, 38.2 fl oz each</t>
        </is>
      </c>
      <c r="E644" s="2">
        <f>HYPERLINK("https://www.amazon.com/Pantene-Essential-Botanicals-Volumizing-Conditioner/dp/B0BNQY7X53/ref=sr_1_1?keywords=Pantene+essential+oils+Volumizing+Conditioner%2C+38.2+fl+oz.&amp;qid=1695170162&amp;sr=8-1", "https://www.amazon.com/Pantene-Essential-Botanicals-Volumizing-Conditioner/dp/B0BNQY7X53/ref=sr_1_1?keywords=Pantene+essential+oils+Volumizing+Conditioner%2C+38.2+fl+oz.&amp;qid=1695170162&amp;sr=8-1")</f>
        <v/>
      </c>
      <c r="F644" t="inlineStr">
        <is>
          <t>B0BNQY7X53</t>
        </is>
      </c>
      <c r="G644">
        <f>_xludf.IMAGE("https://www.shelhealth.com/cdn/shop/products/pantene-essential-oils-volumizing-conditioner-38-2-fl-oz-shelhealth-507.jpg?v=1663373283&amp;width=1946")</f>
        <v/>
      </c>
      <c r="H644">
        <f>_xludf.IMAGE("https://m.media-amazon.com/images/I/81cfr6QHXWL._AC_UL320_.jpg")</f>
        <v/>
      </c>
      <c r="K644" t="inlineStr">
        <is>
          <t>17.99</t>
        </is>
      </c>
      <c r="L644" t="n">
        <v>27.99</v>
      </c>
      <c r="M644" s="1" t="inlineStr">
        <is>
          <t>55.59%</t>
        </is>
      </c>
      <c r="N644" s="3" t="n">
        <v>55.59</v>
      </c>
      <c r="O644" t="n">
        <v>4.2</v>
      </c>
      <c r="P644" t="n">
        <v>16</v>
      </c>
      <c r="R644" t="inlineStr">
        <is>
          <t>InStock</t>
        </is>
      </c>
      <c r="S644" t="inlineStr">
        <is>
          <t>17.99</t>
        </is>
      </c>
      <c r="T644" t="inlineStr">
        <is>
          <t>4704766427225</t>
        </is>
      </c>
    </row>
    <row r="645" hidden="1" ht="15.75" customHeight="1">
      <c r="A645" s="2">
        <f>HYPERLINK("https://www.shelhealth.com/products/pantene-essential-oils-volumizing-shampoo-38-2-fl-oz", "https://www.shelhealth.com/products/pantene-essential-oils-volumizing-shampoo-38-2-fl-oz")</f>
        <v/>
      </c>
      <c r="B645" s="2">
        <f>HYPERLINK("https://www.shelhealth.com/products/pantene-essential-oils-volumizing-shampoo-38-2-fl-oz", "https://www.shelhealth.com/products/pantene-essential-oils-volumizing-shampoo-38-2-fl-oz")</f>
        <v/>
      </c>
      <c r="C645" t="inlineStr">
        <is>
          <t>Pantene essential oils Volumizing Shampoo, 38.2 fl oz.</t>
        </is>
      </c>
      <c r="D645" t="inlineStr">
        <is>
          <t>Pantene Essential Botanicals Rosemary and Lemon Volumizing Shampoo and Conditioner Set, 38.2 fl oz each</t>
        </is>
      </c>
      <c r="E645" s="2">
        <f>HYPERLINK("https://www.amazon.com/Pantene-Essential-Botanicals-Volumizing-Conditioner/dp/B0BNQY7X53/ref=sr_1_1?keywords=Pantene+essential+oils+Volumizing+Shampoo%2C+38.2+fl+oz.&amp;qid=1695170169&amp;sr=8-1", "https://www.amazon.com/Pantene-Essential-Botanicals-Volumizing-Conditioner/dp/B0BNQY7X53/ref=sr_1_1?keywords=Pantene+essential+oils+Volumizing+Shampoo%2C+38.2+fl+oz.&amp;qid=1695170169&amp;sr=8-1")</f>
        <v/>
      </c>
      <c r="F645" t="inlineStr">
        <is>
          <t>B0BNQY7X53</t>
        </is>
      </c>
      <c r="G645">
        <f>_xludf.IMAGE("https://www.shelhealth.com/cdn/shop/products/pantene-essential-oils-volumizing-shampoo-38-2-fl-oz-shelhealth-302.jpg?v=1663373290&amp;width=1946")</f>
        <v/>
      </c>
      <c r="H645">
        <f>_xludf.IMAGE("https://m.media-amazon.com/images/I/81cfr6QHXWL._AC_UL320_.jpg")</f>
        <v/>
      </c>
      <c r="K645" t="inlineStr">
        <is>
          <t>17.99</t>
        </is>
      </c>
      <c r="L645" t="n">
        <v>27.99</v>
      </c>
      <c r="M645" s="1" t="inlineStr">
        <is>
          <t>55.59%</t>
        </is>
      </c>
      <c r="N645" s="3" t="n">
        <v>55.59</v>
      </c>
      <c r="O645" t="n">
        <v>4.2</v>
      </c>
      <c r="P645" t="n">
        <v>16</v>
      </c>
      <c r="R645" t="inlineStr">
        <is>
          <t>OutOfStock</t>
        </is>
      </c>
      <c r="S645" t="inlineStr">
        <is>
          <t>17.99</t>
        </is>
      </c>
      <c r="T645" t="inlineStr">
        <is>
          <t>4704771407961</t>
        </is>
      </c>
    </row>
    <row r="646" hidden="1" ht="15.75" customHeight="1">
      <c r="A646" s="2">
        <f>HYPERLINK("https://www.shelhealth.com/products/dove-anti-frizz-oil-therapy-shampoo-conditioner-40-oz", "https://www.shelhealth.com/products/dove-anti-frizz-oil-therapy-shampoo-conditioner-40-oz")</f>
        <v/>
      </c>
      <c r="B646" s="2">
        <f>HYPERLINK("https://www.shelhealth.com/products/dove-anti-frizz-oil-therapy-shampoo-conditioner-40-oz", "https://www.shelhealth.com/products/dove-anti-frizz-oil-therapy-shampoo-conditioner-40-oz")</f>
        <v/>
      </c>
      <c r="C646" t="inlineStr">
        <is>
          <t>Dove Anti-Frizz Oil Therapy Shampoo &amp; Conditioner - 40 oz</t>
        </is>
      </c>
      <c r="D646" t="inlineStr">
        <is>
          <t>Dove Anti-Frizz Oil Therapy Shampoo With Almond Oil 12 oz(Pack of 6)</t>
        </is>
      </c>
      <c r="E646" s="2">
        <f>HYPERLINK("https://www.amazon.com/Dove-Anti-Frizz-Therapy-Shampoo-Almond/dp/B0195V34ZW/ref=sr_1_8?keywords=Dove+Anti-Frizz+Oil+Therapy+Shampoo&amp;qid=1695170236&amp;sr=8-8", "https://www.amazon.com/Dove-Anti-Frizz-Therapy-Shampoo-Almond/dp/B0195V34ZW/ref=sr_1_8?keywords=Dove+Anti-Frizz+Oil+Therapy+Shampoo&amp;qid=1695170236&amp;sr=8-8")</f>
        <v/>
      </c>
      <c r="F646" t="inlineStr">
        <is>
          <t>B0195V34ZW</t>
        </is>
      </c>
      <c r="G646">
        <f>_xludf.IMAGE("https://www.shelhealth.com/cdn/shop/products/dove-anti-frizz-oil-therapy-shampoo-conditioner-40-oz-shelhealth-636.jpg?v=1663749796&amp;width=1946")</f>
        <v/>
      </c>
      <c r="H646">
        <f>_xludf.IMAGE("https://m.media-amazon.com/images/I/51lnePrOowL._AC_UL320_.jpg")</f>
        <v/>
      </c>
      <c r="K646" t="inlineStr">
        <is>
          <t>25.99</t>
        </is>
      </c>
      <c r="L646" t="n">
        <v>39.99</v>
      </c>
      <c r="M646" s="1" t="inlineStr">
        <is>
          <t>53.87%</t>
        </is>
      </c>
      <c r="N646" s="3" t="n">
        <v>53.87</v>
      </c>
      <c r="O646" t="n">
        <v>5</v>
      </c>
      <c r="P646" t="n">
        <v>1</v>
      </c>
      <c r="R646" t="inlineStr">
        <is>
          <t>InStock</t>
        </is>
      </c>
      <c r="S646" t="inlineStr">
        <is>
          <t>25.99</t>
        </is>
      </c>
      <c r="T646" t="inlineStr">
        <is>
          <t>7506504581352</t>
        </is>
      </c>
    </row>
    <row r="647" hidden="1" ht="15.75" customHeight="1">
      <c r="A647" s="2">
        <f>HYPERLINK("https://www.shelhealth.com/products/alba-botanica-drink-it-up-coconut-milk-hawaiian-shampoo-34-oz", "https://www.shelhealth.com/products/alba-botanica-drink-it-up-coconut-milk-hawaiian-shampoo-34-oz")</f>
        <v/>
      </c>
      <c r="B647" s="2">
        <f>HYPERLINK("https://www.shelhealth.com/products/alba-botanica-drink-it-up-coconut-milk-hawaiian-shampoo-34-oz", "https://www.shelhealth.com/products/alba-botanica-drink-it-up-coconut-milk-hawaiian-shampoo-34-oz")</f>
        <v/>
      </c>
      <c r="C647" t="inlineStr">
        <is>
          <t>Alba Botanica Drink It Up Coconut Milk Hawaiian Shampoo, 34 oz.</t>
        </is>
      </c>
      <c r="D647" t="inlineStr">
        <is>
          <t>Alba Botanica Drink It Up Coconut Milk Hawaiian Conditioner, 32 oz, Drink It Up Coconut Milk Hawaiian Shampoo, 32 oz, Bundle</t>
        </is>
      </c>
      <c r="E647" s="2">
        <f>HYPERLINK("https://www.amazon.com/Alba-Botanica-Coconut-Hawaiian-Conditioner/dp/B07TL62FW7/ref=sr_1_1?keywords=Alba+Botanica+Drink+It+Up+Coconut+Milk+Hawaiian+Shampoo%2C+34+oz.&amp;qid=1695170251&amp;sr=8-1", "https://www.amazon.com/Alba-Botanica-Coconut-Hawaiian-Conditioner/dp/B07TL62FW7/ref=sr_1_1?keywords=Alba+Botanica+Drink+It+Up+Coconut+Milk+Hawaiian+Shampoo%2C+34+oz.&amp;qid=1695170251&amp;sr=8-1")</f>
        <v/>
      </c>
      <c r="F647" t="inlineStr">
        <is>
          <t>B07TL62FW7</t>
        </is>
      </c>
      <c r="G647">
        <f>_xludf.IMAGE("https://www.shelhealth.com/cdn/shop/products/alba-botanica-drink-it-up-coconut-milk-hawaiian-shampoo-34-oz-shelhealth-303.jpg?v=1663362289&amp;width=1946")</f>
        <v/>
      </c>
      <c r="H647">
        <f>_xludf.IMAGE("https://m.media-amazon.com/images/I/51GzGOMkviL._AC_UL320_.jpg")</f>
        <v/>
      </c>
      <c r="K647" t="inlineStr">
        <is>
          <t>18.99</t>
        </is>
      </c>
      <c r="L647" t="n">
        <v>28.98</v>
      </c>
      <c r="M647" s="1" t="inlineStr">
        <is>
          <t>52.61%</t>
        </is>
      </c>
      <c r="N647" s="3" t="n">
        <v>52.61</v>
      </c>
      <c r="O647" t="n">
        <v>4.6</v>
      </c>
      <c r="P647" t="n">
        <v>297</v>
      </c>
      <c r="R647" t="inlineStr">
        <is>
          <t>InStock</t>
        </is>
      </c>
      <c r="S647" t="inlineStr">
        <is>
          <t>18.99</t>
        </is>
      </c>
      <c r="T647" t="inlineStr">
        <is>
          <t>4440158896217</t>
        </is>
      </c>
    </row>
    <row r="648" hidden="1" ht="15.75" customHeight="1">
      <c r="A648" s="2">
        <f>HYPERLINK("https://www.shelhealth.com/products/654749361269-avalon-organics-thickening-shampoo-biotin-b-complex-therapy-paraben-free-32-oz", "https://www.shelhealth.com/products/654749361269-avalon-organics-thickening-shampoo-biotin-b-complex-therapy-paraben-free-32-oz")</f>
        <v/>
      </c>
      <c r="B648" s="2">
        <f>HYPERLINK("https://www.shelhealth.com/products/654749361269-avalon-organics-thickening-shampoo-biotin-b-complex-therapy-paraben-free-32-oz", "https://www.shelhealth.com/products/654749361269-avalon-organics-thickening-shampoo-biotin-b-complex-therapy-paraben-free-32-oz")</f>
        <v/>
      </c>
      <c r="C648" t="inlineStr">
        <is>
          <t>Avalon Organics Thickening Shampoo Biotin B-Complex Therapy, Paraben Free, 32 Oz</t>
        </is>
      </c>
      <c r="D648" t="inlineStr">
        <is>
          <t>Avalon Organics Therapy Thickening Shampoo, Biotin B-Complex, 32 Oz Therapy Thickening Conditioner, Biotin B-Complex, 32 Oz</t>
        </is>
      </c>
      <c r="E648" s="2">
        <f>HYPERLINK("https://www.amazon.com/Avalon-Organics-Thickening-B-Complex-Conditioner/dp/B08VGQWGSY/ref=sr_1_2?keywords=Avalon+Organics+Thickening+Shampoo+Biotin+B-Complex+Therapy%2C+Paraben+Free%2C+32+Oz&amp;qid=1695170184&amp;sr=8-2", "https://www.amazon.com/Avalon-Organics-Thickening-B-Complex-Conditioner/dp/B08VGQWGSY/ref=sr_1_2?keywords=Avalon+Organics+Thickening+Shampoo+Biotin+B-Complex+Therapy%2C+Paraben+Free%2C+32+Oz&amp;qid=1695170184&amp;sr=8-2")</f>
        <v/>
      </c>
      <c r="F648" t="inlineStr">
        <is>
          <t>B08VGQWGSY</t>
        </is>
      </c>
      <c r="G648">
        <f>_xludf.IMAGE("https://www.shelhealth.com/cdn/shop/files/avalon-organics-thickening-shampoo-biotin-b-complex-therapy-paraben-free-32-oz-beauty-body-care-shelhealth-519.jpg?v=1686522173&amp;width=1946")</f>
        <v/>
      </c>
      <c r="H648">
        <f>_xludf.IMAGE("https://m.media-amazon.com/images/I/514bQZ6jzrL._AC_UL320_.jpg")</f>
        <v/>
      </c>
      <c r="K648" t="inlineStr">
        <is>
          <t>21.99</t>
        </is>
      </c>
      <c r="L648" t="n">
        <v>32.43</v>
      </c>
      <c r="M648" s="1" t="inlineStr">
        <is>
          <t>47.48%</t>
        </is>
      </c>
      <c r="N648" s="3" t="n">
        <v>47.48</v>
      </c>
      <c r="O648" t="n">
        <v>4.3</v>
      </c>
      <c r="P648" t="n">
        <v>203</v>
      </c>
      <c r="R648" t="inlineStr">
        <is>
          <t>InStock</t>
        </is>
      </c>
      <c r="S648" t="inlineStr">
        <is>
          <t>21.99</t>
        </is>
      </c>
      <c r="T648" t="inlineStr">
        <is>
          <t>7241472868540</t>
        </is>
      </c>
    </row>
    <row r="649" hidden="1" ht="15.75" customHeight="1">
      <c r="A649" s="2">
        <f>HYPERLINK("https://www.shelhealth.com/products/pantene-smooth-and-sleek-conditioner-38-2-oz", "https://www.shelhealth.com/products/pantene-smooth-and-sleek-conditioner-38-2-oz")</f>
        <v/>
      </c>
      <c r="B649" s="2">
        <f>HYPERLINK("https://www.shelhealth.com/products/pantene-smooth-and-sleek-conditioner-38-2-oz", "https://www.shelhealth.com/products/pantene-smooth-and-sleek-conditioner-38-2-oz")</f>
        <v/>
      </c>
      <c r="C649" t="inlineStr">
        <is>
          <t>Pantene Smooth And Sleek Conditioner, 38.2 oz</t>
        </is>
      </c>
      <c r="D649" t="inlineStr">
        <is>
          <t>Pantene Advanced Care Conditioner, 5 in 1 Moisture, Best Conditioner for Smooth, Lightweight, Strong and Color Vibrant Hair, 38.2 Ounce (Pack of 2)</t>
        </is>
      </c>
      <c r="E649" s="2">
        <f>HYPERLINK("https://www.amazon.com/Pantene-Advanced-Conditioner-Moisture-Lightweight/dp/B084YPH9JF/ref=sr_1_9?keywords=Pantene+Smooth+And+Sleek+Conditioner%2C+38.2+oz&amp;qid=1695170249&amp;sr=8-9", "https://www.amazon.com/Pantene-Advanced-Conditioner-Moisture-Lightweight/dp/B084YPH9JF/ref=sr_1_9?keywords=Pantene+Smooth+And+Sleek+Conditioner%2C+38.2+oz&amp;qid=1695170249&amp;sr=8-9")</f>
        <v/>
      </c>
      <c r="F649" t="inlineStr">
        <is>
          <t>B084YPH9JF</t>
        </is>
      </c>
      <c r="G649">
        <f>_xludf.IMAGE("https://www.shelhealth.com/cdn/shop/products/pantene-smooth-and-sleek-conditioner-38-2-oz-shelhealth-407.jpg?v=1663350151&amp;width=1946")</f>
        <v/>
      </c>
      <c r="H649">
        <f>_xludf.IMAGE("https://m.media-amazon.com/images/I/51iMOZGPAkL._AC_UL320_.jpg")</f>
        <v/>
      </c>
      <c r="K649" t="inlineStr">
        <is>
          <t>15.99</t>
        </is>
      </c>
      <c r="L649" t="n">
        <v>23.5</v>
      </c>
      <c r="M649" s="1" t="inlineStr">
        <is>
          <t>46.97%</t>
        </is>
      </c>
      <c r="N649" s="3" t="n">
        <v>46.97</v>
      </c>
      <c r="O649" t="n">
        <v>4.7</v>
      </c>
      <c r="P649" t="n">
        <v>457</v>
      </c>
      <c r="R649" t="inlineStr">
        <is>
          <t>InStock</t>
        </is>
      </c>
      <c r="S649" t="inlineStr">
        <is>
          <t>15.99</t>
        </is>
      </c>
      <c r="T649" t="inlineStr">
        <is>
          <t>4045943898164</t>
        </is>
      </c>
    </row>
    <row r="650" hidden="1" ht="15.75" customHeight="1">
      <c r="A650" s="2">
        <f>HYPERLINK("https://www.shelhealth.com/products/nexxus-comb-thru-natural-hold-design-and-finishing-mist-10-oz-pack-of-2", "https://www.shelhealth.com/products/nexxus-comb-thru-natural-hold-design-and-finishing-mist-10-oz-pack-of-2")</f>
        <v/>
      </c>
      <c r="B650" s="2">
        <f>HYPERLINK("https://www.shelhealth.com/products/nexxus-comb-thru-natural-hold-design-and-finishing-mist-10-oz-pack-of-2", "https://www.shelhealth.com/products/nexxus-comb-thru-natural-hold-design-and-finishing-mist-10-oz-pack-of-2")</f>
        <v/>
      </c>
      <c r="C650" t="inlineStr">
        <is>
          <t>NEXXUS COMB THRU Natural Hold Design and Finishing Mist 10 oz (Pack of 2)</t>
        </is>
      </c>
      <c r="D650" t="inlineStr">
        <is>
          <t>Nexxus Comb Thru Natural Hold Design And Finishing Mist, 10 oz (Pack of 2)</t>
        </is>
      </c>
      <c r="E650" s="2">
        <f>HYPERLINK("https://www.amazon.com/Nexxus-Comb-Natural-Design-Finishing/dp/B00HA6EQM0/ref=sr_1_1?keywords=NEXXUS+COMB+THRU+Natural+Hold+Design+and+Finishing+Mist+10+oz+%28Pack+of+2%29&amp;qid=1695170255&amp;sr=8-1", "https://www.amazon.com/Nexxus-Comb-Natural-Design-Finishing/dp/B00HA6EQM0/ref=sr_1_1?keywords=NEXXUS+COMB+THRU+Natural+Hold+Design+and+Finishing+Mist+10+oz+%28Pack+of+2%29&amp;qid=1695170255&amp;sr=8-1")</f>
        <v/>
      </c>
      <c r="F650" t="inlineStr">
        <is>
          <t>B00HA6EQM0</t>
        </is>
      </c>
      <c r="G650">
        <f>_xludf.IMAGE("https://www.shelhealth.com/cdn/shop/products/nexxus-comb-thru-natural-hold-design-and-finishing-mist-10-oz-pack-of-2-shelhealth-122.jpg?v=1663350215&amp;width=1946")</f>
        <v/>
      </c>
      <c r="H650">
        <f>_xludf.IMAGE("https://m.media-amazon.com/images/I/51Rg8TW4+RL._AC_UL320_.jpg")</f>
        <v/>
      </c>
      <c r="K650" t="inlineStr">
        <is>
          <t>21.99</t>
        </is>
      </c>
      <c r="L650" t="n">
        <v>31.98</v>
      </c>
      <c r="M650" s="1" t="inlineStr">
        <is>
          <t>45.43%</t>
        </is>
      </c>
      <c r="N650" s="3" t="n">
        <v>45.43</v>
      </c>
      <c r="O650" t="n">
        <v>4.8</v>
      </c>
      <c r="P650" t="n">
        <v>27</v>
      </c>
      <c r="R650" t="inlineStr">
        <is>
          <t>OutOfStock</t>
        </is>
      </c>
      <c r="S650" t="inlineStr">
        <is>
          <t>21.99</t>
        </is>
      </c>
      <c r="T650" t="inlineStr">
        <is>
          <t>4045997539380</t>
        </is>
      </c>
    </row>
    <row r="651" hidden="1" ht="15.75" customHeight="1">
      <c r="A651" s="2">
        <f>HYPERLINK("https://www.shelhealth.com/products/conair-infiniti-pro-hair-dyer-1875-watt", "https://www.shelhealth.com/products/conair-infiniti-pro-hair-dyer-1875-watt")</f>
        <v/>
      </c>
      <c r="B651" s="2">
        <f>HYPERLINK("https://www.shelhealth.com/products/conair-infiniti-pro-hair-dyer-1875-watt", "https://www.shelhealth.com/products/conair-infiniti-pro-hair-dyer-1875-watt")</f>
        <v/>
      </c>
      <c r="C651" t="inlineStr">
        <is>
          <t>Conair Infiniti Pro Hair Dyer 1875 WATT</t>
        </is>
      </c>
      <c r="D651" t="inlineStr">
        <is>
          <t>INFINITIPRO BY CONAIR SmoothWrap Hair Dryer, 1875W Hair Dryer with Diffuser, Blow Dryer for Less Frizz, More Volume and Body, with Advanced Plasma Technology and Ceramic Technology</t>
        </is>
      </c>
      <c r="E651" s="2">
        <f>HYPERLINK("https://www.amazon.com/INFINITIPRO-CONAIR-SmoothWrap-Hair-Dryer/dp/B08GLG9WJT/ref=sr_1_9?keywords=Conair+Infiniti+Pro+Hair+Dyer+1875+WATT&amp;qid=1695170168&amp;sr=8-9", "https://www.amazon.com/INFINITIPRO-CONAIR-SmoothWrap-Hair-Dryer/dp/B08GLG9WJT/ref=sr_1_9?keywords=Conair+Infiniti+Pro+Hair+Dyer+1875+WATT&amp;qid=1695170168&amp;sr=8-9")</f>
        <v/>
      </c>
      <c r="F651" t="inlineStr">
        <is>
          <t>B08GLG9WJT</t>
        </is>
      </c>
      <c r="G651">
        <f>_xludf.IMAGE("https://www.shelhealth.com/cdn/shop/products/conair-infiniti-pro-hair-dyer-1875-watt-shelhealth-502.jpg?v=1663343315&amp;width=1946")</f>
        <v/>
      </c>
      <c r="H651">
        <f>_xludf.IMAGE("https://m.media-amazon.com/images/I/71c6CVQLz9L._AC_UL320_.jpg")</f>
        <v/>
      </c>
      <c r="K651" t="inlineStr">
        <is>
          <t>36.99</t>
        </is>
      </c>
      <c r="L651" t="n">
        <v>52.99</v>
      </c>
      <c r="M651" s="1" t="inlineStr">
        <is>
          <t>43.25%</t>
        </is>
      </c>
      <c r="N651" s="3" t="n">
        <v>43.25</v>
      </c>
      <c r="O651" t="n">
        <v>4.5</v>
      </c>
      <c r="P651" t="n">
        <v>2528</v>
      </c>
      <c r="R651" t="inlineStr">
        <is>
          <t>OutOfStock</t>
        </is>
      </c>
      <c r="S651" t="inlineStr">
        <is>
          <t>36.99</t>
        </is>
      </c>
      <c r="T651" t="inlineStr">
        <is>
          <t>3820082167860</t>
        </is>
      </c>
    </row>
    <row r="652" hidden="1" ht="15.75" customHeight="1">
      <c r="A652" s="2">
        <f>HYPERLINK("https://www.shelhealth.com/products/pantene-daily-moisture-shampoo-38-2-oz", "https://www.shelhealth.com/products/pantene-daily-moisture-shampoo-38-2-oz")</f>
        <v/>
      </c>
      <c r="B652" s="2">
        <f>HYPERLINK("https://www.shelhealth.com/products/pantene-daily-moisture-shampoo-38-2-oz", "https://www.shelhealth.com/products/pantene-daily-moisture-shampoo-38-2-oz")</f>
        <v/>
      </c>
      <c r="C652" t="inlineStr">
        <is>
          <t>Pantene Daily Moisture Renewal Conditioner, 38.2 oz</t>
        </is>
      </c>
      <c r="D652" t="inlineStr">
        <is>
          <t>Pantene Pro-v Daily Moisture Renewal Hydrating Conditioner, 28.9 Fluid Ounce</t>
        </is>
      </c>
      <c r="E652" s="2">
        <f>HYPERLINK("https://www.amazon.com/Pantene-Moisture-Renewal-Hydrating-Conditioner/dp/B01MTJWJ4Q/ref=sr_1_7?keywords=Pantene+Daily+Moisture+Renewal+Conditioner%2C+38.2+oz&amp;qid=1695170178&amp;sr=8-7", "https://www.amazon.com/Pantene-Moisture-Renewal-Hydrating-Conditioner/dp/B01MTJWJ4Q/ref=sr_1_7?keywords=Pantene+Daily+Moisture+Renewal+Conditioner%2C+38.2+oz&amp;qid=1695170178&amp;sr=8-7")</f>
        <v/>
      </c>
      <c r="F652" t="inlineStr">
        <is>
          <t>B01MTJWJ4Q</t>
        </is>
      </c>
      <c r="G652">
        <f>_xludf.IMAGE("https://www.shelhealth.com/cdn/shop/products/pantene-daily-moisture-renewal-conditioner-38-2-oz-shelhealth-144.jpg?v=1663350178&amp;width=1946")</f>
        <v/>
      </c>
      <c r="H652">
        <f>_xludf.IMAGE("https://m.media-amazon.com/images/I/8181YeQ46WL._AC_UL320_.jpg")</f>
        <v/>
      </c>
      <c r="K652" t="inlineStr">
        <is>
          <t>15.99</t>
        </is>
      </c>
      <c r="L652" t="n">
        <v>22.9</v>
      </c>
      <c r="M652" s="1" t="inlineStr">
        <is>
          <t>43.21%</t>
        </is>
      </c>
      <c r="N652" s="3" t="n">
        <v>43.21</v>
      </c>
      <c r="O652" t="n">
        <v>4.8</v>
      </c>
      <c r="P652" t="n">
        <v>9</v>
      </c>
      <c r="R652" t="inlineStr">
        <is>
          <t>InStock</t>
        </is>
      </c>
      <c r="S652" t="inlineStr">
        <is>
          <t>15.99</t>
        </is>
      </c>
      <c r="T652" t="inlineStr">
        <is>
          <t>4045973946420</t>
        </is>
      </c>
    </row>
    <row r="653" hidden="1" ht="15.75" customHeight="1">
      <c r="A653" s="2">
        <f>HYPERLINK("https://www.shelhealth.com/products/ogx-nourishing-coconut-milk-shampoo-25-4-ounce-with-pump", "https://www.shelhealth.com/products/ogx-nourishing-coconut-milk-shampoo-25-4-ounce-with-pump")</f>
        <v/>
      </c>
      <c r="B653" s="2">
        <f>HYPERLINK("https://www.shelhealth.com/products/ogx-nourishing-coconut-milk-shampoo-25-4-ounce-with-pump", "https://www.shelhealth.com/products/ogx-nourishing-coconut-milk-shampoo-25-4-ounce-with-pump")</f>
        <v/>
      </c>
      <c r="C653" t="inlineStr">
        <is>
          <t>OGX Nourishing + Coconut Milk Shampoo, 25.4 Ounce with Pump</t>
        </is>
      </c>
      <c r="D653" t="inlineStr">
        <is>
          <t>OGX Salon Size Nourishing Coconut Milk Shampoo With Pump, 25.4 Ounce</t>
        </is>
      </c>
      <c r="E653" s="2">
        <f>HYPERLINK("https://www.amazon.com/OGX-Salon-Nourishing-Coconut-Shampoo/dp/B01FJZ0HQC/ref=sr_1_1?keywords=OGX+Nourishing+%2B+Coconut+Milk+Shampoo%2C+25.4+Ounce+with+Pump&amp;qid=1695170174&amp;sr=8-1", "https://www.amazon.com/OGX-Salon-Nourishing-Coconut-Shampoo/dp/B01FJZ0HQC/ref=sr_1_1?keywords=OGX+Nourishing+%2B+Coconut+Milk+Shampoo%2C+25.4+Ounce+with+Pump&amp;qid=1695170174&amp;sr=8-1")</f>
        <v/>
      </c>
      <c r="F653" t="inlineStr">
        <is>
          <t>B01FJZ0HQC</t>
        </is>
      </c>
      <c r="G653">
        <f>_xludf.IMAGE("https://www.shelhealth.com/cdn/shop/products/ogx-nourishing-coconut-milk-shampoo-25-4-ounce-with-pump-shelhealth-827.jpg?v=1663350132&amp;width=1946")</f>
        <v/>
      </c>
      <c r="H653">
        <f>_xludf.IMAGE("https://m.media-amazon.com/images/I/511IjmWjTnL._AC_UL320_.jpg")</f>
        <v/>
      </c>
      <c r="K653" t="inlineStr">
        <is>
          <t>16.99</t>
        </is>
      </c>
      <c r="L653" t="n">
        <v>24.25</v>
      </c>
      <c r="M653" s="1" t="inlineStr">
        <is>
          <t>42.73%</t>
        </is>
      </c>
      <c r="N653" s="3" t="n">
        <v>42.73</v>
      </c>
      <c r="O653" t="n">
        <v>4.5</v>
      </c>
      <c r="P653" t="n">
        <v>86</v>
      </c>
      <c r="R653" t="inlineStr">
        <is>
          <t>OutOfStock</t>
        </is>
      </c>
      <c r="S653" t="inlineStr">
        <is>
          <t>16.99</t>
        </is>
      </c>
      <c r="T653" t="inlineStr">
        <is>
          <t>4045938982964</t>
        </is>
      </c>
    </row>
    <row r="654" hidden="1" ht="15.75" customHeight="1">
      <c r="A654" s="2">
        <f>HYPERLINK("https://www.shelhealth.com/products/ogx-nourishing-coconut-milk-conditioner-25-4-ounce-with-pump", "https://www.shelhealth.com/products/ogx-nourishing-coconut-milk-conditioner-25-4-ounce-with-pump")</f>
        <v/>
      </c>
      <c r="B654" s="2">
        <f>HYPERLINK("https://www.shelhealth.com/products/ogx-nourishing-coconut-milk-conditioner-25-4-ounce-with-pump", "https://www.shelhealth.com/products/ogx-nourishing-coconut-milk-conditioner-25-4-ounce-with-pump")</f>
        <v/>
      </c>
      <c r="C654" t="inlineStr">
        <is>
          <t>OGX Nourishing + Coconut Milk Conditioner, 25.4 Ounce with Pump</t>
        </is>
      </c>
      <c r="D654" t="inlineStr">
        <is>
          <t>OGX Salon Size Nourishing Coconut Milk Shampoo With Pump, 25.4 Ounce</t>
        </is>
      </c>
      <c r="E654" s="2">
        <f>HYPERLINK("https://www.amazon.com/OGX-Salon-Nourishing-Coconut-Shampoo/dp/B01FJZ0HQC/ref=sr_1_2?keywords=OGX+Nourishing+Coconut+Milk+Conditioner%2C+25.4+Ounce+with+Pump&amp;qid=1695170179&amp;sr=8-2", "https://www.amazon.com/OGX-Salon-Nourishing-Coconut-Shampoo/dp/B01FJZ0HQC/ref=sr_1_2?keywords=OGX+Nourishing+Coconut+Milk+Conditioner%2C+25.4+Ounce+with+Pump&amp;qid=1695170179&amp;sr=8-2")</f>
        <v/>
      </c>
      <c r="F654" t="inlineStr">
        <is>
          <t>B01FJZ0HQC</t>
        </is>
      </c>
      <c r="G654">
        <f>_xludf.IMAGE("https://www.shelhealth.com/cdn/shop/products/ogx-nourishing-coconut-milk-conditioner-25-4-ounce-with-pump-shelhealth-724.jpg?v=1663350138&amp;width=1946")</f>
        <v/>
      </c>
      <c r="H654">
        <f>_xludf.IMAGE("https://m.media-amazon.com/images/I/511IjmWjTnL._AC_UL320_.jpg")</f>
        <v/>
      </c>
      <c r="K654" t="inlineStr">
        <is>
          <t>16.99</t>
        </is>
      </c>
      <c r="L654" t="n">
        <v>24.25</v>
      </c>
      <c r="M654" s="1" t="inlineStr">
        <is>
          <t>42.73%</t>
        </is>
      </c>
      <c r="N654" s="3" t="n">
        <v>42.73</v>
      </c>
      <c r="O654" t="n">
        <v>4.5</v>
      </c>
      <c r="P654" t="n">
        <v>86</v>
      </c>
      <c r="R654" t="inlineStr">
        <is>
          <t>OutOfStock</t>
        </is>
      </c>
      <c r="S654" t="inlineStr">
        <is>
          <t>16.99</t>
        </is>
      </c>
      <c r="T654" t="inlineStr">
        <is>
          <t>4045939736628</t>
        </is>
      </c>
    </row>
    <row r="655" hidden="1" ht="15.75" customHeight="1">
      <c r="A655" s="2">
        <f>HYPERLINK("https://www.shelhealth.com/products/nexxus-comb-thru-finishing-spray-hair-spray-2-x-10-oz", "https://www.shelhealth.com/products/nexxus-comb-thru-finishing-spray-hair-spray-2-x-10-oz")</f>
        <v/>
      </c>
      <c r="B655" s="2">
        <f>HYPERLINK("https://www.shelhealth.com/products/nexxus-comb-thru-finishing-spray-hair-spray-2-x-10-oz", "https://www.shelhealth.com/products/nexxus-comb-thru-finishing-spray-hair-spray-2-x-10-oz")</f>
        <v/>
      </c>
      <c r="C655" t="inlineStr">
        <is>
          <t>Nexxus Comb Thru Finishing Spray Hair Spray, 2 x 10 oz.</t>
        </is>
      </c>
      <c r="D655" t="inlineStr">
        <is>
          <t>Nexxus Comb Thru Natural Hold Design And Finishing Mist, 10 oz (Pack of 2)</t>
        </is>
      </c>
      <c r="E655" s="2">
        <f>HYPERLINK("https://www.amazon.com/Nexxus-Comb-Natural-Design-Finishing/dp/B00HA6EQM0/ref=sr_1_2?keywords=Nexxus+Comb+Thru+Finishing+Spray+Hair+Spray%2C+2+x+10+oz.&amp;qid=1695170237&amp;sr=8-2", "https://www.amazon.com/Nexxus-Comb-Natural-Design-Finishing/dp/B00HA6EQM0/ref=sr_1_2?keywords=Nexxus+Comb+Thru+Finishing+Spray+Hair+Spray%2C+2+x+10+oz.&amp;qid=1695170237&amp;sr=8-2")</f>
        <v/>
      </c>
      <c r="F655" t="inlineStr">
        <is>
          <t>B00HA6EQM0</t>
        </is>
      </c>
      <c r="G655">
        <f>_xludf.IMAGE("https://www.shelhealth.com/cdn/shop/products/nexxus-comb-thru-finishing-spray-hair-2-x-10-oz-shelhealth-511.jpg?v=1663373772&amp;width=1946")</f>
        <v/>
      </c>
      <c r="H655">
        <f>_xludf.IMAGE("https://m.media-amazon.com/images/I/51Rg8TW4+RL._AC_UL320_.jpg")</f>
        <v/>
      </c>
      <c r="K655" t="inlineStr">
        <is>
          <t>22.99</t>
        </is>
      </c>
      <c r="L655" t="n">
        <v>31.98</v>
      </c>
      <c r="M655" s="1" t="inlineStr">
        <is>
          <t>39.10%</t>
        </is>
      </c>
      <c r="N655" s="3" t="n">
        <v>39.1</v>
      </c>
      <c r="O655" t="n">
        <v>4.8</v>
      </c>
      <c r="P655" t="n">
        <v>27</v>
      </c>
      <c r="R655" t="inlineStr">
        <is>
          <t>OutOfStock</t>
        </is>
      </c>
      <c r="S655" t="inlineStr">
        <is>
          <t>22.99</t>
        </is>
      </c>
      <c r="T655" t="inlineStr">
        <is>
          <t>4710416908377</t>
        </is>
      </c>
    </row>
    <row r="656" hidden="1" ht="15.75" customHeight="1">
      <c r="A656" s="2">
        <f>HYPERLINK("https://www.shelhealth.com/products/pantene-pro-v-advanced-care-conditioner-38-2-oz", "https://www.shelhealth.com/products/pantene-pro-v-advanced-care-conditioner-38-2-oz")</f>
        <v/>
      </c>
      <c r="B656" s="2">
        <f>HYPERLINK("https://www.shelhealth.com/products/pantene-pro-v-advanced-care-conditioner-38-2-oz", "https://www.shelhealth.com/products/pantene-pro-v-advanced-care-conditioner-38-2-oz")</f>
        <v/>
      </c>
      <c r="C656" t="inlineStr">
        <is>
          <t>Pantene Pro-V Advanced Care Conditioner, 38.2 oz</t>
        </is>
      </c>
      <c r="D656" t="inlineStr">
        <is>
          <t>Pantene Advanced Care Conditioner, 5 in 1 Moisture, Best Conditioner for Smooth, Lightweight, Strong and Color Vibrant Hair, 38.2 Ounce (Pack of 2)</t>
        </is>
      </c>
      <c r="E656" s="2">
        <f>HYPERLINK("https://www.amazon.com/Pantene-Advanced-Conditioner-Moisture-Lightweight/dp/B084YPH9JF/ref=sr_1_2?keywords=Pantene+Pro-V+Advanced+Care+Conditioner%2C+38.2+oz&amp;qid=1695170181&amp;sr=8-2", "https://www.amazon.com/Pantene-Advanced-Conditioner-Moisture-Lightweight/dp/B084YPH9JF/ref=sr_1_2?keywords=Pantene+Pro-V+Advanced+Care+Conditioner%2C+38.2+oz&amp;qid=1695170181&amp;sr=8-2")</f>
        <v/>
      </c>
      <c r="F656" t="inlineStr">
        <is>
          <t>B084YPH9JF</t>
        </is>
      </c>
      <c r="G656">
        <f>_xludf.IMAGE("https://www.shelhealth.com/cdn/shop/products/pantene-pro-v-advanced-care-conditioner-38-2-oz-shelhealth-928.jpg?v=1663338586&amp;width=1946")</f>
        <v/>
      </c>
      <c r="H656">
        <f>_xludf.IMAGE("https://m.media-amazon.com/images/I/51iMOZGPAkL._AC_UL320_.jpg")</f>
        <v/>
      </c>
      <c r="K656" t="inlineStr">
        <is>
          <t>16.99</t>
        </is>
      </c>
      <c r="L656" t="n">
        <v>23.5</v>
      </c>
      <c r="M656" s="1" t="inlineStr">
        <is>
          <t>38.32%</t>
        </is>
      </c>
      <c r="N656" s="3" t="n">
        <v>38.32</v>
      </c>
      <c r="O656" t="n">
        <v>4.7</v>
      </c>
      <c r="P656" t="n">
        <v>457</v>
      </c>
      <c r="R656" t="inlineStr">
        <is>
          <t>InStock</t>
        </is>
      </c>
      <c r="S656" t="inlineStr">
        <is>
          <t>16.99</t>
        </is>
      </c>
      <c r="T656" t="inlineStr">
        <is>
          <t>3785945088052</t>
        </is>
      </c>
    </row>
    <row r="657" hidden="1" ht="15.75" customHeight="1">
      <c r="A657" s="2">
        <f>HYPERLINK("https://www.shelhealth.com/products/pantene-daily-moisture-renewal-shampoo-38-2-oz", "https://www.shelhealth.com/products/pantene-daily-moisture-renewal-shampoo-38-2-oz")</f>
        <v/>
      </c>
      <c r="B657" s="2">
        <f>HYPERLINK("https://www.shelhealth.com/products/pantene-daily-moisture-renewal-shampoo-38-2-oz", "https://www.shelhealth.com/products/pantene-daily-moisture-renewal-shampoo-38-2-oz")</f>
        <v/>
      </c>
      <c r="C657" t="inlineStr">
        <is>
          <t>Pantene Daily Moisture Renewal Shampoo, 38.2 oz</t>
        </is>
      </c>
      <c r="D657" t="inlineStr">
        <is>
          <t>Pantene Daily Moisture Renewal 2 in 1 Shampoo &amp; Conditioner 25.4 Fl Oz</t>
        </is>
      </c>
      <c r="E657" s="2">
        <f>HYPERLINK("https://www.amazon.com/Pantene-Pro-V-Daily-Moisture-Renewal/dp/B0087PWY86/ref=sr_1_5?keywords=Pantene+Daily+Moisture+Renewal+Shampoo%2C+38.2+oz&amp;qid=1695170247&amp;sr=8-5", "https://www.amazon.com/Pantene-Pro-V-Daily-Moisture-Renewal/dp/B0087PWY86/ref=sr_1_5?keywords=Pantene+Daily+Moisture+Renewal+Shampoo%2C+38.2+oz&amp;qid=1695170247&amp;sr=8-5")</f>
        <v/>
      </c>
      <c r="F657" t="inlineStr">
        <is>
          <t>B0087PWY86</t>
        </is>
      </c>
      <c r="G657">
        <f>_xludf.IMAGE("https://www.shelhealth.com/cdn/shop/products/pantene-daily-moisture-renewal-shampoo-38-2-oz-shelhealth-186.jpg?v=1663350185&amp;width=1946")</f>
        <v/>
      </c>
      <c r="H657">
        <f>_xludf.IMAGE("https://m.media-amazon.com/images/I/71VOHUakR5L._AC_UL320_.jpg")</f>
        <v/>
      </c>
      <c r="K657" t="inlineStr">
        <is>
          <t>15.99</t>
        </is>
      </c>
      <c r="L657" t="n">
        <v>22.11</v>
      </c>
      <c r="M657" s="1" t="inlineStr">
        <is>
          <t>38.27%</t>
        </is>
      </c>
      <c r="N657" s="3" t="n">
        <v>38.27</v>
      </c>
      <c r="O657" t="n">
        <v>4.7</v>
      </c>
      <c r="P657" t="n">
        <v>7671</v>
      </c>
      <c r="R657" t="inlineStr">
        <is>
          <t>InStock</t>
        </is>
      </c>
      <c r="S657" t="inlineStr">
        <is>
          <t>15.99</t>
        </is>
      </c>
      <c r="T657" t="inlineStr">
        <is>
          <t>4045975027764</t>
        </is>
      </c>
    </row>
    <row r="658" hidden="1" ht="15.75" customHeight="1">
      <c r="A658" s="2">
        <f>HYPERLINK("https://www.shelhealth.com/products/724742009410-alba-botanica-conditioner-moisture-therapy-marula-12-oz", "https://www.shelhealth.com/products/724742009410-alba-botanica-conditioner-moisture-therapy-marula-12-oz")</f>
        <v/>
      </c>
      <c r="B658" s="2">
        <f>HYPERLINK("https://www.shelhealth.com/products/724742009410-alba-botanica-conditioner-moisture-therapy-marula-12-oz", "https://www.shelhealth.com/products/724742009410-alba-botanica-conditioner-moisture-therapy-marula-12-oz")</f>
        <v/>
      </c>
      <c r="C658" t="inlineStr">
        <is>
          <t>Alba Botanica Conditioner Moisture Therapy Marula, 12 Oz (Case of 2)</t>
        </is>
      </c>
      <c r="D658" t="inlineStr">
        <is>
          <t>Alba Botanica Hawaiian Marula Miracle Therapy Moisture Cleansing Conditioner, 12 oz. (Pack of 6)</t>
        </is>
      </c>
      <c r="E658" s="2">
        <f>HYPERLINK("https://www.amazon.com/Alba-Botanica-Hawaiian-Cleansing-Conditioner/dp/B075FZWX5Q/ref=sr_1_1?keywords=Alba+Botanica+Conditioner+Moisture+Therapy+Marula%2C+12+Oz+%28Case+of+2%29&amp;qid=1695170218&amp;sr=8-1", "https://www.amazon.com/Alba-Botanica-Hawaiian-Cleansing-Conditioner/dp/B075FZWX5Q/ref=sr_1_1?keywords=Alba+Botanica+Conditioner+Moisture+Therapy+Marula%2C+12+Oz+%28Case+of+2%29&amp;qid=1695170218&amp;sr=8-1")</f>
        <v/>
      </c>
      <c r="F658" t="inlineStr">
        <is>
          <t>B075FZWX5Q</t>
        </is>
      </c>
      <c r="G658">
        <f>_xludf.IMAGE("https://www.shelhealth.com/cdn/shop/files/alba-botanica-conditioner-moisture-therapy-marula-12-oz-case-of-2-beauty-body-care-shelhealth-919.jpg?v=1693335114&amp;width=1946")</f>
        <v/>
      </c>
      <c r="H658">
        <f>_xludf.IMAGE("https://m.media-amazon.com/images/I/71aRDhaFBBL._AC_UL320_.jpg")</f>
        <v/>
      </c>
      <c r="K658" t="inlineStr">
        <is>
          <t>21.99</t>
        </is>
      </c>
      <c r="L658" t="n">
        <v>29.99</v>
      </c>
      <c r="M658" s="1" t="inlineStr">
        <is>
          <t>36.38%</t>
        </is>
      </c>
      <c r="N658" s="3" t="n">
        <v>36.38</v>
      </c>
      <c r="O658" t="n">
        <v>4.1</v>
      </c>
      <c r="P658" t="n">
        <v>85</v>
      </c>
      <c r="R658" t="inlineStr">
        <is>
          <t>OutOfStock</t>
        </is>
      </c>
      <c r="S658" t="inlineStr">
        <is>
          <t>21.99</t>
        </is>
      </c>
      <c r="T658" t="inlineStr">
        <is>
          <t>7241428172988</t>
        </is>
      </c>
    </row>
    <row r="659" hidden="1" ht="15.75" customHeight="1">
      <c r="A659" s="2">
        <f>HYPERLINK("https://www.shelhealth.com/products/conair-infiniti-pro-11in-flat-iron", "https://www.shelhealth.com/products/conair-infiniti-pro-11in-flat-iron")</f>
        <v/>
      </c>
      <c r="B659" s="2">
        <f>HYPERLINK("https://www.shelhealth.com/products/conair-infiniti-pro-11in-flat-iron", "https://www.shelhealth.com/products/conair-infiniti-pro-11in-flat-iron")</f>
        <v/>
      </c>
      <c r="C659" t="inlineStr">
        <is>
          <t>Conair Infiniti Pro 11in. Flat Iron</t>
        </is>
      </c>
      <c r="D659" t="inlineStr">
        <is>
          <t>INFINITIPRO BY CONAIR Smoothwrap Dual Ion Flat Iron Hair Straightener, More Volume - Less Frizz</t>
        </is>
      </c>
      <c r="E659" s="2">
        <f>HYPERLINK("https://www.amazon.com/INFINITIPRO-CONAIR-Smoothwrap-Dual-Straightener/dp/B0C34ZTCMC/ref=sr_1_10?keywords=Conair+Infiniti+Pro+11in.+Flat+Iron&amp;qid=1695170251&amp;sr=8-10", "https://www.amazon.com/INFINITIPRO-CONAIR-Smoothwrap-Dual-Straightener/dp/B0C34ZTCMC/ref=sr_1_10?keywords=Conair+Infiniti+Pro+11in.+Flat+Iron&amp;qid=1695170251&amp;sr=8-10")</f>
        <v/>
      </c>
      <c r="F659" t="inlineStr">
        <is>
          <t>B0C34ZTCMC</t>
        </is>
      </c>
      <c r="G659">
        <f>_xludf.IMAGE("https://www.shelhealth.com/cdn/shop/products/conair-infiniti-pro-11in-flat-iron-shelhealth-337.jpg?v=1663343304&amp;width=1946")</f>
        <v/>
      </c>
      <c r="H659">
        <f>_xludf.IMAGE("https://m.media-amazon.com/images/I/61HQdl2nAvL._AC_UL320_.jpg")</f>
        <v/>
      </c>
      <c r="K659" t="inlineStr">
        <is>
          <t>43.99</t>
        </is>
      </c>
      <c r="L659" t="n">
        <v>59.99</v>
      </c>
      <c r="M659" s="1" t="inlineStr">
        <is>
          <t>36.37%</t>
        </is>
      </c>
      <c r="N659" s="3" t="n">
        <v>36.37</v>
      </c>
      <c r="O659" t="n">
        <v>4.5</v>
      </c>
      <c r="P659" t="n">
        <v>2528</v>
      </c>
      <c r="R659" t="inlineStr">
        <is>
          <t>OutOfStock</t>
        </is>
      </c>
      <c r="S659" t="inlineStr">
        <is>
          <t>43.99</t>
        </is>
      </c>
      <c r="T659" t="inlineStr">
        <is>
          <t>3820080267316</t>
        </is>
      </c>
    </row>
    <row r="660" hidden="1" ht="15.75" customHeight="1">
      <c r="A660" s="2">
        <f>HYPERLINK("https://www.shelhealth.com/products/pantene-detangling-milk-hair-treatment-sulfate-free-pro-v-gold-series-for-natural-and-curly-textured-hair-7-6-fl-oz", "https://www.shelhealth.com/products/pantene-detangling-milk-hair-treatment-sulfate-free-pro-v-gold-series-for-natural-and-curly-textured-hair-7-6-fl-oz")</f>
        <v/>
      </c>
      <c r="B660" s="2">
        <f>HYPERLINK("https://www.shelhealth.com/products/pantene-detangling-milk-hair-treatment-sulfate-free-pro-v-gold-series-for-natural-and-curly-textured-hair-7-6-fl-oz", "https://www.shelhealth.com/products/pantene-detangling-milk-hair-treatment-sulfate-free-pro-v-gold-series-for-natural-and-curly-textured-hair-7-6-fl-oz")</f>
        <v/>
      </c>
      <c r="C660" t="inlineStr">
        <is>
          <t>Pantene, Detangling Milk Hair Treatment, Sulfate Free, Pro-V Gold Series, for Natural and Curly Textured Hair, 7.6 fl oz</t>
        </is>
      </c>
      <c r="D660" t="inlineStr">
        <is>
          <t>Pantene, Shampoo and Sulfate Free Conditioner Kit, with Argan Oil, Pro-V Gold Series, for Natural and Curly Textured Hair, 17.9 fl oz, Kit</t>
        </is>
      </c>
      <c r="E660" s="2">
        <f>HYPERLINK("https://www.amazon.com/Pantene-Shampoo-Conditioner-Sulfate-Textured/dp/B07F38DR63/ref=sr_1_7?keywords=Pantene%2C+Detangling+Milk+Hair+Treatment%2C+Sulfate+Free%2C+Pro-V+Gold+Series%2C+for+Natural+and+Curly+Textured+Hair%2C+7.6+fl+oz&amp;qid=1695170264&amp;sr=8-7", "https://www.amazon.com/Pantene-Shampoo-Conditioner-Sulfate-Textured/dp/B07F38DR63/ref=sr_1_7?keywords=Pantene%2C+Detangling+Milk+Hair+Treatment%2C+Sulfate+Free%2C+Pro-V+Gold+Series%2C+for+Natural+and+Curly+Textured+Hair%2C+7.6+fl+oz&amp;qid=1695170264&amp;sr=8-7")</f>
        <v/>
      </c>
      <c r="F660" t="inlineStr">
        <is>
          <t>B07F38DR63</t>
        </is>
      </c>
      <c r="G660">
        <f>_xludf.IMAGE("https://www.shelhealth.com/cdn/shop/products/pantene-detangling-milk-hair-treatment-sulfate-free-pro-v-gold-series-for-natural-and-curly-textured-7-6-fl-oz-shelhealth-371.jpg?v=1663350076&amp;width=1946")</f>
        <v/>
      </c>
      <c r="H660">
        <f>_xludf.IMAGE("https://m.media-amazon.com/images/I/71uz1dan5qL._AC_UL320_.jpg")</f>
        <v/>
      </c>
      <c r="K660" t="inlineStr">
        <is>
          <t>10.99</t>
        </is>
      </c>
      <c r="L660" t="n">
        <v>14.98</v>
      </c>
      <c r="M660" s="1" t="inlineStr">
        <is>
          <t>36.31%</t>
        </is>
      </c>
      <c r="N660" s="3" t="n">
        <v>36.31</v>
      </c>
      <c r="O660" t="n">
        <v>4.6</v>
      </c>
      <c r="P660" t="n">
        <v>4928</v>
      </c>
      <c r="R660" t="inlineStr">
        <is>
          <t>InStock</t>
        </is>
      </c>
      <c r="S660" t="inlineStr">
        <is>
          <t>10.99</t>
        </is>
      </c>
      <c r="T660" t="inlineStr">
        <is>
          <t>4045921321012</t>
        </is>
      </c>
    </row>
    <row r="661" hidden="1" ht="15.75" customHeight="1">
      <c r="A661" s="2">
        <f>HYPERLINK("https://www.shelhealth.com/products/654749361078-avalon-organics-anti-dandruff-conditioner-itch-flake-therapy-14-oz", "https://www.shelhealth.com/products/654749361078-avalon-organics-anti-dandruff-conditioner-itch-flake-therapy-14-oz")</f>
        <v/>
      </c>
      <c r="B661" s="2">
        <f>HYPERLINK("https://www.shelhealth.com/products/654749361078-avalon-organics-anti-dandruff-conditioner-itch-flake-therapy-14-oz", "https://www.shelhealth.com/products/654749361078-avalon-organics-anti-dandruff-conditioner-itch-flake-therapy-14-oz")</f>
        <v/>
      </c>
      <c r="C661" t="inlineStr">
        <is>
          <t>Avalon Organics Anti-Dandruff Conditioner Itch &amp; Flake Therapy, 14 Oz (Case of 2)</t>
        </is>
      </c>
      <c r="D661" t="inlineStr">
        <is>
          <t>Anti-Dandruff Shampoo Itch &amp; Flake Therapy, 14 Oz, Itch &amp; Flake Therapy by Avalon Organics (Pack of 3)</t>
        </is>
      </c>
      <c r="E661" s="2">
        <f>HYPERLINK("https://www.amazon.com/Anti-Dandruff-Shampoo-Therapy-Avalon-Organics/dp/B00JY1BSZW/ref=sr_1_7?keywords=Avalon+Organics+Anti-Dandruff+Conditioner+Itch&amp;qid=1695170223&amp;sr=8-7", "https://www.amazon.com/Anti-Dandruff-Shampoo-Therapy-Avalon-Organics/dp/B00JY1BSZW/ref=sr_1_7?keywords=Avalon+Organics+Anti-Dandruff+Conditioner+Itch&amp;qid=1695170223&amp;sr=8-7")</f>
        <v/>
      </c>
      <c r="F661" t="inlineStr">
        <is>
          <t>B00JY1BSZW</t>
        </is>
      </c>
      <c r="G661">
        <f>_xludf.IMAGE("https://www.shelhealth.com/cdn/shop/files/avalon-organics-anti-dandruff-conditioner-itch-flake-therapy-14-oz-case-of-2-beauty-body-care-shelhealth-405.jpg?v=1686521937&amp;width=1946")</f>
        <v/>
      </c>
      <c r="H661">
        <f>_xludf.IMAGE("https://m.media-amazon.com/images/I/5110kR0Vu+L._AC_UL320_.jpg")</f>
        <v/>
      </c>
      <c r="K661" t="inlineStr">
        <is>
          <t>24.99</t>
        </is>
      </c>
      <c r="L661" t="n">
        <v>34</v>
      </c>
      <c r="M661" s="1" t="inlineStr">
        <is>
          <t>36.05%</t>
        </is>
      </c>
      <c r="N661" s="3" t="n">
        <v>36.05</v>
      </c>
      <c r="O661" t="n">
        <v>4.7</v>
      </c>
      <c r="P661" t="n">
        <v>4</v>
      </c>
      <c r="R661" t="inlineStr">
        <is>
          <t>InStock</t>
        </is>
      </c>
      <c r="S661" t="inlineStr">
        <is>
          <t>24.99</t>
        </is>
      </c>
      <c r="T661" t="inlineStr">
        <is>
          <t>7241469558972</t>
        </is>
      </c>
    </row>
    <row r="662" hidden="1" ht="15.75" customHeight="1">
      <c r="A662" s="2">
        <f>HYPERLINK("https://www.shelhealth.com/products/716237185990-giovanni-cosmetics-smooth-as-silk-deep-moisture-shampoo-24-oz", "https://www.shelhealth.com/products/716237185990-giovanni-cosmetics-smooth-as-silk-deep-moisture-shampoo-24-oz")</f>
        <v/>
      </c>
      <c r="B662" s="2">
        <f>HYPERLINK("https://www.shelhealth.com/products/716237185990-giovanni-cosmetics-smooth-as-silk-deep-moisture-shampoo-24-oz", "https://www.shelhealth.com/products/716237185990-giovanni-cosmetics-smooth-as-silk-deep-moisture-shampoo-24-oz")</f>
        <v/>
      </c>
      <c r="C662" t="inlineStr">
        <is>
          <t>Giovanni Cosmetics Smooth As Silk Deep Moisture Shampoo, 24 Oz</t>
        </is>
      </c>
      <c r="D662" t="inlineStr">
        <is>
          <t>GIOVANNI COSMETICS- Eco Chic Smooth As Silk Shampoo- Deep Moisture For Damaged Hair (33.8 Fl. Ounce)</t>
        </is>
      </c>
      <c r="E662" s="2">
        <f>HYPERLINK("https://www.amazon.com/GIOVANNI-COSMETICS-Shampoo-Moisture-Damaged/dp/B008BBF2ZS/ref=sr_1_4?keywords=Giovanni+Cosmetics+Smooth+As+Silk+Deep+Moisture+Shampoo%2C+24+Oz&amp;qid=1695170188&amp;sr=8-4", "https://www.amazon.com/GIOVANNI-COSMETICS-Shampoo-Moisture-Damaged/dp/B008BBF2ZS/ref=sr_1_4?keywords=Giovanni+Cosmetics+Smooth+As+Silk+Deep+Moisture+Shampoo%2C+24+Oz&amp;qid=1695170188&amp;sr=8-4")</f>
        <v/>
      </c>
      <c r="F662" t="inlineStr">
        <is>
          <t>B008BBF2ZS</t>
        </is>
      </c>
      <c r="G662">
        <f>_xludf.IMAGE("https://www.shelhealth.com/cdn/shop/files/giovanni-cosmetics-smooth-as-silk-deep-moisture-shampoo-24-oz-beauty-body-care-shelhealth-965.jpg?v=1686142680&amp;width=1946")</f>
        <v/>
      </c>
      <c r="H662">
        <f>_xludf.IMAGE("https://m.media-amazon.com/images/I/61ieg8lYhzL._AC_UL320_.jpg")</f>
        <v/>
      </c>
      <c r="K662" t="inlineStr">
        <is>
          <t>18.99</t>
        </is>
      </c>
      <c r="L662" t="n">
        <v>25.8</v>
      </c>
      <c r="M662" s="1" t="inlineStr">
        <is>
          <t>35.86%</t>
        </is>
      </c>
      <c r="N662" s="3" t="n">
        <v>35.86</v>
      </c>
      <c r="O662" t="n">
        <v>4.4</v>
      </c>
      <c r="P662" t="n">
        <v>111</v>
      </c>
      <c r="R662" t="inlineStr">
        <is>
          <t>OutOfStock</t>
        </is>
      </c>
      <c r="S662" t="inlineStr">
        <is>
          <t>18.99</t>
        </is>
      </c>
      <c r="T662" t="inlineStr">
        <is>
          <t>7241661350076</t>
        </is>
      </c>
    </row>
    <row r="663" hidden="1" ht="15.75" customHeight="1">
      <c r="A663" s="2">
        <f>HYPERLINK("https://www.shelhealth.com/products/654749351680-avalon-organics-conditioner-lavender-vsize-32-oz", "https://www.shelhealth.com/products/654749351680-avalon-organics-conditioner-lavender-vsize-32-oz")</f>
        <v/>
      </c>
      <c r="B663" s="2">
        <f>HYPERLINK("https://www.shelhealth.com/products/654749351680-avalon-organics-conditioner-lavender-vsize-32-oz", "https://www.shelhealth.com/products/654749351680-avalon-organics-conditioner-lavender-vsize-32-oz")</f>
        <v/>
      </c>
      <c r="C663" t="inlineStr">
        <is>
          <t>Avalon Organics Conditioner Lavender Vsize, 32 Oz</t>
        </is>
      </c>
      <c r="D663" t="inlineStr">
        <is>
          <t>Avalon Organics Shampoo, Nourishing Lavender, 32 Oz Conditioner, Nourishing Lavender, 32 Oz</t>
        </is>
      </c>
      <c r="E663" s="2">
        <f>HYPERLINK("https://www.amazon.com/Avalon-Organics-Nourishing-Lavender-Conditioner/dp/B08VGR4HRG/ref=sr_1_6?keywords=avalon+organics+conditioner+lavender+size%2C+32+oz&amp;qid=1695170216&amp;sr=8-6", "https://www.amazon.com/Avalon-Organics-Nourishing-Lavender-Conditioner/dp/B08VGR4HRG/ref=sr_1_6?keywords=avalon+organics+conditioner+lavender+size%2C+32+oz&amp;qid=1695170216&amp;sr=8-6")</f>
        <v/>
      </c>
      <c r="F663" t="inlineStr">
        <is>
          <t>B08VGR4HRG</t>
        </is>
      </c>
      <c r="G663">
        <f>_xludf.IMAGE("https://www.shelhealth.com/cdn/shop/files/avalon-organics-conditioner-lavender-vsize-32-oz-beauty-body-care-shelhealth-367.jpg?v=1687409190&amp;width=1946")</f>
        <v/>
      </c>
      <c r="H663">
        <f>_xludf.IMAGE("https://m.media-amazon.com/images/I/518-Y3AJFyL._AC_UL320_.jpg")</f>
        <v/>
      </c>
      <c r="K663" t="inlineStr">
        <is>
          <t>21.99</t>
        </is>
      </c>
      <c r="L663" t="n">
        <v>29.66</v>
      </c>
      <c r="M663" s="1" t="inlineStr">
        <is>
          <t>34.88%</t>
        </is>
      </c>
      <c r="N663" s="3" t="n">
        <v>34.88</v>
      </c>
      <c r="O663" t="n">
        <v>4.4</v>
      </c>
      <c r="P663" t="n">
        <v>81</v>
      </c>
      <c r="R663" t="inlineStr">
        <is>
          <t>InStock</t>
        </is>
      </c>
      <c r="S663" t="inlineStr">
        <is>
          <t>21.99</t>
        </is>
      </c>
      <c r="T663" t="inlineStr">
        <is>
          <t>7241470345404</t>
        </is>
      </c>
    </row>
    <row r="664" hidden="1" ht="15.75" customHeight="1">
      <c r="A664" s="2">
        <f>HYPERLINK("https://www.shelhealth.com/products/pantene-detangling-milk-hair-treatment-sulfate-free-pro-v-gold-series-for-natural-and-curly-textured-hair-7-6-fl-oz", "https://www.shelhealth.com/products/pantene-detangling-milk-hair-treatment-sulfate-free-pro-v-gold-series-for-natural-and-curly-textured-hair-7-6-fl-oz")</f>
        <v/>
      </c>
      <c r="B664" s="2">
        <f>HYPERLINK("https://www.shelhealth.com/products/pantene-detangling-milk-hair-treatment-sulfate-free-pro-v-gold-series-for-natural-and-curly-textured-hair-7-6-fl-oz", "https://www.shelhealth.com/products/pantene-detangling-milk-hair-treatment-sulfate-free-pro-v-gold-series-for-natural-and-curly-textured-hair-7-6-fl-oz")</f>
        <v/>
      </c>
      <c r="C664" t="inlineStr">
        <is>
          <t>Pantene, Detangling Milk Hair Treatment, Sulfate Free, Pro-V Gold Series, for Natural and Curly Textured Hair, 7.6 fl oz</t>
        </is>
      </c>
      <c r="D664" t="inlineStr">
        <is>
          <t>Gold Series, Repairing Mask Hair Treatment, Butter Crème Hair Treatment, with Argan Oil, from Pantene Pro-V, for Natural and Curly Textured Hair, 7.6 fl oz (Packaging May Vary)</t>
        </is>
      </c>
      <c r="E664" s="2">
        <f>HYPERLINK("https://www.amazon.com/Pantene-Sulfate-Repairing-Natural-Textured/dp/B01MXGTZFU/ref=sr_1_8?keywords=Pantene%2C+Detangling+Milk+Hair+Treatment%2C+Sulfate+Free%2C+Pro-V+Gold+Series%2C+for+Natural+and+Curly+Textured+Hair%2C+7.6+fl+oz&amp;qid=1695170264&amp;sr=8-8", "https://www.amazon.com/Pantene-Sulfate-Repairing-Natural-Textured/dp/B01MXGTZFU/ref=sr_1_8?keywords=Pantene%2C+Detangling+Milk+Hair+Treatment%2C+Sulfate+Free%2C+Pro-V+Gold+Series%2C+for+Natural+and+Curly+Textured+Hair%2C+7.6+fl+oz&amp;qid=1695170264&amp;sr=8-8")</f>
        <v/>
      </c>
      <c r="F664" t="inlineStr">
        <is>
          <t>B01MXGTZFU</t>
        </is>
      </c>
      <c r="G664">
        <f>_xludf.IMAGE("https://www.shelhealth.com/cdn/shop/products/pantene-detangling-milk-hair-treatment-sulfate-free-pro-v-gold-series-for-natural-and-curly-textured-7-6-fl-oz-shelhealth-371.jpg?v=1663350076&amp;width=1946")</f>
        <v/>
      </c>
      <c r="H664">
        <f>_xludf.IMAGE("https://m.media-amazon.com/images/I/81qRxjXXZXL._AC_UL320_.jpg")</f>
        <v/>
      </c>
      <c r="K664" t="inlineStr">
        <is>
          <t>10.99</t>
        </is>
      </c>
      <c r="L664" t="n">
        <v>14.8</v>
      </c>
      <c r="M664" s="1" t="inlineStr">
        <is>
          <t>34.67%</t>
        </is>
      </c>
      <c r="N664" s="3" t="n">
        <v>34.67</v>
      </c>
      <c r="O664" t="n">
        <v>4.4</v>
      </c>
      <c r="P664" t="n">
        <v>684</v>
      </c>
      <c r="R664" t="inlineStr">
        <is>
          <t>InStock</t>
        </is>
      </c>
      <c r="S664" t="inlineStr">
        <is>
          <t>10.99</t>
        </is>
      </c>
      <c r="T664" t="inlineStr">
        <is>
          <t>4045921321012</t>
        </is>
      </c>
    </row>
    <row r="665" hidden="1" ht="15.75" customHeight="1">
      <c r="A665" s="2">
        <f>HYPERLINK("https://www.shelhealth.com/products/716237181718-giovanni-root-66-max-volume-shampoo-8-5-oz", "https://www.shelhealth.com/products/716237181718-giovanni-root-66-max-volume-shampoo-8-5-oz")</f>
        <v/>
      </c>
      <c r="B665" s="2">
        <f>HYPERLINK("https://www.shelhealth.com/products/716237181718-giovanni-root-66-max-volume-shampoo-8-5-oz", "https://www.shelhealth.com/products/716237181718-giovanni-root-66-max-volume-shampoo-8-5-oz")</f>
        <v/>
      </c>
      <c r="C665" t="inlineStr">
        <is>
          <t>Giovanni Root 66 Max Volume Shampoo, 8.5 Oz (Case of 3)</t>
        </is>
      </c>
      <c r="D665" t="inlineStr">
        <is>
          <t>GIOVANNI Root 66 Max Volume Shampoo - For Fine Lifeless Hair, Rich in Nutrients, Volumizing Shampoo, Infused with Natural Botanical Ingredients, Helps Strengthen Hair, Color Safe - 8.5 oz</t>
        </is>
      </c>
      <c r="E665" s="2">
        <f>HYPERLINK("https://www.amazon.com/GIOVANNI-Root-Max-Shampoo-Ingredients/dp/B002LMEH8G/ref=sr_1_5?keywords=Giovanni+Root+66+Max+Volume+Shampoo%2C+8.5+Oz+%28Case+of+3%29&amp;qid=1695170187&amp;sr=8-5", "https://www.amazon.com/GIOVANNI-Root-Max-Shampoo-Ingredients/dp/B002LMEH8G/ref=sr_1_5?keywords=Giovanni+Root+66+Max+Volume+Shampoo%2C+8.5+Oz+%28Case+of+3%29&amp;qid=1695170187&amp;sr=8-5")</f>
        <v/>
      </c>
      <c r="F665" t="inlineStr">
        <is>
          <t>B002LMEH8G</t>
        </is>
      </c>
      <c r="G665">
        <f>_xludf.IMAGE("https://www.shelhealth.com/cdn/shop/files/giovanni-root-66-max-volume-shampoo-8-5-oz-case-of-3-beauty-body-care-shelhealth-880.jpg?v=1686527324&amp;width=1946")</f>
        <v/>
      </c>
      <c r="H665">
        <f>_xludf.IMAGE("https://m.media-amazon.com/images/I/61kAncKoGoL._AC_UL320_.jpg")</f>
        <v/>
      </c>
      <c r="K665" t="inlineStr">
        <is>
          <t>27.99</t>
        </is>
      </c>
      <c r="L665" t="n">
        <v>37.36</v>
      </c>
      <c r="M665" s="1" t="inlineStr">
        <is>
          <t>33.48%</t>
        </is>
      </c>
      <c r="N665" s="3" t="n">
        <v>33.48</v>
      </c>
      <c r="O665" t="n">
        <v>4.5</v>
      </c>
      <c r="P665" t="n">
        <v>218</v>
      </c>
      <c r="R665" t="inlineStr">
        <is>
          <t>OutOfStock</t>
        </is>
      </c>
      <c r="S665" t="inlineStr">
        <is>
          <t>27.99</t>
        </is>
      </c>
      <c r="T665" t="inlineStr">
        <is>
          <t>7241663545532</t>
        </is>
      </c>
    </row>
    <row r="666" hidden="1" ht="15.75" customHeight="1">
      <c r="A666" s="2">
        <f>HYPERLINK("https://www.shelhealth.com/products/pantene-daily-moisture-renewal-shampoo-38-2-oz", "https://www.shelhealth.com/products/pantene-daily-moisture-renewal-shampoo-38-2-oz")</f>
        <v/>
      </c>
      <c r="B666" s="2">
        <f>HYPERLINK("https://www.shelhealth.com/products/pantene-daily-moisture-renewal-shampoo-38-2-oz", "https://www.shelhealth.com/products/pantene-daily-moisture-renewal-shampoo-38-2-oz")</f>
        <v/>
      </c>
      <c r="C666" t="inlineStr">
        <is>
          <t>Pantene Daily Moisture Renewal Shampoo, 38.2 oz</t>
        </is>
      </c>
      <c r="D666" t="inlineStr">
        <is>
          <t>Pantene Daily Moisture Renewal Shampoo, 25.4 Fluid Ounce</t>
        </is>
      </c>
      <c r="E666" s="2">
        <f>HYPERLINK("https://www.amazon.com/Pantene-Daily-Moisture-Renewal-Shampoo/dp/B017BGNDZY/ref=sr_1_2?keywords=Pantene+Daily+Moisture+Renewal+Shampoo%2C+38.2+oz&amp;qid=1695170247&amp;sr=8-2", "https://www.amazon.com/Pantene-Daily-Moisture-Renewal-Shampoo/dp/B017BGNDZY/ref=sr_1_2?keywords=Pantene+Daily+Moisture+Renewal+Shampoo%2C+38.2+oz&amp;qid=1695170247&amp;sr=8-2")</f>
        <v/>
      </c>
      <c r="F666" t="inlineStr">
        <is>
          <t>B017BGNDZY</t>
        </is>
      </c>
      <c r="G666">
        <f>_xludf.IMAGE("https://www.shelhealth.com/cdn/shop/products/pantene-daily-moisture-renewal-shampoo-38-2-oz-shelhealth-186.jpg?v=1663350185&amp;width=1946")</f>
        <v/>
      </c>
      <c r="H666">
        <f>_xludf.IMAGE("https://m.media-amazon.com/images/I/715cty2DbkL._AC_UL320_.jpg")</f>
        <v/>
      </c>
      <c r="K666" t="inlineStr">
        <is>
          <t>15.99</t>
        </is>
      </c>
      <c r="L666" t="n">
        <v>21.15</v>
      </c>
      <c r="M666" s="1" t="inlineStr">
        <is>
          <t>32.27%</t>
        </is>
      </c>
      <c r="N666" s="3" t="n">
        <v>32.27</v>
      </c>
      <c r="O666" t="n">
        <v>4.6</v>
      </c>
      <c r="P666" t="n">
        <v>13</v>
      </c>
      <c r="R666" t="inlineStr">
        <is>
          <t>InStock</t>
        </is>
      </c>
      <c r="S666" t="inlineStr">
        <is>
          <t>15.99</t>
        </is>
      </c>
      <c r="T666" t="inlineStr">
        <is>
          <t>4045975027764</t>
        </is>
      </c>
    </row>
    <row r="667" hidden="1" ht="15.75" customHeight="1">
      <c r="A667" s="2">
        <f>HYPERLINK("https://www.shelhealth.com/products/professional-salon-formula-moisture-shampoo-or-conditioner-33-8-oz-each-shampoo-conditioner-set", "https://www.shelhealth.com/products/professional-salon-formula-moisture-shampoo-or-conditioner-33-8-oz-each-shampoo-conditioner-set")</f>
        <v/>
      </c>
      <c r="B667" s="2">
        <f>HYPERLINK("https://www.shelhealth.com/products/professional-salon-formula-moisture-shampoo-or-conditioner-33-8-oz-each-shampoo-conditioner-set", "https://www.shelhealth.com/products/professional-salon-formula-moisture-shampoo-or-conditioner-33-8-oz-each-shampoo-conditioner-set")</f>
        <v/>
      </c>
      <c r="C667" t="inlineStr">
        <is>
          <t>Kirkland Signature Professional Salon Formula Moisture Shampoo &amp; Conditioner Set (33.8 Oz Each)</t>
        </is>
      </c>
      <c r="D667" t="inlineStr">
        <is>
          <t>Kirkland Signature Shampoo &amp; Conditioner Bundle- Includes One Professional Salon Formula Moisture Shampoo (33.8 Fl. Oz) and Two Professional Salon Formula Conditioner (33.8 Fl. Oz Each)</t>
        </is>
      </c>
      <c r="E667" s="2">
        <f>HYPERLINK("https://www.amazon.com/Kirkland-Signature-Conditioner-Professional-Moisture/dp/B07HM87SNH/ref=sr_1_8?keywords=Kirkland+Signature+Professional+Salon+Formula+Moisture+Shampoo+%26+Conditioner+Set+%2833.8+Oz+Each%29&amp;qid=1695170176&amp;sr=8-8", "https://www.amazon.com/Kirkland-Signature-Conditioner-Professional-Moisture/dp/B07HM87SNH/ref=sr_1_8?keywords=Kirkland+Signature+Professional+Salon+Formula+Moisture+Shampoo+%26+Conditioner+Set+%2833.8+Oz+Each%29&amp;qid=1695170176&amp;sr=8-8")</f>
        <v/>
      </c>
      <c r="F667" t="inlineStr">
        <is>
          <t>B07HM87SNH</t>
        </is>
      </c>
      <c r="G667">
        <f>_xludf.IMAGE("https://www.shelhealth.com/cdn/shop/products/kirkland-signature-professional-salon-formula-moisture-shampoo-conditioner-set-33-8-oz-each-shelhealth-113.jpg?v=1663336766&amp;width=1946")</f>
        <v/>
      </c>
      <c r="H667">
        <f>_xludf.IMAGE("https://m.media-amazon.com/images/I/51dplOct12L._AC_UL320_.jpg")</f>
        <v/>
      </c>
      <c r="K667" t="inlineStr">
        <is>
          <t>35.99</t>
        </is>
      </c>
      <c r="L667" t="n">
        <v>47.39</v>
      </c>
      <c r="M667" s="1" t="inlineStr">
        <is>
          <t>31.68%</t>
        </is>
      </c>
      <c r="N667" s="3" t="n">
        <v>31.68</v>
      </c>
      <c r="O667" t="n">
        <v>4</v>
      </c>
      <c r="P667" t="n">
        <v>35</v>
      </c>
      <c r="R667" t="inlineStr">
        <is>
          <t>InStock</t>
        </is>
      </c>
      <c r="S667" t="inlineStr">
        <is>
          <t>35.99</t>
        </is>
      </c>
      <c r="T667" t="inlineStr">
        <is>
          <t>3723631558708</t>
        </is>
      </c>
    </row>
    <row r="668" hidden="1" ht="15.75" customHeight="1">
      <c r="A668" s="2">
        <f>HYPERLINK("https://www.shelhealth.com/products/pantene-daily-moisture-shampoo-38-2-oz", "https://www.shelhealth.com/products/pantene-daily-moisture-shampoo-38-2-oz")</f>
        <v/>
      </c>
      <c r="B668" s="2">
        <f>HYPERLINK("https://www.shelhealth.com/products/pantene-daily-moisture-shampoo-38-2-oz", "https://www.shelhealth.com/products/pantene-daily-moisture-shampoo-38-2-oz")</f>
        <v/>
      </c>
      <c r="C668" t="inlineStr">
        <is>
          <t>Pantene Daily Moisture Renewal Conditioner, 38.2 oz</t>
        </is>
      </c>
      <c r="D668" t="inlineStr">
        <is>
          <t>Pantene Pro-V Daily Moisture Renewal Hydrating Conditioner, 24 Fluid Ounce</t>
        </is>
      </c>
      <c r="E668" s="2">
        <f>HYPERLINK("https://www.amazon.com/Pantene-Moisture-Renewal-Hydrating-Conditioner/dp/B010AJ7LFC/ref=sr_1_1?keywords=Pantene+Daily+Moisture+Renewal+Conditioner%2C+38.2+oz&amp;qid=1695170178&amp;sr=8-1", "https://www.amazon.com/Pantene-Moisture-Renewal-Hydrating-Conditioner/dp/B010AJ7LFC/ref=sr_1_1?keywords=Pantene+Daily+Moisture+Renewal+Conditioner%2C+38.2+oz&amp;qid=1695170178&amp;sr=8-1")</f>
        <v/>
      </c>
      <c r="F668" t="inlineStr">
        <is>
          <t>B010AJ7LFC</t>
        </is>
      </c>
      <c r="G668">
        <f>_xludf.IMAGE("https://www.shelhealth.com/cdn/shop/products/pantene-daily-moisture-renewal-conditioner-38-2-oz-shelhealth-144.jpg?v=1663350178&amp;width=1946")</f>
        <v/>
      </c>
      <c r="H668">
        <f>_xludf.IMAGE("https://m.media-amazon.com/images/I/71zmgCOxqYL._AC_UL320_.jpg")</f>
        <v/>
      </c>
      <c r="K668" t="inlineStr">
        <is>
          <t>15.99</t>
        </is>
      </c>
      <c r="L668" t="n">
        <v>21</v>
      </c>
      <c r="M668" s="1" t="inlineStr">
        <is>
          <t>31.33%</t>
        </is>
      </c>
      <c r="N668" s="3" t="n">
        <v>31.33</v>
      </c>
      <c r="O668" t="n">
        <v>5</v>
      </c>
      <c r="P668" t="n">
        <v>5</v>
      </c>
      <c r="R668" t="inlineStr">
        <is>
          <t>InStock</t>
        </is>
      </c>
      <c r="S668" t="inlineStr">
        <is>
          <t>15.99</t>
        </is>
      </c>
      <c r="T668" t="inlineStr">
        <is>
          <t>4045973946420</t>
        </is>
      </c>
    </row>
    <row r="669" hidden="1" ht="15.75" customHeight="1">
      <c r="A669" s="2">
        <f>HYPERLINK("https://www.shelhealth.com/products/ogx-nourishing-coconut-milk-conditioner-25-4-ounce-with-pump", "https://www.shelhealth.com/products/ogx-nourishing-coconut-milk-conditioner-25-4-ounce-with-pump")</f>
        <v/>
      </c>
      <c r="B669" s="2">
        <f>HYPERLINK("https://www.shelhealth.com/products/ogx-nourishing-coconut-milk-conditioner-25-4-ounce-with-pump", "https://www.shelhealth.com/products/ogx-nourishing-coconut-milk-conditioner-25-4-ounce-with-pump")</f>
        <v/>
      </c>
      <c r="C669" t="inlineStr">
        <is>
          <t>OGX Nourishing + Coconut Milk Conditioner, 25.4 Ounce with Pump</t>
        </is>
      </c>
      <c r="D669" t="inlineStr">
        <is>
          <t>OGX Salon Size Nourishing Coconut Milk Conditioner with Pump, 25.4 Ounce</t>
        </is>
      </c>
      <c r="E669" s="2">
        <f>HYPERLINK("https://www.amazon.com/OGX-Salon-Nourishing-Coconut-Conditioner/dp/B01FJYS3HS/ref=sr_1_1?keywords=OGX+Nourishing+Coconut+Milk+Conditioner%2C+25.4+Ounce+with+Pump&amp;qid=1695170179&amp;sr=8-1", "https://www.amazon.com/OGX-Salon-Nourishing-Coconut-Conditioner/dp/B01FJYS3HS/ref=sr_1_1?keywords=OGX+Nourishing+Coconut+Milk+Conditioner%2C+25.4+Ounce+with+Pump&amp;qid=1695170179&amp;sr=8-1")</f>
        <v/>
      </c>
      <c r="F669" t="inlineStr">
        <is>
          <t>B01FJYS3HS</t>
        </is>
      </c>
      <c r="G669">
        <f>_xludf.IMAGE("https://www.shelhealth.com/cdn/shop/products/ogx-nourishing-coconut-milk-conditioner-25-4-ounce-with-pump-shelhealth-724.jpg?v=1663350138&amp;width=1946")</f>
        <v/>
      </c>
      <c r="H669">
        <f>_xludf.IMAGE("https://m.media-amazon.com/images/I/513WpbHGIrL._AC_UL320_.jpg")</f>
        <v/>
      </c>
      <c r="K669" t="inlineStr">
        <is>
          <t>16.99</t>
        </is>
      </c>
      <c r="L669" t="n">
        <v>21.99</v>
      </c>
      <c r="M669" s="1" t="inlineStr">
        <is>
          <t>29.43%</t>
        </is>
      </c>
      <c r="N669" s="3" t="n">
        <v>29.43</v>
      </c>
      <c r="O669" t="n">
        <v>4.6</v>
      </c>
      <c r="P669" t="n">
        <v>120</v>
      </c>
      <c r="R669" t="inlineStr">
        <is>
          <t>OutOfStock</t>
        </is>
      </c>
      <c r="S669" t="inlineStr">
        <is>
          <t>16.99</t>
        </is>
      </c>
      <c r="T669" t="inlineStr">
        <is>
          <t>4045939736628</t>
        </is>
      </c>
    </row>
    <row r="670" hidden="1" ht="15.75" customHeight="1">
      <c r="A670" s="2">
        <f>HYPERLINK("https://www.shelhealth.com/products/finishing-touch-flawless-facial-hair-remover", "https://www.shelhealth.com/products/finishing-touch-flawless-facial-hair-remover")</f>
        <v/>
      </c>
      <c r="B670" s="2">
        <f>HYPERLINK("https://www.shelhealth.com/products/finishing-touch-flawless-facial-hair-remover", "https://www.shelhealth.com/products/finishing-touch-flawless-facial-hair-remover")</f>
        <v/>
      </c>
      <c r="C670" t="inlineStr">
        <is>
          <t>Finishing Touch Flawless Facial Hair Remover</t>
        </is>
      </c>
      <c r="D670" t="inlineStr">
        <is>
          <t>Finishing Touch Flawless Legs, Leg Hair Remover for Women, Electric Razor for Women with LED Light for Instant and Painless Leg Hair Removal</t>
        </is>
      </c>
      <c r="E670" s="2">
        <f>HYPERLINK("https://www.amazon.com/Finishing-Touch-Flawless-Womens-Remover/dp/B076FYCXMQ/ref=sr_1_8?keywords=Finishing+Touch+Flawless+Facial+Hair+Remover&amp;qid=1695170242&amp;sr=8-8", "https://www.amazon.com/Finishing-Touch-Flawless-Womens-Remover/dp/B076FYCXMQ/ref=sr_1_8?keywords=Finishing+Touch+Flawless+Facial+Hair+Remover&amp;qid=1695170242&amp;sr=8-8")</f>
        <v/>
      </c>
      <c r="F670" t="inlineStr">
        <is>
          <t>B076FYCXMQ</t>
        </is>
      </c>
      <c r="G670">
        <f>_xludf.IMAGE("https://www.shelhealth.com/cdn/shop/products/finishing-touch-flawless-facial-hair-remover-shelhealth-241.jpg?v=1663620023&amp;width=1946")</f>
        <v/>
      </c>
      <c r="H670">
        <f>_xludf.IMAGE("https://m.media-amazon.com/images/I/51+AGVQ6bOL._AC_UL320_.jpg")</f>
        <v/>
      </c>
      <c r="K670" t="inlineStr">
        <is>
          <t>24.99</t>
        </is>
      </c>
      <c r="L670" t="n">
        <v>31.99</v>
      </c>
      <c r="M670" s="1" t="inlineStr">
        <is>
          <t>28.01%</t>
        </is>
      </c>
      <c r="N670" s="3" t="n">
        <v>28.01</v>
      </c>
      <c r="O670" t="n">
        <v>4.4</v>
      </c>
      <c r="P670" t="n">
        <v>15896</v>
      </c>
      <c r="R670" t="inlineStr">
        <is>
          <t>InStock</t>
        </is>
      </c>
      <c r="S670" t="inlineStr">
        <is>
          <t>24.99</t>
        </is>
      </c>
      <c r="T670" t="inlineStr">
        <is>
          <t>4727992909913</t>
        </is>
      </c>
    </row>
    <row r="671" hidden="1" ht="15.75" customHeight="1">
      <c r="A671" s="2">
        <f>HYPERLINK("https://www.shelhealth.com/products/187132007203-alaffia-shampoo-evrydy-coconut-32-fo", "https://www.shelhealth.com/products/187132007203-alaffia-shampoo-evrydy-coconut-32-fo")</f>
        <v/>
      </c>
      <c r="B671" s="2">
        <f>HYPERLINK("https://www.shelhealth.com/products/187132007203-alaffia-shampoo-evrydy-coconut-32-fo", "https://www.shelhealth.com/products/187132007203-alaffia-shampoo-evrydy-coconut-32-fo")</f>
        <v/>
      </c>
      <c r="C671" t="inlineStr">
        <is>
          <t>ALAFFIA Shampoo Everyday Coconut, 32 fo</t>
        </is>
      </c>
      <c r="D671" t="inlineStr">
        <is>
          <t>Alaffia EveryDay Shea Shampoo, Gently Cleansing Shampoo for Normal to Dry Hair, Made with Fair Trade Shea Butter, Cruelty Free, Vegan, No Parabens, Vanilla Mint 32 Fl Oz</t>
        </is>
      </c>
      <c r="E671" s="2">
        <f>HYPERLINK("https://www.amazon.com/Alaffia-187132005223-Everyday-Shea-Shampoo/dp/B003B6SWDM/ref=sr_1_1?keywords=ALAFFIA+Shampoo+Everyday+Coconut%2C+32+fo&amp;qid=1695170191&amp;sr=8-1", "https://www.amazon.com/Alaffia-187132005223-Everyday-Shea-Shampoo/dp/B003B6SWDM/ref=sr_1_1?keywords=ALAFFIA+Shampoo+Everyday+Coconut%2C+32+fo&amp;qid=1695170191&amp;sr=8-1")</f>
        <v/>
      </c>
      <c r="F671" t="inlineStr">
        <is>
          <t>B003B6SWDM</t>
        </is>
      </c>
      <c r="G671">
        <f>_xludf.IMAGE("https://www.shelhealth.com/cdn/shop/files/alaffia-shampoo-everyday-coconut-32-fo-beauty-body-care-shelhealth-611.jpg?v=1688538436&amp;width=1946")</f>
        <v/>
      </c>
      <c r="H671">
        <f>_xludf.IMAGE("https://m.media-amazon.com/images/I/61Q+MFIh2NL._AC_UL320_.jpg")</f>
        <v/>
      </c>
      <c r="K671" t="inlineStr">
        <is>
          <t>13.99</t>
        </is>
      </c>
      <c r="L671" t="n">
        <v>17.79</v>
      </c>
      <c r="M671" s="1" t="inlineStr">
        <is>
          <t>27.16%</t>
        </is>
      </c>
      <c r="N671" s="3" t="n">
        <v>27.16</v>
      </c>
      <c r="O671" t="n">
        <v>4.3</v>
      </c>
      <c r="P671" t="n">
        <v>1214</v>
      </c>
      <c r="R671" t="inlineStr">
        <is>
          <t>OutOfStock</t>
        </is>
      </c>
      <c r="S671" t="inlineStr">
        <is>
          <t>13.99</t>
        </is>
      </c>
      <c r="T671" t="inlineStr">
        <is>
          <t>7573951217896</t>
        </is>
      </c>
    </row>
    <row r="672" hidden="1" ht="15.75" customHeight="1">
      <c r="A672" s="2">
        <f>HYPERLINK("https://www.shelhealth.com/products/187132005223-alaffia-shampoo-evrydy-vanilla-32-fo", "https://www.shelhealth.com/products/187132005223-alaffia-shampoo-evrydy-vanilla-32-fo")</f>
        <v/>
      </c>
      <c r="B672" s="2">
        <f>HYPERLINK("https://www.shelhealth.com/products/187132005223-alaffia-shampoo-evrydy-vanilla-32-fo", "https://www.shelhealth.com/products/187132005223-alaffia-shampoo-evrydy-vanilla-32-fo")</f>
        <v/>
      </c>
      <c r="C672" t="inlineStr">
        <is>
          <t>ALAFFIA Shampoo Everyday Vanilla, 32 fo</t>
        </is>
      </c>
      <c r="D672" t="inlineStr">
        <is>
          <t>Alaffia EveryDay Shea Shampoo, Gently Cleansing Shampoo for Normal to Dry Hair, Made with Fair Trade Shea Butter, Cruelty Free, Vegan, No Parabens, Vanilla Mint 32 Fl Oz</t>
        </is>
      </c>
      <c r="E672" s="2">
        <f>HYPERLINK("https://www.amazon.com/Alaffia-187132005223-Everyday-Shea-Shampoo/dp/B003B6SWDM/ref=sr_1_1?keywords=ALAFFIA+Shampoo+Everyday+Vanilla%2C+32+fo&amp;qid=1695170199&amp;sr=8-1", "https://www.amazon.com/Alaffia-187132005223-Everyday-Shea-Shampoo/dp/B003B6SWDM/ref=sr_1_1?keywords=ALAFFIA+Shampoo+Everyday+Vanilla%2C+32+fo&amp;qid=1695170199&amp;sr=8-1")</f>
        <v/>
      </c>
      <c r="F672" t="inlineStr">
        <is>
          <t>B003B6SWDM</t>
        </is>
      </c>
      <c r="G672">
        <f>_xludf.IMAGE("https://www.shelhealth.com/cdn/shop/files/alaffia-shampoo-everyday-vanilla-32-fo-beauty-body-care-shelhealth-559.jpg?v=1686205227&amp;width=1946")</f>
        <v/>
      </c>
      <c r="H672">
        <f>_xludf.IMAGE("https://m.media-amazon.com/images/I/61Q+MFIh2NL._AC_UL320_.jpg")</f>
        <v/>
      </c>
      <c r="K672" t="inlineStr">
        <is>
          <t>13.99</t>
        </is>
      </c>
      <c r="L672" t="n">
        <v>17.79</v>
      </c>
      <c r="M672" s="1" t="inlineStr">
        <is>
          <t>27.16%</t>
        </is>
      </c>
      <c r="N672" s="3" t="n">
        <v>27.16</v>
      </c>
      <c r="O672" t="n">
        <v>4.3</v>
      </c>
      <c r="P672" t="n">
        <v>1214</v>
      </c>
      <c r="R672" t="inlineStr">
        <is>
          <t>OutOfStock</t>
        </is>
      </c>
      <c r="S672" t="inlineStr">
        <is>
          <t>13.99</t>
        </is>
      </c>
      <c r="T672" t="inlineStr">
        <is>
          <t>7573951348968</t>
        </is>
      </c>
    </row>
    <row r="673" hidden="1" ht="15.75" customHeight="1">
      <c r="A673" s="2">
        <f>HYPERLINK("https://www.shelhealth.com/products/dove-daily-moisture-conditioner-40-oz", "https://www.shelhealth.com/products/dove-daily-moisture-conditioner-40-oz")</f>
        <v/>
      </c>
      <c r="B673" s="2">
        <f>HYPERLINK("https://www.shelhealth.com/products/dove-daily-moisture-conditioner-40-oz", "https://www.shelhealth.com/products/dove-daily-moisture-conditioner-40-oz")</f>
        <v/>
      </c>
      <c r="C673" t="inlineStr">
        <is>
          <t>Dove Daily Moisture Conditioner, 40 oz.</t>
        </is>
      </c>
      <c r="D673" t="inlineStr">
        <is>
          <t>Dove Damage Therapy Cool Moisture Conditioner, 40 Oz. (1.18 Liter)</t>
        </is>
      </c>
      <c r="E673" s="2">
        <f>HYPERLINK("https://www.amazon.com/Dove-Damage-Therapy-Moisture-Conditioner/dp/B00DQ3CJ70/ref=sr_1_3?keywords=Dove+Daily+Moisture+Conditioner%2C+40+oz.&amp;qid=1695170181&amp;sr=8-3", "https://www.amazon.com/Dove-Damage-Therapy-Moisture-Conditioner/dp/B00DQ3CJ70/ref=sr_1_3?keywords=Dove+Daily+Moisture+Conditioner%2C+40+oz.&amp;qid=1695170181&amp;sr=8-3")</f>
        <v/>
      </c>
      <c r="F673" t="inlineStr">
        <is>
          <t>B00DQ3CJ70</t>
        </is>
      </c>
      <c r="G673">
        <f>_xludf.IMAGE("https://www.shelhealth.com/cdn/shop/products/dove-daily-moisture-conditioner-40-oz-shelhealth-775.jpg?v=1663350554&amp;width=1946")</f>
        <v/>
      </c>
      <c r="H673">
        <f>_xludf.IMAGE("https://m.media-amazon.com/images/I/6186gE-c+iL._AC_UL320_.jpg")</f>
        <v/>
      </c>
      <c r="K673" t="inlineStr">
        <is>
          <t>15.99</t>
        </is>
      </c>
      <c r="L673" t="n">
        <v>20.28</v>
      </c>
      <c r="M673" s="1" t="inlineStr">
        <is>
          <t>26.83%</t>
        </is>
      </c>
      <c r="N673" s="3" t="n">
        <v>26.83</v>
      </c>
      <c r="O673" t="n">
        <v>4.4</v>
      </c>
      <c r="P673" t="n">
        <v>141</v>
      </c>
      <c r="R673" t="inlineStr">
        <is>
          <t>InStock</t>
        </is>
      </c>
      <c r="S673" t="inlineStr">
        <is>
          <t>15.99</t>
        </is>
      </c>
      <c r="T673" t="inlineStr">
        <is>
          <t>4091399176244</t>
        </is>
      </c>
    </row>
    <row r="674" hidden="1" ht="15.75" customHeight="1">
      <c r="A674" s="2">
        <f>HYPERLINK("https://www.shelhealth.com/products/661176010080-naturtint-permanent-hair-color-10n-light-dawn-blonde-5-28-oz", "https://www.shelhealth.com/products/661176010080-naturtint-permanent-hair-color-10n-light-dawn-blonde-5-28-oz")</f>
        <v/>
      </c>
      <c r="B674" s="2">
        <f>HYPERLINK("https://www.shelhealth.com/products/661176010080-naturtint-permanent-hair-color-10n-light-dawn-blonde-5-28-oz", "https://www.shelhealth.com/products/661176010080-naturtint-permanent-hair-color-10n-light-dawn-blonde-5-28-oz")</f>
        <v/>
      </c>
      <c r="C674" t="inlineStr">
        <is>
          <t>Naturtint Permanent Hair Color 10N Light Dawn Blonde, 5.28 Oz</t>
        </is>
      </c>
      <c r="D674" t="inlineStr">
        <is>
          <t>Naturtint Hair Color 10N Light Dawn Blonde - 5.45 fl oz</t>
        </is>
      </c>
      <c r="E674" s="2">
        <f>HYPERLINK("https://www.amazon.com/Naturtint-Color-Permanent-Light-Blonde/dp/B00B1L3B12/ref=sr_1_5?keywords=Naturtint+Permanent+Hair+Color+10N+Light+Dawn+Blonde%2C+5.28+Oz&amp;qid=1695170259&amp;sr=8-5", "https://www.amazon.com/Naturtint-Color-Permanent-Light-Blonde/dp/B00B1L3B12/ref=sr_1_5?keywords=Naturtint+Permanent+Hair+Color+10N+Light+Dawn+Blonde%2C+5.28+Oz&amp;qid=1695170259&amp;sr=8-5")</f>
        <v/>
      </c>
      <c r="F674" t="inlineStr">
        <is>
          <t>B00B1L3B12</t>
        </is>
      </c>
      <c r="G674">
        <f>_xludf.IMAGE("https://www.shelhealth.com/cdn/shop/files/naturtint-permanent-hair-color-10n-light-dawn-blonde-5-28-oz-beauty-body-care-shelhealth-292.jpg?v=1686533104&amp;width=1946")</f>
        <v/>
      </c>
      <c r="H674">
        <f>_xludf.IMAGE("https://m.media-amazon.com/images/I/61ckECaG0ML._AC_UL320_.jpg")</f>
        <v/>
      </c>
      <c r="K674" t="inlineStr">
        <is>
          <t>17.99</t>
        </is>
      </c>
      <c r="L674" t="n">
        <v>22.79</v>
      </c>
      <c r="M674" s="1" t="inlineStr">
        <is>
          <t>26.68%</t>
        </is>
      </c>
      <c r="N674" s="3" t="n">
        <v>26.68</v>
      </c>
      <c r="O674" t="n">
        <v>4.6</v>
      </c>
      <c r="P674" t="n">
        <v>157</v>
      </c>
      <c r="R674" t="inlineStr">
        <is>
          <t>InStock</t>
        </is>
      </c>
      <c r="S674" t="inlineStr">
        <is>
          <t>17.99</t>
        </is>
      </c>
      <c r="T674" t="inlineStr">
        <is>
          <t>7241866084540</t>
        </is>
      </c>
    </row>
    <row r="675" hidden="1" ht="15.75" customHeight="1">
      <c r="A675" s="2">
        <f>HYPERLINK("https://www.shelhealth.com/products/661176010103-naturtint-permanent-hair-color-6g-dark-golden-blonde-5-28-oz", "https://www.shelhealth.com/products/661176010103-naturtint-permanent-hair-color-6g-dark-golden-blonde-5-28-oz")</f>
        <v/>
      </c>
      <c r="B675" s="2">
        <f>HYPERLINK("https://www.shelhealth.com/products/661176010103-naturtint-permanent-hair-color-6g-dark-golden-blonde-5-28-oz", "https://www.shelhealth.com/products/661176010103-naturtint-permanent-hair-color-6g-dark-golden-blonde-5-28-oz")</f>
        <v/>
      </c>
      <c r="C675" t="inlineStr">
        <is>
          <t>Naturtint Permanent Hair Color 6G Dark Golden Blonde, 5.28 Oz</t>
        </is>
      </c>
      <c r="D675" t="inlineStr">
        <is>
          <t>Naturtint Permanent Hair Color 6G Dark Golden Blonde (Pack of 1), Ammonia Free, Vegan, Cruelty Free, up to 100% Gray Coverage, Long Lasting Results</t>
        </is>
      </c>
      <c r="E675" s="2">
        <f>HYPERLINK("https://www.amazon.com/Naturtint-Permanent-Colorant-Golden-Blonde/dp/B00B1L41FW/ref=sr_1_5?keywords=Naturtint+Permanent+Hair+Color+6G+Dark+Golden+Blonde%2C+5.28+Oz&amp;qid=1695170205&amp;sr=8-5", "https://www.amazon.com/Naturtint-Permanent-Colorant-Golden-Blonde/dp/B00B1L41FW/ref=sr_1_5?keywords=Naturtint+Permanent+Hair+Color+6G+Dark+Golden+Blonde%2C+5.28+Oz&amp;qid=1695170205&amp;sr=8-5")</f>
        <v/>
      </c>
      <c r="F675" t="inlineStr">
        <is>
          <t>B00B1L41FW</t>
        </is>
      </c>
      <c r="G675">
        <f>_xludf.IMAGE("https://www.shelhealth.com/cdn/shop/files/naturtint-permanent-hair-color-6g-dark-golden-blonde-5-28-oz-beauty-body-care-shelhealth-442.jpg?v=1686533289&amp;width=1946")</f>
        <v/>
      </c>
      <c r="H675">
        <f>_xludf.IMAGE("https://m.media-amazon.com/images/I/61TCMyjFvqL._AC_UL320_.jpg")</f>
        <v/>
      </c>
      <c r="K675" t="inlineStr">
        <is>
          <t>17.99</t>
        </is>
      </c>
      <c r="L675" t="n">
        <v>22.79</v>
      </c>
      <c r="M675" s="1" t="inlineStr">
        <is>
          <t>26.68%</t>
        </is>
      </c>
      <c r="N675" s="3" t="n">
        <v>26.68</v>
      </c>
      <c r="O675" t="n">
        <v>5</v>
      </c>
      <c r="P675" t="n">
        <v>1</v>
      </c>
      <c r="R675" t="inlineStr">
        <is>
          <t>InStock</t>
        </is>
      </c>
      <c r="S675" t="inlineStr">
        <is>
          <t>17.99</t>
        </is>
      </c>
      <c r="T675" t="inlineStr">
        <is>
          <t>7241866903740</t>
        </is>
      </c>
    </row>
    <row r="676" hidden="1" ht="15.75" customHeight="1">
      <c r="A676" s="2">
        <f>HYPERLINK("https://www.shelhealth.com/products/856932007774-andalou-naturals-argan-oil-shea-shampoo-32-fo", "https://www.shelhealth.com/products/856932007774-andalou-naturals-argan-oil-shea-shampoo-32-fo")</f>
        <v/>
      </c>
      <c r="B676" s="2">
        <f>HYPERLINK("https://www.shelhealth.com/products/856932007774-andalou-naturals-argan-oil-shea-shampoo-32-fo", "https://www.shelhealth.com/products/856932007774-andalou-naturals-argan-oil-shea-shampoo-32-fo")</f>
        <v/>
      </c>
      <c r="C676" t="inlineStr">
        <is>
          <t>Andalou Naturals Argan Oil Shea Shampoo, 32 Fo</t>
        </is>
      </c>
      <c r="D676" t="inlineStr">
        <is>
          <t>Andalou Naturals Argan Oil and Shea Moisture Rich Shampoo, Pack of 3</t>
        </is>
      </c>
      <c r="E676" s="2">
        <f>HYPERLINK("https://www.amazon.com/Andalou-Naturals-Argan-Moisture-Shampoo/dp/B005GWUYYO/ref=sr_1_4?keywords=Andalou+Naturals+Argan+Oil+Shea+Shampoo%2C+32+Fo&amp;qid=1695170178&amp;sr=8-4", "https://www.amazon.com/Andalou-Naturals-Argan-Moisture-Shampoo/dp/B005GWUYYO/ref=sr_1_4?keywords=Andalou+Naturals+Argan+Oil+Shea+Shampoo%2C+32+Fo&amp;qid=1695170178&amp;sr=8-4")</f>
        <v/>
      </c>
      <c r="F676" t="inlineStr">
        <is>
          <t>B005GWUYYO</t>
        </is>
      </c>
      <c r="G676">
        <f>_xludf.IMAGE("https://www.shelhealth.com/cdn/shop/files/andalou-naturals-argan-oil-shea-shampoo-32-fo-beauty-body-care-shelhealth-540.jpg?v=1686192281&amp;width=1946")</f>
        <v/>
      </c>
      <c r="H676">
        <f>_xludf.IMAGE("https://m.media-amazon.com/images/I/51dZX9J0TSL._AC_UL320_.jpg")</f>
        <v/>
      </c>
      <c r="K676" t="inlineStr">
        <is>
          <t>16.99</t>
        </is>
      </c>
      <c r="L676" t="n">
        <v>21.47</v>
      </c>
      <c r="M676" s="1" t="inlineStr">
        <is>
          <t>26.37%</t>
        </is>
      </c>
      <c r="N676" s="3" t="n">
        <v>26.37</v>
      </c>
      <c r="O676" t="n">
        <v>4.4</v>
      </c>
      <c r="P676" t="n">
        <v>48</v>
      </c>
      <c r="R676" t="inlineStr">
        <is>
          <t>OutOfStock</t>
        </is>
      </c>
      <c r="S676" t="inlineStr">
        <is>
          <t>16.99</t>
        </is>
      </c>
      <c r="T676" t="inlineStr">
        <is>
          <t>7241445671100</t>
        </is>
      </c>
    </row>
    <row r="677" hidden="1" ht="15.75" customHeight="1">
      <c r="A677" s="2">
        <f>HYPERLINK("https://www.shelhealth.com/products/pantene-daily-moisture-shampoo-38-2-oz", "https://www.shelhealth.com/products/pantene-daily-moisture-shampoo-38-2-oz")</f>
        <v/>
      </c>
      <c r="B677" s="2">
        <f>HYPERLINK("https://www.shelhealth.com/products/pantene-daily-moisture-shampoo-38-2-oz", "https://www.shelhealth.com/products/pantene-daily-moisture-shampoo-38-2-oz")</f>
        <v/>
      </c>
      <c r="C677" t="inlineStr">
        <is>
          <t>Pantene Daily Moisture Renewal Conditioner, 38.2 oz</t>
        </is>
      </c>
      <c r="D677" t="inlineStr">
        <is>
          <t>Pantene Daily Moisture Renewal 3 Minute Miracle Daily Conditioner, 8.0 fl oz</t>
        </is>
      </c>
      <c r="E677" s="2">
        <f>HYPERLINK("https://www.amazon.com/Pantene-Moisture-Renewal-Miracle-Conditioner/dp/B0193G14NS/ref=sr_1_9?keywords=Pantene+Daily+Moisture+Renewal+Conditioner%2C+38.2+oz&amp;qid=1695170178&amp;sr=8-9", "https://www.amazon.com/Pantene-Moisture-Renewal-Miracle-Conditioner/dp/B0193G14NS/ref=sr_1_9?keywords=Pantene+Daily+Moisture+Renewal+Conditioner%2C+38.2+oz&amp;qid=1695170178&amp;sr=8-9")</f>
        <v/>
      </c>
      <c r="F677" t="inlineStr">
        <is>
          <t>B0193G14NS</t>
        </is>
      </c>
      <c r="G677">
        <f>_xludf.IMAGE("https://www.shelhealth.com/cdn/shop/products/pantene-daily-moisture-renewal-conditioner-38-2-oz-shelhealth-144.jpg?v=1663350178&amp;width=1946")</f>
        <v/>
      </c>
      <c r="H677">
        <f>_xludf.IMAGE("https://m.media-amazon.com/images/I/61N1vJe64ZL._AC_UL320_.jpg")</f>
        <v/>
      </c>
      <c r="K677" t="inlineStr">
        <is>
          <t>15.99</t>
        </is>
      </c>
      <c r="L677" t="n">
        <v>20.2</v>
      </c>
      <c r="M677" s="1" t="inlineStr">
        <is>
          <t>26.33%</t>
        </is>
      </c>
      <c r="N677" s="3" t="n">
        <v>26.33</v>
      </c>
      <c r="O677" t="n">
        <v>4.7</v>
      </c>
      <c r="P677" t="n">
        <v>765</v>
      </c>
      <c r="R677" t="inlineStr">
        <is>
          <t>InStock</t>
        </is>
      </c>
      <c r="S677" t="inlineStr">
        <is>
          <t>15.99</t>
        </is>
      </c>
      <c r="T677" t="inlineStr">
        <is>
          <t>4045973946420</t>
        </is>
      </c>
    </row>
    <row r="678" hidden="1" ht="15.75" customHeight="1">
      <c r="A678" s="2">
        <f>HYPERLINK("https://www.shelhealth.com/products/654749361290-avalon-organics-conditioner-tea-tree-32-oz", "https://www.shelhealth.com/products/654749361290-avalon-organics-conditioner-tea-tree-32-oz")</f>
        <v/>
      </c>
      <c r="B678" s="2">
        <f>HYPERLINK("https://www.shelhealth.com/products/654749361290-avalon-organics-conditioner-tea-tree-32-oz", "https://www.shelhealth.com/products/654749361290-avalon-organics-conditioner-tea-tree-32-oz")</f>
        <v/>
      </c>
      <c r="C678" t="inlineStr">
        <is>
          <t>Avalon Organics Conditioner Tea Tree, 32 Oz</t>
        </is>
      </c>
      <c r="D678" t="inlineStr">
        <is>
          <t>Avalon Organics Treatment Conditioner Tea Tree Mint - 14 fl oz</t>
        </is>
      </c>
      <c r="E678" s="2">
        <f>HYPERLINK("https://www.amazon.com/Avalon-Organics-Normalizing-Shampoo-Therapy/dp/B01N3VKYN0/ref=sr_1_6?keywords=Avalon+Organics+Conditioner+Tea+Tree%2C+32+Oz&amp;qid=1695170213&amp;sr=8-6", "https://www.amazon.com/Avalon-Organics-Normalizing-Shampoo-Therapy/dp/B01N3VKYN0/ref=sr_1_6?keywords=Avalon+Organics+Conditioner+Tea+Tree%2C+32+Oz&amp;qid=1695170213&amp;sr=8-6")</f>
        <v/>
      </c>
      <c r="F678" t="inlineStr">
        <is>
          <t>B01N3VKYN0</t>
        </is>
      </c>
      <c r="G678">
        <f>_xludf.IMAGE("https://www.shelhealth.com/cdn/shop/files/avalon-organics-conditioner-tea-tree-32-oz-beauty-body-care-shelhealth-540.jpg?v=1686522279&amp;width=1946")</f>
        <v/>
      </c>
      <c r="H678">
        <f>_xludf.IMAGE("https://m.media-amazon.com/images/I/71K+wItuD0L._AC_UL320_.jpg")</f>
        <v/>
      </c>
      <c r="K678" t="inlineStr">
        <is>
          <t>18.99</t>
        </is>
      </c>
      <c r="L678" t="n">
        <v>23.67</v>
      </c>
      <c r="M678" s="1" t="inlineStr">
        <is>
          <t>24.64%</t>
        </is>
      </c>
      <c r="N678" s="3" t="n">
        <v>24.64</v>
      </c>
      <c r="O678" t="n">
        <v>5</v>
      </c>
      <c r="P678" t="n">
        <v>2</v>
      </c>
      <c r="R678" t="inlineStr">
        <is>
          <t>InStock</t>
        </is>
      </c>
      <c r="S678" t="inlineStr">
        <is>
          <t>18.99</t>
        </is>
      </c>
      <c r="T678" t="inlineStr">
        <is>
          <t>7241470476476</t>
        </is>
      </c>
    </row>
    <row r="679" hidden="1" ht="15.75" customHeight="1">
      <c r="A679" s="2">
        <f>HYPERLINK("https://www.shelhealth.com/products/pantene-smooth-and-sleek-conditioner-38-2-oz", "https://www.shelhealth.com/products/pantene-smooth-and-sleek-conditioner-38-2-oz")</f>
        <v/>
      </c>
      <c r="B679" s="2">
        <f>HYPERLINK("https://www.shelhealth.com/products/pantene-smooth-and-sleek-conditioner-38-2-oz", "https://www.shelhealth.com/products/pantene-smooth-and-sleek-conditioner-38-2-oz")</f>
        <v/>
      </c>
      <c r="C679" t="inlineStr">
        <is>
          <t>Pantene Smooth And Sleek Conditioner, 38.2 oz</t>
        </is>
      </c>
      <c r="D679" t="inlineStr">
        <is>
          <t>Pantene Shampoo 27.7oz, Conditioner 25.1 oz and Hair Treatment 0.5 oz Set, Smooth and Sleek for 72+ Hours of Lasting Frizz Control, Safe for Color-Treated Hair</t>
        </is>
      </c>
      <c r="E679" s="2">
        <f>HYPERLINK("https://www.amazon.com/Pantene-Shampoo-Conditioner-Treatment-Color-Treated/dp/B09GTW4VLH/ref=sr_1_5?keywords=Pantene+Smooth+And+Sleek+Conditioner%2C+38.2+oz&amp;qid=1695170249&amp;sr=8-5", "https://www.amazon.com/Pantene-Shampoo-Conditioner-Treatment-Color-Treated/dp/B09GTW4VLH/ref=sr_1_5?keywords=Pantene+Smooth+And+Sleek+Conditioner%2C+38.2+oz&amp;qid=1695170249&amp;sr=8-5")</f>
        <v/>
      </c>
      <c r="F679" t="inlineStr">
        <is>
          <t>B09GTW4VLH</t>
        </is>
      </c>
      <c r="G679">
        <f>_xludf.IMAGE("https://www.shelhealth.com/cdn/shop/products/pantene-smooth-and-sleek-conditioner-38-2-oz-shelhealth-407.jpg?v=1663350151&amp;width=1946")</f>
        <v/>
      </c>
      <c r="H679">
        <f>_xludf.IMAGE("https://m.media-amazon.com/images/I/619WSSA0HXL._AC_UL320_.jpg")</f>
        <v/>
      </c>
      <c r="K679" t="inlineStr">
        <is>
          <t>15.99</t>
        </is>
      </c>
      <c r="L679" t="n">
        <v>19.91</v>
      </c>
      <c r="M679" s="1" t="inlineStr">
        <is>
          <t>24.52%</t>
        </is>
      </c>
      <c r="N679" s="3" t="n">
        <v>24.52</v>
      </c>
      <c r="O679" t="n">
        <v>4.7</v>
      </c>
      <c r="P679" t="n">
        <v>1176</v>
      </c>
      <c r="R679" t="inlineStr">
        <is>
          <t>InStock</t>
        </is>
      </c>
      <c r="S679" t="inlineStr">
        <is>
          <t>15.99</t>
        </is>
      </c>
      <c r="T679" t="inlineStr">
        <is>
          <t>4045943898164</t>
        </is>
      </c>
    </row>
    <row r="680" hidden="1" ht="15.75" customHeight="1">
      <c r="A680" s="2">
        <f>HYPERLINK("https://www.shelhealth.com/products/maui-moisture-heal-hydrate-shea-butter-shampoo-conditioner-set-19-5-ounce", "https://www.shelhealth.com/products/maui-moisture-heal-hydrate-shea-butter-shampoo-conditioner-set-19-5-ounce")</f>
        <v/>
      </c>
      <c r="B680" s="2">
        <f>HYPERLINK("https://www.shelhealth.com/products/maui-moisture-heal-hydrate-shea-butter-shampoo-conditioner-set-19-5-ounce", "https://www.shelhealth.com/products/maui-moisture-heal-hydrate-shea-butter-shampoo-conditioner-set-19-5-ounce")</f>
        <v/>
      </c>
      <c r="C680" t="inlineStr">
        <is>
          <t>Maui Moisture Heal &amp; Hydrate Shea Butter Shampoo &amp; Conditioner Set 19.5 Ounce</t>
        </is>
      </c>
      <c r="D680" t="inlineStr">
        <is>
          <t>Maui Moisture Heal &amp; Hydrate + Shea Butter Shampoo to Repair &amp; Deeply Moisturize Tight Curly Hair with Heal &amp; Hydrate + Shea Butter Conditioner to Repair &amp; Deeply Moisturize Tight Curly Hair</t>
        </is>
      </c>
      <c r="E680" s="2">
        <f>HYPERLINK("https://www.amazon.com/Maui-Moisture-Hydrate-Moisturize-Conditioner/dp/B095JXRY79/ref=sr_1_8?keywords=Maui+Moisture+Heal&amp;qid=1695170174&amp;sr=8-8", "https://www.amazon.com/Maui-Moisture-Hydrate-Moisturize-Conditioner/dp/B095JXRY79/ref=sr_1_8?keywords=Maui+Moisture+Heal&amp;qid=1695170174&amp;sr=8-8")</f>
        <v/>
      </c>
      <c r="F680" t="inlineStr">
        <is>
          <t>B095JXRY79</t>
        </is>
      </c>
      <c r="G680">
        <f>_xludf.IMAGE("https://www.shelhealth.com/cdn/shop/products/maui-moisture-heal-hydrate-shea-butter-shampoo-conditioner-set-19-5-ounce-shelhealth-141.jpg?v=1663361941&amp;width=1946")</f>
        <v/>
      </c>
      <c r="H680">
        <f>_xludf.IMAGE("https://m.media-amazon.com/images/I/61Yl9-Yx3fS._AC_UL320_.jpg")</f>
        <v/>
      </c>
      <c r="K680" t="inlineStr">
        <is>
          <t>18.99</t>
        </is>
      </c>
      <c r="L680" t="n">
        <v>23.49</v>
      </c>
      <c r="M680" s="1" t="inlineStr">
        <is>
          <t>23.70%</t>
        </is>
      </c>
      <c r="N680" s="3" t="n">
        <v>23.7</v>
      </c>
      <c r="O680" t="n">
        <v>4.3</v>
      </c>
      <c r="P680" t="n">
        <v>159</v>
      </c>
      <c r="R680" t="inlineStr">
        <is>
          <t>OutOfStock</t>
        </is>
      </c>
      <c r="S680" t="inlineStr">
        <is>
          <t>18.99</t>
        </is>
      </c>
      <c r="T680" t="inlineStr">
        <is>
          <t>4437350350937</t>
        </is>
      </c>
    </row>
    <row r="681" hidden="1" ht="15.75" customHeight="1">
      <c r="A681" s="2">
        <f>HYPERLINK("https://www.shelhealth.com/products/pantene-butter-creme-hair-treatment-with-argan-oil-6-8-fl-oz", "https://www.shelhealth.com/products/pantene-butter-creme-hair-treatment-with-argan-oil-6-8-fl-oz")</f>
        <v/>
      </c>
      <c r="B681" s="2">
        <f>HYPERLINK("https://www.shelhealth.com/products/pantene-butter-creme-hair-treatment-with-argan-oil-6-8-fl-oz", "https://www.shelhealth.com/products/pantene-butter-creme-hair-treatment-with-argan-oil-6-8-fl-oz")</f>
        <v/>
      </c>
      <c r="C681" t="inlineStr">
        <is>
          <t>Pantene Butter Crème Hair Treatment, with Argan Oil, 6.8 fl oz</t>
        </is>
      </c>
      <c r="D681" t="inlineStr">
        <is>
          <t>Gold Series, Repairing Mask Hair Treatment, Butter Crème Hair Treatment, with Argan Oil, from Pantene Pro-V, for Natural and Curly Textured Hair, 7.6 fl oz (Packaging May Vary)</t>
        </is>
      </c>
      <c r="E681" s="2">
        <f>HYPERLINK("https://www.amazon.com/Pantene-Sulfate-Repairing-Natural-Textured/dp/B01MXGTZFU/ref=sr_1_2?keywords=Pantene+Butter+Cr%C3%A8me+Hair+Treatment%2C+with+Argan+Oil%2C+6.8+fl+oz&amp;qid=1695170268&amp;sr=8-2", "https://www.amazon.com/Pantene-Sulfate-Repairing-Natural-Textured/dp/B01MXGTZFU/ref=sr_1_2?keywords=Pantene+Butter+Cr%C3%A8me+Hair+Treatment%2C+with+Argan+Oil%2C+6.8+fl+oz&amp;qid=1695170268&amp;sr=8-2")</f>
        <v/>
      </c>
      <c r="F681" t="inlineStr">
        <is>
          <t>B01MXGTZFU</t>
        </is>
      </c>
      <c r="G681">
        <f>_xludf.IMAGE("https://www.shelhealth.com/cdn/shop/products/pantene-butter-creme-hair-treatment-with-argan-oil-6-8-fl-oz-shelhealth-209.jpg?v=1663350070&amp;width=1946")</f>
        <v/>
      </c>
      <c r="H681">
        <f>_xludf.IMAGE("https://m.media-amazon.com/images/I/81qRxjXXZXL._AC_UL320_.jpg")</f>
        <v/>
      </c>
      <c r="K681" t="inlineStr">
        <is>
          <t>11.99</t>
        </is>
      </c>
      <c r="L681" t="n">
        <v>14.8</v>
      </c>
      <c r="M681" s="1" t="inlineStr">
        <is>
          <t>23.44%</t>
        </is>
      </c>
      <c r="N681" s="3" t="n">
        <v>23.44</v>
      </c>
      <c r="O681" t="n">
        <v>4.4</v>
      </c>
      <c r="P681" t="n">
        <v>684</v>
      </c>
      <c r="R681" t="inlineStr">
        <is>
          <t>InStock</t>
        </is>
      </c>
      <c r="S681" t="inlineStr">
        <is>
          <t>11.99</t>
        </is>
      </c>
      <c r="T681" t="inlineStr">
        <is>
          <t>4045859815476</t>
        </is>
      </c>
    </row>
    <row r="682" hidden="1" ht="15.75" customHeight="1">
      <c r="A682" s="2">
        <f>HYPERLINK("https://www.shelhealth.com/products/orlando-pita-argan-gloss-shampoo-w-moroccan-argan-oil-27-oz", "https://www.shelhealth.com/products/orlando-pita-argan-gloss-shampoo-w-moroccan-argan-oil-27-oz")</f>
        <v/>
      </c>
      <c r="B682" s="2">
        <f>HYPERLINK("https://www.shelhealth.com/products/orlando-pita-argan-gloss-shampoo-w-moroccan-argan-oil-27-oz", "https://www.shelhealth.com/products/orlando-pita-argan-gloss-shampoo-w-moroccan-argan-oil-27-oz")</f>
        <v/>
      </c>
      <c r="C682" t="inlineStr">
        <is>
          <t>Orlando Pita Moroccan Argan Oil Gloss Shampoo 27 OZ.</t>
        </is>
      </c>
      <c r="D682" t="inlineStr">
        <is>
          <t>ORLANDO PITA Moroccan Argan Oil Glossing Shampoo, Moisturizing, Softening, &amp; Shine-Enhancing for Smoother, More Manageable, &amp; Overall Healthier Hair, 27 Fl Oz</t>
        </is>
      </c>
      <c r="E682" s="2">
        <f>HYPERLINK("https://www.amazon.com/ORLANDO-PITA-Moisturizing-Shine-Enhancing-Healthier/dp/B01LYCJFK8/ref=sr_1_2?keywords=Orlando+Pita+Moroccan+Argan+Oil+Gloss+Shampoo+27+OZ.&amp;qid=1695170162&amp;sr=8-2", "https://www.amazon.com/ORLANDO-PITA-Moisturizing-Shine-Enhancing-Healthier/dp/B01LYCJFK8/ref=sr_1_2?keywords=Orlando+Pita+Moroccan+Argan+Oil+Gloss+Shampoo+27+OZ.&amp;qid=1695170162&amp;sr=8-2")</f>
        <v/>
      </c>
      <c r="F682" t="inlineStr">
        <is>
          <t>B01LYCJFK8</t>
        </is>
      </c>
      <c r="G682">
        <f>_xludf.IMAGE("https://www.shelhealth.com/cdn/shop/products/orlando-pita-moroccan-argan-oil-gloss-shampoo-27-oz-shelhealth-685.jpg?v=1663338710&amp;width=1946")</f>
        <v/>
      </c>
      <c r="H682">
        <f>_xludf.IMAGE("https://m.media-amazon.com/images/I/51Zq9aYkSaL._AC_UL320_.jpg")</f>
        <v/>
      </c>
      <c r="K682" t="inlineStr">
        <is>
          <t>21.99</t>
        </is>
      </c>
      <c r="L682" t="n">
        <v>26.97</v>
      </c>
      <c r="M682" s="1" t="inlineStr">
        <is>
          <t>22.65%</t>
        </is>
      </c>
      <c r="N682" s="3" t="n">
        <v>22.65</v>
      </c>
      <c r="O682" t="n">
        <v>4.7</v>
      </c>
      <c r="P682" t="n">
        <v>808</v>
      </c>
      <c r="R682" t="inlineStr">
        <is>
          <t>OutOfStock</t>
        </is>
      </c>
      <c r="S682" t="inlineStr">
        <is>
          <t>21.99</t>
        </is>
      </c>
      <c r="T682" t="inlineStr">
        <is>
          <t>3787617468468</t>
        </is>
      </c>
    </row>
    <row r="683" hidden="1" ht="15.75" customHeight="1">
      <c r="A683" s="2">
        <f>HYPERLINK("https://www.shelhealth.com/products/conair-infiniti-pro-hair-dyer-1875-watt", "https://www.shelhealth.com/products/conair-infiniti-pro-hair-dyer-1875-watt")</f>
        <v/>
      </c>
      <c r="B683" s="2">
        <f>HYPERLINK("https://www.shelhealth.com/products/conair-infiniti-pro-hair-dyer-1875-watt", "https://www.shelhealth.com/products/conair-infiniti-pro-hair-dyer-1875-watt")</f>
        <v/>
      </c>
      <c r="C683" t="inlineStr">
        <is>
          <t>Conair Infiniti Pro Hair Dyer 1875 WATT</t>
        </is>
      </c>
      <c r="D683" t="inlineStr">
        <is>
          <t>INFINITIPRO BY CONAIR 1875 Watt Lightweight AC Motor Styling Tool/Hair Dryer; Rose Gold</t>
        </is>
      </c>
      <c r="E683" s="2">
        <f>HYPERLINK("https://www.amazon.com/INFINITIPRO-CONAIR-Lightweight-Motor-Styling/dp/B013R3MG6W/ref=sr_1_5?keywords=Conair+Infiniti+Pro+Hair+Dyer+1875+WATT&amp;qid=1695170168&amp;sr=8-5", "https://www.amazon.com/INFINITIPRO-CONAIR-Lightweight-Motor-Styling/dp/B013R3MG6W/ref=sr_1_5?keywords=Conair+Infiniti+Pro+Hair+Dyer+1875+WATT&amp;qid=1695170168&amp;sr=8-5")</f>
        <v/>
      </c>
      <c r="F683" t="inlineStr">
        <is>
          <t>B013R3MG6W</t>
        </is>
      </c>
      <c r="G683">
        <f>_xludf.IMAGE("https://www.shelhealth.com/cdn/shop/products/conair-infiniti-pro-hair-dyer-1875-watt-shelhealth-502.jpg?v=1663343315&amp;width=1946")</f>
        <v/>
      </c>
      <c r="H683">
        <f>_xludf.IMAGE("https://m.media-amazon.com/images/I/71AQm6tYxoL._AC_UL320_.jpg")</f>
        <v/>
      </c>
      <c r="K683" t="inlineStr">
        <is>
          <t>36.99</t>
        </is>
      </c>
      <c r="L683" t="n">
        <v>44.99</v>
      </c>
      <c r="M683" s="1" t="inlineStr">
        <is>
          <t>21.63%</t>
        </is>
      </c>
      <c r="N683" s="3" t="n">
        <v>21.63</v>
      </c>
      <c r="O683" t="n">
        <v>4.6</v>
      </c>
      <c r="P683" t="n">
        <v>1236</v>
      </c>
      <c r="R683" t="inlineStr">
        <is>
          <t>OutOfStock</t>
        </is>
      </c>
      <c r="S683" t="inlineStr">
        <is>
          <t>36.99</t>
        </is>
      </c>
      <c r="T683" t="inlineStr">
        <is>
          <t>3820082167860</t>
        </is>
      </c>
    </row>
    <row r="684" hidden="1" ht="15.75" customHeight="1">
      <c r="A684" s="2">
        <f>HYPERLINK("https://www.shelhealth.com/products/716237185990-giovanni-cosmetics-smooth-as-silk-deep-moisture-shampoo-24-oz", "https://www.shelhealth.com/products/716237185990-giovanni-cosmetics-smooth-as-silk-deep-moisture-shampoo-24-oz")</f>
        <v/>
      </c>
      <c r="B684" s="2">
        <f>HYPERLINK("https://www.shelhealth.com/products/716237185990-giovanni-cosmetics-smooth-as-silk-deep-moisture-shampoo-24-oz", "https://www.shelhealth.com/products/716237185990-giovanni-cosmetics-smooth-as-silk-deep-moisture-shampoo-24-oz")</f>
        <v/>
      </c>
      <c r="C684" t="inlineStr">
        <is>
          <t>Giovanni Cosmetics Smooth As Silk Deep Moisture Shampoo, 24 Oz</t>
        </is>
      </c>
      <c r="D684" t="inlineStr">
        <is>
          <t>GIOVANNI Eco Chic Smooth as Silk Deep Moisture Shampoo - Apple + Aloe Extracts, Calms Frizz, Detangles, Wash &amp; Go, Lauryl &amp; Laureth Sulfate Free, Paraben Free, Color Safe - 8.5 oz (Pack of 3)</t>
        </is>
      </c>
      <c r="E684" s="2">
        <f>HYPERLINK("https://www.amazon.com/GIOVANNI-Smooth-Silk-Shampoo-Pack/dp/B001G7PLDW/ref=sr_1_10?keywords=Giovanni+Cosmetics+Smooth+As+Silk+Deep+Moisture+Shampoo%2C+24+Oz&amp;qid=1695170188&amp;sr=8-10", "https://www.amazon.com/GIOVANNI-Smooth-Silk-Shampoo-Pack/dp/B001G7PLDW/ref=sr_1_10?keywords=Giovanni+Cosmetics+Smooth+As+Silk+Deep+Moisture+Shampoo%2C+24+Oz&amp;qid=1695170188&amp;sr=8-10")</f>
        <v/>
      </c>
      <c r="F684" t="inlineStr">
        <is>
          <t>B001G7PLDW</t>
        </is>
      </c>
      <c r="G684">
        <f>_xludf.IMAGE("https://www.shelhealth.com/cdn/shop/files/giovanni-cosmetics-smooth-as-silk-deep-moisture-shampoo-24-oz-beauty-body-care-shelhealth-965.jpg?v=1686142680&amp;width=1946")</f>
        <v/>
      </c>
      <c r="H684">
        <f>_xludf.IMAGE("https://m.media-amazon.com/images/I/71Zi1SOy8qL._AC_UL320_.jpg")</f>
        <v/>
      </c>
      <c r="K684" t="inlineStr">
        <is>
          <t>18.99</t>
        </is>
      </c>
      <c r="L684" t="n">
        <v>22.99</v>
      </c>
      <c r="M684" s="1" t="inlineStr">
        <is>
          <t>21.06%</t>
        </is>
      </c>
      <c r="N684" s="3" t="n">
        <v>21.06</v>
      </c>
      <c r="O684" t="n">
        <v>4.2</v>
      </c>
      <c r="P684" t="n">
        <v>196</v>
      </c>
      <c r="R684" t="inlineStr">
        <is>
          <t>OutOfStock</t>
        </is>
      </c>
      <c r="S684" t="inlineStr">
        <is>
          <t>18.99</t>
        </is>
      </c>
      <c r="T684" t="inlineStr">
        <is>
          <t>7241661350076</t>
        </is>
      </c>
    </row>
    <row r="685" hidden="1" ht="15.75" customHeight="1">
      <c r="A685" s="2">
        <f>HYPERLINK("https://www.shelhealth.com/products/pantene-smooth-and-sleek-conditioner-38-2-oz", "https://www.shelhealth.com/products/pantene-smooth-and-sleek-conditioner-38-2-oz")</f>
        <v/>
      </c>
      <c r="B685" s="2">
        <f>HYPERLINK("https://www.shelhealth.com/products/pantene-smooth-and-sleek-conditioner-38-2-oz", "https://www.shelhealth.com/products/pantene-smooth-and-sleek-conditioner-38-2-oz")</f>
        <v/>
      </c>
      <c r="C685" t="inlineStr">
        <is>
          <t>Pantene Smooth And Sleek Conditioner, 38.2 oz</t>
        </is>
      </c>
      <c r="D685" t="inlineStr">
        <is>
          <t>Pantene Smooth &amp; Sleek 3 Minute Miracle Daily Conditioner, 6.0 fl oz (Packaging May Vary)</t>
        </is>
      </c>
      <c r="E685" s="2">
        <f>HYPERLINK("https://www.amazon.com/Pantene-Smooth-Miracle-Conditioner-Packaging/dp/B0193G18AW/ref=sr_1_3?keywords=Pantene+Smooth+And+Sleek+Conditioner%2C+38.2+oz&amp;qid=1695170249&amp;sr=8-3", "https://www.amazon.com/Pantene-Smooth-Miracle-Conditioner-Packaging/dp/B0193G18AW/ref=sr_1_3?keywords=Pantene+Smooth+And+Sleek+Conditioner%2C+38.2+oz&amp;qid=1695170249&amp;sr=8-3")</f>
        <v/>
      </c>
      <c r="F685" t="inlineStr">
        <is>
          <t>B0193G18AW</t>
        </is>
      </c>
      <c r="G685">
        <f>_xludf.IMAGE("https://www.shelhealth.com/cdn/shop/products/pantene-smooth-and-sleek-conditioner-38-2-oz-shelhealth-407.jpg?v=1663350151&amp;width=1946")</f>
        <v/>
      </c>
      <c r="H685">
        <f>_xludf.IMAGE("https://m.media-amazon.com/images/I/815GnbTh+KL._AC_UL320_.jpg")</f>
        <v/>
      </c>
      <c r="K685" t="inlineStr">
        <is>
          <t>15.99</t>
        </is>
      </c>
      <c r="L685" t="n">
        <v>19.25</v>
      </c>
      <c r="M685" s="1" t="inlineStr">
        <is>
          <t>20.39%</t>
        </is>
      </c>
      <c r="N685" s="3" t="n">
        <v>20.39</v>
      </c>
      <c r="O685" t="n">
        <v>4.6</v>
      </c>
      <c r="P685" t="n">
        <v>404</v>
      </c>
      <c r="R685" t="inlineStr">
        <is>
          <t>InStock</t>
        </is>
      </c>
      <c r="S685" t="inlineStr">
        <is>
          <t>15.99</t>
        </is>
      </c>
      <c r="T685" t="inlineStr">
        <is>
          <t>4045943898164</t>
        </is>
      </c>
    </row>
    <row r="686" hidden="1" ht="15.75" customHeight="1">
      <c r="A686" s="2">
        <f>HYPERLINK("https://www.shelhealth.com/products/axe-hair-2-in-1-shampoo-and-conditioner-phoenix-28-fluid-ounce-pack-of-2", "https://www.shelhealth.com/products/axe-hair-2-in-1-shampoo-and-conditioner-phoenix-28-fluid-ounce-pack-of-2")</f>
        <v/>
      </c>
      <c r="B686" s="2">
        <f>HYPERLINK("https://www.shelhealth.com/products/axe-hair-2-in-1-shampoo-and-conditioner-phoenix-28-fluid-ounce-pack-of-2", "https://www.shelhealth.com/products/axe-hair-2-in-1-shampoo-and-conditioner-phoenix-28-fluid-ounce-pack-of-2")</f>
        <v/>
      </c>
      <c r="C686" t="inlineStr">
        <is>
          <t>Axe Hair 2-in-1 Shampoo and Conditioner, Phoenix, 28 Fluid Ounce (Pack of 2)</t>
        </is>
      </c>
      <c r="D686" t="inlineStr">
        <is>
          <t>Axe Hair 2-in-1 Shampoo and Conditioner, Apollo, 16 Fluid Ounce (Pack of 3)</t>
        </is>
      </c>
      <c r="E686" s="2">
        <f>HYPERLINK("https://www.amazon.com/Shampoo-Conditioner-Apollo-Fluid-Ounce/dp/B081QV4Q6X/ref=sr_1_3?keywords=Axe+Hair+2-in-1+Shampoo+and+Conditioner%2C+Phoenix%2C+28+Fluid+Ounce+%28Pack+of+2%29&amp;qid=1695170162&amp;sr=8-3", "https://www.amazon.com/Shampoo-Conditioner-Apollo-Fluid-Ounce/dp/B081QV4Q6X/ref=sr_1_3?keywords=Axe+Hair+2-in-1+Shampoo+and+Conditioner%2C+Phoenix%2C+28+Fluid+Ounce+%28Pack+of+2%29&amp;qid=1695170162&amp;sr=8-3")</f>
        <v/>
      </c>
      <c r="F686" t="inlineStr">
        <is>
          <t>B081QV4Q6X</t>
        </is>
      </c>
      <c r="G686">
        <f>_xludf.IMAGE("https://www.shelhealth.com/cdn/shop/products/axe-hair-2-in-1-shampoo-and-conditioner-phoenix-28-fluid-ounce-pack-of-shelhealth-300.jpg?v=1663371267&amp;width=1946")</f>
        <v/>
      </c>
      <c r="H686">
        <f>_xludf.IMAGE("https://m.media-amazon.com/images/I/51XL5kreyHL._AC_UL320_.jpg")</f>
        <v/>
      </c>
      <c r="K686" t="inlineStr">
        <is>
          <t>18.99</t>
        </is>
      </c>
      <c r="L686" t="n">
        <v>22.82</v>
      </c>
      <c r="M686" s="1" t="inlineStr">
        <is>
          <t>20.17%</t>
        </is>
      </c>
      <c r="N686" s="3" t="n">
        <v>20.17</v>
      </c>
      <c r="O686" t="n">
        <v>4.9</v>
      </c>
      <c r="P686" t="n">
        <v>86</v>
      </c>
      <c r="R686" t="inlineStr">
        <is>
          <t>InStock</t>
        </is>
      </c>
      <c r="S686" t="inlineStr">
        <is>
          <t>18.99</t>
        </is>
      </c>
      <c r="T686" t="inlineStr">
        <is>
          <t>4670832083033</t>
        </is>
      </c>
    </row>
    <row r="687" hidden="1" ht="15.75" customHeight="1">
      <c r="A687" s="2">
        <f>HYPERLINK("https://www.shelhealth.com/products/finishing-touch-flawless-facial-hair-remover", "https://www.shelhealth.com/products/finishing-touch-flawless-facial-hair-remover")</f>
        <v/>
      </c>
      <c r="B687" s="2">
        <f>HYPERLINK("https://www.shelhealth.com/products/finishing-touch-flawless-facial-hair-remover", "https://www.shelhealth.com/products/finishing-touch-flawless-facial-hair-remover")</f>
        <v/>
      </c>
      <c r="C687" t="inlineStr">
        <is>
          <t>Finishing Touch Flawless Facial Hair Remover</t>
        </is>
      </c>
      <c r="D687" t="inlineStr">
        <is>
          <t>Finishing Touch Flawless Women's Painless Hair Remover Face Duo, Facial Electric Shaver Device, Dermatologist Approved, Hypo-allergenic, White/Rose Gold</t>
        </is>
      </c>
      <c r="E687" s="2">
        <f>HYPERLINK("https://www.amazon.com/Finishing-Touch-Flawless-Dermatologist-Hypo-allergenic/dp/B0BN4R29L4/ref=sr_1_6?keywords=Finishing+Touch+Flawless+Facial+Hair+Remover&amp;qid=1695170242&amp;sr=8-6", "https://www.amazon.com/Finishing-Touch-Flawless-Dermatologist-Hypo-allergenic/dp/B0BN4R29L4/ref=sr_1_6?keywords=Finishing+Touch+Flawless+Facial+Hair+Remover&amp;qid=1695170242&amp;sr=8-6")</f>
        <v/>
      </c>
      <c r="F687" t="inlineStr">
        <is>
          <t>B0BN4R29L4</t>
        </is>
      </c>
      <c r="G687">
        <f>_xludf.IMAGE("https://www.shelhealth.com/cdn/shop/products/finishing-touch-flawless-facial-hair-remover-shelhealth-241.jpg?v=1663620023&amp;width=1946")</f>
        <v/>
      </c>
      <c r="H687">
        <f>_xludf.IMAGE("https://m.media-amazon.com/images/I/61P-SkVZODL._AC_UL320_.jpg")</f>
        <v/>
      </c>
      <c r="K687" t="inlineStr">
        <is>
          <t>24.99</t>
        </is>
      </c>
      <c r="L687" t="n">
        <v>29.99</v>
      </c>
      <c r="M687" s="1" t="inlineStr">
        <is>
          <t>20.01%</t>
        </is>
      </c>
      <c r="N687" s="3" t="n">
        <v>20.01</v>
      </c>
      <c r="O687" t="n">
        <v>4.1</v>
      </c>
      <c r="P687" t="n">
        <v>96</v>
      </c>
      <c r="R687" t="inlineStr">
        <is>
          <t>InStock</t>
        </is>
      </c>
      <c r="S687" t="inlineStr">
        <is>
          <t>24.99</t>
        </is>
      </c>
      <c r="T687" t="inlineStr">
        <is>
          <t>4727992909913</t>
        </is>
      </c>
    </row>
    <row r="688" hidden="1" ht="15.75" customHeight="1">
      <c r="A688" s="2">
        <f>HYPERLINK("https://www.shelhealth.com/products/nexxus-therappe-ultimate-moisture-shampoo-44-fl-oz", "https://www.shelhealth.com/products/nexxus-therappe-ultimate-moisture-shampoo-44-fl-oz")</f>
        <v/>
      </c>
      <c r="B688" s="2">
        <f>HYPERLINK("https://www.shelhealth.com/products/nexxus-therappe-ultimate-moisture-shampoo-44-fl-oz", "https://www.shelhealth.com/products/nexxus-therappe-ultimate-moisture-shampoo-44-fl-oz")</f>
        <v/>
      </c>
      <c r="C688" t="inlineStr">
        <is>
          <t>Nexxus Therappe Ultimate Moisture Shampoo 44 Fl. Oz.</t>
        </is>
      </c>
      <c r="D688" t="inlineStr">
        <is>
          <t>Nexxus Therappe Rebalancing Shampoo 1.3 L - 44 Fl. Oz. New York Salon Care Replenishing System</t>
        </is>
      </c>
      <c r="E688" s="2">
        <f>HYPERLINK("https://www.amazon.com/Nexxus-Therappe-Ultimate-Moisture-Replenishing/dp/B013VWK4JA/ref=sr_1_6?keywords=Nexxus+Therappe+Ultimate+Moisture+Shampoo+44+Fl.+Oz.&amp;qid=1695170245&amp;sr=8-6", "https://www.amazon.com/Nexxus-Therappe-Ultimate-Moisture-Replenishing/dp/B013VWK4JA/ref=sr_1_6?keywords=Nexxus+Therappe+Ultimate+Moisture+Shampoo+44+Fl.+Oz.&amp;qid=1695170245&amp;sr=8-6")</f>
        <v/>
      </c>
      <c r="F688" t="inlineStr">
        <is>
          <t>B013VWK4JA</t>
        </is>
      </c>
      <c r="G688">
        <f>_xludf.IMAGE("https://www.shelhealth.com/cdn/shop/products/nexxus-therappe-ultimate-moisture-shampoo-44-fl-oz-shelhealth-897.jpg?v=1663350227&amp;width=1946")</f>
        <v/>
      </c>
      <c r="H688">
        <f>_xludf.IMAGE("https://m.media-amazon.com/images/I/615sNEoDfKL._AC_UL320_.jpg")</f>
        <v/>
      </c>
      <c r="K688" t="inlineStr">
        <is>
          <t>26.99</t>
        </is>
      </c>
      <c r="L688" t="n">
        <v>31.99</v>
      </c>
      <c r="M688" s="1" t="inlineStr">
        <is>
          <t>18.53%</t>
        </is>
      </c>
      <c r="N688" s="3" t="n">
        <v>18.53</v>
      </c>
      <c r="O688" t="n">
        <v>4.5</v>
      </c>
      <c r="P688" t="n">
        <v>192</v>
      </c>
      <c r="R688" t="inlineStr">
        <is>
          <t>InStock</t>
        </is>
      </c>
      <c r="S688" t="inlineStr">
        <is>
          <t>26.99</t>
        </is>
      </c>
      <c r="T688" t="inlineStr">
        <is>
          <t>4046001569844</t>
        </is>
      </c>
    </row>
    <row r="689" hidden="1" ht="15.75" customHeight="1">
      <c r="A689" s="2">
        <f>HYPERLINK("https://www.shelhealth.com/products/taliah-waajid-the-great-detangler-8-fl-oz", "https://www.shelhealth.com/products/taliah-waajid-the-great-detangler-8-fl-oz")</f>
        <v/>
      </c>
      <c r="B689" s="2">
        <f>HYPERLINK("https://www.shelhealth.com/products/taliah-waajid-the-great-detangler-8-fl-oz", "https://www.shelhealth.com/products/taliah-waajid-the-great-detangler-8-fl-oz")</f>
        <v/>
      </c>
      <c r="C689" t="inlineStr">
        <is>
          <t>Taliah Waajid The Great Detangler, 8 Fl. oz.</t>
        </is>
      </c>
      <c r="D689" t="inlineStr">
        <is>
          <t>Taliah Waajid Curls, Waves &amp; Naturals The Great Detangler, 8 oz</t>
        </is>
      </c>
      <c r="E689" s="2">
        <f>HYPERLINK("https://www.amazon.com/Taliah-Waajid-Curls-Naturals-Detangler/dp/B00T3GH0I2/ref=sr_1_1?keywords=Taliah+Waajid+The+Great+Detangler%2C+8+Fl.+oz.&amp;qid=1695170250&amp;sr=8-1", "https://www.amazon.com/Taliah-Waajid-Curls-Naturals-Detangler/dp/B00T3GH0I2/ref=sr_1_1?keywords=Taliah+Waajid+The+Great+Detangler%2C+8+Fl.+oz.&amp;qid=1695170250&amp;sr=8-1")</f>
        <v/>
      </c>
      <c r="F689" t="inlineStr">
        <is>
          <t>B00T3GH0I2</t>
        </is>
      </c>
      <c r="G689">
        <f>_xludf.IMAGE("https://www.shelhealth.com/cdn/shop/products/taliah-waajid-the-great-detangler-8-fl-oz-shelhealth-303.jpg?v=1663350615&amp;width=1946")</f>
        <v/>
      </c>
      <c r="H689">
        <f>_xludf.IMAGE("https://m.media-amazon.com/images/I/61CnRkiJ10L._AC_UL320_.jpg")</f>
        <v/>
      </c>
      <c r="K689" t="inlineStr">
        <is>
          <t>10.99</t>
        </is>
      </c>
      <c r="L689" t="n">
        <v>12.99</v>
      </c>
      <c r="M689" s="1" t="inlineStr">
        <is>
          <t>18.20%</t>
        </is>
      </c>
      <c r="N689" s="3" t="n">
        <v>18.2</v>
      </c>
      <c r="O689" t="n">
        <v>4.6</v>
      </c>
      <c r="P689" t="n">
        <v>635</v>
      </c>
      <c r="R689" t="inlineStr">
        <is>
          <t>InStock</t>
        </is>
      </c>
      <c r="S689" t="inlineStr">
        <is>
          <t>10.99</t>
        </is>
      </c>
      <c r="T689" t="inlineStr">
        <is>
          <t>4091408973876</t>
        </is>
      </c>
    </row>
    <row r="690" hidden="1" ht="15.75" customHeight="1">
      <c r="A690" s="2">
        <f>HYPERLINK("https://www.shelhealth.com/products/716237185716-giovanni-cosmetics-shea-butter-almond-conditioner-24-oz", "https://www.shelhealth.com/products/716237185716-giovanni-cosmetics-shea-butter-almond-conditioner-24-oz")</f>
        <v/>
      </c>
      <c r="B690" s="2">
        <f>HYPERLINK("https://www.shelhealth.com/products/716237185716-giovanni-cosmetics-shea-butter-almond-conditioner-24-oz", "https://www.shelhealth.com/products/716237185716-giovanni-cosmetics-shea-butter-almond-conditioner-24-oz")</f>
        <v/>
      </c>
      <c r="C690" t="inlineStr">
        <is>
          <t>Giovanni Cosmetics Shea Butter Almond Conditioner, 24 Oz</t>
        </is>
      </c>
      <c r="D690" t="inlineStr">
        <is>
          <t>GIOVANNI 2chic Frizz Be Gone Conditioner - Anti-Frizz Natural Hair Smoothing Formula with Shea Butter &amp; Sweet Almond Oil, Macadamia, Paraben Free, Color Safe - 24 oz</t>
        </is>
      </c>
      <c r="E690" s="2">
        <f>HYPERLINK("https://www.amazon.com/GIOVANNI-Conditioner-Anti-Frizz-Smoothing-Macadamia/dp/B073P797PL/ref=sr_1_1?keywords=Giovanni+Cosmetics+Shea+Butter+Almond+Conditioner%2C+24+Oz&amp;qid=1695170220&amp;sr=8-1", "https://www.amazon.com/GIOVANNI-Conditioner-Anti-Frizz-Smoothing-Macadamia/dp/B073P797PL/ref=sr_1_1?keywords=Giovanni+Cosmetics+Shea+Butter+Almond+Conditioner%2C+24+Oz&amp;qid=1695170220&amp;sr=8-1")</f>
        <v/>
      </c>
      <c r="F690" t="inlineStr">
        <is>
          <t>B073P797PL</t>
        </is>
      </c>
      <c r="G690">
        <f>_xludf.IMAGE("https://www.shelhealth.com/cdn/shop/files/giovanni-cosmetics-shea-butter-almond-conditioner-24-oz-beauty-body-care-shelhealth-495.jpg?v=1686142697&amp;width=1946")</f>
        <v/>
      </c>
      <c r="H690">
        <f>_xludf.IMAGE("https://m.media-amazon.com/images/I/61D1Nv6NFtL._AC_UL320_.jpg")</f>
        <v/>
      </c>
      <c r="K690" t="inlineStr">
        <is>
          <t>16.99</t>
        </is>
      </c>
      <c r="L690" t="n">
        <v>19.99</v>
      </c>
      <c r="M690" s="1" t="inlineStr">
        <is>
          <t>17.66%</t>
        </is>
      </c>
      <c r="N690" s="3" t="n">
        <v>17.66</v>
      </c>
      <c r="O690" t="n">
        <v>4.5</v>
      </c>
      <c r="P690" t="n">
        <v>436</v>
      </c>
      <c r="R690" t="inlineStr">
        <is>
          <t>OutOfStock</t>
        </is>
      </c>
      <c r="S690" t="inlineStr">
        <is>
          <t>16.99</t>
        </is>
      </c>
      <c r="T690" t="inlineStr">
        <is>
          <t>7241661022396</t>
        </is>
      </c>
    </row>
    <row r="691" hidden="1" ht="15.75" customHeight="1">
      <c r="A691" s="2">
        <f>HYPERLINK("https://www.shelhealth.com/products/724742001216-alba-botanica-shampoo-smooth-gardenia-32-oz", "https://www.shelhealth.com/products/724742001216-alba-botanica-shampoo-smooth-gardenia-32-oz")</f>
        <v/>
      </c>
      <c r="B691" s="2">
        <f>HYPERLINK("https://www.shelhealth.com/products/724742001216-alba-botanica-shampoo-smooth-gardenia-32-oz", "https://www.shelhealth.com/products/724742001216-alba-botanica-shampoo-smooth-gardenia-32-oz")</f>
        <v/>
      </c>
      <c r="C691" t="inlineStr">
        <is>
          <t>Alba Botanica Shampoo Smooth Gardenia, 32 Oz</t>
        </is>
      </c>
      <c r="D691" t="inlineStr">
        <is>
          <t>Alba Botanica So Smooth Shampoo, Gardenia, 32 Oz</t>
        </is>
      </c>
      <c r="E691" s="2">
        <f>HYPERLINK("https://www.amazon.com/Alba-Botanica-Gardenia-Hawaiian-Shampoo/dp/B01LXP2215/ref=sr_1_1?keywords=Alba+Botanica+Shampoo+Smooth+Gardenia%2C+32+Oz&amp;qid=1695170186&amp;sr=8-1", "https://www.amazon.com/Alba-Botanica-Gardenia-Hawaiian-Shampoo/dp/B01LXP2215/ref=sr_1_1?keywords=Alba+Botanica+Shampoo+Smooth+Gardenia%2C+32+Oz&amp;qid=1695170186&amp;sr=8-1")</f>
        <v/>
      </c>
      <c r="F691" t="inlineStr">
        <is>
          <t>B01LXP2215</t>
        </is>
      </c>
      <c r="G691">
        <f>_xludf.IMAGE("https://www.shelhealth.com/cdn/shop/files/alba-botanica-shampoo-smooth-gardenia-32-oz-beauty-body-care-shelhealth-782.jpg?v=1686191917&amp;width=1946")</f>
        <v/>
      </c>
      <c r="H691">
        <f>_xludf.IMAGE("https://m.media-amazon.com/images/I/51msgqf2zJS._AC_UL320_.jpg")</f>
        <v/>
      </c>
      <c r="K691" t="inlineStr">
        <is>
          <t>19.99</t>
        </is>
      </c>
      <c r="L691" t="n">
        <v>23.48</v>
      </c>
      <c r="M691" s="1" t="inlineStr">
        <is>
          <t>17.46%</t>
        </is>
      </c>
      <c r="N691" s="3" t="n">
        <v>17.46</v>
      </c>
      <c r="O691" t="n">
        <v>4.4</v>
      </c>
      <c r="P691" t="n">
        <v>1090</v>
      </c>
      <c r="R691" t="inlineStr">
        <is>
          <t>OutOfStock</t>
        </is>
      </c>
      <c r="S691" t="inlineStr">
        <is>
          <t>19.99</t>
        </is>
      </c>
      <c r="T691" t="inlineStr">
        <is>
          <t>7241433841852</t>
        </is>
      </c>
    </row>
    <row r="692" hidden="1" ht="15.75" customHeight="1">
      <c r="A692" s="2">
        <f>HYPERLINK("https://www.shelhealth.com/products/724742001209-alba-botanica-conditioner-smooth-gardenia-32-oz", "https://www.shelhealth.com/products/724742001209-alba-botanica-conditioner-smooth-gardenia-32-oz")</f>
        <v/>
      </c>
      <c r="B692" s="2">
        <f>HYPERLINK("https://www.shelhealth.com/products/724742001209-alba-botanica-conditioner-smooth-gardenia-32-oz", "https://www.shelhealth.com/products/724742001209-alba-botanica-conditioner-smooth-gardenia-32-oz")</f>
        <v/>
      </c>
      <c r="C692" t="inlineStr">
        <is>
          <t>Alba Botanica Conditioner Smooth Gardenia, 32 Oz</t>
        </is>
      </c>
      <c r="D692" t="inlineStr">
        <is>
          <t>Alba Botanica So Smooth Shampoo, Gardenia, 32 Oz</t>
        </is>
      </c>
      <c r="E692" s="2">
        <f>HYPERLINK("https://www.amazon.com/Alba-Botanica-Gardenia-Hawaiian-Shampoo/dp/B01LXP2215/ref=sr_1_fkmr0_1?keywords=Alba+Botanica+Conditioner+Smooth+Gardenia%2C+32+Oz&amp;qid=1695170209&amp;sr=8-1-fkmr0", "https://www.amazon.com/Alba-Botanica-Gardenia-Hawaiian-Shampoo/dp/B01LXP2215/ref=sr_1_fkmr0_1?keywords=Alba+Botanica+Conditioner+Smooth+Gardenia%2C+32+Oz&amp;qid=1695170209&amp;sr=8-1-fkmr0")</f>
        <v/>
      </c>
      <c r="F692" t="inlineStr">
        <is>
          <t>B01LXP2215</t>
        </is>
      </c>
      <c r="G692">
        <f>_xludf.IMAGE("https://www.shelhealth.com/cdn/shop/files/alba-botanica-conditioner-smooth-gardenia-32-oz-beauty-body-care-shelhealth-819.jpg?v=1686191553&amp;width=1946")</f>
        <v/>
      </c>
      <c r="H692">
        <f>_xludf.IMAGE("https://m.media-amazon.com/images/I/51msgqf2zJS._AC_UL320_.jpg")</f>
        <v/>
      </c>
      <c r="K692" t="inlineStr">
        <is>
          <t>19.99</t>
        </is>
      </c>
      <c r="L692" t="n">
        <v>23.48</v>
      </c>
      <c r="M692" s="1" t="inlineStr">
        <is>
          <t>17.46%</t>
        </is>
      </c>
      <c r="N692" s="3" t="n">
        <v>17.46</v>
      </c>
      <c r="O692" t="n">
        <v>4.4</v>
      </c>
      <c r="P692" t="n">
        <v>1090</v>
      </c>
      <c r="R692" t="inlineStr">
        <is>
          <t>OutOfStock</t>
        </is>
      </c>
      <c r="S692" t="inlineStr">
        <is>
          <t>19.99</t>
        </is>
      </c>
      <c r="T692" t="inlineStr">
        <is>
          <t>7241428336828</t>
        </is>
      </c>
    </row>
    <row r="693" hidden="1" ht="15.75" customHeight="1">
      <c r="A693" s="2">
        <f>HYPERLINK("https://www.shelhealth.com/products/666248001072-herbatint-permanent-herbal-haircolor-gel-8n-light-blonde-4-oz", "https://www.shelhealth.com/products/666248001072-herbatint-permanent-herbal-haircolor-gel-8n-light-blonde-4-oz")</f>
        <v/>
      </c>
      <c r="B693" s="2">
        <f>HYPERLINK("https://www.shelhealth.com/products/666248001072-herbatint-permanent-herbal-haircolor-gel-8n-light-blonde-4-oz", "https://www.shelhealth.com/products/666248001072-herbatint-permanent-herbal-haircolor-gel-8n-light-blonde-4-oz")</f>
        <v/>
      </c>
      <c r="C693" t="inlineStr">
        <is>
          <t>Herbatint Permanent Herbal Haircolor Gel 8N Light Blonde, 4 Oz</t>
        </is>
      </c>
      <c r="D693" t="inlineStr">
        <is>
          <t>Herbatint 8N Light Blonde Permanent Herbal Hair Color Gel 4.5 fl. oz. (a)</t>
        </is>
      </c>
      <c r="E693" s="2">
        <f>HYPERLINK("https://www.amazon.com/Herbatint-Light-Blonde-Permanent-Herbal/dp/B00NB441MK/ref=sr_1_1?keywords=Herbatint+Permanent+Herbal+Haircolor+Gel+8N+Light+Blonde%2C+4+Oz&amp;qid=1695170199&amp;sr=8-1", "https://www.amazon.com/Herbatint-Light-Blonde-Permanent-Herbal/dp/B00NB441MK/ref=sr_1_1?keywords=Herbatint+Permanent+Herbal+Haircolor+Gel+8N+Light+Blonde%2C+4+Oz&amp;qid=1695170199&amp;sr=8-1")</f>
        <v/>
      </c>
      <c r="F693" t="inlineStr">
        <is>
          <t>B00NB441MK</t>
        </is>
      </c>
      <c r="G693">
        <f>_xludf.IMAGE("https://www.shelhealth.com/cdn/shop/files/herbatint-permanent-herbal-haircolor-gel-8n-light-blonde-4-oz-beauty-body-care-shelhealth-377.jpg?v=1686196957&amp;width=1946")</f>
        <v/>
      </c>
      <c r="H693">
        <f>_xludf.IMAGE("https://m.media-amazon.com/images/I/810BrercvkL._AC_UL320_.jpg")</f>
        <v/>
      </c>
      <c r="K693" t="inlineStr">
        <is>
          <t>17.99</t>
        </is>
      </c>
      <c r="L693" t="n">
        <v>20.99</v>
      </c>
      <c r="M693" s="1" t="inlineStr">
        <is>
          <t>16.68%</t>
        </is>
      </c>
      <c r="N693" s="3" t="n">
        <v>16.68</v>
      </c>
      <c r="O693" t="n">
        <v>4.4</v>
      </c>
      <c r="P693" t="n">
        <v>120</v>
      </c>
      <c r="R693" t="inlineStr">
        <is>
          <t>OutOfStock</t>
        </is>
      </c>
      <c r="S693" t="inlineStr">
        <is>
          <t>17.99</t>
        </is>
      </c>
      <c r="T693" t="inlineStr">
        <is>
          <t>7241699950780</t>
        </is>
      </c>
    </row>
    <row r="694" hidden="1" ht="15.75" customHeight="1">
      <c r="A694" s="2">
        <f>HYPERLINK("https://www.shelhealth.com/products/alba-botanica-drink-it-up-coconut-milk-hawaiian-shampoo-34-oz", "https://www.shelhealth.com/products/alba-botanica-drink-it-up-coconut-milk-hawaiian-shampoo-34-oz")</f>
        <v/>
      </c>
      <c r="B694" s="2">
        <f>HYPERLINK("https://www.shelhealth.com/products/alba-botanica-drink-it-up-coconut-milk-hawaiian-shampoo-34-oz", "https://www.shelhealth.com/products/alba-botanica-drink-it-up-coconut-milk-hawaiian-shampoo-34-oz")</f>
        <v/>
      </c>
      <c r="C694" t="inlineStr">
        <is>
          <t>Alba Botanica Drink It Up Coconut Milk Hawaiian Shampoo, 34 oz.</t>
        </is>
      </c>
      <c r="D694" t="inlineStr">
        <is>
          <t>Alba Botanica Natural Hawaiian Shampoo Drink It Up Coconut Milk, 12 Ounces Each (Pack of 3)</t>
        </is>
      </c>
      <c r="E694" s="2">
        <f>HYPERLINK("https://www.amazon.com/Alba-Botanica-Natural-Hawaiian-Shampoo/dp/B001E0XIVI/ref=sr_1_3?keywords=Alba+Botanica+Drink+It+Up+Coconut+Milk+Hawaiian+Shampoo%2C+34+oz.&amp;qid=1695170251&amp;sr=8-3", "https://www.amazon.com/Alba-Botanica-Natural-Hawaiian-Shampoo/dp/B001E0XIVI/ref=sr_1_3?keywords=Alba+Botanica+Drink+It+Up+Coconut+Milk+Hawaiian+Shampoo%2C+34+oz.&amp;qid=1695170251&amp;sr=8-3")</f>
        <v/>
      </c>
      <c r="F694" t="inlineStr">
        <is>
          <t>B001E0XIVI</t>
        </is>
      </c>
      <c r="G694">
        <f>_xludf.IMAGE("https://www.shelhealth.com/cdn/shop/products/alba-botanica-drink-it-up-coconut-milk-hawaiian-shampoo-34-oz-shelhealth-303.jpg?v=1663362289&amp;width=1946")</f>
        <v/>
      </c>
      <c r="H694">
        <f>_xludf.IMAGE("https://m.media-amazon.com/images/I/61ZVZBrpNAL._AC_UL320_.jpg")</f>
        <v/>
      </c>
      <c r="K694" t="inlineStr">
        <is>
          <t>18.99</t>
        </is>
      </c>
      <c r="L694" t="n">
        <v>22.05</v>
      </c>
      <c r="M694" s="1" t="inlineStr">
        <is>
          <t>16.11%</t>
        </is>
      </c>
      <c r="N694" s="3" t="n">
        <v>16.11</v>
      </c>
      <c r="O694" t="n">
        <v>4.5</v>
      </c>
      <c r="P694" t="n">
        <v>69</v>
      </c>
      <c r="R694" t="inlineStr">
        <is>
          <t>InStock</t>
        </is>
      </c>
      <c r="S694" t="inlineStr">
        <is>
          <t>18.99</t>
        </is>
      </c>
      <c r="T694" t="inlineStr">
        <is>
          <t>4440158896217</t>
        </is>
      </c>
    </row>
    <row r="695" hidden="1" ht="15.75" customHeight="1">
      <c r="A695" s="2">
        <f>HYPERLINK("https://www.shelhealth.com/products/maui-moisture-heal-hydrate-shea-butter-shampoo-conditioner-set-19-5-ounce", "https://www.shelhealth.com/products/maui-moisture-heal-hydrate-shea-butter-shampoo-conditioner-set-19-5-ounce")</f>
        <v/>
      </c>
      <c r="B695" s="2">
        <f>HYPERLINK("https://www.shelhealth.com/products/maui-moisture-heal-hydrate-shea-butter-shampoo-conditioner-set-19-5-ounce", "https://www.shelhealth.com/products/maui-moisture-heal-hydrate-shea-butter-shampoo-conditioner-set-19-5-ounce")</f>
        <v/>
      </c>
      <c r="C695" t="inlineStr">
        <is>
          <t>Maui Moisture Heal &amp; Hydrate Shea Butter Shampoo &amp; Conditioner Set 19.5 Ounce</t>
        </is>
      </c>
      <c r="D695" t="inlineStr">
        <is>
          <t>Maui Moisture Heal &amp; Hydrate + Shea Butter (Shampoo &amp; Conditioner),385 ml</t>
        </is>
      </c>
      <c r="E695" s="2">
        <f>HYPERLINK("https://www.amazon.com/Maui-Moisture-Hydrate-Shampoo-Conditioner/dp/B06Y3ZZFBK/ref=sr_1_6?keywords=Maui+Moisture+Heal&amp;qid=1695170174&amp;sr=8-6", "https://www.amazon.com/Maui-Moisture-Hydrate-Shampoo-Conditioner/dp/B06Y3ZZFBK/ref=sr_1_6?keywords=Maui+Moisture+Heal&amp;qid=1695170174&amp;sr=8-6")</f>
        <v/>
      </c>
      <c r="F695" t="inlineStr">
        <is>
          <t>B06Y3ZZFBK</t>
        </is>
      </c>
      <c r="G695">
        <f>_xludf.IMAGE("https://www.shelhealth.com/cdn/shop/products/maui-moisture-heal-hydrate-shea-butter-shampoo-conditioner-set-19-5-ounce-shelhealth-141.jpg?v=1663361941&amp;width=1946")</f>
        <v/>
      </c>
      <c r="H695">
        <f>_xludf.IMAGE("https://m.media-amazon.com/images/I/61djQ6LYIUS._AC_UL320_.jpg")</f>
        <v/>
      </c>
      <c r="K695" t="inlineStr">
        <is>
          <t>18.99</t>
        </is>
      </c>
      <c r="L695" t="n">
        <v>22</v>
      </c>
      <c r="M695" s="1" t="inlineStr">
        <is>
          <t>15.85%</t>
        </is>
      </c>
      <c r="N695" s="3" t="n">
        <v>15.85</v>
      </c>
      <c r="O695" t="n">
        <v>4.5</v>
      </c>
      <c r="P695" t="n">
        <v>1341</v>
      </c>
      <c r="R695" t="inlineStr">
        <is>
          <t>OutOfStock</t>
        </is>
      </c>
      <c r="S695" t="inlineStr">
        <is>
          <t>18.99</t>
        </is>
      </c>
      <c r="T695" t="inlineStr">
        <is>
          <t>4437350350937</t>
        </is>
      </c>
    </row>
    <row r="696" hidden="1" ht="15.75" customHeight="1">
      <c r="A696" s="2">
        <f>HYPERLINK("https://www.shelhealth.com/products/orlando-pita-play-smoothing-shampoo-conditioner-set-2-x-27-fl-oz", "https://www.shelhealth.com/products/orlando-pita-play-smoothing-shampoo-conditioner-set-2-x-27-fl-oz")</f>
        <v/>
      </c>
      <c r="B696" s="2">
        <f>HYPERLINK("https://www.shelhealth.com/products/orlando-pita-play-smoothing-shampoo-conditioner-set-2-x-27-fl-oz", "https://www.shelhealth.com/products/orlando-pita-play-smoothing-shampoo-conditioner-set-2-x-27-fl-oz")</f>
        <v/>
      </c>
      <c r="C696" t="inlineStr">
        <is>
          <t>Orlando Pita play Smoothing Shampoo &amp; Conditioner Set , 2 x 27 fl. oz.</t>
        </is>
      </c>
      <c r="D696" t="inlineStr">
        <is>
          <t>ORLANDO PITA Moroccan Argan Oil Glossing Shampoo &amp; Conditioner Set, Moisturizing, Softening, &amp; Shine-Enhancing for Smoother, More Manageable, &amp; Overall Healthier Hair, 27 Fl Oz Each</t>
        </is>
      </c>
      <c r="E696" s="2">
        <f>HYPERLINK("https://www.amazon.com/ORLANDO-PITA-Conditioner-Moisturizing-Shine-Enhancing/dp/B0887NV1M8/ref=sr_1_3?keywords=Orlando+Pita+play+Smoothing+Shampoo+%26+Conditioner+Set+%2C+2+x+27+fl.+oz.&amp;qid=1695170188&amp;sr=8-3", "https://www.amazon.com/ORLANDO-PITA-Conditioner-Moisturizing-Shine-Enhancing/dp/B0887NV1M8/ref=sr_1_3?keywords=Orlando+Pita+play+Smoothing+Shampoo+%26+Conditioner+Set+%2C+2+x+27+fl.+oz.&amp;qid=1695170188&amp;sr=8-3")</f>
        <v/>
      </c>
      <c r="F696" t="inlineStr">
        <is>
          <t>B0887NV1M8</t>
        </is>
      </c>
      <c r="G696">
        <f>_xludf.IMAGE("https://www.shelhealth.com/cdn/shop/products/orlando-pita-play-smoothing-shampoo-conditioner-set-2-x-27-fl-oz-shelhealth-996.jpg?v=1663371328&amp;width=1946")</f>
        <v/>
      </c>
      <c r="H696">
        <f>_xludf.IMAGE("https://m.media-amazon.com/images/I/61aG9t+-3LL._AC_UL320_.jpg")</f>
        <v/>
      </c>
      <c r="K696" t="inlineStr">
        <is>
          <t>38.99</t>
        </is>
      </c>
      <c r="L696" t="n">
        <v>45</v>
      </c>
      <c r="M696" s="1" t="inlineStr">
        <is>
          <t>15.41%</t>
        </is>
      </c>
      <c r="N696" s="3" t="n">
        <v>15.41</v>
      </c>
      <c r="O696" t="n">
        <v>4.6</v>
      </c>
      <c r="P696" t="n">
        <v>1279</v>
      </c>
      <c r="R696" t="inlineStr">
        <is>
          <t>OutOfStock</t>
        </is>
      </c>
      <c r="S696" t="inlineStr">
        <is>
          <t>38.99</t>
        </is>
      </c>
      <c r="T696" t="inlineStr">
        <is>
          <t>4674032009305</t>
        </is>
      </c>
    </row>
    <row r="697" hidden="1" ht="15.75" customHeight="1">
      <c r="A697" s="2">
        <f>HYPERLINK("https://www.shelhealth.com/products/orlando-pita-play-smoothing-shampoo-conditioner-set-2-x-27-fl-oz", "https://www.shelhealth.com/products/orlando-pita-play-smoothing-shampoo-conditioner-set-2-x-27-fl-oz")</f>
        <v/>
      </c>
      <c r="B697" s="2">
        <f>HYPERLINK("https://www.shelhealth.com/products/orlando-pita-play-smoothing-shampoo-conditioner-set-2-x-27-fl-oz", "https://www.shelhealth.com/products/orlando-pita-play-smoothing-shampoo-conditioner-set-2-x-27-fl-oz")</f>
        <v/>
      </c>
      <c r="C697" t="inlineStr">
        <is>
          <t>Orlando Pita play Smoothing Shampoo &amp; Conditioner Set , 2 x 27 fl. oz.</t>
        </is>
      </c>
      <c r="D697" t="inlineStr">
        <is>
          <t>ORLANDO PITA Salon Size Argan Oil Glossing Shampoo and Conditioner Set, Moisturizing &amp; Shine-Enhancing for Smoother &amp; Healthier Looking Hair, 27 Oz each</t>
        </is>
      </c>
      <c r="E697" s="2">
        <f>HYPERLINK("https://www.amazon.com/ORLANDO-PITA-Conditioner-Moisturizing-Shine-Enhancing/dp/B09PFFY6FD/ref=sr_1_2?keywords=Orlando+Pita+play+Smoothing+Shampoo+%26+Conditioner+Set+%2C+2+x+27+fl.+oz.&amp;qid=1695170188&amp;sr=8-2", "https://www.amazon.com/ORLANDO-PITA-Conditioner-Moisturizing-Shine-Enhancing/dp/B09PFFY6FD/ref=sr_1_2?keywords=Orlando+Pita+play+Smoothing+Shampoo+%26+Conditioner+Set+%2C+2+x+27+fl.+oz.&amp;qid=1695170188&amp;sr=8-2")</f>
        <v/>
      </c>
      <c r="F697" t="inlineStr">
        <is>
          <t>B09PFFY6FD</t>
        </is>
      </c>
      <c r="G697">
        <f>_xludf.IMAGE("https://www.shelhealth.com/cdn/shop/products/orlando-pita-play-smoothing-shampoo-conditioner-set-2-x-27-fl-oz-shelhealth-996.jpg?v=1663371328&amp;width=1946")</f>
        <v/>
      </c>
      <c r="H697">
        <f>_xludf.IMAGE("https://m.media-amazon.com/images/I/61Jj+HUyJYL._AC_UL320_.jpg")</f>
        <v/>
      </c>
      <c r="K697" t="inlineStr">
        <is>
          <t>38.99</t>
        </is>
      </c>
      <c r="L697" t="n">
        <v>45</v>
      </c>
      <c r="M697" s="1" t="inlineStr">
        <is>
          <t>15.41%</t>
        </is>
      </c>
      <c r="N697" s="3" t="n">
        <v>15.41</v>
      </c>
      <c r="O697" t="n">
        <v>4.7</v>
      </c>
      <c r="P697" t="n">
        <v>19</v>
      </c>
      <c r="R697" t="inlineStr">
        <is>
          <t>OutOfStock</t>
        </is>
      </c>
      <c r="S697" t="inlineStr">
        <is>
          <t>38.99</t>
        </is>
      </c>
      <c r="T697" t="inlineStr">
        <is>
          <t>4674032009305</t>
        </is>
      </c>
    </row>
    <row r="698" hidden="1" ht="15.75" customHeight="1">
      <c r="A698" s="2">
        <f>HYPERLINK("https://www.shelhealth.com/products/nexxus-humectress-conditioner-44-fl-oz", "https://www.shelhealth.com/products/nexxus-humectress-conditioner-44-fl-oz")</f>
        <v/>
      </c>
      <c r="B698" s="2">
        <f>HYPERLINK("https://www.shelhealth.com/products/nexxus-humectress-conditioner-44-fl-oz", "https://www.shelhealth.com/products/nexxus-humectress-conditioner-44-fl-oz")</f>
        <v/>
      </c>
      <c r="C698" t="inlineStr">
        <is>
          <t>Nexxus Humectress Conditioner, 44 Fl Oz</t>
        </is>
      </c>
      <c r="D698" t="inlineStr">
        <is>
          <t>Nexxus Humectress Moisturizing Conditioner, 44 Fl Oz</t>
        </is>
      </c>
      <c r="E698" s="2">
        <f>HYPERLINK("https://www.amazon.com/Nexxus-Humectress-Moisturizing-Conditioner-44/dp/B000Y1JT8E/ref=sr_1_1?keywords=Nexxus+Humectress+Conditioner%2C+44+Fl+Oz&amp;qid=1695170242&amp;sr=8-1", "https://www.amazon.com/Nexxus-Humectress-Moisturizing-Conditioner-44/dp/B000Y1JT8E/ref=sr_1_1?keywords=Nexxus+Humectress+Conditioner%2C+44+Fl+Oz&amp;qid=1695170242&amp;sr=8-1")</f>
        <v/>
      </c>
      <c r="F698" t="inlineStr">
        <is>
          <t>B000Y1JT8E</t>
        </is>
      </c>
      <c r="G698">
        <f>_xludf.IMAGE("https://www.shelhealth.com/cdn/shop/products/nexxus-humectress-conditioner-44-fl-oz-shelhealth-686.jpg?v=1663350232&amp;width=1946")</f>
        <v/>
      </c>
      <c r="H698">
        <f>_xludf.IMAGE("https://m.media-amazon.com/images/I/518ZptNJ5aL._AC_UL320_.jpg")</f>
        <v/>
      </c>
      <c r="K698" t="inlineStr">
        <is>
          <t>38.99</t>
        </is>
      </c>
      <c r="L698" t="n">
        <v>44.89</v>
      </c>
      <c r="M698" s="1" t="inlineStr">
        <is>
          <t>15.13%</t>
        </is>
      </c>
      <c r="N698" s="3" t="n">
        <v>15.13</v>
      </c>
      <c r="O698" t="n">
        <v>4.7</v>
      </c>
      <c r="P698" t="n">
        <v>1363</v>
      </c>
      <c r="R698" t="inlineStr">
        <is>
          <t>InStock</t>
        </is>
      </c>
      <c r="S698" t="inlineStr">
        <is>
          <t>38.99</t>
        </is>
      </c>
      <c r="T698" t="inlineStr">
        <is>
          <t>4046002618420</t>
        </is>
      </c>
    </row>
    <row r="699" hidden="1" ht="15.75" customHeight="1">
      <c r="A699" s="2">
        <f>HYPERLINK("https://www.shelhealth.com/products/cantu-shea-butter-for-natural-hair-coconut-curling-cream-25-ounce", "https://www.shelhealth.com/products/cantu-shea-butter-for-natural-hair-coconut-curling-cream-25-ounce")</f>
        <v/>
      </c>
      <c r="B699" s="2">
        <f>HYPERLINK("https://www.shelhealth.com/products/cantu-shea-butter-for-natural-hair-coconut-curling-cream-25-ounce", "https://www.shelhealth.com/products/cantu-shea-butter-for-natural-hair-coconut-curling-cream-25-ounce")</f>
        <v/>
      </c>
      <c r="C699" t="inlineStr">
        <is>
          <t>Cantu Shea Butter for Natural Hair Coconut Curling Cream, 25 Ounce</t>
        </is>
      </c>
      <c r="D699" t="inlineStr">
        <is>
          <t>Cantu Hair Treatment Kit with Coconut Curling Cream, Edge Stay Gel, and Twist &amp; Lock Gel with Shea Butter for Natural Hair (Packaging May Vary)</t>
        </is>
      </c>
      <c r="E699" s="2">
        <f>HYPERLINK("https://www.amazon.com/Cantu-Coconut-Twist-Bundle-Count/dp/B075G1RCBD/ref=sr_1_2?keywords=Cantu+Shea+Butter+for+Natural+Hair+Coconut+Curling+Cream%2C+25+Ounce&amp;qid=1695170207&amp;sr=8-2", "https://www.amazon.com/Cantu-Coconut-Twist-Bundle-Count/dp/B075G1RCBD/ref=sr_1_2?keywords=Cantu+Shea+Butter+for+Natural+Hair+Coconut+Curling+Cream%2C+25+Ounce&amp;qid=1695170207&amp;sr=8-2")</f>
        <v/>
      </c>
      <c r="F699" t="inlineStr">
        <is>
          <t>B075G1RCBD</t>
        </is>
      </c>
      <c r="G699">
        <f>_xludf.IMAGE("https://www.shelhealth.com/cdn/shop/products/cantu-shea-butter-for-natural-hair-coconut-curling-cream-25-ounce-shelhealth-142.jpg?v=1663350043&amp;width=1946")</f>
        <v/>
      </c>
      <c r="H699">
        <f>_xludf.IMAGE("https://m.media-amazon.com/images/I/71iZoO7M-hL._AC_UL320_.jpg")</f>
        <v/>
      </c>
      <c r="K699" t="inlineStr">
        <is>
          <t>16.99</t>
        </is>
      </c>
      <c r="L699" t="n">
        <v>19.49</v>
      </c>
      <c r="M699" s="1" t="inlineStr">
        <is>
          <t>14.71%</t>
        </is>
      </c>
      <c r="N699" s="3" t="n">
        <v>14.71</v>
      </c>
      <c r="O699" t="n">
        <v>4.6</v>
      </c>
      <c r="P699" t="n">
        <v>1115</v>
      </c>
      <c r="R699" t="inlineStr">
        <is>
          <t>InStock</t>
        </is>
      </c>
      <c r="S699" t="inlineStr">
        <is>
          <t>16.99</t>
        </is>
      </c>
      <c r="T699" t="inlineStr">
        <is>
          <t>4045854670900</t>
        </is>
      </c>
    </row>
    <row r="700" hidden="1" ht="15.75" customHeight="1">
      <c r="A700" s="2">
        <f>HYPERLINK("https://www.shelhealth.com/products/copy-of-herbal-essences-repair-shampoo-argan-oil-of-morocco-29-2-fl-oz", "https://www.shelhealth.com/products/copy-of-herbal-essences-repair-shampoo-argan-oil-of-morocco-29-2-fl-oz")</f>
        <v/>
      </c>
      <c r="B700" s="2">
        <f>HYPERLINK("https://www.shelhealth.com/products/copy-of-herbal-essences-repair-shampoo-argan-oil-of-morocco-29-2-fl-oz", "https://www.shelhealth.com/products/copy-of-herbal-essences-repair-shampoo-argan-oil-of-morocco-29-2-fl-oz")</f>
        <v/>
      </c>
      <c r="C700" t="inlineStr">
        <is>
          <t>Herbal Essences Repair Shampoo, Argan Oil of Morocco (29.2 fl. oz.)</t>
        </is>
      </c>
      <c r="D700" t="inlineStr">
        <is>
          <t>Herbal Essences Shampoo and Conditioner Set Repairing Argan Oil of Morocco with Natural Source Ingredients, Color Safe, BioRenew, 20.2 Fl Oz, 2 Count</t>
        </is>
      </c>
      <c r="E700" s="2">
        <f>HYPERLINK("https://www.amazon.com/Herbal-Essences-Conditioner-BioRenew-Repairing/dp/B07NQ69L7P/ref=sr_1_3?keywords=Herbal+Essences+Repair+Shampoo%2C+Argan+Oil+of+Morocco+%2829.2+fl.+oz.%29&amp;qid=1695170182&amp;sr=8-3", "https://www.amazon.com/Herbal-Essences-Conditioner-BioRenew-Repairing/dp/B07NQ69L7P/ref=sr_1_3?keywords=Herbal+Essences+Repair+Shampoo%2C+Argan+Oil+of+Morocco+%2829.2+fl.+oz.%29&amp;qid=1695170182&amp;sr=8-3")</f>
        <v/>
      </c>
      <c r="F700" t="inlineStr">
        <is>
          <t>B07NQ69L7P</t>
        </is>
      </c>
      <c r="G700">
        <f>_xludf.IMAGE("https://www.shelhealth.com/cdn/shop/products/herbal-essences-repair-shampoo-argan-oil-of-morocco-29-2-fl-oz-essence-shelhealth-255.jpg?v=1663349993&amp;width=1946")</f>
        <v/>
      </c>
      <c r="H700">
        <f>_xludf.IMAGE("https://m.media-amazon.com/images/I/819SNOj-SHL._AC_UL320_.jpg")</f>
        <v/>
      </c>
      <c r="K700" t="inlineStr">
        <is>
          <t>16.99</t>
        </is>
      </c>
      <c r="L700" t="n">
        <v>19.44</v>
      </c>
      <c r="M700" s="1" t="inlineStr">
        <is>
          <t>14.42%</t>
        </is>
      </c>
      <c r="N700" s="3" t="n">
        <v>14.42</v>
      </c>
      <c r="O700" t="n">
        <v>4.6</v>
      </c>
      <c r="P700" t="n">
        <v>19501</v>
      </c>
      <c r="R700" t="inlineStr">
        <is>
          <t>InStock</t>
        </is>
      </c>
      <c r="S700" t="inlineStr">
        <is>
          <t>16.99</t>
        </is>
      </c>
      <c r="T700" t="inlineStr">
        <is>
          <t>3853317931060</t>
        </is>
      </c>
    </row>
    <row r="701" hidden="1" ht="15.75" customHeight="1">
      <c r="A701" s="2">
        <f>HYPERLINK("https://www.shelhealth.com/products/077014100040-light-mountain-auburn-hair-and-color-conditioner-4-oz", "https://www.shelhealth.com/products/077014100040-light-mountain-auburn-hair-and-color-conditioner-4-oz")</f>
        <v/>
      </c>
      <c r="B701" s="2">
        <f>HYPERLINK("https://www.shelhealth.com/products/077014100040-light-mountain-auburn-hair-and-color-conditioner-4-oz", "https://www.shelhealth.com/products/077014100040-light-mountain-auburn-hair-and-color-conditioner-4-oz")</f>
        <v/>
      </c>
      <c r="C701" t="inlineStr">
        <is>
          <t>Light Mountain Auburn Hair And Color Conditioner, 4 Oz (Case of 3)</t>
        </is>
      </c>
      <c r="D701" t="inlineStr">
        <is>
          <t>Light Mountain Henna Hair Color &amp; Conditioner, Color the Gray - Auburn Hair Dye for Men/Women, Chemical-Free, Semi-Permanent Hair Color for White, Gray, and Blonde Hair, 7 Oz (Pack of 2)</t>
        </is>
      </c>
      <c r="E701" s="2">
        <f>HYPERLINK("https://www.amazon.com/Light-Mountain-Natural-Piece-Auburn/dp/B075YYRY89/ref=sr_1_8?keywords=Light+Mountain+Auburn+Hair+And+Color+Conditioner%2C+4+Oz+%28Case+of+3%29&amp;qid=1695170203&amp;sr=8-8", "https://www.amazon.com/Light-Mountain-Natural-Piece-Auburn/dp/B075YYRY89/ref=sr_1_8?keywords=Light+Mountain+Auburn+Hair+And+Color+Conditioner%2C+4+Oz+%28Case+of+3%29&amp;qid=1695170203&amp;sr=8-8")</f>
        <v/>
      </c>
      <c r="F701" t="inlineStr">
        <is>
          <t>B075YYRY89</t>
        </is>
      </c>
      <c r="G701">
        <f>_xludf.IMAGE("https://www.shelhealth.com/cdn/shop/files/light-mountain-auburn-hair-and-color-conditioner-4-oz-case-of-3-grocery-shelhealth-369.jpg?v=1686198741&amp;width=1946")</f>
        <v/>
      </c>
      <c r="H701">
        <f>_xludf.IMAGE("https://m.media-amazon.com/images/I/71awAHdK1yL._AC_UL320_.jpg")</f>
        <v/>
      </c>
      <c r="K701" t="inlineStr">
        <is>
          <t>20.99</t>
        </is>
      </c>
      <c r="L701" t="n">
        <v>23.99</v>
      </c>
      <c r="M701" s="1" t="inlineStr">
        <is>
          <t>14.29%</t>
        </is>
      </c>
      <c r="N701" s="3" t="n">
        <v>14.29</v>
      </c>
      <c r="O701" t="n">
        <v>4.1</v>
      </c>
      <c r="P701" t="n">
        <v>179</v>
      </c>
      <c r="R701" t="inlineStr">
        <is>
          <t>OutOfStock</t>
        </is>
      </c>
      <c r="S701" t="inlineStr">
        <is>
          <t>20.99</t>
        </is>
      </c>
      <c r="T701" t="inlineStr">
        <is>
          <t>7241789309116</t>
        </is>
      </c>
    </row>
    <row r="702" hidden="1" ht="15.75" customHeight="1">
      <c r="A702" s="2">
        <f>HYPERLINK("https://www.shelhealth.com/products/herbal-essences-hello-hydration-shampoo-40-fl-oz", "https://www.shelhealth.com/products/herbal-essences-hello-hydration-shampoo-40-fl-oz")</f>
        <v/>
      </c>
      <c r="B702" s="2">
        <f>HYPERLINK("https://www.shelhealth.com/products/herbal-essences-hello-hydration-shampoo-40-fl-oz", "https://www.shelhealth.com/products/herbal-essences-hello-hydration-shampoo-40-fl-oz")</f>
        <v/>
      </c>
      <c r="C702" t="inlineStr">
        <is>
          <t>Herbal Essences Repair Conditioner, Argan Oil of Morocco (29.2 fl. oz.)</t>
        </is>
      </c>
      <c r="D702" t="inlineStr">
        <is>
          <t>Herbal Essences Shampoo and Conditioner Set Repairing Argan Oil of Morocco with Natural Source Ingredients, Color Safe, BioRenew, 20.2 Fl Oz, 2 Count</t>
        </is>
      </c>
      <c r="E702" s="2">
        <f>HYPERLINK("https://www.amazon.com/Herbal-Essences-Conditioner-BioRenew-Repairing/dp/B07NQ69L7P/ref=sr_1_2?keywords=Herbal+Essences+Repair+Conditioner%2C+Argan+Oil+of+Morocco+%2829.2+fl.+oz.%29&amp;qid=1695170247&amp;sr=8-2", "https://www.amazon.com/Herbal-Essences-Conditioner-BioRenew-Repairing/dp/B07NQ69L7P/ref=sr_1_2?keywords=Herbal+Essences+Repair+Conditioner%2C+Argan+Oil+of+Morocco+%2829.2+fl.+oz.%29&amp;qid=1695170247&amp;sr=8-2")</f>
        <v/>
      </c>
      <c r="F702" t="inlineStr">
        <is>
          <t>B07NQ69L7P</t>
        </is>
      </c>
      <c r="G702">
        <f>_xludf.IMAGE("https://www.shelhealth.com/cdn/shop/products/herbal-essences-repair-conditioner-argan-oil-of-morocco-29-2-fl-oz-essence-shelhealth-683.jpg?v=1663349980&amp;width=1946")</f>
        <v/>
      </c>
      <c r="H702">
        <f>_xludf.IMAGE("https://m.media-amazon.com/images/I/819SNOj-SHL._AC_UL320_.jpg")</f>
        <v/>
      </c>
      <c r="K702" t="inlineStr">
        <is>
          <t>16.99</t>
        </is>
      </c>
      <c r="L702" t="n">
        <v>19.4</v>
      </c>
      <c r="M702" s="1" t="inlineStr">
        <is>
          <t>14.18%</t>
        </is>
      </c>
      <c r="N702" s="3" t="n">
        <v>14.18</v>
      </c>
      <c r="O702" t="n">
        <v>4.6</v>
      </c>
      <c r="P702" t="n">
        <v>19501</v>
      </c>
      <c r="R702" t="inlineStr">
        <is>
          <t>InStock</t>
        </is>
      </c>
      <c r="S702" t="inlineStr">
        <is>
          <t>16.99</t>
        </is>
      </c>
      <c r="T702" t="inlineStr">
        <is>
          <t>3853303087156</t>
        </is>
      </c>
    </row>
    <row r="703" hidden="1" ht="15.75" customHeight="1">
      <c r="A703" s="2">
        <f>HYPERLINK("https://www.shelhealth.com/products/704326100306-tints-of-nature-3n-natural-dark-brown-permanent-hair-colour-4-4-fo", "https://www.shelhealth.com/products/704326100306-tints-of-nature-3n-natural-dark-brown-permanent-hair-colour-4-4-fo")</f>
        <v/>
      </c>
      <c r="B703" s="2">
        <f>HYPERLINK("https://www.shelhealth.com/products/704326100306-tints-of-nature-3n-natural-dark-brown-permanent-hair-colour-4-4-fo", "https://www.shelhealth.com/products/704326100306-tints-of-nature-3n-natural-dark-brown-permanent-hair-colour-4-4-fo")</f>
        <v/>
      </c>
      <c r="C703" t="inlineStr">
        <is>
          <t>Tints Of Nature 3N Natural Dark Brown Permanent Hair Colour, 4.4 Fo</t>
        </is>
      </c>
      <c r="D703" t="inlineStr">
        <is>
          <t>Permanent Color-3N Natural Dark Brown Tints of Nature 4.4 oz Liquid</t>
        </is>
      </c>
      <c r="E703" s="2">
        <f>HYPERLINK("https://www.amazon.com/Pack-Tints-Nature-Natural-BUNDLE/dp/B00URRG7N0/ref=sr_1_3?keywords=Tints+Of+Nature+3N+Natural+Dark+Brown+Permanent+Hair+Colour%2C+4.4+Fo&amp;qid=1695170195&amp;sr=8-3", "https://www.amazon.com/Pack-Tints-Nature-Natural-BUNDLE/dp/B00URRG7N0/ref=sr_1_3?keywords=Tints+Of+Nature+3N+Natural+Dark+Brown+Permanent+Hair+Colour%2C+4.4+Fo&amp;qid=1695170195&amp;sr=8-3")</f>
        <v/>
      </c>
      <c r="F703" t="inlineStr">
        <is>
          <t>B00URRG7N0</t>
        </is>
      </c>
      <c r="G703">
        <f>_xludf.IMAGE("https://www.shelhealth.com/cdn/shop/files/tints-of-nature-3n-natural-dark-brown-permanent-hair-colour-4-fo-beauty-body-care-shelhealth-465.jpg?v=1689667949&amp;width=1946")</f>
        <v/>
      </c>
      <c r="H703">
        <f>_xludf.IMAGE("https://m.media-amazon.com/images/I/81KZ-UM94eL._AC_UL320_.jpg")</f>
        <v/>
      </c>
      <c r="K703" t="inlineStr">
        <is>
          <t>19.99</t>
        </is>
      </c>
      <c r="L703" t="n">
        <v>22.8</v>
      </c>
      <c r="M703" s="1" t="inlineStr">
        <is>
          <t>14.06%</t>
        </is>
      </c>
      <c r="N703" s="3" t="n">
        <v>14.06</v>
      </c>
      <c r="O703" t="n">
        <v>4.2</v>
      </c>
      <c r="P703" t="n">
        <v>28</v>
      </c>
      <c r="R703" t="inlineStr">
        <is>
          <t>OutOfStock</t>
        </is>
      </c>
      <c r="S703" t="inlineStr">
        <is>
          <t>19.99</t>
        </is>
      </c>
      <c r="T703" t="inlineStr">
        <is>
          <t>7242043719868</t>
        </is>
      </c>
    </row>
    <row r="704" hidden="1" ht="15.75" customHeight="1">
      <c r="A704" s="2">
        <f>HYPERLINK("https://www.shelhealth.com/products/head-and-shoulders-old-spice-pure-sport-dandruff-2-in-1-shampoo-and-conditioner-43-3-fl-oz", "https://www.shelhealth.com/products/head-and-shoulders-old-spice-pure-sport-dandruff-2-in-1-shampoo-and-conditioner-43-3-fl-oz")</f>
        <v/>
      </c>
      <c r="B704" s="2">
        <f>HYPERLINK("https://www.shelhealth.com/products/head-and-shoulders-old-spice-pure-sport-dandruff-2-in-1-shampoo-and-conditioner-43-3-fl-oz", "https://www.shelhealth.com/products/head-and-shoulders-old-spice-pure-sport-dandruff-2-in-1-shampoo-and-conditioner-43-3-fl-oz")</f>
        <v/>
      </c>
      <c r="C704" t="inlineStr">
        <is>
          <t>Head and Shoulders Old Spice Pure Sport Dandruff 2 in 1 Shampoo and Conditioner, 43.3 fl. oz.</t>
        </is>
      </c>
      <c r="D704" t="inlineStr">
        <is>
          <t>Head &amp; Shoulders 2-in-1 Dandruff Shampoo and Conditioner, Anti-Dandruff Treatment, Smooth &amp; Silky, 31.4 fl oz Each, Twin Pack</t>
        </is>
      </c>
      <c r="E704" s="2">
        <f>HYPERLINK("https://www.amazon.com/Head-Shoulders-Conditioner-Anti-Dandruff-Treatment/dp/B0C4Z761TX/ref=sr_1_10?keywords=Head+and+Shoulders+Old+Spice+Pure+Sport+Dandruff+2+in+1+Shampoo+and+Conditioner%2C+43.3+fl.+oz.&amp;qid=1695170247&amp;sr=8-10", "https://www.amazon.com/Head-Shoulders-Conditioner-Anti-Dandruff-Treatment/dp/B0C4Z761TX/ref=sr_1_10?keywords=Head+and+Shoulders+Old+Spice+Pure+Sport+Dandruff+2+in+1+Shampoo+and+Conditioner%2C+43.3+fl.+oz.&amp;qid=1695170247&amp;sr=8-10")</f>
        <v/>
      </c>
      <c r="F704" t="inlineStr">
        <is>
          <t>B0C4Z761TX</t>
        </is>
      </c>
      <c r="G704">
        <f>_xludf.IMAGE("https://www.shelhealth.com/cdn/shop/files/head-and-shoulders-old-spice-pure-sport-dandruff-2-in-1-shampoo-conditioner-43-3-fl-oz-health-beautyhair-care-shelhealth-147.jpg?v=1686282321&amp;width=1946")</f>
        <v/>
      </c>
      <c r="H704">
        <f>_xludf.IMAGE("https://m.media-amazon.com/images/I/71v0KhfDHvL._AC_UL320_.jpg")</f>
        <v/>
      </c>
      <c r="K704" t="inlineStr">
        <is>
          <t>22.99</t>
        </is>
      </c>
      <c r="L704" t="n">
        <v>25.99</v>
      </c>
      <c r="M704" s="1" t="inlineStr">
        <is>
          <t>13.05%</t>
        </is>
      </c>
      <c r="N704" s="3" t="n">
        <v>13.05</v>
      </c>
      <c r="O704" t="n">
        <v>4.9</v>
      </c>
      <c r="P704" t="n">
        <v>16</v>
      </c>
      <c r="R704" t="inlineStr">
        <is>
          <t>OutOfStock</t>
        </is>
      </c>
      <c r="S704" t="inlineStr">
        <is>
          <t>22.99</t>
        </is>
      </c>
      <c r="T704" t="inlineStr">
        <is>
          <t>4091405729844</t>
        </is>
      </c>
    </row>
    <row r="705" hidden="1" ht="15.75" customHeight="1">
      <c r="A705" s="2">
        <f>HYPERLINK("https://www.shelhealth.com/products/shea-moisture-100-virgin-coconut-oil-daily-hydration-shampoo-34-fl-oz", "https://www.shelhealth.com/products/shea-moisture-100-virgin-coconut-oil-daily-hydration-shampoo-34-fl-oz")</f>
        <v/>
      </c>
      <c r="B705" s="2">
        <f>HYPERLINK("https://www.shelhealth.com/products/shea-moisture-100-virgin-coconut-oil-daily-hydration-shampoo-34-fl-oz", "https://www.shelhealth.com/products/shea-moisture-100-virgin-coconut-oil-daily-hydration-shampoo-34-fl-oz")</f>
        <v/>
      </c>
      <c r="C705" t="inlineStr">
        <is>
          <t>Shea moisture 100% Virgin Coconut Oil Daily Hydration Shampoo, 34 fl. oz.</t>
        </is>
      </c>
      <c r="D705" t="inlineStr">
        <is>
          <t>SheaMoisture 100% Virgin Coconut Oil Daily Hydration Shampoo &amp; Conditioner | 13 fl. oz. Each</t>
        </is>
      </c>
      <c r="E705" s="2">
        <f>HYPERLINK("https://www.amazon.com/Moisture-Coconut-Hydration-Shampoo-Conditioner/dp/B075Y4KJ9F/ref=sr_1_5?keywords=Shea+moisture+100%25+Virgin+Coconut+Oil+Daily+Hydration+Shampoo%2C+34+fl.+oz.&amp;qid=1695170167&amp;sr=8-5", "https://www.amazon.com/Moisture-Coconut-Hydration-Shampoo-Conditioner/dp/B075Y4KJ9F/ref=sr_1_5?keywords=Shea+moisture+100%25+Virgin+Coconut+Oil+Daily+Hydration+Shampoo%2C+34+fl.+oz.&amp;qid=1695170167&amp;sr=8-5")</f>
        <v/>
      </c>
      <c r="F705" t="inlineStr">
        <is>
          <t>B075Y4KJ9F</t>
        </is>
      </c>
      <c r="G705">
        <f>_xludf.IMAGE("https://www.shelhealth.com/cdn/shop/products/shea-moisture-100-virgin-coconut-oil-daily-hydration-shampoo-34-fl-oz-shelhealth-685.jpg?v=1663353789&amp;width=1946")</f>
        <v/>
      </c>
      <c r="H705">
        <f>_xludf.IMAGE("https://m.media-amazon.com/images/I/61bzB8Rs3jL._AC_UL320_.jpg")</f>
        <v/>
      </c>
      <c r="K705" t="inlineStr">
        <is>
          <t>18.99</t>
        </is>
      </c>
      <c r="L705" t="n">
        <v>21.42</v>
      </c>
      <c r="M705" s="1" t="inlineStr">
        <is>
          <t>12.80%</t>
        </is>
      </c>
      <c r="N705" s="3" t="n">
        <v>12.8</v>
      </c>
      <c r="O705" t="n">
        <v>4.4</v>
      </c>
      <c r="P705" t="n">
        <v>2987</v>
      </c>
      <c r="R705" t="inlineStr">
        <is>
          <t>InStock</t>
        </is>
      </c>
      <c r="S705" t="inlineStr">
        <is>
          <t>18.99</t>
        </is>
      </c>
      <c r="T705" t="inlineStr">
        <is>
          <t>4164054188084</t>
        </is>
      </c>
    </row>
    <row r="706" hidden="1" ht="15.75" customHeight="1">
      <c r="A706" s="2">
        <f>HYPERLINK("https://www.shelhealth.com/products/giovanni-cosmetics-2chic-repairing-shampoo-conditioner-8-5-fluid-ounce", "https://www.shelhealth.com/products/giovanni-cosmetics-2chic-repairing-shampoo-conditioner-8-5-fluid-ounce")</f>
        <v/>
      </c>
      <c r="B706" s="2">
        <f>HYPERLINK("https://www.shelhealth.com/products/giovanni-cosmetics-2chic-repairing-shampoo-conditioner-8-5-fluid-ounce", "https://www.shelhealth.com/products/giovanni-cosmetics-2chic-repairing-shampoo-conditioner-8-5-fluid-ounce")</f>
        <v/>
      </c>
      <c r="C706" t="inlineStr">
        <is>
          <t>GIOVANNI COSMETICS - 2Chic Repairing Shampoo &amp; Conditioner, 8.5 Fluid Ounce</t>
        </is>
      </c>
      <c r="D706" t="inlineStr">
        <is>
          <t>GIOVANNI COSMETICS - 2Chic Repairing Shampoo &amp; Conditioner, 8.5 Fluid Ounce / 250 Milliliter - Dual Repairing Complex For Damaged Over-Processed Hair</t>
        </is>
      </c>
      <c r="E706" s="2">
        <f>HYPERLINK("https://www.amazon.com/GIOVANNI-COSMETICS-Conditioner-Milliliter-Over-Processed/dp/B017DZOS66/ref=sr_1_1?keywords=GIOVANNI+COSMETICS+-+2Chic+Repairing+Shampoo&amp;qid=1695170256&amp;sr=8-1", "https://www.amazon.com/GIOVANNI-COSMETICS-Conditioner-Milliliter-Over-Processed/dp/B017DZOS66/ref=sr_1_1?keywords=GIOVANNI+COSMETICS+-+2Chic+Repairing+Shampoo&amp;qid=1695170256&amp;sr=8-1")</f>
        <v/>
      </c>
      <c r="F706" t="inlineStr">
        <is>
          <t>B017DZOS66</t>
        </is>
      </c>
      <c r="G706">
        <f>_xludf.IMAGE("https://www.shelhealth.com/cdn/shop/products/giovanni-cosmetics-2chic-repairing-shampoo-conditioner-8-5-fluid-ounce-shelhealth-415.jpg?v=1663342509&amp;width=1946")</f>
        <v/>
      </c>
      <c r="H706">
        <f>_xludf.IMAGE("https://m.media-amazon.com/images/I/81-wYigqycL._AC_UL320_.jpg")</f>
        <v/>
      </c>
      <c r="K706" t="inlineStr">
        <is>
          <t>21.99</t>
        </is>
      </c>
      <c r="L706" t="n">
        <v>24.8</v>
      </c>
      <c r="M706" s="1" t="inlineStr">
        <is>
          <t>12.78%</t>
        </is>
      </c>
      <c r="N706" s="3" t="n">
        <v>12.78</v>
      </c>
      <c r="O706" t="n">
        <v>4.3</v>
      </c>
      <c r="P706" t="n">
        <v>192</v>
      </c>
      <c r="R706" t="inlineStr">
        <is>
          <t>OutOfStock</t>
        </is>
      </c>
      <c r="S706" t="inlineStr">
        <is>
          <t>21.99</t>
        </is>
      </c>
      <c r="T706" t="inlineStr">
        <is>
          <t>3814977470516</t>
        </is>
      </c>
    </row>
    <row r="707" hidden="1" ht="15.75" customHeight="1">
      <c r="A707" s="2">
        <f>HYPERLINK("https://www.shelhealth.com/products/dove-men-care-fresh-and-clean-2-in-1-shampoo-and-conditioner-40-oz", "https://www.shelhealth.com/products/dove-men-care-fresh-and-clean-2-in-1-shampoo-and-conditioner-40-oz")</f>
        <v/>
      </c>
      <c r="B707" s="2">
        <f>HYPERLINK("https://www.shelhealth.com/products/dove-men-care-fresh-and-clean-2-in-1-shampoo-and-conditioner-40-oz", "https://www.shelhealth.com/products/dove-men-care-fresh-and-clean-2-in-1-shampoo-and-conditioner-40-oz")</f>
        <v/>
      </c>
      <c r="C707" t="inlineStr">
        <is>
          <t>Dove Men+Care Fresh and Clean 2-in-1 Shampoo and Conditioner, 40 oz.</t>
        </is>
      </c>
      <c r="D707" t="inlineStr">
        <is>
          <t>Dove Men+Care 2-in-1 Shampoo and Conditioner, Sportcare Active Fresh, 12 oz (Pack of 2)</t>
        </is>
      </c>
      <c r="E707" s="2">
        <f>HYPERLINK("https://www.amazon.com/Dove-Shampoo-Conditioner-Sportcare-Active/dp/B07PNZ2G5Q/ref=sr_1_9?keywords=Dove+Men%2BCare+Fresh+and+Clean+2-in-1+Shampoo+and+Conditioner%2C+40+oz.&amp;qid=1695170251&amp;sr=8-9", "https://www.amazon.com/Dove-Shampoo-Conditioner-Sportcare-Active/dp/B07PNZ2G5Q/ref=sr_1_9?keywords=Dove+Men%2BCare+Fresh+and+Clean+2-in-1+Shampoo+and+Conditioner%2C+40+oz.&amp;qid=1695170251&amp;sr=8-9")</f>
        <v/>
      </c>
      <c r="F707" t="inlineStr">
        <is>
          <t>B07PNZ2G5Q</t>
        </is>
      </c>
      <c r="G707">
        <f>_xludf.IMAGE("https://www.shelhealth.com/cdn/shop/files/dove-mencare-fresh-and-clean-2-in-1-shampoo-conditioner-40-oz-health-beautyhair-care-shelhealth-768.jpg?v=1686282328&amp;width=1946")</f>
        <v/>
      </c>
      <c r="H707">
        <f>_xludf.IMAGE("https://m.media-amazon.com/images/I/71KhnuFR7iL._AC_UL320_.jpg")</f>
        <v/>
      </c>
      <c r="K707" t="inlineStr">
        <is>
          <t>16.99</t>
        </is>
      </c>
      <c r="L707" t="n">
        <v>19.15</v>
      </c>
      <c r="M707" s="1" t="inlineStr">
        <is>
          <t>12.71%</t>
        </is>
      </c>
      <c r="N707" s="3" t="n">
        <v>12.71</v>
      </c>
      <c r="O707" t="n">
        <v>4.5</v>
      </c>
      <c r="P707" t="n">
        <v>97</v>
      </c>
      <c r="R707" t="inlineStr">
        <is>
          <t>InStock</t>
        </is>
      </c>
      <c r="S707" t="inlineStr">
        <is>
          <t>16.99</t>
        </is>
      </c>
      <c r="T707" t="inlineStr">
        <is>
          <t>4091398324276</t>
        </is>
      </c>
    </row>
    <row r="708" hidden="1" ht="15.75" customHeight="1">
      <c r="A708" s="2">
        <f>HYPERLINK("https://www.shelhealth.com/products/661176010066-naturtint-permanent-hair-color-8n-wheat-germ-blonde-5-28-oz", "https://www.shelhealth.com/products/661176010066-naturtint-permanent-hair-color-8n-wheat-germ-blonde-5-28-oz")</f>
        <v/>
      </c>
      <c r="B708" s="2">
        <f>HYPERLINK("https://www.shelhealth.com/products/661176010066-naturtint-permanent-hair-color-8n-wheat-germ-blonde-5-28-oz", "https://www.shelhealth.com/products/661176010066-naturtint-permanent-hair-color-8n-wheat-germ-blonde-5-28-oz")</f>
        <v/>
      </c>
      <c r="C708" t="inlineStr">
        <is>
          <t>Naturtint Permanent Hair Color 8N Wheat Germ Blonde, 5.28 Oz</t>
        </is>
      </c>
      <c r="D708" t="inlineStr">
        <is>
          <t>Naturtint Permanent Hair Color 8N Wheat Germ Blonde - 5.98 fl oz</t>
        </is>
      </c>
      <c r="E708" s="2">
        <f>HYPERLINK("https://www.amazon.com/Naturtint-Clr-Blonde-Wht-Germ/dp/B006H0BTZW/ref=sr_1_3?keywords=Naturtint+Permanent+Hair+Color+8N+Wheat+Germ+Blonde%2C+5.28+Oz&amp;qid=1695170196&amp;sr=8-3", "https://www.amazon.com/Naturtint-Clr-Blonde-Wht-Germ/dp/B006H0BTZW/ref=sr_1_3?keywords=Naturtint+Permanent+Hair+Color+8N+Wheat+Germ+Blonde%2C+5.28+Oz&amp;qid=1695170196&amp;sr=8-3")</f>
        <v/>
      </c>
      <c r="F708" t="inlineStr">
        <is>
          <t>B006H0BTZW</t>
        </is>
      </c>
      <c r="G708">
        <f>_xludf.IMAGE("https://www.shelhealth.com/cdn/shop/files/naturtint-permanent-hair-color-8n-wheat-germ-blonde-5-28-oz-beauty-body-care-shelhealth-285.jpg?v=1686533145&amp;width=1946")</f>
        <v/>
      </c>
      <c r="H708">
        <f>_xludf.IMAGE("https://m.media-amazon.com/images/I/71oQXX4JsbL._AC_UL320_.jpg")</f>
        <v/>
      </c>
      <c r="K708" t="inlineStr">
        <is>
          <t>17.99</t>
        </is>
      </c>
      <c r="L708" t="n">
        <v>20.27</v>
      </c>
      <c r="M708" s="1" t="inlineStr">
        <is>
          <t>12.67%</t>
        </is>
      </c>
      <c r="N708" s="3" t="n">
        <v>12.67</v>
      </c>
      <c r="O708" t="n">
        <v>4.2</v>
      </c>
      <c r="P708" t="n">
        <v>6</v>
      </c>
      <c r="R708" t="inlineStr">
        <is>
          <t>InStock</t>
        </is>
      </c>
      <c r="S708" t="inlineStr">
        <is>
          <t>17.99</t>
        </is>
      </c>
      <c r="T708" t="inlineStr">
        <is>
          <t>7241867460796</t>
        </is>
      </c>
    </row>
    <row r="709" hidden="1" ht="15.75" customHeight="1">
      <c r="A709" s="2">
        <f>HYPERLINK("https://www.shelhealth.com/products/old-spice-fiji-2-in-1-mens-shampoo-and-conditioner-38-2-fl-oz", "https://www.shelhealth.com/products/old-spice-fiji-2-in-1-mens-shampoo-and-conditioner-38-2-fl-oz")</f>
        <v/>
      </c>
      <c r="B709" s="2">
        <f>HYPERLINK("https://www.shelhealth.com/products/old-spice-fiji-2-in-1-mens-shampoo-and-conditioner-38-2-fl-oz", "https://www.shelhealth.com/products/old-spice-fiji-2-in-1-mens-shampoo-and-conditioner-38-2-fl-oz")</f>
        <v/>
      </c>
      <c r="C709" t="inlineStr">
        <is>
          <t>Old Spice Fiji 2 in 1 Mens Shampoo and Conditioner, 38.2 FL OZ</t>
        </is>
      </c>
      <c r="D709" t="inlineStr">
        <is>
          <t>Old Spice Fiji 2in1 Shampoo And Conditioner 12 Fl Oz, 12.000-Fluid Ounce</t>
        </is>
      </c>
      <c r="E709" s="2">
        <f>HYPERLINK("https://www.amazon.com/Old-Spice-Shampoo-Conditioner-12-000-Fluid/dp/B00FRDPQRW/ref=sr_1_8?keywords=Old+Spice+Fiji+2+in+1+Mens+Shampoo+and+Conditioner%2C+38.2+FL+OZ&amp;qid=1695170259&amp;sr=8-8", "https://www.amazon.com/Old-Spice-Shampoo-Conditioner-12-000-Fluid/dp/B00FRDPQRW/ref=sr_1_8?keywords=Old+Spice+Fiji+2+in+1+Mens+Shampoo+and+Conditioner%2C+38.2+FL+OZ&amp;qid=1695170259&amp;sr=8-8")</f>
        <v/>
      </c>
      <c r="F709" t="inlineStr">
        <is>
          <t>B00FRDPQRW</t>
        </is>
      </c>
      <c r="G709">
        <f>_xludf.IMAGE("https://www.shelhealth.com/cdn/shop/products/old-spice-fiji-2-in-1-mens-shampoo-and-conditioner-38-fl-oz-shelhealth-596.jpg?v=1663350158&amp;width=1946")</f>
        <v/>
      </c>
      <c r="H709">
        <f>_xludf.IMAGE("https://m.media-amazon.com/images/I/81jYVhapjoL._AC_UL320_.jpg")</f>
        <v/>
      </c>
      <c r="K709" t="inlineStr">
        <is>
          <t>15.99</t>
        </is>
      </c>
      <c r="L709" t="n">
        <v>17.99</v>
      </c>
      <c r="M709" s="1" t="inlineStr">
        <is>
          <t>12.51%</t>
        </is>
      </c>
      <c r="N709" s="3" t="n">
        <v>12.51</v>
      </c>
      <c r="O709" t="n">
        <v>4.5</v>
      </c>
      <c r="P709" t="n">
        <v>73</v>
      </c>
      <c r="R709" t="inlineStr">
        <is>
          <t>InStock</t>
        </is>
      </c>
      <c r="S709" t="inlineStr">
        <is>
          <t>15.99</t>
        </is>
      </c>
      <c r="T709" t="inlineStr">
        <is>
          <t>4045945503796</t>
        </is>
      </c>
    </row>
    <row r="710" hidden="1" ht="15.75" customHeight="1">
      <c r="A710" s="2">
        <f>HYPERLINK("https://www.shelhealth.com/products/orlando-pita-moroccan-argan-oil-gloss-conditioner-27-oz", "https://www.shelhealth.com/products/orlando-pita-moroccan-argan-oil-gloss-conditioner-27-oz")</f>
        <v/>
      </c>
      <c r="B710" s="2">
        <f>HYPERLINK("https://www.shelhealth.com/products/orlando-pita-moroccan-argan-oil-gloss-conditioner-27-oz", "https://www.shelhealth.com/products/orlando-pita-moroccan-argan-oil-gloss-conditioner-27-oz")</f>
        <v/>
      </c>
      <c r="C710" t="inlineStr">
        <is>
          <t>Orlando Pita Moroccan Argan Oil Gloss Conditioner 27 OZ.</t>
        </is>
      </c>
      <c r="D710" t="inlineStr">
        <is>
          <t>ORLANDO PITA Moroccan Argan Oil Glossing Shampoo, Moisturizing, Softening, &amp; Shine-Enhancing for Smoother, More Manageable, &amp; Overall Healthier Hair, 27 Fl Oz</t>
        </is>
      </c>
      <c r="E710" s="2">
        <f>HYPERLINK("https://www.amazon.com/ORLANDO-PITA-Moisturizing-Shine-Enhancing-Healthier/dp/B01LYCJFK8/ref=sr_1_2?keywords=Orlando+Pita+Moroccan+Argan+Oil+Gloss+Conditioner+27+OZ.&amp;qid=1695170162&amp;sr=8-2", "https://www.amazon.com/ORLANDO-PITA-Moisturizing-Shine-Enhancing-Healthier/dp/B01LYCJFK8/ref=sr_1_2?keywords=Orlando+Pita+Moroccan+Argan+Oil+Gloss+Conditioner+27+OZ.&amp;qid=1695170162&amp;sr=8-2")</f>
        <v/>
      </c>
      <c r="F710" t="inlineStr">
        <is>
          <t>B01LYCJFK8</t>
        </is>
      </c>
      <c r="G710">
        <f>_xludf.IMAGE("https://www.shelhealth.com/cdn/shop/products/orlando-pita-moroccan-argan-oil-gloss-conditioner-27-oz-shelhealth-210.jpg?v=1663338538&amp;width=1946")</f>
        <v/>
      </c>
      <c r="H710">
        <f>_xludf.IMAGE("https://m.media-amazon.com/images/I/51Zq9aYkSaL._AC_UL320_.jpg")</f>
        <v/>
      </c>
      <c r="K710" t="inlineStr">
        <is>
          <t>23.99</t>
        </is>
      </c>
      <c r="L710" t="n">
        <v>26.97</v>
      </c>
      <c r="M710" s="1" t="inlineStr">
        <is>
          <t>12.42%</t>
        </is>
      </c>
      <c r="N710" s="3" t="n">
        <v>12.42</v>
      </c>
      <c r="O710" t="n">
        <v>4.7</v>
      </c>
      <c r="P710" t="n">
        <v>808</v>
      </c>
      <c r="R710" t="inlineStr">
        <is>
          <t>OutOfStock</t>
        </is>
      </c>
      <c r="S710" t="inlineStr">
        <is>
          <t>23.99</t>
        </is>
      </c>
      <c r="T710" t="inlineStr">
        <is>
          <t>3785888890932</t>
        </is>
      </c>
    </row>
    <row r="711" hidden="1" ht="15.75" customHeight="1">
      <c r="A711" s="2">
        <f>HYPERLINK("https://www.shelhealth.com/products/head-and-shoulders-old-spice-pure-sport-dandruff-2-in-1-shampoo-and-conditioner-43-3-fl-oz", "https://www.shelhealth.com/products/head-and-shoulders-old-spice-pure-sport-dandruff-2-in-1-shampoo-and-conditioner-43-3-fl-oz")</f>
        <v/>
      </c>
      <c r="B711" s="2">
        <f>HYPERLINK("https://www.shelhealth.com/products/head-and-shoulders-old-spice-pure-sport-dandruff-2-in-1-shampoo-and-conditioner-43-3-fl-oz", "https://www.shelhealth.com/products/head-and-shoulders-old-spice-pure-sport-dandruff-2-in-1-shampoo-and-conditioner-43-3-fl-oz")</f>
        <v/>
      </c>
      <c r="C711" t="inlineStr">
        <is>
          <t>Head and Shoulders Old Spice Pure Sport Dandruff 2 in 1 Shampoo and Conditioner, 43.3 fl. oz.</t>
        </is>
      </c>
      <c r="D711" t="inlineStr">
        <is>
          <t>Head and Shoulders Shampoo Old Spice Pure Sport, 21.9 Fl Oz, Twin Pack</t>
        </is>
      </c>
      <c r="E711" s="2">
        <f>HYPERLINK("https://www.amazon.com/Head-Shoulders-Shampoo-Dandruff-Treatment/dp/B07N9LQHVZ/ref=sr_1_8?keywords=Head+and+Shoulders+Old+Spice+Pure+Sport+Dandruff+2+in+1+Shampoo+and+Conditioner%2C+43.3+fl.+oz.&amp;qid=1695170247&amp;sr=8-8", "https://www.amazon.com/Head-Shoulders-Shampoo-Dandruff-Treatment/dp/B07N9LQHVZ/ref=sr_1_8?keywords=Head+and+Shoulders+Old+Spice+Pure+Sport+Dandruff+2+in+1+Shampoo+and+Conditioner%2C+43.3+fl.+oz.&amp;qid=1695170247&amp;sr=8-8")</f>
        <v/>
      </c>
      <c r="F711" t="inlineStr">
        <is>
          <t>B07N9LQHVZ</t>
        </is>
      </c>
      <c r="G711">
        <f>_xludf.IMAGE("https://www.shelhealth.com/cdn/shop/files/head-and-shoulders-old-spice-pure-sport-dandruff-2-in-1-shampoo-conditioner-43-3-fl-oz-health-beautyhair-care-shelhealth-147.jpg?v=1686282321&amp;width=1946")</f>
        <v/>
      </c>
      <c r="H711">
        <f>_xludf.IMAGE("https://m.media-amazon.com/images/I/813IpFT+nuL._AC_UL320_.jpg")</f>
        <v/>
      </c>
      <c r="K711" t="inlineStr">
        <is>
          <t>22.99</t>
        </is>
      </c>
      <c r="L711" t="n">
        <v>25.78</v>
      </c>
      <c r="M711" s="1" t="inlineStr">
        <is>
          <t>12.14%</t>
        </is>
      </c>
      <c r="N711" s="3" t="n">
        <v>12.14</v>
      </c>
      <c r="O711" t="n">
        <v>4.8</v>
      </c>
      <c r="P711" t="n">
        <v>2256</v>
      </c>
      <c r="R711" t="inlineStr">
        <is>
          <t>OutOfStock</t>
        </is>
      </c>
      <c r="S711" t="inlineStr">
        <is>
          <t>22.99</t>
        </is>
      </c>
      <c r="T711" t="inlineStr">
        <is>
          <t>4091405729844</t>
        </is>
      </c>
    </row>
    <row r="712" hidden="1" ht="15.75" customHeight="1">
      <c r="A712" s="2">
        <f>HYPERLINK("https://www.shelhealth.com/products/856932007774-andalou-naturals-argan-oil-shea-shampoo-32-fo", "https://www.shelhealth.com/products/856932007774-andalou-naturals-argan-oil-shea-shampoo-32-fo")</f>
        <v/>
      </c>
      <c r="B712" s="2">
        <f>HYPERLINK("https://www.shelhealth.com/products/856932007774-andalou-naturals-argan-oil-shea-shampoo-32-fo", "https://www.shelhealth.com/products/856932007774-andalou-naturals-argan-oil-shea-shampoo-32-fo")</f>
        <v/>
      </c>
      <c r="C712" t="inlineStr">
        <is>
          <t>Andalou Naturals Argan Oil Shea Shampoo, 32 Fo</t>
        </is>
      </c>
      <c r="D712" t="inlineStr">
        <is>
          <t>Andalou Naturals Argan Oil &amp; Shea Moisture Rich Conditioner, 32 Fl Oz</t>
        </is>
      </c>
      <c r="E712" s="2">
        <f>HYPERLINK("https://www.amazon.com/Andalou-Naturals-Argan-Moisture-Conditioner/dp/B083YG4TPP/ref=sr_1_3?keywords=Andalou+Naturals+Argan+Oil+Shea+Shampoo%2C+32+Fo&amp;qid=1695170178&amp;sr=8-3", "https://www.amazon.com/Andalou-Naturals-Argan-Moisture-Conditioner/dp/B083YG4TPP/ref=sr_1_3?keywords=Andalou+Naturals+Argan+Oil+Shea+Shampoo%2C+32+Fo&amp;qid=1695170178&amp;sr=8-3")</f>
        <v/>
      </c>
      <c r="F712" t="inlineStr">
        <is>
          <t>B083YG4TPP</t>
        </is>
      </c>
      <c r="G712">
        <f>_xludf.IMAGE("https://www.shelhealth.com/cdn/shop/files/andalou-naturals-argan-oil-shea-shampoo-32-fo-beauty-body-care-shelhealth-540.jpg?v=1686192281&amp;width=1946")</f>
        <v/>
      </c>
      <c r="H712">
        <f>_xludf.IMAGE("https://m.media-amazon.com/images/I/41CFl9UqoJL._AC_UL320_.jpg")</f>
        <v/>
      </c>
      <c r="K712" t="inlineStr">
        <is>
          <t>16.99</t>
        </is>
      </c>
      <c r="L712" t="n">
        <v>18.98</v>
      </c>
      <c r="M712" s="1" t="inlineStr">
        <is>
          <t>11.71%</t>
        </is>
      </c>
      <c r="N712" s="3" t="n">
        <v>11.71</v>
      </c>
      <c r="O712" t="n">
        <v>4.4</v>
      </c>
      <c r="P712" t="n">
        <v>532</v>
      </c>
      <c r="R712" t="inlineStr">
        <is>
          <t>OutOfStock</t>
        </is>
      </c>
      <c r="S712" t="inlineStr">
        <is>
          <t>16.99</t>
        </is>
      </c>
      <c r="T712" t="inlineStr">
        <is>
          <t>7241445671100</t>
        </is>
      </c>
    </row>
    <row r="713" hidden="1" ht="15.75" customHeight="1">
      <c r="A713" s="2">
        <f>HYPERLINK("https://www.shelhealth.com/products/856932007781-andalou-naturals-argan-oil-shea-moisture-conditioner-32-fo", "https://www.shelhealth.com/products/856932007781-andalou-naturals-argan-oil-shea-moisture-conditioner-32-fo")</f>
        <v/>
      </c>
      <c r="B713" s="2">
        <f>HYPERLINK("https://www.shelhealth.com/products/856932007781-andalou-naturals-argan-oil-shea-moisture-conditioner-32-fo", "https://www.shelhealth.com/products/856932007781-andalou-naturals-argan-oil-shea-moisture-conditioner-32-fo")</f>
        <v/>
      </c>
      <c r="C713" t="inlineStr">
        <is>
          <t>Andalou Naturals Argan Oil Shea Moisture Conditioner, 32 Fo</t>
        </is>
      </c>
      <c r="D713" t="inlineStr">
        <is>
          <t>Andalou Naturals Argan Oil &amp; Shea Moisture Rich Conditioner, 32 Fl Oz</t>
        </is>
      </c>
      <c r="E713" s="2">
        <f>HYPERLINK("https://www.amazon.com/Andalou-Naturals-Argan-Moisture-Conditioner/dp/B083YG4TPP/ref=sr_1_1?keywords=Andalou+Naturals+Argan+Oil+Shea+Moisture+Conditioner%2C+32+Fo&amp;qid=1695170219&amp;sr=8-1", "https://www.amazon.com/Andalou-Naturals-Argan-Moisture-Conditioner/dp/B083YG4TPP/ref=sr_1_1?keywords=Andalou+Naturals+Argan+Oil+Shea+Moisture+Conditioner%2C+32+Fo&amp;qid=1695170219&amp;sr=8-1")</f>
        <v/>
      </c>
      <c r="F713" t="inlineStr">
        <is>
          <t>B083YG4TPP</t>
        </is>
      </c>
      <c r="G713">
        <f>_xludf.IMAGE("https://www.shelhealth.com/cdn/shop/files/andalou-naturals-argan-oil-shea-moisture-conditioner-32-fo-beauty-body-care-shelhealth-207.jpg?v=1693335344&amp;width=1946")</f>
        <v/>
      </c>
      <c r="H713">
        <f>_xludf.IMAGE("https://m.media-amazon.com/images/I/41CFl9UqoJL._AC_UL320_.jpg")</f>
        <v/>
      </c>
      <c r="K713" t="inlineStr">
        <is>
          <t>16.99</t>
        </is>
      </c>
      <c r="L713" t="n">
        <v>18.98</v>
      </c>
      <c r="M713" s="1" t="inlineStr">
        <is>
          <t>11.71%</t>
        </is>
      </c>
      <c r="N713" s="3" t="n">
        <v>11.71</v>
      </c>
      <c r="O713" t="n">
        <v>4.4</v>
      </c>
      <c r="P713" t="n">
        <v>532</v>
      </c>
      <c r="R713" t="inlineStr">
        <is>
          <t>OutOfStock</t>
        </is>
      </c>
      <c r="S713" t="inlineStr">
        <is>
          <t>16.99</t>
        </is>
      </c>
      <c r="T713" t="inlineStr">
        <is>
          <t>7241445572796</t>
        </is>
      </c>
    </row>
    <row r="714" hidden="1" ht="15.75" customHeight="1">
      <c r="A714" s="2">
        <f>HYPERLINK("https://www.shelhealth.com/products/ogx-biotin-collagen-conditioner-25-4-ounce-with-pump", "https://www.shelhealth.com/products/ogx-biotin-collagen-conditioner-25-4-ounce-with-pump")</f>
        <v/>
      </c>
      <c r="B714" s="2">
        <f>HYPERLINK("https://www.shelhealth.com/products/ogx-biotin-collagen-conditioner-25-4-ounce-with-pump", "https://www.shelhealth.com/products/ogx-biotin-collagen-conditioner-25-4-ounce-with-pump")</f>
        <v/>
      </c>
      <c r="C714" t="inlineStr">
        <is>
          <t>OGX Biotin Collagen Conditioner, 25.4 Ounce with Pump</t>
        </is>
      </c>
      <c r="D714" t="inlineStr">
        <is>
          <t>OGX Thick &amp; Full Biotin &amp; Collagen Conditioner, Salon Size 25.4 Ounce Bottle w/ Pump, Paraben Free Sulfate Free Sustainable Ingredients Nourishing and Strengthening</t>
        </is>
      </c>
      <c r="E714" s="2">
        <f>HYPERLINK("https://www.amazon.com/OGX-Conditioner-Sustainable-Ingredients-Strengthening/dp/B01KYHUYZY/ref=sr_1_2?keywords=OGX+Biotin+Collagen+Conditioner%2C+25.4+Ounce+with+Pump&amp;qid=1695170248&amp;sr=8-2", "https://www.amazon.com/OGX-Conditioner-Sustainable-Ingredients-Strengthening/dp/B01KYHUYZY/ref=sr_1_2?keywords=OGX+Biotin+Collagen+Conditioner%2C+25.4+Ounce+with+Pump&amp;qid=1695170248&amp;sr=8-2")</f>
        <v/>
      </c>
      <c r="F714" t="inlineStr">
        <is>
          <t>B01KYHUYZY</t>
        </is>
      </c>
      <c r="G714">
        <f>_xludf.IMAGE("https://www.shelhealth.com/cdn/shop/products/ogx-biotin-collagen-conditioner-25-4-ounce-with-pump-shelhealth-469.jpg?v=1663350144&amp;width=1946")</f>
        <v/>
      </c>
      <c r="H714">
        <f>_xludf.IMAGE("https://m.media-amazon.com/images/I/51djjAd9XpL._AC_UL320_.jpg")</f>
        <v/>
      </c>
      <c r="K714" t="inlineStr">
        <is>
          <t>16.99</t>
        </is>
      </c>
      <c r="L714" t="n">
        <v>18.9</v>
      </c>
      <c r="M714" s="1" t="inlineStr">
        <is>
          <t>11.24%</t>
        </is>
      </c>
      <c r="N714" s="3" t="n">
        <v>11.24</v>
      </c>
      <c r="O714" t="n">
        <v>4.1</v>
      </c>
      <c r="P714" t="n">
        <v>308</v>
      </c>
      <c r="R714" t="inlineStr">
        <is>
          <t>InStock</t>
        </is>
      </c>
      <c r="S714" t="inlineStr">
        <is>
          <t>16.99</t>
        </is>
      </c>
      <c r="T714" t="inlineStr">
        <is>
          <t>4045942947892</t>
        </is>
      </c>
    </row>
    <row r="715" hidden="1" ht="15.75" customHeight="1">
      <c r="A715" s="2">
        <f>HYPERLINK("https://www.shelhealth.com/products/661176010097-naturtint-hair-color-5g-light-golden-chestnut-5-28-oz", "https://www.shelhealth.com/products/661176010097-naturtint-hair-color-5g-light-golden-chestnut-5-28-oz")</f>
        <v/>
      </c>
      <c r="B715" s="2">
        <f>HYPERLINK("https://www.shelhealth.com/products/661176010097-naturtint-hair-color-5g-light-golden-chestnut-5-28-oz", "https://www.shelhealth.com/products/661176010097-naturtint-hair-color-5g-light-golden-chestnut-5-28-oz")</f>
        <v/>
      </c>
      <c r="C715" t="inlineStr">
        <is>
          <t>Naturtint Hair Color 5G Light Golden Chestnut, 5.28 Oz</t>
        </is>
      </c>
      <c r="D715" t="inlineStr">
        <is>
          <t>Naturtint Permanent Permanent Hair Colors Light Golden Chestnut (5G) 5.60 oz</t>
        </is>
      </c>
      <c r="E715" s="2">
        <f>HYPERLINK("https://www.amazon.com/Naturtint-Permanent-Colors-Chestnut-5G/dp/B0019LPSX8/ref=sr_1_4?keywords=Naturtint+Hair+Color+5G+Light+Golden+Chestnut%2C+5.28+Oz&amp;qid=1695170198&amp;sr=8-4", "https://www.amazon.com/Naturtint-Permanent-Colors-Chestnut-5G/dp/B0019LPSX8/ref=sr_1_4?keywords=Naturtint+Hair+Color+5G+Light+Golden+Chestnut%2C+5.28+Oz&amp;qid=1695170198&amp;sr=8-4")</f>
        <v/>
      </c>
      <c r="F715" t="inlineStr">
        <is>
          <t>B0019LPSX8</t>
        </is>
      </c>
      <c r="G715">
        <f>_xludf.IMAGE("https://www.shelhealth.com/cdn/shop/files/naturtint-hair-color-5g-light-golden-chestnut-5-28-oz-beauty-body-care-shelhealth-114.jpg?v=1686533233&amp;width=1946")</f>
        <v/>
      </c>
      <c r="H715">
        <f>_xludf.IMAGE("https://m.media-amazon.com/images/I/81abpxBIx2L._AC_UL320_.jpg")</f>
        <v/>
      </c>
      <c r="K715" t="inlineStr">
        <is>
          <t>17.99</t>
        </is>
      </c>
      <c r="L715" t="n">
        <v>19.95</v>
      </c>
      <c r="M715" s="1" t="inlineStr">
        <is>
          <t>10.89%</t>
        </is>
      </c>
      <c r="N715" s="3" t="n">
        <v>10.89</v>
      </c>
      <c r="O715" t="n">
        <v>4.3</v>
      </c>
      <c r="P715" t="n">
        <v>204</v>
      </c>
      <c r="R715" t="inlineStr">
        <is>
          <t>InStock</t>
        </is>
      </c>
      <c r="S715" t="inlineStr">
        <is>
          <t>17.99</t>
        </is>
      </c>
      <c r="T715" t="inlineStr">
        <is>
          <t>7241865887932</t>
        </is>
      </c>
    </row>
    <row r="716" hidden="1" ht="15.75" customHeight="1">
      <c r="A716" s="2">
        <f>HYPERLINK("https://www.shelhealth.com/products/conair-infiniti-pro-hair-dyer-1875-watt", "https://www.shelhealth.com/products/conair-infiniti-pro-hair-dyer-1875-watt")</f>
        <v/>
      </c>
      <c r="B716" s="2">
        <f>HYPERLINK("https://www.shelhealth.com/products/conair-infiniti-pro-hair-dyer-1875-watt", "https://www.shelhealth.com/products/conair-infiniti-pro-hair-dyer-1875-watt")</f>
        <v/>
      </c>
      <c r="C716" t="inlineStr">
        <is>
          <t>Conair Infiniti Pro Hair Dyer 1875 WATT</t>
        </is>
      </c>
      <c r="D716" t="inlineStr">
        <is>
          <t>Conair Infiniti Pro Hair Dryer 1875 Wats 1Count,</t>
        </is>
      </c>
      <c r="E716" s="2">
        <f>HYPERLINK("https://www.amazon.com/Conair-Infiniti-Hair-Dryer-1Count/dp/B07NR97MXG/ref=sr_1_10?keywords=Conair+Infiniti+Pro+Hair+Dyer+1875+WATT&amp;qid=1695170168&amp;sr=8-10", "https://www.amazon.com/Conair-Infiniti-Hair-Dryer-1Count/dp/B07NR97MXG/ref=sr_1_10?keywords=Conair+Infiniti+Pro+Hair+Dyer+1875+WATT&amp;qid=1695170168&amp;sr=8-10")</f>
        <v/>
      </c>
      <c r="F716" t="inlineStr">
        <is>
          <t>B07NR97MXG</t>
        </is>
      </c>
      <c r="G716">
        <f>_xludf.IMAGE("https://www.shelhealth.com/cdn/shop/products/conair-infiniti-pro-hair-dyer-1875-watt-shelhealth-502.jpg?v=1663343315&amp;width=1946")</f>
        <v/>
      </c>
      <c r="H716">
        <f>_xludf.IMAGE("https://m.media-amazon.com/images/I/81t7y03jyVL._AC_UL320_.jpg")</f>
        <v/>
      </c>
      <c r="K716" t="inlineStr">
        <is>
          <t>36.99</t>
        </is>
      </c>
      <c r="L716" t="n">
        <v>40.99</v>
      </c>
      <c r="M716" s="1" t="inlineStr">
        <is>
          <t>10.81%</t>
        </is>
      </c>
      <c r="N716" s="3" t="n">
        <v>10.81</v>
      </c>
      <c r="O716" t="n">
        <v>4</v>
      </c>
      <c r="P716" t="n">
        <v>70</v>
      </c>
      <c r="R716" t="inlineStr">
        <is>
          <t>OutOfStock</t>
        </is>
      </c>
      <c r="S716" t="inlineStr">
        <is>
          <t>36.99</t>
        </is>
      </c>
      <c r="T716" t="inlineStr">
        <is>
          <t>3820082167860</t>
        </is>
      </c>
    </row>
    <row r="717" hidden="1" ht="15.75" customHeight="1">
      <c r="A717" s="2">
        <f>HYPERLINK("https://www.shelhealth.com/products/718334337128-desert-essence-organics-conditioner-fragrance-free-8-oz", "https://www.shelhealth.com/products/718334337128-desert-essence-organics-conditioner-fragrance-free-8-oz")</f>
        <v/>
      </c>
      <c r="B717" s="2">
        <f>HYPERLINK("https://www.shelhealth.com/products/718334337128-desert-essence-organics-conditioner-fragrance-free-8-oz", "https://www.shelhealth.com/products/718334337128-desert-essence-organics-conditioner-fragrance-free-8-oz")</f>
        <v/>
      </c>
      <c r="C717" t="inlineStr">
        <is>
          <t>Desert Essence Organics Conditioner Fragrance Free, 8 Oz (Case of 3)</t>
        </is>
      </c>
      <c r="D717" t="inlineStr">
        <is>
          <t>Desert Essence Fragrance Free Conditioner, 8.0 fl. oz - Pack of 4 - Gluten Free, Vegan, Paraben Free - Daily Use Pure and Gentle Conditioner with Jojoba Oil, Sunflower Oil and Organic Green Tea</t>
        </is>
      </c>
      <c r="E717" s="2">
        <f>HYPERLINK("https://www.amazon.com/Desert-Essence-Fragrance-Free-Conditioner/dp/B001E11VVG/ref=sr_1_8?keywords=Desert+Essence+Organics+Conditioner+Fragrance+Free%2C+8+Oz+%28Case+of+3%29&amp;qid=1695170214&amp;sr=8-8", "https://www.amazon.com/Desert-Essence-Fragrance-Free-Conditioner/dp/B001E11VVG/ref=sr_1_8?keywords=Desert+Essence+Organics+Conditioner+Fragrance+Free%2C+8+Oz+%28Case+of+3%29&amp;qid=1695170214&amp;sr=8-8")</f>
        <v/>
      </c>
      <c r="F717" t="inlineStr">
        <is>
          <t>B001E11VVG</t>
        </is>
      </c>
      <c r="G717">
        <f>_xludf.IMAGE("https://www.shelhealth.com/cdn/shop/files/desert-essence-organics-conditioner-fragrance-free-8-oz-case-of-3-beauty-body-care-shelhealth-713.jpg?v=1686485062&amp;width=1946")</f>
        <v/>
      </c>
      <c r="H717">
        <f>_xludf.IMAGE("https://m.media-amazon.com/images/I/71M8TsG5jpL._AC_UL320_.jpg")</f>
        <v/>
      </c>
      <c r="K717" t="inlineStr">
        <is>
          <t>26.99</t>
        </is>
      </c>
      <c r="L717" t="n">
        <v>29.65</v>
      </c>
      <c r="M717" s="1" t="inlineStr">
        <is>
          <t>9.86%</t>
        </is>
      </c>
      <c r="N717" s="3" t="n">
        <v>9.859999999999999</v>
      </c>
      <c r="O717" t="n">
        <v>4.5</v>
      </c>
      <c r="P717" t="n">
        <v>99</v>
      </c>
      <c r="R717" t="inlineStr">
        <is>
          <t>InStock</t>
        </is>
      </c>
      <c r="S717" t="inlineStr">
        <is>
          <t>26.99</t>
        </is>
      </c>
      <c r="T717" t="inlineStr">
        <is>
          <t>7241585918140</t>
        </is>
      </c>
    </row>
    <row r="718" hidden="1" ht="15.75" customHeight="1">
      <c r="A718" s="2">
        <f>HYPERLINK("https://www.shelhealth.com/products/sheamoisture-raw-shea-butter-restorative-conditioner-34-oz", "https://www.shelhealth.com/products/sheamoisture-raw-shea-butter-restorative-conditioner-34-oz")</f>
        <v/>
      </c>
      <c r="B718" s="2">
        <f>HYPERLINK("https://www.shelhealth.com/products/sheamoisture-raw-shea-butter-restorative-conditioner-34-oz", "https://www.shelhealth.com/products/sheamoisture-raw-shea-butter-restorative-conditioner-34-oz")</f>
        <v/>
      </c>
      <c r="C718" t="inlineStr">
        <is>
          <t>SheaMoisture Raw Shea Butter Restorative Conditioner, 34 oz.</t>
        </is>
      </c>
      <c r="D718" t="inlineStr">
        <is>
          <t>SheaMoisture Raw Shea Butter Restorative Conditioner, 34 oz.</t>
        </is>
      </c>
      <c r="E718" s="2">
        <f>HYPERLINK("https://www.amazon.com/SheaMoisture-Shea-Butter-Restorative-Conditioner/dp/B073HPLM2N/ref=sr_1_1?keywords=SheaMoisture+Raw+Shea+Butter+Restorative+Conditioner%2C+34+oz.&amp;qid=1695170173&amp;sr=8-1", "https://www.amazon.com/SheaMoisture-Shea-Butter-Restorative-Conditioner/dp/B073HPLM2N/ref=sr_1_1?keywords=SheaMoisture+Raw+Shea+Butter+Restorative+Conditioner%2C+34+oz.&amp;qid=1695170173&amp;sr=8-1")</f>
        <v/>
      </c>
      <c r="F718" t="inlineStr">
        <is>
          <t>B073HPLM2N</t>
        </is>
      </c>
      <c r="G718">
        <f>_xludf.IMAGE("https://www.shelhealth.com/cdn/shop/files/sheamoisture-raw-shea-butter-restorative-conditioner-34-oz-health-beautyhair-care-shelhealth-429.jpg?v=1686133447&amp;width=1946")</f>
        <v/>
      </c>
      <c r="H718">
        <f>_xludf.IMAGE("https://m.media-amazon.com/images/I/71UScb2ABGL._AC_UL320_.jpg")</f>
        <v/>
      </c>
      <c r="K718" t="inlineStr">
        <is>
          <t>32.99</t>
        </is>
      </c>
      <c r="L718" t="n">
        <v>36.22</v>
      </c>
      <c r="M718" s="1" t="inlineStr">
        <is>
          <t>9.79%</t>
        </is>
      </c>
      <c r="N718" s="3" t="n">
        <v>9.789999999999999</v>
      </c>
      <c r="O718" t="n">
        <v>4</v>
      </c>
      <c r="P718" t="n">
        <v>26</v>
      </c>
      <c r="R718" t="inlineStr">
        <is>
          <t>InStock</t>
        </is>
      </c>
      <c r="S718" t="inlineStr">
        <is>
          <t>32.99</t>
        </is>
      </c>
      <c r="T718" t="inlineStr">
        <is>
          <t>4045929480244</t>
        </is>
      </c>
    </row>
    <row r="719" hidden="1" ht="15.75" customHeight="1">
      <c r="A719" s="2">
        <f>HYPERLINK("https://www.shelhealth.com/products/077014100040-light-mountain-auburn-hair-and-color-conditioner-4-oz", "https://www.shelhealth.com/products/077014100040-light-mountain-auburn-hair-and-color-conditioner-4-oz")</f>
        <v/>
      </c>
      <c r="B719" s="2">
        <f>HYPERLINK("https://www.shelhealth.com/products/077014100040-light-mountain-auburn-hair-and-color-conditioner-4-oz", "https://www.shelhealth.com/products/077014100040-light-mountain-auburn-hair-and-color-conditioner-4-oz")</f>
        <v/>
      </c>
      <c r="C719" t="inlineStr">
        <is>
          <t>Light Mountain Auburn Hair And Color Conditioner, 4 Oz (Case of 3)</t>
        </is>
      </c>
      <c r="D719" t="inlineStr">
        <is>
          <t>Light Mountain Henna Hair Color &amp; Conditioner - Auburn Hair Dye for Men/Women, Organic Henna Leaf Powder and Botanicals, Chemical-Free, Semi-Permanent Hair Color, 4 Oz (Pack of 3)</t>
        </is>
      </c>
      <c r="E719" s="2">
        <f>HYPERLINK("https://www.amazon.com/Light-Mountain-Natural-Conditioner-Auburn/dp/B001ET7N6A/ref=sr_1_3?keywords=Light+Mountain+Auburn+Hair+And+Color+Conditioner%2C+4+Oz+%28Case+of+3%29&amp;qid=1695170203&amp;sr=8-3", "https://www.amazon.com/Light-Mountain-Natural-Conditioner-Auburn/dp/B001ET7N6A/ref=sr_1_3?keywords=Light+Mountain+Auburn+Hair+And+Color+Conditioner%2C+4+Oz+%28Case+of+3%29&amp;qid=1695170203&amp;sr=8-3")</f>
        <v/>
      </c>
      <c r="F719" t="inlineStr">
        <is>
          <t>B001ET7N6A</t>
        </is>
      </c>
      <c r="G719">
        <f>_xludf.IMAGE("https://www.shelhealth.com/cdn/shop/files/light-mountain-auburn-hair-and-color-conditioner-4-oz-case-of-3-grocery-shelhealth-369.jpg?v=1686198741&amp;width=1946")</f>
        <v/>
      </c>
      <c r="H719">
        <f>_xludf.IMAGE("https://m.media-amazon.com/images/I/81Ca0oelJEL._AC_UL320_.jpg")</f>
        <v/>
      </c>
      <c r="K719" t="inlineStr">
        <is>
          <t>20.99</t>
        </is>
      </c>
      <c r="L719" t="n">
        <v>22.99</v>
      </c>
      <c r="M719" s="1" t="inlineStr">
        <is>
          <t>9.53%</t>
        </is>
      </c>
      <c r="N719" s="3" t="n">
        <v>9.529999999999999</v>
      </c>
      <c r="O719" t="n">
        <v>4.5</v>
      </c>
      <c r="P719" t="n">
        <v>387</v>
      </c>
      <c r="R719" t="inlineStr">
        <is>
          <t>OutOfStock</t>
        </is>
      </c>
      <c r="S719" t="inlineStr">
        <is>
          <t>20.99</t>
        </is>
      </c>
      <c r="T719" t="inlineStr">
        <is>
          <t>7241789309116</t>
        </is>
      </c>
    </row>
    <row r="720" hidden="1" ht="15.75" customHeight="1">
      <c r="A720" s="2">
        <f>HYPERLINK("https://www.shelhealth.com/products/661176010059-naturtint-permanent-hair-color-7n-hazelnut-blonde-5-28-oz", "https://www.shelhealth.com/products/661176010059-naturtint-permanent-hair-color-7n-hazelnut-blonde-5-28-oz")</f>
        <v/>
      </c>
      <c r="B720" s="2">
        <f>HYPERLINK("https://www.shelhealth.com/products/661176010059-naturtint-permanent-hair-color-7n-hazelnut-blonde-5-28-oz", "https://www.shelhealth.com/products/661176010059-naturtint-permanent-hair-color-7n-hazelnut-blonde-5-28-oz")</f>
        <v/>
      </c>
      <c r="C720" t="inlineStr">
        <is>
          <t>Naturtint Permanent Hair Color 7N Hazelnut Blonde, 5.28 Oz</t>
        </is>
      </c>
      <c r="D720" t="inlineStr">
        <is>
          <t>Naturtint Permanent Hair Color 7N Hazelnut Blonde - 5.4 fl oz</t>
        </is>
      </c>
      <c r="E720" s="2">
        <f>HYPERLINK("https://www.amazon.com/Naturtint-Hr-Clr-Blonde-Hazelnut/dp/B0074I467O/ref=sr_1_1?keywords=Naturtint+Permanent+Hair+Color+7N+Hazelnut+Blonde%2C+5.28+Oz&amp;qid=1695170196&amp;sr=8-1", "https://www.amazon.com/Naturtint-Hr-Clr-Blonde-Hazelnut/dp/B0074I467O/ref=sr_1_1?keywords=Naturtint+Permanent+Hair+Color+7N+Hazelnut+Blonde%2C+5.28+Oz&amp;qid=1695170196&amp;sr=8-1")</f>
        <v/>
      </c>
      <c r="F720" t="inlineStr">
        <is>
          <t>B0074I467O</t>
        </is>
      </c>
      <c r="G720">
        <f>_xludf.IMAGE("https://www.shelhealth.com/cdn/shop/files/naturtint-permanent-hair-color-7n-hazelnut-blonde-5-28-oz-beauty-body-care-shelhealth-779.jpg?v=1686533268&amp;width=1946")</f>
        <v/>
      </c>
      <c r="H720">
        <f>_xludf.IMAGE("https://m.media-amazon.com/images/I/81q9qArA4FL._AC_UL320_.jpg")</f>
        <v/>
      </c>
      <c r="K720" t="inlineStr">
        <is>
          <t>17.99</t>
        </is>
      </c>
      <c r="L720" t="n">
        <v>19.69</v>
      </c>
      <c r="M720" s="1" t="inlineStr">
        <is>
          <t>9.45%</t>
        </is>
      </c>
      <c r="N720" s="3" t="n">
        <v>9.449999999999999</v>
      </c>
      <c r="O720" t="n">
        <v>4.6</v>
      </c>
      <c r="P720" t="n">
        <v>90</v>
      </c>
      <c r="R720" t="inlineStr">
        <is>
          <t>InStock</t>
        </is>
      </c>
      <c r="S720" t="inlineStr">
        <is>
          <t>17.99</t>
        </is>
      </c>
      <c r="T720" t="inlineStr">
        <is>
          <t>7241867198652</t>
        </is>
      </c>
    </row>
    <row r="721" hidden="1" ht="15.75" customHeight="1">
      <c r="A721" s="2">
        <f>HYPERLINK("https://www.shelhealth.com/products/878639001176-every-man-jack-2-in-1-anti-dandruff-shampoo-13-5-oz", "https://www.shelhealth.com/products/878639001176-every-man-jack-2-in-1-anti-dandruff-shampoo-13-5-oz")</f>
        <v/>
      </c>
      <c r="B721" s="2">
        <f>HYPERLINK("https://www.shelhealth.com/products/878639001176-every-man-jack-2-in-1-anti-dandruff-shampoo-13-5-oz", "https://www.shelhealth.com/products/878639001176-every-man-jack-2-in-1-anti-dandruff-shampoo-13-5-oz")</f>
        <v/>
      </c>
      <c r="C721" t="inlineStr">
        <is>
          <t>Every Man Jack 2 In 1 Anti Dandruff Shampoo, 13.5 Oz (Case of 2)</t>
        </is>
      </c>
      <c r="D721" t="inlineStr">
        <is>
          <t>Every Man Jack 2in1 Antidandruff Shampoo + Conditioner, Eucalyptus, 13.5 Fl Oz</t>
        </is>
      </c>
      <c r="E721" s="2">
        <f>HYPERLINK("https://www.amazon.com/Every-Man-Jack-Anti-Dandruff-Eucalyptus/dp/B06XSJDZW5/ref=sr_1_1?keywords=Every+Man+Jack+2+In+1+Anti+Dandruff+Shampoo%2C+13.5+Oz+%28Case+of+2%29&amp;qid=1695170190&amp;sr=8-1", "https://www.amazon.com/Every-Man-Jack-Anti-Dandruff-Eucalyptus/dp/B06XSJDZW5/ref=sr_1_1?keywords=Every+Man+Jack+2+In+1+Anti+Dandruff+Shampoo%2C+13.5+Oz+%28Case+of+2%29&amp;qid=1695170190&amp;sr=8-1")</f>
        <v/>
      </c>
      <c r="F721" t="inlineStr">
        <is>
          <t>B06XSJDZW5</t>
        </is>
      </c>
      <c r="G721">
        <f>_xludf.IMAGE("https://www.shelhealth.com/cdn/shop/files/every-man-jack-2-in-1-anti-dandruff-shampoo-13-5-oz-case-of-beauty-body-care-shelhealth-662.jpg?v=1686195738&amp;width=1946")</f>
        <v/>
      </c>
      <c r="H721">
        <f>_xludf.IMAGE("https://m.media-amazon.com/images/I/71D+9aCErkL._AC_UL320_.jpg")</f>
        <v/>
      </c>
      <c r="K721" t="inlineStr">
        <is>
          <t>21.99</t>
        </is>
      </c>
      <c r="L721" t="n">
        <v>23.99</v>
      </c>
      <c r="M721" s="1" t="inlineStr">
        <is>
          <t>9.10%</t>
        </is>
      </c>
      <c r="N721" s="3" t="n">
        <v>9.1</v>
      </c>
      <c r="O721" t="n">
        <v>4.4</v>
      </c>
      <c r="P721" t="n">
        <v>865</v>
      </c>
      <c r="R721" t="inlineStr">
        <is>
          <t>OutOfStock</t>
        </is>
      </c>
      <c r="S721" t="inlineStr">
        <is>
          <t>21.99</t>
        </is>
      </c>
      <c r="T721" t="inlineStr">
        <is>
          <t>7241625239740</t>
        </is>
      </c>
    </row>
    <row r="722" hidden="1" ht="15.75" customHeight="1">
      <c r="A722" s="2">
        <f>HYPERLINK("https://www.shelhealth.com/products/666248001133-herbatint-permanent-hair-color-gel-7d-golden-blonde-4-56-oz", "https://www.shelhealth.com/products/666248001133-herbatint-permanent-hair-color-gel-7d-golden-blonde-4-56-oz")</f>
        <v/>
      </c>
      <c r="B722" s="2">
        <f>HYPERLINK("https://www.shelhealth.com/products/666248001133-herbatint-permanent-hair-color-gel-7d-golden-blonde-4-56-oz", "https://www.shelhealth.com/products/666248001133-herbatint-permanent-hair-color-gel-7d-golden-blonde-4-56-oz")</f>
        <v/>
      </c>
      <c r="C722" t="inlineStr">
        <is>
          <t>Herbatint Permanent Hair Color Gel 7D Golden Blonde, 4.56 Oz</t>
        </is>
      </c>
      <c r="D722" t="inlineStr">
        <is>
          <t>Herbatint Permanent Haircolor Gel, 7D Golden Blonde, Alcohol Free, Vegan, 100% Grey Coverage - 4.56 oz</t>
        </is>
      </c>
      <c r="E722" s="2">
        <f>HYPERLINK("https://www.amazon.com/Herbatint-Permanent-Herbal-Haircolor-Golden/dp/B00028LODC/ref=sr_1_2?keywords=Herbatint+Permanent+Hair+Color+Gel+7D+Golden+Blonde%2C+4.56+Oz&amp;qid=1695170204&amp;sr=8-2", "https://www.amazon.com/Herbatint-Permanent-Herbal-Haircolor-Golden/dp/B00028LODC/ref=sr_1_2?keywords=Herbatint+Permanent+Hair+Color+Gel+7D+Golden+Blonde%2C+4.56+Oz&amp;qid=1695170204&amp;sr=8-2")</f>
        <v/>
      </c>
      <c r="F722" t="inlineStr">
        <is>
          <t>B00028LODC</t>
        </is>
      </c>
      <c r="G722">
        <f>_xludf.IMAGE("https://www.shelhealth.com/cdn/shop/files/herbatint-permanent-hair-color-gel-7d-golden-blonde-4-56-oz-beauty-body-care-shelhealth-887.jpg?v=1686196963&amp;width=1946")</f>
        <v/>
      </c>
      <c r="H722">
        <f>_xludf.IMAGE("https://m.media-amazon.com/images/I/81ErW2Dk7kL._AC_UL320_.jpg")</f>
        <v/>
      </c>
      <c r="K722" t="inlineStr">
        <is>
          <t>16.99</t>
        </is>
      </c>
      <c r="L722" t="n">
        <v>18.47</v>
      </c>
      <c r="M722" s="1" t="inlineStr">
        <is>
          <t>8.71%</t>
        </is>
      </c>
      <c r="N722" s="3" t="n">
        <v>8.710000000000001</v>
      </c>
      <c r="O722" t="n">
        <v>4</v>
      </c>
      <c r="P722" t="n">
        <v>127</v>
      </c>
      <c r="R722" t="inlineStr">
        <is>
          <t>OutOfStock</t>
        </is>
      </c>
      <c r="S722" t="inlineStr">
        <is>
          <t>16.99</t>
        </is>
      </c>
      <c r="T722" t="inlineStr">
        <is>
          <t>7241699655868</t>
        </is>
      </c>
    </row>
    <row r="723" hidden="1" ht="15.75" customHeight="1">
      <c r="A723" s="2">
        <f>HYPERLINK("https://www.shelhealth.com/products/666248001133-herbatint-permanent-hair-color-gel-7d-golden-blonde-4-56-oz", "https://www.shelhealth.com/products/666248001133-herbatint-permanent-hair-color-gel-7d-golden-blonde-4-56-oz")</f>
        <v/>
      </c>
      <c r="B723" s="2">
        <f>HYPERLINK("https://www.shelhealth.com/products/666248001133-herbatint-permanent-hair-color-gel-7d-golden-blonde-4-56-oz", "https://www.shelhealth.com/products/666248001133-herbatint-permanent-hair-color-gel-7d-golden-blonde-4-56-oz")</f>
        <v/>
      </c>
      <c r="C723" t="inlineStr">
        <is>
          <t>Herbatint Permanent Hair Color Gel 7D Golden Blonde, 4.56 Oz</t>
        </is>
      </c>
      <c r="D723" t="inlineStr">
        <is>
          <t>Herbatint Permanent Haircolor Gel, 6N Dark Blonde, Alcohol Free, Vegan, 100% Grey Coverage - 4.56 oz</t>
        </is>
      </c>
      <c r="E723" s="2">
        <f>HYPERLINK("https://www.amazon.com/Herbatint-Permanent-Herbal-Haircolour-Blonde/dp/B000H5LEJO/ref=sr_1_8?keywords=Herbatint+Permanent+Hair+Color+Gel+7D+Golden+Blonde%2C+4.56+Oz&amp;qid=1695170204&amp;sr=8-8", "https://www.amazon.com/Herbatint-Permanent-Herbal-Haircolour-Blonde/dp/B000H5LEJO/ref=sr_1_8?keywords=Herbatint+Permanent+Hair+Color+Gel+7D+Golden+Blonde%2C+4.56+Oz&amp;qid=1695170204&amp;sr=8-8")</f>
        <v/>
      </c>
      <c r="F723" t="inlineStr">
        <is>
          <t>B000H5LEJO</t>
        </is>
      </c>
      <c r="G723">
        <f>_xludf.IMAGE("https://www.shelhealth.com/cdn/shop/files/herbatint-permanent-hair-color-gel-7d-golden-blonde-4-56-oz-beauty-body-care-shelhealth-887.jpg?v=1686196963&amp;width=1946")</f>
        <v/>
      </c>
      <c r="H723">
        <f>_xludf.IMAGE("https://m.media-amazon.com/images/I/81G2+WHBniL._AC_UL320_.jpg")</f>
        <v/>
      </c>
      <c r="K723" t="inlineStr">
        <is>
          <t>16.99</t>
        </is>
      </c>
      <c r="L723" t="n">
        <v>18.31</v>
      </c>
      <c r="M723" s="1" t="inlineStr">
        <is>
          <t>7.77%</t>
        </is>
      </c>
      <c r="N723" s="3" t="n">
        <v>7.77</v>
      </c>
      <c r="O723" t="n">
        <v>4.4</v>
      </c>
      <c r="P723" t="n">
        <v>515</v>
      </c>
      <c r="R723" t="inlineStr">
        <is>
          <t>OutOfStock</t>
        </is>
      </c>
      <c r="S723" t="inlineStr">
        <is>
          <t>16.99</t>
        </is>
      </c>
      <c r="T723" t="inlineStr">
        <is>
          <t>7241699655868</t>
        </is>
      </c>
    </row>
    <row r="724" hidden="1" ht="15.75" customHeight="1">
      <c r="A724" s="2">
        <f>HYPERLINK("https://www.shelhealth.com/products/conair-infiniti-pro-hair-dyer-1875-watt", "https://www.shelhealth.com/products/conair-infiniti-pro-hair-dyer-1875-watt")</f>
        <v/>
      </c>
      <c r="B724" s="2">
        <f>HYPERLINK("https://www.shelhealth.com/products/conair-infiniti-pro-hair-dyer-1875-watt", "https://www.shelhealth.com/products/conair-infiniti-pro-hair-dyer-1875-watt")</f>
        <v/>
      </c>
      <c r="C724" t="inlineStr">
        <is>
          <t>Conair Infiniti Pro Hair Dyer 1875 WATT</t>
        </is>
      </c>
      <c r="D724" t="inlineStr">
        <is>
          <t>Infiniti Pro by Conair 1875 Watt Salon Performance AC Motor Styling Tool / Hair Dryer; Color featuring artwork by Chris Ede</t>
        </is>
      </c>
      <c r="E724" s="2">
        <f>HYPERLINK("https://www.amazon.com/Infiniti-Conair-Performance-Styling-featuring/dp/B01M6CC859/ref=sr_1_1?keywords=Conair+Infiniti+Pro+Hair+Dyer+1875+WATT&amp;qid=1695170168&amp;sr=8-1", "https://www.amazon.com/Infiniti-Conair-Performance-Styling-featuring/dp/B01M6CC859/ref=sr_1_1?keywords=Conair+Infiniti+Pro+Hair+Dyer+1875+WATT&amp;qid=1695170168&amp;sr=8-1")</f>
        <v/>
      </c>
      <c r="F724" t="inlineStr">
        <is>
          <t>B01M6CC859</t>
        </is>
      </c>
      <c r="G724">
        <f>_xludf.IMAGE("https://www.shelhealth.com/cdn/shop/products/conair-infiniti-pro-hair-dyer-1875-watt-shelhealth-502.jpg?v=1663343315&amp;width=1946")</f>
        <v/>
      </c>
      <c r="H724">
        <f>_xludf.IMAGE("https://m.media-amazon.com/images/I/51UOZI+3SwL._AC_UL320_.jpg")</f>
        <v/>
      </c>
      <c r="K724" t="inlineStr">
        <is>
          <t>36.99</t>
        </is>
      </c>
      <c r="L724" t="n">
        <v>39.39</v>
      </c>
      <c r="M724" s="1" t="inlineStr">
        <is>
          <t>6.49%</t>
        </is>
      </c>
      <c r="N724" s="3" t="n">
        <v>6.49</v>
      </c>
      <c r="O724" t="n">
        <v>3.3</v>
      </c>
      <c r="P724" t="n">
        <v>7</v>
      </c>
      <c r="R724" t="inlineStr">
        <is>
          <t>OutOfStock</t>
        </is>
      </c>
      <c r="S724" t="inlineStr">
        <is>
          <t>36.99</t>
        </is>
      </c>
      <c r="T724" t="inlineStr">
        <is>
          <t>3820082167860</t>
        </is>
      </c>
    </row>
    <row r="725" hidden="1" ht="15.75" customHeight="1">
      <c r="A725" s="2">
        <f>HYPERLINK("https://www.shelhealth.com/products/berkley-jensen-minoxidil-mens-hair-regrowth-treatment-for-men-topical-aerosol-5-foam-4-month-supply", "https://www.shelhealth.com/products/berkley-jensen-minoxidil-mens-hair-regrowth-treatment-for-men-topical-aerosol-5-foam-4-month-supply")</f>
        <v/>
      </c>
      <c r="B725" s="2">
        <f>HYPERLINK("https://www.shelhealth.com/products/berkley-jensen-minoxidil-mens-hair-regrowth-treatment-for-men-topical-aerosol-5-foam-4-month-supply", "https://www.shelhealth.com/products/berkley-jensen-minoxidil-mens-hair-regrowth-treatment-for-men-topical-aerosol-5-foam-4-month-supply")</f>
        <v/>
      </c>
      <c r="C725" t="inlineStr">
        <is>
          <t>Berkley Jensen Minoxidil Men's Hair Regrowth Treatment for Men Topical Aerosol 5% Foam 4 Month Supply</t>
        </is>
      </c>
      <c r="D725" t="inlineStr">
        <is>
          <t>Berkley Jensen Men's Hair Regrowth Treatment for Men Minoxidil Topical Aerosol 5% Foam 4 Month Supply</t>
        </is>
      </c>
      <c r="E725" s="2">
        <f>HYPERLINK("https://www.amazon.com/Berkley-Jensen-Regrowth-Treatment-Minoxidil/dp/B07MM6HGKZ/ref=sr_1_1?keywords=Berkley+Jensen+Minoxidil+Men%27s+Hair+Regrowth+Treatment+for+Men+Topical+Aerosol+5%25+Foam+4+Month+Supply&amp;qid=1695170161&amp;sr=8-1", "https://www.amazon.com/Berkley-Jensen-Regrowth-Treatment-Minoxidil/dp/B07MM6HGKZ/ref=sr_1_1?keywords=Berkley+Jensen+Minoxidil+Men%27s+Hair+Regrowth+Treatment+for+Men+Topical+Aerosol+5%25+Foam+4+Month+Supply&amp;qid=1695170161&amp;sr=8-1")</f>
        <v/>
      </c>
      <c r="F725" t="inlineStr">
        <is>
          <t>B07MM6HGKZ</t>
        </is>
      </c>
      <c r="G725">
        <f>_xludf.IMAGE("https://www.shelhealth.com/cdn/shop/products/berkley-jensen-minoxidil-mens-hair-regrowth-treatment-for-men-topical-aerosol-5-foam-4-month-supply-shelhealth-472.jpg?v=1663349999&amp;width=1946")</f>
        <v/>
      </c>
      <c r="H725">
        <f>_xludf.IMAGE("https://m.media-amazon.com/images/I/81QjCKOJ8aL._AC_UL320_.jpg")</f>
        <v/>
      </c>
      <c r="K725" t="inlineStr">
        <is>
          <t>46.99</t>
        </is>
      </c>
      <c r="L725" t="n">
        <v>49.77</v>
      </c>
      <c r="M725" s="1" t="inlineStr">
        <is>
          <t>5.92%</t>
        </is>
      </c>
      <c r="N725" s="3" t="n">
        <v>5.92</v>
      </c>
      <c r="O725" t="n">
        <v>4.2</v>
      </c>
      <c r="P725" t="n">
        <v>18</v>
      </c>
      <c r="R725" t="inlineStr">
        <is>
          <t>OutOfStock</t>
        </is>
      </c>
      <c r="S725" t="inlineStr">
        <is>
          <t>46.99</t>
        </is>
      </c>
      <c r="T725" t="inlineStr">
        <is>
          <t>3853318979636</t>
        </is>
      </c>
    </row>
    <row r="726" hidden="1" ht="15.75" customHeight="1">
      <c r="A726" s="2">
        <f>HYPERLINK("https://www.shelhealth.com/products/ogx-renewing-argan-oil-of-morocco-conditioner-25-4-ounce-with-pump", "https://www.shelhealth.com/products/ogx-renewing-argan-oil-of-morocco-conditioner-25-4-ounce-with-pump")</f>
        <v/>
      </c>
      <c r="B726" s="2">
        <f>HYPERLINK("https://www.shelhealth.com/products/ogx-renewing-argan-oil-of-morocco-conditioner-25-4-ounce-with-pump", "https://www.shelhealth.com/products/ogx-renewing-argan-oil-of-morocco-conditioner-25-4-ounce-with-pump")</f>
        <v/>
      </c>
      <c r="C726" t="inlineStr">
        <is>
          <t>OGX Renewing + Argan Oil of Morocco Conditioner, 25.4 Ounce with Pump</t>
        </is>
      </c>
      <c r="D726" t="inlineStr">
        <is>
          <t>OGX Renewing + Argan Oil of Morocco Conditioner, 25.4 Ounce Salon Size</t>
        </is>
      </c>
      <c r="E726" s="2">
        <f>HYPERLINK("https://www.amazon.com/OGX-Renewing-Argan-Morocco-Conditioner/dp/B01APTZOO2/ref=sr_1_2?keywords=OGX+Renewing+Argan+Oil+of+Morocco+Conditioner%2C+25.4+Ounce+with+Pump&amp;qid=1695170176&amp;sr=8-2", "https://www.amazon.com/OGX-Renewing-Argan-Morocco-Conditioner/dp/B01APTZOO2/ref=sr_1_2?keywords=OGX+Renewing+Argan+Oil+of+Morocco+Conditioner%2C+25.4+Ounce+with+Pump&amp;qid=1695170176&amp;sr=8-2")</f>
        <v/>
      </c>
      <c r="F726" t="inlineStr">
        <is>
          <t>B01APTZOO2</t>
        </is>
      </c>
      <c r="G726">
        <f>_xludf.IMAGE("https://www.shelhealth.com/cdn/shop/products/ogx-renewing-argan-oil-of-morocco-conditioner-25-4-ounce-with-pump-shelhealth-230.jpg?v=1663350090&amp;width=1946")</f>
        <v/>
      </c>
      <c r="H726">
        <f>_xludf.IMAGE("https://m.media-amazon.com/images/I/51GWktTLgNL._AC_UL320_.jpg")</f>
        <v/>
      </c>
      <c r="K726" t="inlineStr">
        <is>
          <t>16.99</t>
        </is>
      </c>
      <c r="L726" t="n">
        <v>17.99</v>
      </c>
      <c r="M726" s="1" t="inlineStr">
        <is>
          <t>5.89%</t>
        </is>
      </c>
      <c r="N726" s="3" t="n">
        <v>5.89</v>
      </c>
      <c r="O726" t="n">
        <v>4.5</v>
      </c>
      <c r="P726" t="n">
        <v>42</v>
      </c>
      <c r="R726" t="inlineStr">
        <is>
          <t>InStock</t>
        </is>
      </c>
      <c r="S726" t="inlineStr">
        <is>
          <t>16.99</t>
        </is>
      </c>
      <c r="T726" t="inlineStr">
        <is>
          <t>4045926924340</t>
        </is>
      </c>
    </row>
    <row r="727" hidden="1" ht="15.75" customHeight="1">
      <c r="A727" s="2">
        <f>HYPERLINK("https://www.shelhealth.com/products/love-beauty-and-planet-argan-oil-lavender-shampoo-22-fl-oz", "https://www.shelhealth.com/products/love-beauty-and-planet-argan-oil-lavender-shampoo-22-fl-oz")</f>
        <v/>
      </c>
      <c r="B727" s="2">
        <f>HYPERLINK("https://www.shelhealth.com/products/love-beauty-and-planet-argan-oil-lavender-shampoo-22-fl-oz", "https://www.shelhealth.com/products/love-beauty-and-planet-argan-oil-lavender-shampoo-22-fl-oz")</f>
        <v/>
      </c>
      <c r="C727" t="inlineStr">
        <is>
          <t>LOVE Beauty and Planet Argan Oil &amp; Lavender Shampoo, 22 FL OZ</t>
        </is>
      </c>
      <c r="D727" t="inlineStr">
        <is>
          <t>Love Beauty Planet Shampoo and Conditioner Set - Sulfate-Free Shampoo and Conditioner with Argan Oil &amp; Lavender, Argan Oil Shampoo and Conditioner Set, Anti-Frizz Hair Products for Women, 13.5 Oz (2 Piece Set)</t>
        </is>
      </c>
      <c r="E727" s="2">
        <f>HYPERLINK("https://www.amazon.com/Love-Beauty-Planet-Lavender-Conditioner/dp/B081RHFVY5/ref=sr_1_1?keywords=LOVE+Beauty+and+Planet+Argan+Oil+%26+Lavender+Shampoo%2C+22+FL+OZ&amp;qid=1695170174&amp;sr=8-1", "https://www.amazon.com/Love-Beauty-Planet-Lavender-Conditioner/dp/B081RHFVY5/ref=sr_1_1?keywords=LOVE+Beauty+and+Planet+Argan+Oil+%26+Lavender+Shampoo%2C+22+FL+OZ&amp;qid=1695170174&amp;sr=8-1")</f>
        <v/>
      </c>
      <c r="F727" t="inlineStr">
        <is>
          <t>B081RHFVY5</t>
        </is>
      </c>
      <c r="G727">
        <f>_xludf.IMAGE("https://www.shelhealth.com/cdn/shop/products/love-beauty-and-planet-argan-oil-lavender-shampoo-22-fl-oz-shelhealth-145.jpg?v=1663350165&amp;width=1946")</f>
        <v/>
      </c>
      <c r="H727">
        <f>_xludf.IMAGE("https://m.media-amazon.com/images/I/71t40cmWyQL._AC_UL320_.jpg")</f>
        <v/>
      </c>
      <c r="K727" t="inlineStr">
        <is>
          <t>16.99</t>
        </is>
      </c>
      <c r="L727" t="n">
        <v>17.99</v>
      </c>
      <c r="M727" s="1" t="inlineStr">
        <is>
          <t>5.89%</t>
        </is>
      </c>
      <c r="N727" s="3" t="n">
        <v>5.89</v>
      </c>
      <c r="O727" t="n">
        <v>4.7</v>
      </c>
      <c r="P727" t="n">
        <v>754</v>
      </c>
      <c r="R727" t="inlineStr">
        <is>
          <t>OutOfStock</t>
        </is>
      </c>
      <c r="S727" t="inlineStr">
        <is>
          <t>16.99</t>
        </is>
      </c>
      <c r="T727" t="inlineStr">
        <is>
          <t>4045946060852</t>
        </is>
      </c>
    </row>
    <row r="728" hidden="1" ht="15.75" customHeight="1">
      <c r="A728" s="2">
        <f>HYPERLINK("https://www.shelhealth.com/products/809183100053-organic-excellence-revitalizing-hair-therapy-wild-mint-shampoo-16-oz", "https://www.shelhealth.com/products/809183100053-organic-excellence-revitalizing-hair-therapy-wild-mint-shampoo-16-oz")</f>
        <v/>
      </c>
      <c r="B728" s="2">
        <f>HYPERLINK("https://www.shelhealth.com/products/809183100053-organic-excellence-revitalizing-hair-therapy-wild-mint-shampoo-16-oz", "https://www.shelhealth.com/products/809183100053-organic-excellence-revitalizing-hair-therapy-wild-mint-shampoo-16-oz")</f>
        <v/>
      </c>
      <c r="C728" t="inlineStr">
        <is>
          <t>Organic Excellence Revitalizing Hair Therapy Wild Mint Shampoo, 16 Oz</t>
        </is>
      </c>
      <c r="D728" t="inlineStr">
        <is>
          <t>Organic Excellence WILD MINT SHAMPOO, Chemical and Sulfate Free, All Natural Color Safe - 16 oz</t>
        </is>
      </c>
      <c r="E728" s="2">
        <f>HYPERLINK("https://www.amazon.com/SHAMPOO-Chemical-Sulfate-Natural-Color/dp/B00022F1DW/ref=sr_1_3?keywords=Organic+Excellence+Revitalizing+Hair+Therapy+Wild+Mint+Shampoo%2C+16+Oz&amp;qid=1695170204&amp;sr=8-3", "https://www.amazon.com/SHAMPOO-Chemical-Sulfate-Natural-Color/dp/B00022F1DW/ref=sr_1_3?keywords=Organic+Excellence+Revitalizing+Hair+Therapy+Wild+Mint+Shampoo%2C+16+Oz&amp;qid=1695170204&amp;sr=8-3")</f>
        <v/>
      </c>
      <c r="F728" t="inlineStr">
        <is>
          <t>B00022F1DW</t>
        </is>
      </c>
      <c r="G728">
        <f>_xludf.IMAGE("https://www.shelhealth.com/cdn/shop/files/organic-excellence-revitalizing-hair-therapy-wild-mint-shampoo-16-oz-beauty-body-care-shelhealth-522.jpg?v=1686476567&amp;width=1946")</f>
        <v/>
      </c>
      <c r="H728">
        <f>_xludf.IMAGE("https://m.media-amazon.com/images/I/61ZORmGtNbL._AC_UL320_.jpg")</f>
        <v/>
      </c>
      <c r="K728" t="inlineStr">
        <is>
          <t>16.99</t>
        </is>
      </c>
      <c r="L728" t="n">
        <v>17.99</v>
      </c>
      <c r="M728" s="1" t="inlineStr">
        <is>
          <t>5.89%</t>
        </is>
      </c>
      <c r="N728" s="3" t="n">
        <v>5.89</v>
      </c>
      <c r="O728" t="n">
        <v>4.4</v>
      </c>
      <c r="P728" t="n">
        <v>114</v>
      </c>
      <c r="R728" t="inlineStr">
        <is>
          <t>InStock</t>
        </is>
      </c>
      <c r="S728" t="inlineStr">
        <is>
          <t>16.99</t>
        </is>
      </c>
      <c r="T728" t="inlineStr">
        <is>
          <t>7241903964348</t>
        </is>
      </c>
    </row>
    <row r="729" hidden="1" ht="15.75" customHeight="1">
      <c r="A729" s="2">
        <f>HYPERLINK("https://www.shelhealth.com/products/661176010127-naturtint-permanent-hair-color-8g-sandy-golden-blonde-5-28-oz", "https://www.shelhealth.com/products/661176010127-naturtint-permanent-hair-color-8g-sandy-golden-blonde-5-28-oz")</f>
        <v/>
      </c>
      <c r="B729" s="2">
        <f>HYPERLINK("https://www.shelhealth.com/products/661176010127-naturtint-permanent-hair-color-8g-sandy-golden-blonde-5-28-oz", "https://www.shelhealth.com/products/661176010127-naturtint-permanent-hair-color-8g-sandy-golden-blonde-5-28-oz")</f>
        <v/>
      </c>
      <c r="C729" t="inlineStr">
        <is>
          <t>Naturtint Permanent Hair Color 8G Sandy Golden Blonde, 5.28 Oz</t>
        </is>
      </c>
      <c r="D729" t="inlineStr">
        <is>
          <t>Naturtint Permanent Hair Color 8G Sandy Golden Blonde (Pack of 1), Ammonia Free, Vegan, Cruelty Free, up to 100% Gray Coverage Blonde (Pack of 1), Ammonia Free, Vegan, Cruelty Free, up to 100% Gray Coverage, Long Lasting Results</t>
        </is>
      </c>
      <c r="E729" s="2">
        <f>HYPERLINK("https://www.amazon.com/Naturtint-Permanent-Ammonia-Cruelty-Coverage/dp/B001W2O6GE/ref=sr_1_4?keywords=Naturtint+Permanent+Hair+Color+8G+Sandy+Golden+Blonde%2C+5.28+Oz&amp;qid=1695170200&amp;sr=8-4", "https://www.amazon.com/Naturtint-Permanent-Ammonia-Cruelty-Coverage/dp/B001W2O6GE/ref=sr_1_4?keywords=Naturtint+Permanent+Hair+Color+8G+Sandy+Golden+Blonde%2C+5.28+Oz&amp;qid=1695170200&amp;sr=8-4")</f>
        <v/>
      </c>
      <c r="F729" t="inlineStr">
        <is>
          <t>B001W2O6GE</t>
        </is>
      </c>
      <c r="G729">
        <f>_xludf.IMAGE("https://www.shelhealth.com/cdn/shop/files/naturtint-permanent-hair-color-8g-sandy-golden-blonde-5-28-oz-beauty-body-care-shelhealth-148.jpg?v=1686533299&amp;width=1946")</f>
        <v/>
      </c>
      <c r="H729">
        <f>_xludf.IMAGE("https://m.media-amazon.com/images/I/81iD2zGK54L._AC_UL320_.jpg")</f>
        <v/>
      </c>
      <c r="K729" t="inlineStr">
        <is>
          <t>17.99</t>
        </is>
      </c>
      <c r="L729" t="n">
        <v>18.99</v>
      </c>
      <c r="M729" s="1" t="inlineStr">
        <is>
          <t>5.56%</t>
        </is>
      </c>
      <c r="N729" s="3" t="n">
        <v>5.56</v>
      </c>
      <c r="O729" t="n">
        <v>5</v>
      </c>
      <c r="P729" t="n">
        <v>1</v>
      </c>
      <c r="R729" t="inlineStr">
        <is>
          <t>InStock</t>
        </is>
      </c>
      <c r="S729" t="inlineStr">
        <is>
          <t>17.99</t>
        </is>
      </c>
      <c r="T729" t="inlineStr">
        <is>
          <t>7241867362492</t>
        </is>
      </c>
    </row>
    <row r="730" hidden="1" ht="15.75" customHeight="1">
      <c r="A730" s="2">
        <f>HYPERLINK("https://www.shelhealth.com/products/716237185150-giovanni-cosmetics-cherry-blossom-rose-conditioner-24-fo", "https://www.shelhealth.com/products/716237185150-giovanni-cosmetics-cherry-blossom-rose-conditioner-24-fo")</f>
        <v/>
      </c>
      <c r="B730" s="2">
        <f>HYPERLINK("https://www.shelhealth.com/products/716237185150-giovanni-cosmetics-cherry-blossom-rose-conditioner-24-fo", "https://www.shelhealth.com/products/716237185150-giovanni-cosmetics-cherry-blossom-rose-conditioner-24-fo")</f>
        <v/>
      </c>
      <c r="C730" t="inlineStr">
        <is>
          <t>Giovanni Cosmetics Cherry Blossom Rose Conditioner, 24 Fo</t>
        </is>
      </c>
      <c r="D730" t="inlineStr">
        <is>
          <t>GIOVANNI 2chic Ultra-Luxurious Shampoo - Shampoo for Curly &amp; Wavy Hair, Aloe Vera, Pro-Vitamin B5, Lauryl &amp; Laureth Sulfate Free, No Parabens, Color Safe, Cherry Blossom &amp; Rose Petals - 24 oz</t>
        </is>
      </c>
      <c r="E730" s="2">
        <f>HYPERLINK("https://www.amazon.com/GIOVANNI-Luxurious-Enriched-Pro-Vitamin-Parabens/dp/B01M1NFFUV/ref=sr_1_3?keywords=Giovanni+Cosmetics+Cherry+Blossom+Rose+Conditioner%2C+24+Fo&amp;qid=1695170226&amp;sr=8-3", "https://www.amazon.com/GIOVANNI-Luxurious-Enriched-Pro-Vitamin-Parabens/dp/B01M1NFFUV/ref=sr_1_3?keywords=Giovanni+Cosmetics+Cherry+Blossom+Rose+Conditioner%2C+24+Fo&amp;qid=1695170226&amp;sr=8-3")</f>
        <v/>
      </c>
      <c r="F730" t="inlineStr">
        <is>
          <t>B01M1NFFUV</t>
        </is>
      </c>
      <c r="G730">
        <f>_xludf.IMAGE("https://www.shelhealth.com/cdn/shop/files/giovanni-cosmetics-cherry-blossom-rose-conditioner-24-fo-beauty-body-care-shelhealth-732.jpg?v=1690659065&amp;width=1946")</f>
        <v/>
      </c>
      <c r="H730">
        <f>_xludf.IMAGE("https://m.media-amazon.com/images/I/71GvoCN5HbL._AC_UL320_.jpg")</f>
        <v/>
      </c>
      <c r="K730" t="inlineStr">
        <is>
          <t>18.99</t>
        </is>
      </c>
      <c r="L730" t="n">
        <v>19.99</v>
      </c>
      <c r="M730" s="1" t="inlineStr">
        <is>
          <t>5.27%</t>
        </is>
      </c>
      <c r="N730" s="3" t="n">
        <v>5.27</v>
      </c>
      <c r="O730" t="n">
        <v>4.6</v>
      </c>
      <c r="P730" t="n">
        <v>262</v>
      </c>
      <c r="R730" t="inlineStr">
        <is>
          <t>InStock</t>
        </is>
      </c>
      <c r="S730" t="inlineStr">
        <is>
          <t>18.99</t>
        </is>
      </c>
      <c r="T730" t="inlineStr">
        <is>
          <t>7241658859708</t>
        </is>
      </c>
    </row>
    <row r="731" hidden="1" ht="15.75" customHeight="1">
      <c r="A731" s="2">
        <f>HYPERLINK("https://www.shelhealth.com/products/shea-moisture-100-virgin-coconut-oil-daily-hydration-shampoo-34-fl-oz", "https://www.shelhealth.com/products/shea-moisture-100-virgin-coconut-oil-daily-hydration-shampoo-34-fl-oz")</f>
        <v/>
      </c>
      <c r="B731" s="2">
        <f>HYPERLINK("https://www.shelhealth.com/products/shea-moisture-100-virgin-coconut-oil-daily-hydration-shampoo-34-fl-oz", "https://www.shelhealth.com/products/shea-moisture-100-virgin-coconut-oil-daily-hydration-shampoo-34-fl-oz")</f>
        <v/>
      </c>
      <c r="C731" t="inlineStr">
        <is>
          <t>Shea moisture 100% Virgin Coconut Oil Daily Hydration Shampoo, 34 fl. oz.</t>
        </is>
      </c>
      <c r="D731" t="inlineStr">
        <is>
          <t>Shea Moisture Shampoo and Conditioner Set, 13 Fl Oz Ea with Leave In Treatment Spray 8 Fl Oz, Daily Hydration 100% Virgin Coconut Oil, Curly Hair Products Bundle, Shea Butter, Coconut Milk</t>
        </is>
      </c>
      <c r="E731" s="2">
        <f>HYPERLINK("https://www.amazon.com/Shea-Moisture-Hydration-Conditioner-Treatment/dp/B07BS38CSB/ref=sr_1_2?keywords=Shea+moisture+100%25+Virgin+Coconut+Oil+Daily+Hydration+Shampoo%2C+34+fl.+oz.&amp;qid=1695170167&amp;sr=8-2", "https://www.amazon.com/Shea-Moisture-Hydration-Conditioner-Treatment/dp/B07BS38CSB/ref=sr_1_2?keywords=Shea+moisture+100%25+Virgin+Coconut+Oil+Daily+Hydration+Shampoo%2C+34+fl.+oz.&amp;qid=1695170167&amp;sr=8-2")</f>
        <v/>
      </c>
      <c r="F731" t="inlineStr">
        <is>
          <t>B07BS38CSB</t>
        </is>
      </c>
      <c r="G731">
        <f>_xludf.IMAGE("https://www.shelhealth.com/cdn/shop/products/shea-moisture-100-virgin-coconut-oil-daily-hydration-shampoo-34-fl-oz-shelhealth-685.jpg?v=1663353789&amp;width=1946")</f>
        <v/>
      </c>
      <c r="H731">
        <f>_xludf.IMAGE("https://m.media-amazon.com/images/I/71Hz8pJQW7L._AC_UL320_.jpg")</f>
        <v/>
      </c>
      <c r="K731" t="inlineStr">
        <is>
          <t>18.99</t>
        </is>
      </c>
      <c r="L731" t="n">
        <v>19.99</v>
      </c>
      <c r="M731" s="1" t="inlineStr">
        <is>
          <t>5.27%</t>
        </is>
      </c>
      <c r="N731" s="3" t="n">
        <v>5.27</v>
      </c>
      <c r="O731" t="n">
        <v>4.4</v>
      </c>
      <c r="P731" t="n">
        <v>718</v>
      </c>
      <c r="R731" t="inlineStr">
        <is>
          <t>InStock</t>
        </is>
      </c>
      <c r="S731" t="inlineStr">
        <is>
          <t>18.99</t>
        </is>
      </c>
      <c r="T731" t="inlineStr">
        <is>
          <t>4164054188084</t>
        </is>
      </c>
    </row>
    <row r="732" hidden="1" ht="15.75" customHeight="1">
      <c r="A732" s="2">
        <f>HYPERLINK("https://www.shelhealth.com/products/716237185143-giovanni-cosmetics-cherry-blossom-rose-shampoo-24-oz", "https://www.shelhealth.com/products/716237185143-giovanni-cosmetics-cherry-blossom-rose-shampoo-24-oz")</f>
        <v/>
      </c>
      <c r="B732" s="2">
        <f>HYPERLINK("https://www.shelhealth.com/products/716237185143-giovanni-cosmetics-cherry-blossom-rose-shampoo-24-oz", "https://www.shelhealth.com/products/716237185143-giovanni-cosmetics-cherry-blossom-rose-shampoo-24-oz")</f>
        <v/>
      </c>
      <c r="C732" t="inlineStr">
        <is>
          <t>Giovanni Cosmetics Cherry Blossom Rose Shampoo, 24 Oz</t>
        </is>
      </c>
      <c r="D732" t="inlineStr">
        <is>
          <t>GIOVANNI 2chic Ultra-Luxurious Shampoo - Shampoo for Curly &amp; Wavy Hair, Aloe Vera, Pro-Vitamin B5, Lauryl &amp; Laureth Sulfate Free, No Parabens, Color Safe, Cherry Blossom &amp; Rose Petals - 24 oz</t>
        </is>
      </c>
      <c r="E732" s="2">
        <f>HYPERLINK("https://www.amazon.com/GIOVANNI-Luxurious-Enriched-Pro-Vitamin-Parabens/dp/B01M1NFFUV/ref=sr_1_1?keywords=Giovanni+Cosmetics+Cherry+Blossom+Rose+Shampoo%2C+24+Oz&amp;qid=1695170197&amp;sr=8-1", "https://www.amazon.com/GIOVANNI-Luxurious-Enriched-Pro-Vitamin-Parabens/dp/B01M1NFFUV/ref=sr_1_1?keywords=Giovanni+Cosmetics+Cherry+Blossom+Rose+Shampoo%2C+24+Oz&amp;qid=1695170197&amp;sr=8-1")</f>
        <v/>
      </c>
      <c r="F732" t="inlineStr">
        <is>
          <t>B01M1NFFUV</t>
        </is>
      </c>
      <c r="G732">
        <f>_xludf.IMAGE("https://www.shelhealth.com/cdn/shop/files/giovanni-cosmetics-cherry-blossom-rose-shampoo-24-oz-beauty-body-care-shelhealth-914.jpg?v=1690659098&amp;width=1946")</f>
        <v/>
      </c>
      <c r="H732">
        <f>_xludf.IMAGE("https://m.media-amazon.com/images/I/71GvoCN5HbL._AC_UL320_.jpg")</f>
        <v/>
      </c>
      <c r="K732" t="inlineStr">
        <is>
          <t>18.99</t>
        </is>
      </c>
      <c r="L732" t="n">
        <v>19.99</v>
      </c>
      <c r="M732" s="1" t="inlineStr">
        <is>
          <t>5.27%</t>
        </is>
      </c>
      <c r="N732" s="3" t="n">
        <v>5.27</v>
      </c>
      <c r="O732" t="n">
        <v>4.6</v>
      </c>
      <c r="P732" t="n">
        <v>262</v>
      </c>
      <c r="R732" t="inlineStr">
        <is>
          <t>InStock</t>
        </is>
      </c>
      <c r="S732" t="inlineStr">
        <is>
          <t>18.99</t>
        </is>
      </c>
      <c r="T732" t="inlineStr">
        <is>
          <t>7241658925244</t>
        </is>
      </c>
    </row>
    <row r="733" hidden="1" ht="15.75" customHeight="1">
      <c r="A733" s="2">
        <f>HYPERLINK("https://www.shelhealth.com/products/724742008611-alba-botanica-natural-hawaiian-conditioner-drink-it-up-coconut-milk-12-oz", "https://www.shelhealth.com/products/724742008611-alba-botanica-natural-hawaiian-conditioner-drink-it-up-coconut-milk-12-oz")</f>
        <v/>
      </c>
      <c r="B733" s="2">
        <f>HYPERLINK("https://www.shelhealth.com/products/724742008611-alba-botanica-natural-hawaiian-conditioner-drink-it-up-coconut-milk-12-oz", "https://www.shelhealth.com/products/724742008611-alba-botanica-natural-hawaiian-conditioner-drink-it-up-coconut-milk-12-oz")</f>
        <v/>
      </c>
      <c r="C733" t="inlineStr">
        <is>
          <t>Alba Botanica Natural Hawaiian Conditioner Drink It Up Coconut Milk, 12 Oz (Case of 2)</t>
        </is>
      </c>
      <c r="D733" t="inlineStr">
        <is>
          <t>Alba Botanica Natural Hawaiian Conditioner Coconut Milk, 12 oz, (Pack of 2)</t>
        </is>
      </c>
      <c r="E733" s="2">
        <f>HYPERLINK("https://www.amazon.com/Alba-Botanica-Natural-Hawaiian-Conditioner/dp/B001ET7AMC/ref=sr_1_7?keywords=Alba+Botanica+Natural+Hawaiian+Conditioner+Drink+It+Up+Coconut+Milk%2C+12+Oz+%28Case+of+2%29&amp;qid=1695170210&amp;sr=8-7", "https://www.amazon.com/Alba-Botanica-Natural-Hawaiian-Conditioner/dp/B001ET7AMC/ref=sr_1_7?keywords=Alba+Botanica+Natural+Hawaiian+Conditioner+Drink+It+Up+Coconut+Milk%2C+12+Oz+%28Case+of+2%29&amp;qid=1695170210&amp;sr=8-7")</f>
        <v/>
      </c>
      <c r="F733" t="inlineStr">
        <is>
          <t>B001ET7AMC</t>
        </is>
      </c>
      <c r="G733">
        <f>_xludf.IMAGE("https://www.shelhealth.com/cdn/shop/files/alba-botanica-natural-hawaiian-conditioner-drink-it-up-coconut-milk-12-oz-case-of-2-beauty-body-care-shelhealth-549.jpg?v=1686520897&amp;width=1946")</f>
        <v/>
      </c>
      <c r="H733">
        <f>_xludf.IMAGE("https://m.media-amazon.com/images/I/710GO0Kuh3L._AC_UL320_.jpg")</f>
        <v/>
      </c>
      <c r="K733" t="inlineStr">
        <is>
          <t>22.99</t>
        </is>
      </c>
      <c r="L733" t="n">
        <v>24.2</v>
      </c>
      <c r="M733" s="1" t="inlineStr">
        <is>
          <t>5.26%</t>
        </is>
      </c>
      <c r="N733" s="3" t="n">
        <v>5.26</v>
      </c>
      <c r="O733" t="n">
        <v>3.9</v>
      </c>
      <c r="P733" t="n">
        <v>20</v>
      </c>
      <c r="R733" t="inlineStr">
        <is>
          <t>InStock</t>
        </is>
      </c>
      <c r="S733" t="inlineStr">
        <is>
          <t>22.99</t>
        </is>
      </c>
      <c r="T733" t="inlineStr">
        <is>
          <t>7241431777468</t>
        </is>
      </c>
    </row>
    <row r="734" hidden="1" ht="15.75" customHeight="1">
      <c r="A734" s="2">
        <f>HYPERLINK("https://www.shelhealth.com/products/716237185143-giovanni-cosmetics-cherry-blossom-rose-shampoo-24-oz", "https://www.shelhealth.com/products/716237185143-giovanni-cosmetics-cherry-blossom-rose-shampoo-24-oz")</f>
        <v/>
      </c>
      <c r="B734" s="2">
        <f>HYPERLINK("https://www.shelhealth.com/products/716237185143-giovanni-cosmetics-cherry-blossom-rose-shampoo-24-oz", "https://www.shelhealth.com/products/716237185143-giovanni-cosmetics-cherry-blossom-rose-shampoo-24-oz")</f>
        <v/>
      </c>
      <c r="C734" t="inlineStr">
        <is>
          <t>Giovanni Cosmetics Cherry Blossom Rose Shampoo, 24 Oz</t>
        </is>
      </c>
      <c r="D734" t="inlineStr">
        <is>
          <t>GIOVANNI 2chic Ultra-Luxurious Conditioner - Calms &amp; Smooths Curly &amp; Wavy Hair, Silkens Tresses, Strengthens Overprocessed Hair, Helps Detangle, Color Safe, Cherry Blossom &amp; Rose Petals - 24 oz</t>
        </is>
      </c>
      <c r="E734" s="2">
        <f>HYPERLINK("https://www.amazon.com/Giovanni-Ultra-Luxurious-Conditioner-Blossom-Vitamins/dp/B01M0OV0PM/ref=sr_1_3?keywords=Giovanni+Cosmetics+Cherry+Blossom+Rose+Shampoo%2C+24+Oz&amp;qid=1695170197&amp;sr=8-3", "https://www.amazon.com/Giovanni-Ultra-Luxurious-Conditioner-Blossom-Vitamins/dp/B01M0OV0PM/ref=sr_1_3?keywords=Giovanni+Cosmetics+Cherry+Blossom+Rose+Shampoo%2C+24+Oz&amp;qid=1695170197&amp;sr=8-3")</f>
        <v/>
      </c>
      <c r="F734" t="inlineStr">
        <is>
          <t>B01M0OV0PM</t>
        </is>
      </c>
      <c r="G734">
        <f>_xludf.IMAGE("https://www.shelhealth.com/cdn/shop/files/giovanni-cosmetics-cherry-blossom-rose-shampoo-24-oz-beauty-body-care-shelhealth-914.jpg?v=1690659098&amp;width=1946")</f>
        <v/>
      </c>
      <c r="H734">
        <f>_xludf.IMAGE("https://m.media-amazon.com/images/I/61jZopu-A9L._AC_UL320_.jpg")</f>
        <v/>
      </c>
      <c r="K734" t="inlineStr">
        <is>
          <t>18.99</t>
        </is>
      </c>
      <c r="L734" t="n">
        <v>19.9</v>
      </c>
      <c r="M734" s="1" t="inlineStr">
        <is>
          <t>4.79%</t>
        </is>
      </c>
      <c r="N734" s="3" t="n">
        <v>4.79</v>
      </c>
      <c r="O734" t="n">
        <v>4.5</v>
      </c>
      <c r="P734" t="n">
        <v>219</v>
      </c>
      <c r="R734" t="inlineStr">
        <is>
          <t>InStock</t>
        </is>
      </c>
      <c r="S734" t="inlineStr">
        <is>
          <t>18.99</t>
        </is>
      </c>
      <c r="T734" t="inlineStr">
        <is>
          <t>7241658925244</t>
        </is>
      </c>
    </row>
    <row r="735" hidden="1" ht="15.75" customHeight="1">
      <c r="A735" s="2">
        <f>HYPERLINK("https://www.shelhealth.com/products/batiste-volumizing-dry-shampoo-twin-pack-2-x-6-73-oz", "https://www.shelhealth.com/products/batiste-volumizing-dry-shampoo-twin-pack-2-x-6-73-oz")</f>
        <v/>
      </c>
      <c r="B735" s="2">
        <f>HYPERLINK("https://www.shelhealth.com/products/batiste-volumizing-dry-shampoo-twin-pack-2-x-6-73-oz", "https://www.shelhealth.com/products/batiste-volumizing-dry-shampoo-twin-pack-2-x-6-73-oz")</f>
        <v/>
      </c>
      <c r="C735" t="inlineStr">
        <is>
          <t>Batiste Volumizing Dry Shampoo Twin Pack, 2 x 6.73 oz.</t>
        </is>
      </c>
      <c r="D735" t="inlineStr">
        <is>
          <t>Batiste Dry Shampoo Spray 4 Pack Variety Mix, Original Clean And Classic, and Tropical Fragrance, 2 Each 6.73 oz.</t>
        </is>
      </c>
      <c r="E735" s="2">
        <f>HYPERLINK("https://www.amazon.com/Batiste-Shampoo-Original-Tropical-Fragrance/dp/B08NRH5DNR/ref=sr_1_3?keywords=Batiste+Volumizing+Dry+Shampoo+Twin+Pack%2C+2+x+6.73+oz.&amp;qid=1695170181&amp;sr=8-3", "https://www.amazon.com/Batiste-Shampoo-Original-Tropical-Fragrance/dp/B08NRH5DNR/ref=sr_1_3?keywords=Batiste+Volumizing+Dry+Shampoo+Twin+Pack%2C+2+x+6.73+oz.&amp;qid=1695170181&amp;sr=8-3")</f>
        <v/>
      </c>
      <c r="F735" t="inlineStr">
        <is>
          <t>B08NRH5DNR</t>
        </is>
      </c>
      <c r="G735">
        <f>_xludf.IMAGE("https://www.shelhealth.com/cdn/shop/products/batiste-volumizing-dry-shampoo-twin-pack-2-x-6-73-oz-shelhealth-756.jpg?v=1663374186&amp;width=1946")</f>
        <v/>
      </c>
      <c r="H735">
        <f>_xludf.IMAGE("https://m.media-amazon.com/images/I/61I0T73CXnL._AC_UL320_.jpg")</f>
        <v/>
      </c>
      <c r="K735" t="inlineStr">
        <is>
          <t>19.99</t>
        </is>
      </c>
      <c r="L735" t="n">
        <v>20.88</v>
      </c>
      <c r="M735" s="1" t="inlineStr">
        <is>
          <t>4.45%</t>
        </is>
      </c>
      <c r="N735" s="3" t="n">
        <v>4.45</v>
      </c>
      <c r="O735" t="n">
        <v>4.7</v>
      </c>
      <c r="P735" t="n">
        <v>1942</v>
      </c>
      <c r="R735" t="inlineStr">
        <is>
          <t>OutOfStock</t>
        </is>
      </c>
      <c r="S735" t="inlineStr">
        <is>
          <t>19.99</t>
        </is>
      </c>
      <c r="T735" t="inlineStr">
        <is>
          <t>4713269985369</t>
        </is>
      </c>
    </row>
    <row r="736" hidden="1" ht="15.75" customHeight="1">
      <c r="A736" s="2">
        <f>HYPERLINK("https://www.shelhealth.com/products/661176010127-naturtint-permanent-hair-color-8g-sandy-golden-blonde-5-28-oz", "https://www.shelhealth.com/products/661176010127-naturtint-permanent-hair-color-8g-sandy-golden-blonde-5-28-oz")</f>
        <v/>
      </c>
      <c r="B736" s="2">
        <f>HYPERLINK("https://www.shelhealth.com/products/661176010127-naturtint-permanent-hair-color-8g-sandy-golden-blonde-5-28-oz", "https://www.shelhealth.com/products/661176010127-naturtint-permanent-hair-color-8g-sandy-golden-blonde-5-28-oz")</f>
        <v/>
      </c>
      <c r="C736" t="inlineStr">
        <is>
          <t>Naturtint Permanent Hair Color 8G Sandy Golden Blonde, 5.28 Oz</t>
        </is>
      </c>
      <c r="D736" t="inlineStr">
        <is>
          <t>Naturtint Hair Color - Permanent - 6G - Dark Golden Blonde - 5.28 oz</t>
        </is>
      </c>
      <c r="E736" s="2">
        <f>HYPERLINK("https://www.amazon.com/Naturtint-Clr-Drk-Blonde-Gldn/dp/B00DKEYUOK/ref=sr_1_3?keywords=Naturtint+Permanent+Hair+Color+8G+Sandy+Golden+Blonde%2C+5.28+Oz&amp;qid=1695170200&amp;sr=8-3", "https://www.amazon.com/Naturtint-Clr-Drk-Blonde-Gldn/dp/B00DKEYUOK/ref=sr_1_3?keywords=Naturtint+Permanent+Hair+Color+8G+Sandy+Golden+Blonde%2C+5.28+Oz&amp;qid=1695170200&amp;sr=8-3")</f>
        <v/>
      </c>
      <c r="F736" t="inlineStr">
        <is>
          <t>B00DKEYUOK</t>
        </is>
      </c>
      <c r="G736">
        <f>_xludf.IMAGE("https://www.shelhealth.com/cdn/shop/files/naturtint-permanent-hair-color-8g-sandy-golden-blonde-5-28-oz-beauty-body-care-shelhealth-148.jpg?v=1686533299&amp;width=1946")</f>
        <v/>
      </c>
      <c r="H736">
        <f>_xludf.IMAGE("https://m.media-amazon.com/images/I/81rzplyckoL._AC_UL320_.jpg")</f>
        <v/>
      </c>
      <c r="K736" t="inlineStr">
        <is>
          <t>17.99</t>
        </is>
      </c>
      <c r="L736" t="n">
        <v>18.75</v>
      </c>
      <c r="M736" s="1" t="inlineStr">
        <is>
          <t>4.22%</t>
        </is>
      </c>
      <c r="N736" s="3" t="n">
        <v>4.22</v>
      </c>
      <c r="O736" t="n">
        <v>4.1</v>
      </c>
      <c r="P736" t="n">
        <v>47</v>
      </c>
      <c r="R736" t="inlineStr">
        <is>
          <t>InStock</t>
        </is>
      </c>
      <c r="S736" t="inlineStr">
        <is>
          <t>17.99</t>
        </is>
      </c>
      <c r="T736" t="inlineStr">
        <is>
          <t>7241867362492</t>
        </is>
      </c>
    </row>
    <row r="737" hidden="1" ht="15.75" customHeight="1">
      <c r="A737" s="2">
        <f>HYPERLINK("https://www.shelhealth.com/products/661176010035-naturtint-permanent-hair-color-5n-light-chestnut-brown-5-28-oz", "https://www.shelhealth.com/products/661176010035-naturtint-permanent-hair-color-5n-light-chestnut-brown-5-28-oz")</f>
        <v/>
      </c>
      <c r="B737" s="2">
        <f>HYPERLINK("https://www.shelhealth.com/products/661176010035-naturtint-permanent-hair-color-5n-light-chestnut-brown-5-28-oz", "https://www.shelhealth.com/products/661176010035-naturtint-permanent-hair-color-5n-light-chestnut-brown-5-28-oz")</f>
        <v/>
      </c>
      <c r="C737" t="inlineStr">
        <is>
          <t>Naturtint Permanent Hair Color 5N Light Chestnut Brown, 5.28 Oz</t>
        </is>
      </c>
      <c r="D737" t="inlineStr">
        <is>
          <t>Naturtint Permanent Hair Color 5N Light Chestnut Brown (Pack of 1), Ammonia Free, Vegan, Cruelty Free, up to 100% Gray Coverage, Long Lasting Results</t>
        </is>
      </c>
      <c r="E737" s="2">
        <f>HYPERLINK("https://www.amazon.com/Naturtint-Hair-Color-Chestnut-5-28/dp/B005P0SSEA/ref=sr_1_3?keywords=Naturtint+Permanent+Hair+Color+5N+Light+Chestnut+Brown%2C+5.28+Oz&amp;qid=1695170200&amp;sr=8-3", "https://www.amazon.com/Naturtint-Hair-Color-Chestnut-5-28/dp/B005P0SSEA/ref=sr_1_3?keywords=Naturtint+Permanent+Hair+Color+5N+Light+Chestnut+Brown%2C+5.28+Oz&amp;qid=1695170200&amp;sr=8-3")</f>
        <v/>
      </c>
      <c r="F737" t="inlineStr">
        <is>
          <t>B005P0SSEA</t>
        </is>
      </c>
      <c r="G737">
        <f>_xludf.IMAGE("https://www.shelhealth.com/cdn/shop/files/naturtint-permanent-hair-color-5n-light-chestnut-brown-5-28-oz-beauty-body-care-shelhealth-188.jpg?v=1686533265&amp;width=1946")</f>
        <v/>
      </c>
      <c r="H737">
        <f>_xludf.IMAGE("https://m.media-amazon.com/images/I/813uVHBE4nL._AC_UL320_.jpg")</f>
        <v/>
      </c>
      <c r="K737" t="inlineStr">
        <is>
          <t>17.99</t>
        </is>
      </c>
      <c r="L737" t="n">
        <v>18.75</v>
      </c>
      <c r="M737" s="1" t="inlineStr">
        <is>
          <t>4.22%</t>
        </is>
      </c>
      <c r="N737" s="3" t="n">
        <v>4.22</v>
      </c>
      <c r="O737" t="n">
        <v>4.5</v>
      </c>
      <c r="P737" t="n">
        <v>67</v>
      </c>
      <c r="R737" t="inlineStr">
        <is>
          <t>InStock</t>
        </is>
      </c>
      <c r="S737" t="inlineStr">
        <is>
          <t>17.99</t>
        </is>
      </c>
      <c r="T737" t="inlineStr">
        <is>
          <t>7241866576060</t>
        </is>
      </c>
    </row>
    <row r="738" hidden="1" ht="15.75" customHeight="1">
      <c r="A738" s="2">
        <f>HYPERLINK("https://www.shelhealth.com/products/661176010011-naturtint-permanent-hair-color-1n-ebony-black-5-28-oz", "https://www.shelhealth.com/products/661176010011-naturtint-permanent-hair-color-1n-ebony-black-5-28-oz")</f>
        <v/>
      </c>
      <c r="B738" s="2">
        <f>HYPERLINK("https://www.shelhealth.com/products/661176010011-naturtint-permanent-hair-color-1n-ebony-black-5-28-oz", "https://www.shelhealth.com/products/661176010011-naturtint-permanent-hair-color-1n-ebony-black-5-28-oz")</f>
        <v/>
      </c>
      <c r="C738" t="inlineStr">
        <is>
          <t>Naturtint Permanent Hair Color 1N Ebony Black, 5.28 Oz</t>
        </is>
      </c>
      <c r="D738" t="inlineStr">
        <is>
          <t>Naturtint Permanent Hair Color 1N Ebony Black - 5.4 fl oz</t>
        </is>
      </c>
      <c r="E738" s="2">
        <f>HYPERLINK("https://www.amazon.com/Naturtint-Permanent-Color-Ebony-Black/dp/B00DKEWJIE/ref=sr_1_3?keywords=Naturtint+Permanent+Hair+Color+1N+Ebony+Black%2C+5.28+Oz&amp;qid=1695170208&amp;sr=8-3", "https://www.amazon.com/Naturtint-Permanent-Color-Ebony-Black/dp/B00DKEWJIE/ref=sr_1_3?keywords=Naturtint+Permanent+Hair+Color+1N+Ebony+Black%2C+5.28+Oz&amp;qid=1695170208&amp;sr=8-3")</f>
        <v/>
      </c>
      <c r="F738" t="inlineStr">
        <is>
          <t>B00DKEWJIE</t>
        </is>
      </c>
      <c r="G738">
        <f>_xludf.IMAGE("https://www.shelhealth.com/cdn/shop/files/naturtint-permanent-hair-color-1n-ebony-black-5-28-oz-beauty-body-care-shelhealth-739.jpg?v=1686533276&amp;width=1946")</f>
        <v/>
      </c>
      <c r="H738">
        <f>_xludf.IMAGE("https://m.media-amazon.com/images/I/81nFZTaQO0S._AC_UL320_.jpg")</f>
        <v/>
      </c>
      <c r="K738" t="inlineStr">
        <is>
          <t>17.99</t>
        </is>
      </c>
      <c r="L738" t="n">
        <v>18.75</v>
      </c>
      <c r="M738" s="1" t="inlineStr">
        <is>
          <t>4.22%</t>
        </is>
      </c>
      <c r="N738" s="3" t="n">
        <v>4.22</v>
      </c>
      <c r="O738" t="n">
        <v>4.4</v>
      </c>
      <c r="P738" t="n">
        <v>17</v>
      </c>
      <c r="R738" t="inlineStr">
        <is>
          <t>InStock</t>
        </is>
      </c>
      <c r="S738" t="inlineStr">
        <is>
          <t>17.99</t>
        </is>
      </c>
      <c r="T738" t="inlineStr">
        <is>
          <t>7241866150076</t>
        </is>
      </c>
    </row>
    <row r="739" hidden="1" ht="15.75" customHeight="1">
      <c r="A739" s="2">
        <f>HYPERLINK("https://www.shelhealth.com/products/661176010110-naturtint-permanent-hair-color-7g-golden-blonde-5-28-oz", "https://www.shelhealth.com/products/661176010110-naturtint-permanent-hair-color-7g-golden-blonde-5-28-oz")</f>
        <v/>
      </c>
      <c r="B739" s="2">
        <f>HYPERLINK("https://www.shelhealth.com/products/661176010110-naturtint-permanent-hair-color-7g-golden-blonde-5-28-oz", "https://www.shelhealth.com/products/661176010110-naturtint-permanent-hair-color-7g-golden-blonde-5-28-oz")</f>
        <v/>
      </c>
      <c r="C739" t="inlineStr">
        <is>
          <t>Naturtint Permanent Hair Color 7G Golden Blonde, 5.28 Oz</t>
        </is>
      </c>
      <c r="D739" t="inlineStr">
        <is>
          <t>Naturtint Hair Color - Permanent - 6G - Dark Golden Blonde - 5.28 oz</t>
        </is>
      </c>
      <c r="E739" s="2">
        <f>HYPERLINK("https://www.amazon.com/Naturtint-Clr-Drk-Blonde-Gldn/dp/B00DKEYUOK/ref=sr_1_4?keywords=Naturtint+Permanent+Hair+Color+7G+Golden+Blonde%2C+5.28+Oz&amp;qid=1695170196&amp;sr=8-4", "https://www.amazon.com/Naturtint-Clr-Drk-Blonde-Gldn/dp/B00DKEYUOK/ref=sr_1_4?keywords=Naturtint+Permanent+Hair+Color+7G+Golden+Blonde%2C+5.28+Oz&amp;qid=1695170196&amp;sr=8-4")</f>
        <v/>
      </c>
      <c r="F739" t="inlineStr">
        <is>
          <t>B00DKEYUOK</t>
        </is>
      </c>
      <c r="G739">
        <f>_xludf.IMAGE("https://www.shelhealth.com/cdn/shop/files/naturtint-permanent-hair-color-7g-golden-blonde-5-28-oz-beauty-body-care-shelhealth-511.jpg?v=1686533148&amp;width=1946")</f>
        <v/>
      </c>
      <c r="H739">
        <f>_xludf.IMAGE("https://m.media-amazon.com/images/I/81rzplyckoL._AC_UL320_.jpg")</f>
        <v/>
      </c>
      <c r="K739" t="inlineStr">
        <is>
          <t>17.99</t>
        </is>
      </c>
      <c r="L739" t="n">
        <v>18.75</v>
      </c>
      <c r="M739" s="1" t="inlineStr">
        <is>
          <t>4.22%</t>
        </is>
      </c>
      <c r="N739" s="3" t="n">
        <v>4.22</v>
      </c>
      <c r="O739" t="n">
        <v>4.1</v>
      </c>
      <c r="P739" t="n">
        <v>47</v>
      </c>
      <c r="R739" t="inlineStr">
        <is>
          <t>InStock</t>
        </is>
      </c>
      <c r="S739" t="inlineStr">
        <is>
          <t>17.99</t>
        </is>
      </c>
      <c r="T739" t="inlineStr">
        <is>
          <t>7241867133116</t>
        </is>
      </c>
    </row>
    <row r="740" hidden="1" ht="15.75" customHeight="1">
      <c r="A740" s="2">
        <f>HYPERLINK("https://www.shelhealth.com/products/661176010103-naturtint-permanent-hair-color-6g-dark-golden-blonde-5-28-oz", "https://www.shelhealth.com/products/661176010103-naturtint-permanent-hair-color-6g-dark-golden-blonde-5-28-oz")</f>
        <v/>
      </c>
      <c r="B740" s="2">
        <f>HYPERLINK("https://www.shelhealth.com/products/661176010103-naturtint-permanent-hair-color-6g-dark-golden-blonde-5-28-oz", "https://www.shelhealth.com/products/661176010103-naturtint-permanent-hair-color-6g-dark-golden-blonde-5-28-oz")</f>
        <v/>
      </c>
      <c r="C740" t="inlineStr">
        <is>
          <t>Naturtint Permanent Hair Color 6G Dark Golden Blonde, 5.28 Oz</t>
        </is>
      </c>
      <c r="D740" t="inlineStr">
        <is>
          <t>Naturtint Hair Color - Permanent - 6G - Dark Golden Blonde - 5.28 oz</t>
        </is>
      </c>
      <c r="E740" s="2">
        <f>HYPERLINK("https://www.amazon.com/Naturtint-Clr-Drk-Blonde-Gldn/dp/B00DKEYUOK/ref=sr_1_4?keywords=Naturtint+Permanent+Hair+Color+6G+Dark+Golden+Blonde%2C+5.28+Oz&amp;qid=1695170205&amp;sr=8-4", "https://www.amazon.com/Naturtint-Clr-Drk-Blonde-Gldn/dp/B00DKEYUOK/ref=sr_1_4?keywords=Naturtint+Permanent+Hair+Color+6G+Dark+Golden+Blonde%2C+5.28+Oz&amp;qid=1695170205&amp;sr=8-4")</f>
        <v/>
      </c>
      <c r="F740" t="inlineStr">
        <is>
          <t>B00DKEYUOK</t>
        </is>
      </c>
      <c r="G740">
        <f>_xludf.IMAGE("https://www.shelhealth.com/cdn/shop/files/naturtint-permanent-hair-color-6g-dark-golden-blonde-5-28-oz-beauty-body-care-shelhealth-442.jpg?v=1686533289&amp;width=1946")</f>
        <v/>
      </c>
      <c r="H740">
        <f>_xludf.IMAGE("https://m.media-amazon.com/images/I/81rzplyckoL._AC_UL320_.jpg")</f>
        <v/>
      </c>
      <c r="K740" t="inlineStr">
        <is>
          <t>17.99</t>
        </is>
      </c>
      <c r="L740" t="n">
        <v>18.75</v>
      </c>
      <c r="M740" s="1" t="inlineStr">
        <is>
          <t>4.22%</t>
        </is>
      </c>
      <c r="N740" s="3" t="n">
        <v>4.22</v>
      </c>
      <c r="O740" t="n">
        <v>4.1</v>
      </c>
      <c r="P740" t="n">
        <v>47</v>
      </c>
      <c r="R740" t="inlineStr">
        <is>
          <t>InStock</t>
        </is>
      </c>
      <c r="S740" t="inlineStr">
        <is>
          <t>17.99</t>
        </is>
      </c>
      <c r="T740" t="inlineStr">
        <is>
          <t>7241866903740</t>
        </is>
      </c>
    </row>
    <row r="741" hidden="1" ht="15.75" customHeight="1">
      <c r="A741" s="2">
        <f>HYPERLINK("https://www.shelhealth.com/products/661176010042-naturtint-permanent-hair-color-6n-dark-blonde-5-28-oz", "https://www.shelhealth.com/products/661176010042-naturtint-permanent-hair-color-6n-dark-blonde-5-28-oz")</f>
        <v/>
      </c>
      <c r="B741" s="2">
        <f>HYPERLINK("https://www.shelhealth.com/products/661176010042-naturtint-permanent-hair-color-6n-dark-blonde-5-28-oz", "https://www.shelhealth.com/products/661176010042-naturtint-permanent-hair-color-6n-dark-blonde-5-28-oz")</f>
        <v/>
      </c>
      <c r="C741" t="inlineStr">
        <is>
          <t>Naturtint Permanent Hair Color 6N Dark Blonde, 5.28 Oz</t>
        </is>
      </c>
      <c r="D741" t="inlineStr">
        <is>
          <t>Naturtint Hair Color - Permanent - 6G - Dark Golden Blonde - 5.28 oz</t>
        </is>
      </c>
      <c r="E741" s="2">
        <f>HYPERLINK("https://www.amazon.com/Naturtint-Clr-Drk-Blonde-Gldn/dp/B00DKEYUOK/ref=sr_1_7?keywords=Naturtint+Permanent+Hair+Color+6N+Dark+Blonde%2C+5.28+Oz&amp;qid=1695170196&amp;sr=8-7", "https://www.amazon.com/Naturtint-Clr-Drk-Blonde-Gldn/dp/B00DKEYUOK/ref=sr_1_7?keywords=Naturtint+Permanent+Hair+Color+6N+Dark+Blonde%2C+5.28+Oz&amp;qid=1695170196&amp;sr=8-7")</f>
        <v/>
      </c>
      <c r="F741" t="inlineStr">
        <is>
          <t>B00DKEYUOK</t>
        </is>
      </c>
      <c r="G741">
        <f>_xludf.IMAGE("https://www.shelhealth.com/cdn/shop/files/naturtint-permanent-hair-color-6n-dark-blonde-5-28-oz-beauty-body-care-shelhealth-686.jpg?v=1686533248&amp;width=1946")</f>
        <v/>
      </c>
      <c r="H741">
        <f>_xludf.IMAGE("https://m.media-amazon.com/images/I/81rzplyckoL._AC_UL320_.jpg")</f>
        <v/>
      </c>
      <c r="K741" t="inlineStr">
        <is>
          <t>17.99</t>
        </is>
      </c>
      <c r="L741" t="n">
        <v>18.75</v>
      </c>
      <c r="M741" s="1" t="inlineStr">
        <is>
          <t>4.22%</t>
        </is>
      </c>
      <c r="N741" s="3" t="n">
        <v>4.22</v>
      </c>
      <c r="O741" t="n">
        <v>4.1</v>
      </c>
      <c r="P741" t="n">
        <v>47</v>
      </c>
      <c r="R741" t="inlineStr">
        <is>
          <t>InStock</t>
        </is>
      </c>
      <c r="S741" t="inlineStr">
        <is>
          <t>17.99</t>
        </is>
      </c>
      <c r="T741" t="inlineStr">
        <is>
          <t>7241867002044</t>
        </is>
      </c>
    </row>
    <row r="742" hidden="1" ht="15.75" customHeight="1">
      <c r="A742" s="2">
        <f>HYPERLINK("https://www.shelhealth.com/products/orlando-pita-moroccan-argan-oil-gloss-conditioner-27-oz", "https://www.shelhealth.com/products/orlando-pita-moroccan-argan-oil-gloss-conditioner-27-oz")</f>
        <v/>
      </c>
      <c r="B742" s="2">
        <f>HYPERLINK("https://www.shelhealth.com/products/orlando-pita-moroccan-argan-oil-gloss-conditioner-27-oz", "https://www.shelhealth.com/products/orlando-pita-moroccan-argan-oil-gloss-conditioner-27-oz")</f>
        <v/>
      </c>
      <c r="C742" t="inlineStr">
        <is>
          <t>Orlando Pita Moroccan Argan Oil Gloss Conditioner 27 OZ.</t>
        </is>
      </c>
      <c r="D742" t="inlineStr">
        <is>
          <t>ORLANDO PITA Moroccan Argan Oil Glossing Conditioner, Moisturizing, Softening, &amp; Shine-Enhancing for Smoother, More Manageable, &amp; Overall Healthier Hair, 27 Fl Oz</t>
        </is>
      </c>
      <c r="E742" s="2">
        <f>HYPERLINK("https://www.amazon.com/ORLANDO-PITA-Conditioner-Moisturizing-Shine-Enhancing/dp/B0896X75SQ/ref=sr_1_1?keywords=Orlando+Pita+Moroccan+Argan+Oil+Gloss+Conditioner+27+OZ.&amp;qid=1695170162&amp;sr=8-1", "https://www.amazon.com/ORLANDO-PITA-Conditioner-Moisturizing-Shine-Enhancing/dp/B0896X75SQ/ref=sr_1_1?keywords=Orlando+Pita+Moroccan+Argan+Oil+Gloss+Conditioner+27+OZ.&amp;qid=1695170162&amp;sr=8-1")</f>
        <v/>
      </c>
      <c r="F742" t="inlineStr">
        <is>
          <t>B0896X75SQ</t>
        </is>
      </c>
      <c r="G742">
        <f>_xludf.IMAGE("https://www.shelhealth.com/cdn/shop/products/orlando-pita-moroccan-argan-oil-gloss-conditioner-27-oz-shelhealth-210.jpg?v=1663338538&amp;width=1946")</f>
        <v/>
      </c>
      <c r="H742">
        <f>_xludf.IMAGE("https://m.media-amazon.com/images/I/41xwwbaIJ4L._AC_UL320_.jpg")</f>
        <v/>
      </c>
      <c r="K742" t="inlineStr">
        <is>
          <t>23.99</t>
        </is>
      </c>
      <c r="L742" t="n">
        <v>24.99</v>
      </c>
      <c r="M742" s="1" t="inlineStr">
        <is>
          <t>4.17%</t>
        </is>
      </c>
      <c r="N742" s="3" t="n">
        <v>4.17</v>
      </c>
      <c r="O742" t="n">
        <v>4.7</v>
      </c>
      <c r="P742" t="n">
        <v>629</v>
      </c>
      <c r="R742" t="inlineStr">
        <is>
          <t>OutOfStock</t>
        </is>
      </c>
      <c r="S742" t="inlineStr">
        <is>
          <t>23.99</t>
        </is>
      </c>
      <c r="T742" t="inlineStr">
        <is>
          <t>3785888890932</t>
        </is>
      </c>
    </row>
    <row r="743" hidden="1" ht="15.75" customHeight="1">
      <c r="A743" s="2">
        <f>HYPERLINK("https://www.shelhealth.com/products/661176010141-naturtint-permanent-hair-color-5m-light-mahogany-chestnut-5-28-oz", "https://www.shelhealth.com/products/661176010141-naturtint-permanent-hair-color-5m-light-mahogany-chestnut-5-28-oz")</f>
        <v/>
      </c>
      <c r="B743" s="2">
        <f>HYPERLINK("https://www.shelhealth.com/products/661176010141-naturtint-permanent-hair-color-5m-light-mahogany-chestnut-5-28-oz", "https://www.shelhealth.com/products/661176010141-naturtint-permanent-hair-color-5m-light-mahogany-chestnut-5-28-oz")</f>
        <v/>
      </c>
      <c r="C743" t="inlineStr">
        <is>
          <t>Naturtint Permanent Hair Color 5M Light Mahogany Chestnut, 5.28 Oz</t>
        </is>
      </c>
      <c r="D743" t="inlineStr">
        <is>
          <t>Naturtint Permanent Hair Color, 5M Light Mahogany Chestnut, Plant Enriched, Ammonia Free, Long Lasting Gray Coverage and Radiante Color, Nourishment and Protection</t>
        </is>
      </c>
      <c r="E743" s="2">
        <f>HYPERLINK("https://www.amazon.com/Naturtint-Color-Permanent-Mahogany-Chestnut/dp/B006H9IVWW/ref=sr_1_2?keywords=Naturtint+Permanent+Hair+Color+5M+Light+Mahogany+Chestnut%2C+5.28+Oz&amp;qid=1695170206&amp;sr=8-2", "https://www.amazon.com/Naturtint-Color-Permanent-Mahogany-Chestnut/dp/B006H9IVWW/ref=sr_1_2?keywords=Naturtint+Permanent+Hair+Color+5M+Light+Mahogany+Chestnut%2C+5.28+Oz&amp;qid=1695170206&amp;sr=8-2")</f>
        <v/>
      </c>
      <c r="F743" t="inlineStr">
        <is>
          <t>B006H9IVWW</t>
        </is>
      </c>
      <c r="G743">
        <f>_xludf.IMAGE("https://www.shelhealth.com/cdn/shop/files/naturtint-permanent-hair-color-5m-light-mahogany-chestnut-5-28-oz-beauty-body-care-shelhealth-137.jpg?v=1686533115&amp;width=1946")</f>
        <v/>
      </c>
      <c r="H743">
        <f>_xludf.IMAGE("https://m.media-amazon.com/images/I/81LaN0GStoL._AC_UL320_.jpg")</f>
        <v/>
      </c>
      <c r="K743" t="inlineStr">
        <is>
          <t>17.99</t>
        </is>
      </c>
      <c r="L743" t="n">
        <v>18.73</v>
      </c>
      <c r="M743" s="1" t="inlineStr">
        <is>
          <t>4.11%</t>
        </is>
      </c>
      <c r="N743" s="3" t="n">
        <v>4.11</v>
      </c>
      <c r="O743" t="n">
        <v>4.5</v>
      </c>
      <c r="P743" t="n">
        <v>84</v>
      </c>
      <c r="R743" t="inlineStr">
        <is>
          <t>InStock</t>
        </is>
      </c>
      <c r="S743" t="inlineStr">
        <is>
          <t>17.99</t>
        </is>
      </c>
      <c r="T743" t="inlineStr">
        <is>
          <t>7241866379452</t>
        </is>
      </c>
    </row>
    <row r="744" hidden="1" ht="15.75" customHeight="1">
      <c r="A744" s="2">
        <f>HYPERLINK("https://www.shelhealth.com/products/661176010103-naturtint-permanent-hair-color-6g-dark-golden-blonde-5-28-oz", "https://www.shelhealth.com/products/661176010103-naturtint-permanent-hair-color-6g-dark-golden-blonde-5-28-oz")</f>
        <v/>
      </c>
      <c r="B744" s="2">
        <f>HYPERLINK("https://www.shelhealth.com/products/661176010103-naturtint-permanent-hair-color-6g-dark-golden-blonde-5-28-oz", "https://www.shelhealth.com/products/661176010103-naturtint-permanent-hair-color-6g-dark-golden-blonde-5-28-oz")</f>
        <v/>
      </c>
      <c r="C744" t="inlineStr">
        <is>
          <t>Naturtint Permanent Hair Color 6G Dark Golden Blonde, 5.28 Oz</t>
        </is>
      </c>
      <c r="D744" t="inlineStr">
        <is>
          <t>Naturtint Permanent Hair Color 6G Dark Golden Blonde (Pack of 1), Ammonia Free, Vegan, Cruelty Free, up to 100% Gray Coverage, Long Lasting Results</t>
        </is>
      </c>
      <c r="E744" s="2">
        <f>HYPERLINK("https://www.amazon.com/Naturtint-Permanent-Colorant-Golden-Blonde/dp/B003VTSGHQ/ref=sr_1_3?keywords=Naturtint+Permanent+Hair+Color+6G+Dark+Golden+Blonde%2C+5.28+Oz&amp;qid=1695170205&amp;sr=8-3", "https://www.amazon.com/Naturtint-Permanent-Colorant-Golden-Blonde/dp/B003VTSGHQ/ref=sr_1_3?keywords=Naturtint+Permanent+Hair+Color+6G+Dark+Golden+Blonde%2C+5.28+Oz&amp;qid=1695170205&amp;sr=8-3")</f>
        <v/>
      </c>
      <c r="F744" t="inlineStr">
        <is>
          <t>B003VTSGHQ</t>
        </is>
      </c>
      <c r="G744">
        <f>_xludf.IMAGE("https://www.shelhealth.com/cdn/shop/files/naturtint-permanent-hair-color-6g-dark-golden-blonde-5-28-oz-beauty-body-care-shelhealth-442.jpg?v=1686533289&amp;width=1946")</f>
        <v/>
      </c>
      <c r="H744">
        <f>_xludf.IMAGE("https://m.media-amazon.com/images/I/81rzplyckoL._AC_UL320_.jpg")</f>
        <v/>
      </c>
      <c r="K744" t="inlineStr">
        <is>
          <t>17.99</t>
        </is>
      </c>
      <c r="L744" t="n">
        <v>18.73</v>
      </c>
      <c r="M744" s="1" t="inlineStr">
        <is>
          <t>4.11%</t>
        </is>
      </c>
      <c r="N744" s="3" t="n">
        <v>4.11</v>
      </c>
      <c r="O744" t="n">
        <v>4.9</v>
      </c>
      <c r="P744" t="n">
        <v>8</v>
      </c>
      <c r="R744" t="inlineStr">
        <is>
          <t>InStock</t>
        </is>
      </c>
      <c r="S744" t="inlineStr">
        <is>
          <t>17.99</t>
        </is>
      </c>
      <c r="T744" t="inlineStr">
        <is>
          <t>7241866903740</t>
        </is>
      </c>
    </row>
    <row r="745" hidden="1" ht="15.75" customHeight="1">
      <c r="A745" s="2">
        <f>HYPERLINK("https://www.shelhealth.com/products/661176010028-naturtint-permanent-hair-color-3n-dark-chestnut-brown-5-28-oz", "https://www.shelhealth.com/products/661176010028-naturtint-permanent-hair-color-3n-dark-chestnut-brown-5-28-oz")</f>
        <v/>
      </c>
      <c r="B745" s="2">
        <f>HYPERLINK("https://www.shelhealth.com/products/661176010028-naturtint-permanent-hair-color-3n-dark-chestnut-brown-5-28-oz", "https://www.shelhealth.com/products/661176010028-naturtint-permanent-hair-color-3n-dark-chestnut-brown-5-28-oz")</f>
        <v/>
      </c>
      <c r="C745" t="inlineStr">
        <is>
          <t>Naturtint Permanent Hair Color 3N Dark Chestnut Brown, 5.28 Oz</t>
        </is>
      </c>
      <c r="D745" t="inlineStr">
        <is>
          <t>Naturtint Permanent Hair Color 3N Dark Chestnut Brown (Pack of 1), Ammonia Free, Vegan, Cruelty Free, up to 100% Gray Coverage, Long Lasting Results</t>
        </is>
      </c>
      <c r="E745" s="2">
        <f>HYPERLINK("https://www.amazon.com/Naturtint-Clr-Chstnt-Brwn-Dark/dp/B001E0T8Y4/ref=sr_1_2?keywords=Naturtint+Permanent+Hair+Color+3N+Dark+Chestnut+Brown%2C+5.28+Oz&amp;qid=1695170197&amp;sr=8-2", "https://www.amazon.com/Naturtint-Clr-Chstnt-Brwn-Dark/dp/B001E0T8Y4/ref=sr_1_2?keywords=Naturtint+Permanent+Hair+Color+3N+Dark+Chestnut+Brown%2C+5.28+Oz&amp;qid=1695170197&amp;sr=8-2")</f>
        <v/>
      </c>
      <c r="F745" t="inlineStr">
        <is>
          <t>B001E0T8Y4</t>
        </is>
      </c>
      <c r="G745">
        <f>_xludf.IMAGE("https://www.shelhealth.com/cdn/shop/files/naturtint-permanent-hair-color-3n-dark-chestnut-brown-5-28-oz-beauty-body-care-shelhealth-331.jpg?v=1686533225&amp;width=1946")</f>
        <v/>
      </c>
      <c r="H745">
        <f>_xludf.IMAGE("https://m.media-amazon.com/images/I/81GgTRWe25L._AC_UL320_.jpg")</f>
        <v/>
      </c>
      <c r="K745" t="inlineStr">
        <is>
          <t>17.99</t>
        </is>
      </c>
      <c r="L745" t="n">
        <v>18.73</v>
      </c>
      <c r="M745" s="1" t="inlineStr">
        <is>
          <t>4.11%</t>
        </is>
      </c>
      <c r="N745" s="3" t="n">
        <v>4.11</v>
      </c>
      <c r="O745" t="n">
        <v>4.5</v>
      </c>
      <c r="P745" t="n">
        <v>305</v>
      </c>
      <c r="R745" t="inlineStr">
        <is>
          <t>InStock</t>
        </is>
      </c>
      <c r="S745" t="inlineStr">
        <is>
          <t>17.99</t>
        </is>
      </c>
      <c r="T745" t="inlineStr">
        <is>
          <t>7241866281148</t>
        </is>
      </c>
    </row>
    <row r="746" hidden="1" ht="15.75" customHeight="1">
      <c r="A746" s="2">
        <f>HYPERLINK("https://www.shelhealth.com/products/666248001232-herbatint-hair-color-5c-ash-chestnut-lite-4-56-oz", "https://www.shelhealth.com/products/666248001232-herbatint-hair-color-5c-ash-chestnut-lite-4-56-oz")</f>
        <v/>
      </c>
      <c r="B746" s="2">
        <f>HYPERLINK("https://www.shelhealth.com/products/666248001232-herbatint-hair-color-5c-ash-chestnut-lite-4-56-oz", "https://www.shelhealth.com/products/666248001232-herbatint-hair-color-5c-ash-chestnut-lite-4-56-oz")</f>
        <v/>
      </c>
      <c r="C746" t="inlineStr">
        <is>
          <t>Herbatint Hair Color 5C Ash Chestnut Lite, 4.56 Oz</t>
        </is>
      </c>
      <c r="D746" t="inlineStr">
        <is>
          <t>Herbatint Permanent Herbal Haircolour Gel 5C Light Ash Chestnut - 4.56 fl oz</t>
        </is>
      </c>
      <c r="E746" s="2">
        <f>HYPERLINK("https://www.amazon.com/Herbatint-Color-Ash-Chestnt-Lite/dp/B00EZLLSLU/ref=sr_1_5?keywords=Herbatint+Hair+Color+5C+Ash+Chestnut+Lite%2C+4.56+Oz&amp;qid=1695170214&amp;sr=8-5", "https://www.amazon.com/Herbatint-Color-Ash-Chestnt-Lite/dp/B00EZLLSLU/ref=sr_1_5?keywords=Herbatint+Hair+Color+5C+Ash+Chestnut+Lite%2C+4.56+Oz&amp;qid=1695170214&amp;sr=8-5")</f>
        <v/>
      </c>
      <c r="F746" t="inlineStr">
        <is>
          <t>B00EZLLSLU</t>
        </is>
      </c>
      <c r="G746">
        <f>_xludf.IMAGE("https://www.shelhealth.com/cdn/shop/files/herbatint-hair-color-5c-ash-chestnut-lite-4-56-oz-beauty-body-care-shelhealth-728.jpg?v=1693355093&amp;width=1946")</f>
        <v/>
      </c>
      <c r="H746">
        <f>_xludf.IMAGE("https://m.media-amazon.com/images/I/61L3z0RAGPL._AC_UL320_.jpg")</f>
        <v/>
      </c>
      <c r="K746" t="inlineStr">
        <is>
          <t>17.99</t>
        </is>
      </c>
      <c r="L746" t="n">
        <v>18.67</v>
      </c>
      <c r="M746" s="1" t="inlineStr">
        <is>
          <t>3.78%</t>
        </is>
      </c>
      <c r="N746" s="3" t="n">
        <v>3.78</v>
      </c>
      <c r="O746" t="n">
        <v>5</v>
      </c>
      <c r="P746" t="n">
        <v>2</v>
      </c>
      <c r="R746" t="inlineStr">
        <is>
          <t>OutOfStock</t>
        </is>
      </c>
      <c r="S746" t="inlineStr">
        <is>
          <t>17.99</t>
        </is>
      </c>
      <c r="T746" t="inlineStr">
        <is>
          <t>7241699033276</t>
        </is>
      </c>
    </row>
    <row r="747" hidden="1" ht="15.75" customHeight="1">
      <c r="A747" s="2">
        <f>HYPERLINK("https://www.shelhealth.com/products/taliah-waajid-african-healing-oyl-8oz", "https://www.shelhealth.com/products/taliah-waajid-african-healing-oyl-8oz")</f>
        <v/>
      </c>
      <c r="B747" s="2">
        <f>HYPERLINK("https://www.shelhealth.com/products/taliah-waajid-african-healing-oyl-8oz", "https://www.shelhealth.com/products/taliah-waajid-african-healing-oyl-8oz")</f>
        <v/>
      </c>
      <c r="C747" t="inlineStr">
        <is>
          <t>Taliah Waajid African Healing Oyl, 8oz</t>
        </is>
      </c>
      <c r="D747" t="inlineStr">
        <is>
          <t>Taliah Waajid Black Earth Products African Healing Oyl 8oz</t>
        </is>
      </c>
      <c r="E747" s="2">
        <f>HYPERLINK("https://www.amazon.com/Taliah-Waajid-African-Healing-Oyl/dp/B00552467Q/ref=sr_1_1?keywords=taliah+waajid+african+healing+oil%2C+8oz&amp;qid=1695170161&amp;sr=8-1", "https://www.amazon.com/Taliah-Waajid-African-Healing-Oyl/dp/B00552467Q/ref=sr_1_1?keywords=taliah+waajid+african+healing+oil%2C+8oz&amp;qid=1695170161&amp;sr=8-1")</f>
        <v/>
      </c>
      <c r="F747" t="inlineStr">
        <is>
          <t>B00552467Q</t>
        </is>
      </c>
      <c r="G747">
        <f>_xludf.IMAGE("https://www.shelhealth.com/cdn/shop/products/taliah-waajid-african-healing-oyl-8oz-shelhealth-443.jpg?v=1663350050&amp;width=1946")</f>
        <v/>
      </c>
      <c r="H747">
        <f>_xludf.IMAGE("https://m.media-amazon.com/images/I/41D8j4Zt7eL._AC_UL320_.jpg")</f>
        <v/>
      </c>
      <c r="K747" t="inlineStr">
        <is>
          <t>8.99</t>
        </is>
      </c>
      <c r="L747" t="n">
        <v>9.289999999999999</v>
      </c>
      <c r="M747" s="1" t="inlineStr">
        <is>
          <t>3.34%</t>
        </is>
      </c>
      <c r="N747" s="3" t="n">
        <v>3.34</v>
      </c>
      <c r="O747" t="n">
        <v>4.7</v>
      </c>
      <c r="P747" t="n">
        <v>2284</v>
      </c>
      <c r="R747" t="inlineStr">
        <is>
          <t>InStock</t>
        </is>
      </c>
      <c r="S747" t="inlineStr">
        <is>
          <t>8.99</t>
        </is>
      </c>
      <c r="T747" t="inlineStr">
        <is>
          <t>4045855653940</t>
        </is>
      </c>
    </row>
    <row r="748" hidden="1" ht="15.75" customHeight="1">
      <c r="A748" s="2">
        <f>HYPERLINK("https://www.shelhealth.com/products/716237181725-giovanni-root-66-max-volume-conditioner-8-5-oz", "https://www.shelhealth.com/products/716237181725-giovanni-root-66-max-volume-conditioner-8-5-oz")</f>
        <v/>
      </c>
      <c r="B748" s="2">
        <f>HYPERLINK("https://www.shelhealth.com/products/716237181725-giovanni-root-66-max-volume-conditioner-8-5-oz", "https://www.shelhealth.com/products/716237181725-giovanni-root-66-max-volume-conditioner-8-5-oz")</f>
        <v/>
      </c>
      <c r="C748" t="inlineStr">
        <is>
          <t>Giovanni Root 66 Max Volume Conditioner, 8.5 Oz (Case of 3)</t>
        </is>
      </c>
      <c r="D748" t="inlineStr">
        <is>
          <t>GIOVANNI 2chic Root 66 Max Volume Conditioner - For Fine Hair, Helps Strengthen &amp; Protect Fine, Lifeless Hair, Volumizing Conditioner, Infused with Natural Botanical Ingredients - 8.5 oz (3 Pack)</t>
        </is>
      </c>
      <c r="E748" s="2">
        <f>HYPERLINK("https://www.amazon.com/GIOVANNI-Root-Conditioner-8-5oz-Pack/dp/B002LMFKDM/ref=sr_1_1?keywords=Giovanni+Root+66+Max+Volume+Conditioner%2C+8.5+Oz+%28Case+of+3%29&amp;qid=1695170227&amp;sr=8-1", "https://www.amazon.com/GIOVANNI-Root-Conditioner-8-5oz-Pack/dp/B002LMFKDM/ref=sr_1_1?keywords=Giovanni+Root+66+Max+Volume+Conditioner%2C+8.5+Oz+%28Case+of+3%29&amp;qid=1695170227&amp;sr=8-1")</f>
        <v/>
      </c>
      <c r="F748" t="inlineStr">
        <is>
          <t>B002LMFKDM</t>
        </is>
      </c>
      <c r="G748">
        <f>_xludf.IMAGE("https://www.shelhealth.com/cdn/shop/files/giovanni-root-66-max-volume-conditioner-8-5-oz-case-of-3-beauty-body-care-shelhealth-243.jpg?v=1686527319&amp;width=1946")</f>
        <v/>
      </c>
      <c r="H748">
        <f>_xludf.IMAGE("https://m.media-amazon.com/images/I/7143JcV-ehL._AC_UL320_.jpg")</f>
        <v/>
      </c>
      <c r="K748" t="inlineStr">
        <is>
          <t>27.99</t>
        </is>
      </c>
      <c r="L748" t="n">
        <v>28.89</v>
      </c>
      <c r="M748" s="1" t="inlineStr">
        <is>
          <t>3.22%</t>
        </is>
      </c>
      <c r="N748" s="3" t="n">
        <v>3.22</v>
      </c>
      <c r="O748" t="n">
        <v>4.3</v>
      </c>
      <c r="P748" t="n">
        <v>17</v>
      </c>
      <c r="R748" t="inlineStr">
        <is>
          <t>InStock</t>
        </is>
      </c>
      <c r="S748" t="inlineStr">
        <is>
          <t>27.99</t>
        </is>
      </c>
      <c r="T748" t="inlineStr">
        <is>
          <t>7241663447228</t>
        </is>
      </c>
    </row>
    <row r="749" hidden="1" ht="15.75" customHeight="1">
      <c r="A749" s="2">
        <f>HYPERLINK("https://www.shelhealth.com/products/666248001126-herbatint-permanent-hair-color-gel-6d-dark-golden-blonde-4-56-oz", "https://www.shelhealth.com/products/666248001126-herbatint-permanent-hair-color-gel-6d-dark-golden-blonde-4-56-oz")</f>
        <v/>
      </c>
      <c r="B749" s="2">
        <f>HYPERLINK("https://www.shelhealth.com/products/666248001126-herbatint-permanent-hair-color-gel-6d-dark-golden-blonde-4-56-oz", "https://www.shelhealth.com/products/666248001126-herbatint-permanent-hair-color-gel-6d-dark-golden-blonde-4-56-oz")</f>
        <v/>
      </c>
      <c r="C749" t="inlineStr">
        <is>
          <t>Herbatint Permanent Hair Color Gel 6D Dark Golden Blonde, 4.56 Oz</t>
        </is>
      </c>
      <c r="D749" t="inlineStr">
        <is>
          <t>Herbatint Permanent Haircolor Gel, 7D Golden Blonde, Alcohol Free, Vegan, 100% Grey Coverage - 4.56 oz</t>
        </is>
      </c>
      <c r="E749" s="2">
        <f>HYPERLINK("https://www.amazon.com/Herbatint-Permanent-Herbal-Haircolor-Golden/dp/B00028LODC/ref=sr_1_3?keywords=Herbatint+Permanent+Hair+Color+Gel+6D+Dark+Golden+Blonde%2C+4.56+Oz&amp;qid=1695170201&amp;sr=8-3", "https://www.amazon.com/Herbatint-Permanent-Herbal-Haircolor-Golden/dp/B00028LODC/ref=sr_1_3?keywords=Herbatint+Permanent+Hair+Color+Gel+6D+Dark+Golden+Blonde%2C+4.56+Oz&amp;qid=1695170201&amp;sr=8-3")</f>
        <v/>
      </c>
      <c r="F749" t="inlineStr">
        <is>
          <t>B00028LODC</t>
        </is>
      </c>
      <c r="G749">
        <f>_xludf.IMAGE("https://www.shelhealth.com/cdn/shop/files/herbatint-permanent-hair-color-gel-6d-dark-golden-blonde-4-56-oz-beauty-body-care-shelhealth-649.jpg?v=1686528158&amp;width=1946")</f>
        <v/>
      </c>
      <c r="H749">
        <f>_xludf.IMAGE("https://m.media-amazon.com/images/I/81ErW2Dk7kL._AC_UL320_.jpg")</f>
        <v/>
      </c>
      <c r="K749" t="inlineStr">
        <is>
          <t>17.99</t>
        </is>
      </c>
      <c r="L749" t="n">
        <v>18.47</v>
      </c>
      <c r="M749" s="1" t="inlineStr">
        <is>
          <t>2.67%</t>
        </is>
      </c>
      <c r="N749" s="3" t="n">
        <v>2.67</v>
      </c>
      <c r="O749" t="n">
        <v>4</v>
      </c>
      <c r="P749" t="n">
        <v>127</v>
      </c>
      <c r="R749" t="inlineStr">
        <is>
          <t>InStock</t>
        </is>
      </c>
      <c r="S749" t="inlineStr">
        <is>
          <t>17.99</t>
        </is>
      </c>
      <c r="T749" t="inlineStr">
        <is>
          <t>7241699590332</t>
        </is>
      </c>
    </row>
    <row r="750" hidden="1" ht="15.75" customHeight="1">
      <c r="A750" s="2">
        <f>HYPERLINK("https://www.shelhealth.com/products/666248001126-herbatint-permanent-hair-color-gel-6d-dark-golden-blonde-4-56-oz", "https://www.shelhealth.com/products/666248001126-herbatint-permanent-hair-color-gel-6d-dark-golden-blonde-4-56-oz")</f>
        <v/>
      </c>
      <c r="B750" s="2">
        <f>HYPERLINK("https://www.shelhealth.com/products/666248001126-herbatint-permanent-hair-color-gel-6d-dark-golden-blonde-4-56-oz", "https://www.shelhealth.com/products/666248001126-herbatint-permanent-hair-color-gel-6d-dark-golden-blonde-4-56-oz")</f>
        <v/>
      </c>
      <c r="C750" t="inlineStr">
        <is>
          <t>Herbatint Permanent Hair Color Gel 6D Dark Golden Blonde, 4.56 Oz</t>
        </is>
      </c>
      <c r="D750" t="inlineStr">
        <is>
          <t>Herbatint Permanent Haircolor Gel, 6N Dark Blonde, Alcohol Free, Vegan, 100% Grey Coverage - 4.56 oz</t>
        </is>
      </c>
      <c r="E750" s="2">
        <f>HYPERLINK("https://www.amazon.com/Herbatint-Permanent-Herbal-Haircolour-Blonde/dp/B000H5LEJO/ref=sr_1_6?keywords=Herbatint+Permanent+Hair+Color+Gel+6D+Dark+Golden+Blonde%2C+4.56+Oz&amp;qid=1695170201&amp;sr=8-6", "https://www.amazon.com/Herbatint-Permanent-Herbal-Haircolour-Blonde/dp/B000H5LEJO/ref=sr_1_6?keywords=Herbatint+Permanent+Hair+Color+Gel+6D+Dark+Golden+Blonde%2C+4.56+Oz&amp;qid=1695170201&amp;sr=8-6")</f>
        <v/>
      </c>
      <c r="F750" t="inlineStr">
        <is>
          <t>B000H5LEJO</t>
        </is>
      </c>
      <c r="G750">
        <f>_xludf.IMAGE("https://www.shelhealth.com/cdn/shop/files/herbatint-permanent-hair-color-gel-6d-dark-golden-blonde-4-56-oz-beauty-body-care-shelhealth-649.jpg?v=1686528158&amp;width=1946")</f>
        <v/>
      </c>
      <c r="H750">
        <f>_xludf.IMAGE("https://m.media-amazon.com/images/I/81G2+WHBniL._AC_UL320_.jpg")</f>
        <v/>
      </c>
      <c r="K750" t="inlineStr">
        <is>
          <t>17.99</t>
        </is>
      </c>
      <c r="L750" t="n">
        <v>18.31</v>
      </c>
      <c r="M750" s="1" t="inlineStr">
        <is>
          <t>1.78%</t>
        </is>
      </c>
      <c r="N750" s="3" t="n">
        <v>1.78</v>
      </c>
      <c r="O750" t="n">
        <v>4.4</v>
      </c>
      <c r="P750" t="n">
        <v>515</v>
      </c>
      <c r="R750" t="inlineStr">
        <is>
          <t>InStock</t>
        </is>
      </c>
      <c r="S750" t="inlineStr">
        <is>
          <t>17.99</t>
        </is>
      </c>
      <c r="T750" t="inlineStr">
        <is>
          <t>7241699590332</t>
        </is>
      </c>
    </row>
    <row r="751" hidden="1" ht="15.75" customHeight="1">
      <c r="A751" s="2">
        <f>HYPERLINK("https://www.shelhealth.com/products/666248001072-herbatint-permanent-herbal-haircolor-gel-8n-light-blonde-4-oz", "https://www.shelhealth.com/products/666248001072-herbatint-permanent-herbal-haircolor-gel-8n-light-blonde-4-oz")</f>
        <v/>
      </c>
      <c r="B751" s="2">
        <f>HYPERLINK("https://www.shelhealth.com/products/666248001072-herbatint-permanent-herbal-haircolor-gel-8n-light-blonde-4-oz", "https://www.shelhealth.com/products/666248001072-herbatint-permanent-herbal-haircolor-gel-8n-light-blonde-4-oz")</f>
        <v/>
      </c>
      <c r="C751" t="inlineStr">
        <is>
          <t>Herbatint Permanent Herbal Haircolor Gel 8N Light Blonde, 4 Oz</t>
        </is>
      </c>
      <c r="D751" t="inlineStr">
        <is>
          <t>Herbatint Permanent Haircolor Gel, 6N Dark Blonde, Alcohol Free, Vegan, 100% Grey Coverage - 4.56 oz</t>
        </is>
      </c>
      <c r="E751" s="2">
        <f>HYPERLINK("https://www.amazon.com/Herbatint-Permanent-Herbal-Haircolour-Blonde/dp/B000H5LEJO/ref=sr_1_10?keywords=Herbatint+Permanent+Herbal+Haircolor+Gel+8N+Light+Blonde%2C+4+Oz&amp;qid=1695170199&amp;sr=8-10", "https://www.amazon.com/Herbatint-Permanent-Herbal-Haircolour-Blonde/dp/B000H5LEJO/ref=sr_1_10?keywords=Herbatint+Permanent+Herbal+Haircolor+Gel+8N+Light+Blonde%2C+4+Oz&amp;qid=1695170199&amp;sr=8-10")</f>
        <v/>
      </c>
      <c r="F751" t="inlineStr">
        <is>
          <t>B000H5LEJO</t>
        </is>
      </c>
      <c r="G751">
        <f>_xludf.IMAGE("https://www.shelhealth.com/cdn/shop/files/herbatint-permanent-herbal-haircolor-gel-8n-light-blonde-4-oz-beauty-body-care-shelhealth-377.jpg?v=1686196957&amp;width=1946")</f>
        <v/>
      </c>
      <c r="H751">
        <f>_xludf.IMAGE("https://m.media-amazon.com/images/I/81G2+WHBniL._AC_UL320_.jpg")</f>
        <v/>
      </c>
      <c r="K751" t="inlineStr">
        <is>
          <t>17.99</t>
        </is>
      </c>
      <c r="L751" t="n">
        <v>18.31</v>
      </c>
      <c r="M751" s="1" t="inlineStr">
        <is>
          <t>1.78%</t>
        </is>
      </c>
      <c r="N751" s="3" t="n">
        <v>1.78</v>
      </c>
      <c r="O751" t="n">
        <v>4.4</v>
      </c>
      <c r="P751" t="n">
        <v>515</v>
      </c>
      <c r="R751" t="inlineStr">
        <is>
          <t>OutOfStock</t>
        </is>
      </c>
      <c r="S751" t="inlineStr">
        <is>
          <t>17.99</t>
        </is>
      </c>
      <c r="T751" t="inlineStr">
        <is>
          <t>7241699950780</t>
        </is>
      </c>
    </row>
    <row r="752" hidden="1" ht="15.75" customHeight="1">
      <c r="A752" s="2">
        <f>HYPERLINK("https://www.shelhealth.com/products/661176010042-naturtint-permanent-hair-color-6n-dark-blonde-5-28-oz", "https://www.shelhealth.com/products/661176010042-naturtint-permanent-hair-color-6n-dark-blonde-5-28-oz")</f>
        <v/>
      </c>
      <c r="B752" s="2">
        <f>HYPERLINK("https://www.shelhealth.com/products/661176010042-naturtint-permanent-hair-color-6n-dark-blonde-5-28-oz", "https://www.shelhealth.com/products/661176010042-naturtint-permanent-hair-color-6n-dark-blonde-5-28-oz")</f>
        <v/>
      </c>
      <c r="C752" t="inlineStr">
        <is>
          <t>Naturtint Permanent Hair Color 6N Dark Blonde, 5.28 Oz</t>
        </is>
      </c>
      <c r="D752" t="inlineStr">
        <is>
          <t>Naturtint Hair Color - Permanent - 6G - Dark Golden Blonde - 5.28 oz</t>
        </is>
      </c>
      <c r="E752" s="2">
        <f>HYPERLINK("https://www.amazon.com/Naturtint-Clr-Drk-Blonde-Gldn/dp/B008230R3W/ref=sr_1_4?keywords=Naturtint+Permanent+Hair+Color+6N+Dark+Blonde%2C+5.28+Oz&amp;qid=1695170196&amp;sr=8-4", "https://www.amazon.com/Naturtint-Clr-Drk-Blonde-Gldn/dp/B008230R3W/ref=sr_1_4?keywords=Naturtint+Permanent+Hair+Color+6N+Dark+Blonde%2C+5.28+Oz&amp;qid=1695170196&amp;sr=8-4")</f>
        <v/>
      </c>
      <c r="F752" t="inlineStr">
        <is>
          <t>B008230R3W</t>
        </is>
      </c>
      <c r="G752">
        <f>_xludf.IMAGE("https://www.shelhealth.com/cdn/shop/files/naturtint-permanent-hair-color-6n-dark-blonde-5-28-oz-beauty-body-care-shelhealth-686.jpg?v=1686533248&amp;width=1946")</f>
        <v/>
      </c>
      <c r="H752">
        <f>_xludf.IMAGE("https://m.media-amazon.com/images/I/81i5YBa66cL._AC_UL320_.jpg")</f>
        <v/>
      </c>
      <c r="K752" t="inlineStr">
        <is>
          <t>17.99</t>
        </is>
      </c>
      <c r="L752" t="n">
        <v>18.25</v>
      </c>
      <c r="M752" s="1" t="inlineStr">
        <is>
          <t>1.45%</t>
        </is>
      </c>
      <c r="N752" s="3" t="n">
        <v>1.45</v>
      </c>
      <c r="O752" t="n">
        <v>4.5</v>
      </c>
      <c r="P752" t="n">
        <v>82</v>
      </c>
      <c r="R752" t="inlineStr">
        <is>
          <t>InStock</t>
        </is>
      </c>
      <c r="S752" t="inlineStr">
        <is>
          <t>17.99</t>
        </is>
      </c>
      <c r="T752" t="inlineStr">
        <is>
          <t>7241867002044</t>
        </is>
      </c>
    </row>
    <row r="753" hidden="1" ht="15.75" customHeight="1">
      <c r="A753" s="2">
        <f>HYPERLINK("https://www.shelhealth.com/products/661176010127-naturtint-permanent-hair-color-8g-sandy-golden-blonde-5-28-oz", "https://www.shelhealth.com/products/661176010127-naturtint-permanent-hair-color-8g-sandy-golden-blonde-5-28-oz")</f>
        <v/>
      </c>
      <c r="B753" s="2">
        <f>HYPERLINK("https://www.shelhealth.com/products/661176010127-naturtint-permanent-hair-color-8g-sandy-golden-blonde-5-28-oz", "https://www.shelhealth.com/products/661176010127-naturtint-permanent-hair-color-8g-sandy-golden-blonde-5-28-oz")</f>
        <v/>
      </c>
      <c r="C753" t="inlineStr">
        <is>
          <t>Naturtint Permanent Hair Color 8G Sandy Golden Blonde, 5.28 Oz</t>
        </is>
      </c>
      <c r="D753" t="inlineStr">
        <is>
          <t>Naturtint Hair Color - Permanent - 6G - Dark Golden Blonde - 5.28 oz</t>
        </is>
      </c>
      <c r="E753" s="2">
        <f>HYPERLINK("https://www.amazon.com/Naturtint-Clr-Drk-Blonde-Gldn/dp/B008230R3W/ref=sr_1_7?keywords=Naturtint+Permanent+Hair+Color+8G+Sandy+Golden+Blonde%2C+5.28+Oz&amp;qid=1695170200&amp;sr=8-7", "https://www.amazon.com/Naturtint-Clr-Drk-Blonde-Gldn/dp/B008230R3W/ref=sr_1_7?keywords=Naturtint+Permanent+Hair+Color+8G+Sandy+Golden+Blonde%2C+5.28+Oz&amp;qid=1695170200&amp;sr=8-7")</f>
        <v/>
      </c>
      <c r="F753" t="inlineStr">
        <is>
          <t>B008230R3W</t>
        </is>
      </c>
      <c r="G753">
        <f>_xludf.IMAGE("https://www.shelhealth.com/cdn/shop/files/naturtint-permanent-hair-color-8g-sandy-golden-blonde-5-28-oz-beauty-body-care-shelhealth-148.jpg?v=1686533299&amp;width=1946")</f>
        <v/>
      </c>
      <c r="H753">
        <f>_xludf.IMAGE("https://m.media-amazon.com/images/I/81i5YBa66cL._AC_UL320_.jpg")</f>
        <v/>
      </c>
      <c r="K753" t="inlineStr">
        <is>
          <t>17.99</t>
        </is>
      </c>
      <c r="L753" t="n">
        <v>18.25</v>
      </c>
      <c r="M753" s="1" t="inlineStr">
        <is>
          <t>1.45%</t>
        </is>
      </c>
      <c r="N753" s="3" t="n">
        <v>1.45</v>
      </c>
      <c r="O753" t="n">
        <v>4.5</v>
      </c>
      <c r="P753" t="n">
        <v>82</v>
      </c>
      <c r="R753" t="inlineStr">
        <is>
          <t>InStock</t>
        </is>
      </c>
      <c r="S753" t="inlineStr">
        <is>
          <t>17.99</t>
        </is>
      </c>
      <c r="T753" t="inlineStr">
        <is>
          <t>7241867362492</t>
        </is>
      </c>
    </row>
    <row r="754" hidden="1" ht="15.75" customHeight="1">
      <c r="A754" s="2">
        <f>HYPERLINK("https://www.shelhealth.com/products/661176010103-naturtint-permanent-hair-color-6g-dark-golden-blonde-5-28-oz", "https://www.shelhealth.com/products/661176010103-naturtint-permanent-hair-color-6g-dark-golden-blonde-5-28-oz")</f>
        <v/>
      </c>
      <c r="B754" s="2">
        <f>HYPERLINK("https://www.shelhealth.com/products/661176010103-naturtint-permanent-hair-color-6g-dark-golden-blonde-5-28-oz", "https://www.shelhealth.com/products/661176010103-naturtint-permanent-hair-color-6g-dark-golden-blonde-5-28-oz")</f>
        <v/>
      </c>
      <c r="C754" t="inlineStr">
        <is>
          <t>Naturtint Permanent Hair Color 6G Dark Golden Blonde, 5.28 Oz</t>
        </is>
      </c>
      <c r="D754" t="inlineStr">
        <is>
          <t>Naturtint Hair Color - Permanent - 6G - Dark Golden Blonde - 5.28 oz</t>
        </is>
      </c>
      <c r="E754" s="2">
        <f>HYPERLINK("https://www.amazon.com/Naturtint-Clr-Drk-Blonde-Gldn/dp/B008230R3W/ref=sr_1_2?keywords=Naturtint+Permanent+Hair+Color+6G+Dark+Golden+Blonde%2C+5.28+Oz&amp;qid=1695170205&amp;sr=8-2", "https://www.amazon.com/Naturtint-Clr-Drk-Blonde-Gldn/dp/B008230R3W/ref=sr_1_2?keywords=Naturtint+Permanent+Hair+Color+6G+Dark+Golden+Blonde%2C+5.28+Oz&amp;qid=1695170205&amp;sr=8-2")</f>
        <v/>
      </c>
      <c r="F754" t="inlineStr">
        <is>
          <t>B008230R3W</t>
        </is>
      </c>
      <c r="G754">
        <f>_xludf.IMAGE("https://www.shelhealth.com/cdn/shop/files/naturtint-permanent-hair-color-6g-dark-golden-blonde-5-28-oz-beauty-body-care-shelhealth-442.jpg?v=1686533289&amp;width=1946")</f>
        <v/>
      </c>
      <c r="H754">
        <f>_xludf.IMAGE("https://m.media-amazon.com/images/I/81i5YBa66cL._AC_UL320_.jpg")</f>
        <v/>
      </c>
      <c r="K754" t="inlineStr">
        <is>
          <t>17.99</t>
        </is>
      </c>
      <c r="L754" t="n">
        <v>18.25</v>
      </c>
      <c r="M754" s="1" t="inlineStr">
        <is>
          <t>1.45%</t>
        </is>
      </c>
      <c r="N754" s="3" t="n">
        <v>1.45</v>
      </c>
      <c r="O754" t="n">
        <v>4.5</v>
      </c>
      <c r="P754" t="n">
        <v>82</v>
      </c>
      <c r="R754" t="inlineStr">
        <is>
          <t>InStock</t>
        </is>
      </c>
      <c r="S754" t="inlineStr">
        <is>
          <t>17.99</t>
        </is>
      </c>
      <c r="T754" t="inlineStr">
        <is>
          <t>7241866903740</t>
        </is>
      </c>
    </row>
    <row r="755" hidden="1" ht="15.75" customHeight="1">
      <c r="A755" s="2">
        <f>HYPERLINK("https://www.shelhealth.com/products/661176010110-naturtint-permanent-hair-color-7g-golden-blonde-5-28-oz", "https://www.shelhealth.com/products/661176010110-naturtint-permanent-hair-color-7g-golden-blonde-5-28-oz")</f>
        <v/>
      </c>
      <c r="B755" s="2">
        <f>HYPERLINK("https://www.shelhealth.com/products/661176010110-naturtint-permanent-hair-color-7g-golden-blonde-5-28-oz", "https://www.shelhealth.com/products/661176010110-naturtint-permanent-hair-color-7g-golden-blonde-5-28-oz")</f>
        <v/>
      </c>
      <c r="C755" t="inlineStr">
        <is>
          <t>Naturtint Permanent Hair Color 7G Golden Blonde, 5.28 Oz</t>
        </is>
      </c>
      <c r="D755" t="inlineStr">
        <is>
          <t>Naturtint Hair Color - Permanent - 6G - Dark Golden Blonde - 5.28 oz</t>
        </is>
      </c>
      <c r="E755" s="2">
        <f>HYPERLINK("https://www.amazon.com/Naturtint-Clr-Drk-Blonde-Gldn/dp/B008230R3W/ref=sr_1_3?keywords=Naturtint+Permanent+Hair+Color+7G+Golden+Blonde%2C+5.28+Oz&amp;qid=1695170196&amp;sr=8-3", "https://www.amazon.com/Naturtint-Clr-Drk-Blonde-Gldn/dp/B008230R3W/ref=sr_1_3?keywords=Naturtint+Permanent+Hair+Color+7G+Golden+Blonde%2C+5.28+Oz&amp;qid=1695170196&amp;sr=8-3")</f>
        <v/>
      </c>
      <c r="F755" t="inlineStr">
        <is>
          <t>B008230R3W</t>
        </is>
      </c>
      <c r="G755">
        <f>_xludf.IMAGE("https://www.shelhealth.com/cdn/shop/files/naturtint-permanent-hair-color-7g-golden-blonde-5-28-oz-beauty-body-care-shelhealth-511.jpg?v=1686533148&amp;width=1946")</f>
        <v/>
      </c>
      <c r="H755">
        <f>_xludf.IMAGE("https://m.media-amazon.com/images/I/81i5YBa66cL._AC_UL320_.jpg")</f>
        <v/>
      </c>
      <c r="K755" t="inlineStr">
        <is>
          <t>17.99</t>
        </is>
      </c>
      <c r="L755" t="n">
        <v>18.25</v>
      </c>
      <c r="M755" s="1" t="inlineStr">
        <is>
          <t>1.45%</t>
        </is>
      </c>
      <c r="N755" s="3" t="n">
        <v>1.45</v>
      </c>
      <c r="O755" t="n">
        <v>4.5</v>
      </c>
      <c r="P755" t="n">
        <v>82</v>
      </c>
      <c r="R755" t="inlineStr">
        <is>
          <t>InStock</t>
        </is>
      </c>
      <c r="S755" t="inlineStr">
        <is>
          <t>17.99</t>
        </is>
      </c>
      <c r="T755" t="inlineStr">
        <is>
          <t>7241867133116</t>
        </is>
      </c>
    </row>
    <row r="756" hidden="1" ht="15.75" customHeight="1">
      <c r="A756" s="2">
        <f>HYPERLINK("https://www.shelhealth.com/products/666248001041-herbatint-permanent-herbal-haircolor-gel-5n-light-chestnut-4-56-oz", "https://www.shelhealth.com/products/666248001041-herbatint-permanent-herbal-haircolor-gel-5n-light-chestnut-4-56-oz")</f>
        <v/>
      </c>
      <c r="B756" s="2">
        <f>HYPERLINK("https://www.shelhealth.com/products/666248001041-herbatint-permanent-herbal-haircolor-gel-5n-light-chestnut-4-56-oz", "https://www.shelhealth.com/products/666248001041-herbatint-permanent-herbal-haircolor-gel-5n-light-chestnut-4-56-oz")</f>
        <v/>
      </c>
      <c r="C756" t="inlineStr">
        <is>
          <t>HERBATINT Permanent Herbal Haircolor Gel 5N Light Chestnut, 4.56 Oz</t>
        </is>
      </c>
      <c r="D756" t="inlineStr">
        <is>
          <t>Herbatint Permanent Haircolor Gel, 5N Light Chestnut (5N) 4.56 Fl Oz</t>
        </is>
      </c>
      <c r="E756" s="2">
        <f>HYPERLINK("https://www.amazon.com/Herbatint-Permanent-Herbal-Haircolor-Chestnut/dp/B000H5HY7A/ref=sr_1_3?keywords=HERBATINT+Permanent+Herbal+Haircolor+Gel+5N+Light+Chestnut%2C+4.56+Oz&amp;qid=1695170204&amp;sr=8-3", "https://www.amazon.com/Herbatint-Permanent-Herbal-Haircolor-Chestnut/dp/B000H5HY7A/ref=sr_1_3?keywords=HERBATINT+Permanent+Herbal+Haircolor+Gel+5N+Light+Chestnut%2C+4.56+Oz&amp;qid=1695170204&amp;sr=8-3")</f>
        <v/>
      </c>
      <c r="F756" t="inlineStr">
        <is>
          <t>B000H5HY7A</t>
        </is>
      </c>
      <c r="G756">
        <f>_xludf.IMAGE("https://www.shelhealth.com/cdn/shop/files/herbatint-permanent-herbal-haircolor-gel-5n-light-chestnut-4-56-oz-beauty-body-care-shelhealth-981.jpg?v=1689698231&amp;width=1946")</f>
        <v/>
      </c>
      <c r="H756">
        <f>_xludf.IMAGE("https://m.media-amazon.com/images/I/41i4OSfebbL._AC_UL320_.jpg")</f>
        <v/>
      </c>
      <c r="K756" t="inlineStr">
        <is>
          <t>17.99</t>
        </is>
      </c>
      <c r="L756" t="n">
        <v>18.25</v>
      </c>
      <c r="M756" s="1" t="inlineStr">
        <is>
          <t>1.45%</t>
        </is>
      </c>
      <c r="N756" s="3" t="n">
        <v>1.45</v>
      </c>
      <c r="O756" t="n">
        <v>4.4</v>
      </c>
      <c r="P756" t="n">
        <v>1596</v>
      </c>
      <c r="R756" t="inlineStr">
        <is>
          <t>OutOfStock</t>
        </is>
      </c>
      <c r="S756" t="inlineStr">
        <is>
          <t>17.99</t>
        </is>
      </c>
      <c r="T756" t="inlineStr">
        <is>
          <t>7574112010472</t>
        </is>
      </c>
    </row>
    <row r="757" hidden="1" ht="15.75" customHeight="1">
      <c r="A757" s="2">
        <f>HYPERLINK("https://www.shelhealth.com/products/professional-salon-formula-moisture-shampoo-or-conditioner-33-8-oz-each-shampoo-conditioner-set", "https://www.shelhealth.com/products/professional-salon-formula-moisture-shampoo-or-conditioner-33-8-oz-each-shampoo-conditioner-set")</f>
        <v/>
      </c>
      <c r="B757" s="2">
        <f>HYPERLINK("https://www.shelhealth.com/products/professional-salon-formula-moisture-shampoo-or-conditioner-33-8-oz-each-shampoo-conditioner-set", "https://www.shelhealth.com/products/professional-salon-formula-moisture-shampoo-or-conditioner-33-8-oz-each-shampoo-conditioner-set")</f>
        <v/>
      </c>
      <c r="C757" t="inlineStr">
        <is>
          <t>Kirkland Signature Professional Salon Formula Moisture Shampoo &amp; Conditioner Set (33.8 Oz Each)</t>
        </is>
      </c>
      <c r="D757" t="inlineStr">
        <is>
          <t>Kirkland Signature Professional Salon Formula Moisture Shampoo or Conditioner (33.8 Oz Each) (shampoo &amp; Conditioner Set) By 1count</t>
        </is>
      </c>
      <c r="E757" s="2">
        <f>HYPERLINK("https://www.amazon.com/Professional-Moisture-Conditioner-Kirkland-Signature/dp/B00D1J091M/ref=sr_1_1?keywords=Kirkland+Signature+Professional+Salon+Formula+Moisture+Shampoo+%26+Conditioner+Set+%2833.8+Oz+Each%29&amp;qid=1695170176&amp;sr=8-1", "https://www.amazon.com/Professional-Moisture-Conditioner-Kirkland-Signature/dp/B00D1J091M/ref=sr_1_1?keywords=Kirkland+Signature+Professional+Salon+Formula+Moisture+Shampoo+%26+Conditioner+Set+%2833.8+Oz+Each%29&amp;qid=1695170176&amp;sr=8-1")</f>
        <v/>
      </c>
      <c r="F757" t="inlineStr">
        <is>
          <t>B00D1J091M</t>
        </is>
      </c>
      <c r="G757">
        <f>_xludf.IMAGE("https://www.shelhealth.com/cdn/shop/products/kirkland-signature-professional-salon-formula-moisture-shampoo-conditioner-set-33-8-oz-each-shelhealth-113.jpg?v=1663336766&amp;width=1946")</f>
        <v/>
      </c>
      <c r="H757">
        <f>_xludf.IMAGE("https://m.media-amazon.com/images/I/41mJF13nJqL._AC_UL320_.jpg")</f>
        <v/>
      </c>
      <c r="K757" t="inlineStr">
        <is>
          <t>35.99</t>
        </is>
      </c>
      <c r="L757" t="n">
        <v>36.5</v>
      </c>
      <c r="M757" s="1" t="inlineStr">
        <is>
          <t>1.42%</t>
        </is>
      </c>
      <c r="N757" s="3" t="n">
        <v>1.42</v>
      </c>
      <c r="O757" t="n">
        <v>4.5</v>
      </c>
      <c r="P757" t="n">
        <v>530</v>
      </c>
      <c r="R757" t="inlineStr">
        <is>
          <t>InStock</t>
        </is>
      </c>
      <c r="S757" t="inlineStr">
        <is>
          <t>35.99</t>
        </is>
      </c>
      <c r="T757" t="inlineStr">
        <is>
          <t>3723631558708</t>
        </is>
      </c>
    </row>
    <row r="758" hidden="1" ht="15.75" customHeight="1">
      <c r="A758" s="2">
        <f>HYPERLINK("https://www.shelhealth.com/products/herbal-essences-hello-hydration-conditioner-40-fl-oz", "https://www.shelhealth.com/products/herbal-essences-hello-hydration-conditioner-40-fl-oz")</f>
        <v/>
      </c>
      <c r="B758" s="2">
        <f>HYPERLINK("https://www.shelhealth.com/products/herbal-essences-hello-hydration-conditioner-40-fl-oz", "https://www.shelhealth.com/products/herbal-essences-hello-hydration-conditioner-40-fl-oz")</f>
        <v/>
      </c>
      <c r="C758" t="inlineStr">
        <is>
          <t>Herbal Essences Hello Hydration Conditioner (40 Fl Oz),</t>
        </is>
      </c>
      <c r="D758" t="inlineStr">
        <is>
          <t>Herbal Essences Hello Hydration Shampoo &amp; Conditioner (10.1 Fl Oz Ea) Set of</t>
        </is>
      </c>
      <c r="E758" s="2">
        <f>HYPERLINK("https://www.amazon.com/Herbal-Essences-Hydration-Shampoo-Conditioner/dp/B00GZ3F2O0/ref=sr_1_9?keywords=Herbal+Essences+Hello+Hydration+Conditioner+%2840+Fl+Oz%29%2C&amp;qid=1695170163&amp;sr=8-9", "https://www.amazon.com/Herbal-Essences-Hydration-Shampoo-Conditioner/dp/B00GZ3F2O0/ref=sr_1_9?keywords=Herbal+Essences+Hello+Hydration+Conditioner+%2840+Fl+Oz%29%2C&amp;qid=1695170163&amp;sr=8-9")</f>
        <v/>
      </c>
      <c r="F758" t="inlineStr">
        <is>
          <t>B00GZ3F2O0</t>
        </is>
      </c>
      <c r="G758">
        <f>_xludf.IMAGE("https://www.shelhealth.com/cdn/shop/products/herbal-essences-hello-hydration-conditioner-40-fl-oz-essence-shelhealth-917.jpg?v=1663349969&amp;width=1946")</f>
        <v/>
      </c>
      <c r="H758">
        <f>_xludf.IMAGE("https://m.media-amazon.com/images/I/811Vaoh7EaL._AC_UL320_.jpg")</f>
        <v/>
      </c>
      <c r="K758" t="inlineStr">
        <is>
          <t>15.99</t>
        </is>
      </c>
      <c r="L758" t="n">
        <v>16.17</v>
      </c>
      <c r="M758" s="1" t="inlineStr">
        <is>
          <t>1.13%</t>
        </is>
      </c>
      <c r="N758" s="3" t="n">
        <v>1.13</v>
      </c>
      <c r="O758" t="n">
        <v>4.6</v>
      </c>
      <c r="P758" t="n">
        <v>738</v>
      </c>
      <c r="R758" t="inlineStr">
        <is>
          <t>InStock</t>
        </is>
      </c>
      <c r="S758" t="inlineStr">
        <is>
          <t>15.99</t>
        </is>
      </c>
      <c r="T758" t="inlineStr">
        <is>
          <t>3853302104116</t>
        </is>
      </c>
    </row>
    <row r="759" hidden="1" ht="15.75" customHeight="1">
      <c r="A759" s="2">
        <f>HYPERLINK("https://www.shelhealth.com/products/666248001164-herbatint-permanent-hair-color-gel-5m-light-mahogany-chestnut-4-56-oz", "https://www.shelhealth.com/products/666248001164-herbatint-permanent-hair-color-gel-5m-light-mahogany-chestnut-4-56-oz")</f>
        <v/>
      </c>
      <c r="B759" s="2">
        <f>HYPERLINK("https://www.shelhealth.com/products/666248001164-herbatint-permanent-hair-color-gel-5m-light-mahogany-chestnut-4-56-oz", "https://www.shelhealth.com/products/666248001164-herbatint-permanent-hair-color-gel-5m-light-mahogany-chestnut-4-56-oz")</f>
        <v/>
      </c>
      <c r="C759" t="inlineStr">
        <is>
          <t>Herbatint Permanent Hair Color Gel 5M Light Mahogany Chestnut, 4.56 Oz</t>
        </is>
      </c>
      <c r="D759" t="inlineStr">
        <is>
          <t>Herbatint Permanent Haircolor Gel, 5N Light Chestnut (5N) 4.56 Fl Oz</t>
        </is>
      </c>
      <c r="E759" s="2">
        <f>HYPERLINK("https://www.amazon.com/Herbatint-Permanent-Herbal-Haircolor-Chestnut/dp/B000H5HY7A/ref=sr_1_10?keywords=Herbatint+Permanent+Hair+Color+Gel+5M+Light+Mahogany+Chestnut%2C+4.56+Oz&amp;qid=1695170205&amp;sr=8-10", "https://www.amazon.com/Herbatint-Permanent-Herbal-Haircolor-Chestnut/dp/B000H5HY7A/ref=sr_1_10?keywords=Herbatint+Permanent+Hair+Color+Gel+5M+Light+Mahogany+Chestnut%2C+4.56+Oz&amp;qid=1695170205&amp;sr=8-10")</f>
        <v/>
      </c>
      <c r="F759" t="inlineStr">
        <is>
          <t>B000H5HY7A</t>
        </is>
      </c>
      <c r="G759">
        <f>_xludf.IMAGE("https://www.shelhealth.com/cdn/shop/files/herbatint-permanent-hair-color-gel-5m-light-mahogany-chestnut-4-56-oz-beauty-body-care-shelhealth-333.jpg?v=1693230037&amp;width=1946")</f>
        <v/>
      </c>
      <c r="H759">
        <f>_xludf.IMAGE("https://m.media-amazon.com/images/I/41i4OSfebbL._AC_UL320_.jpg")</f>
        <v/>
      </c>
      <c r="K759" t="inlineStr">
        <is>
          <t>17.99</t>
        </is>
      </c>
      <c r="L759" t="n">
        <v>18.17</v>
      </c>
      <c r="M759" s="1" t="inlineStr">
        <is>
          <t>1.00%</t>
        </is>
      </c>
      <c r="N759" s="3" t="n">
        <v>1</v>
      </c>
      <c r="O759" t="n">
        <v>4.4</v>
      </c>
      <c r="P759" t="n">
        <v>1596</v>
      </c>
      <c r="R759" t="inlineStr">
        <is>
          <t>OutOfStock</t>
        </is>
      </c>
      <c r="S759" t="inlineStr">
        <is>
          <t>17.99</t>
        </is>
      </c>
      <c r="T759" t="inlineStr">
        <is>
          <t>7241699557564</t>
        </is>
      </c>
    </row>
    <row r="760" hidden="1" ht="15.75" customHeight="1">
      <c r="A760" s="2">
        <f>HYPERLINK("https://www.shelhealth.com/products/666248001119-herbatint-permanent-hair-color-gel-5d-light-golden-chestnut-4-56-oz", "https://www.shelhealth.com/products/666248001119-herbatint-permanent-hair-color-gel-5d-light-golden-chestnut-4-56-oz")</f>
        <v/>
      </c>
      <c r="B760" s="2">
        <f>HYPERLINK("https://www.shelhealth.com/products/666248001119-herbatint-permanent-hair-color-gel-5d-light-golden-chestnut-4-56-oz", "https://www.shelhealth.com/products/666248001119-herbatint-permanent-hair-color-gel-5d-light-golden-chestnut-4-56-oz")</f>
        <v/>
      </c>
      <c r="C760" t="inlineStr">
        <is>
          <t>Herbatint Permanent Hair Color Gel 5D Light Golden Chestnut, 4.56 Oz</t>
        </is>
      </c>
      <c r="D760" t="inlineStr">
        <is>
          <t>Herbatint Permanent Haircolor Gel, 5N Light Chestnut (5N) 4.56 Fl Oz</t>
        </is>
      </c>
      <c r="E760" s="2">
        <f>HYPERLINK("https://www.amazon.com/Herbatint-Permanent-Herbal-Haircolor-Chestnut/dp/B000H5HY7A/ref=sr_1_10?keywords=Herbatint+Permanent+Hair+Color+Gel+5D+Light+Golden+Chestnut%2C+4.56+Oz&amp;qid=1695170207&amp;sr=8-10", "https://www.amazon.com/Herbatint-Permanent-Herbal-Haircolor-Chestnut/dp/B000H5HY7A/ref=sr_1_10?keywords=Herbatint+Permanent+Hair+Color+Gel+5D+Light+Golden+Chestnut%2C+4.56+Oz&amp;qid=1695170207&amp;sr=8-10")</f>
        <v/>
      </c>
      <c r="F760" t="inlineStr">
        <is>
          <t>B000H5HY7A</t>
        </is>
      </c>
      <c r="G760">
        <f>_xludf.IMAGE("https://www.shelhealth.com/cdn/shop/files/herbatint-permanent-hair-color-gel-5d-light-golden-chestnut-4-56-oz-beauty-body-care-shelhealth-320.jpg?v=1686528264&amp;width=1946")</f>
        <v/>
      </c>
      <c r="H760">
        <f>_xludf.IMAGE("https://m.media-amazon.com/images/I/41i4OSfebbL._AC_UL320_.jpg")</f>
        <v/>
      </c>
      <c r="K760" t="inlineStr">
        <is>
          <t>17.99</t>
        </is>
      </c>
      <c r="L760" t="n">
        <v>18.17</v>
      </c>
      <c r="M760" s="1" t="inlineStr">
        <is>
          <t>1.00%</t>
        </is>
      </c>
      <c r="N760" s="3" t="n">
        <v>1</v>
      </c>
      <c r="O760" t="n">
        <v>4.4</v>
      </c>
      <c r="P760" t="n">
        <v>1596</v>
      </c>
      <c r="R760" t="inlineStr">
        <is>
          <t>InStock</t>
        </is>
      </c>
      <c r="S760" t="inlineStr">
        <is>
          <t>17.99</t>
        </is>
      </c>
      <c r="T760" t="inlineStr">
        <is>
          <t>7241699492028</t>
        </is>
      </c>
    </row>
    <row r="761" hidden="1" ht="15.75" customHeight="1">
      <c r="A761" s="2">
        <f>HYPERLINK("https://www.shelhealth.com/products/alba-botanica-drink-it-up-coconut-milk-hawaiian-conditioner-34-oz", "https://www.shelhealth.com/products/alba-botanica-drink-it-up-coconut-milk-hawaiian-conditioner-34-oz")</f>
        <v/>
      </c>
      <c r="B761" s="2">
        <f>HYPERLINK("https://www.shelhealth.com/products/alba-botanica-drink-it-up-coconut-milk-hawaiian-conditioner-34-oz", "https://www.shelhealth.com/products/alba-botanica-drink-it-up-coconut-milk-hawaiian-conditioner-34-oz")</f>
        <v/>
      </c>
      <c r="C761" t="inlineStr">
        <is>
          <t>Alba Botanica Drink It Up Coconut Milk Hawaiian Conditioner, 34 oz.</t>
        </is>
      </c>
      <c r="D761" t="inlineStr">
        <is>
          <t>Alba Botanica Natural Hawaiian Shampoo Drink It Up Coconut Milk, 12 Ounces Each (Pack of 3)</t>
        </is>
      </c>
      <c r="E761" s="2">
        <f>HYPERLINK("https://www.amazon.com/Alba-Botanica-Natural-Hawaiian-Shampoo/dp/B001E0XIVI/ref=sr_1_7?keywords=Alba+Botanica+Drink+It+Up+Coconut+Milk+Hawaiian+Conditioner%2C+34+oz.&amp;qid=1695170239&amp;sr=8-7", "https://www.amazon.com/Alba-Botanica-Natural-Hawaiian-Shampoo/dp/B001E0XIVI/ref=sr_1_7?keywords=Alba+Botanica+Drink+It+Up+Coconut+Milk+Hawaiian+Conditioner%2C+34+oz.&amp;qid=1695170239&amp;sr=8-7")</f>
        <v/>
      </c>
      <c r="F761" t="inlineStr">
        <is>
          <t>B001E0XIVI</t>
        </is>
      </c>
      <c r="G761">
        <f>_xludf.IMAGE("https://www.shelhealth.com/cdn/shop/products/alba-botanica-drink-it-up-coconut-milk-hawaiian-conditioner-34-oz-shelhealth-953.jpg?v=1663362279&amp;width=1946")</f>
        <v/>
      </c>
      <c r="H761">
        <f>_xludf.IMAGE("https://m.media-amazon.com/images/I/61ZVZBrpNAL._AC_UL320_.jpg")</f>
        <v/>
      </c>
      <c r="K761" t="inlineStr">
        <is>
          <t>21.99</t>
        </is>
      </c>
      <c r="L761" t="n">
        <v>22.05</v>
      </c>
      <c r="M761" s="1" t="inlineStr">
        <is>
          <t>0.27%</t>
        </is>
      </c>
      <c r="N761" s="3" t="n">
        <v>0.27</v>
      </c>
      <c r="O761" t="n">
        <v>4.5</v>
      </c>
      <c r="P761" t="n">
        <v>69</v>
      </c>
      <c r="R761" t="inlineStr">
        <is>
          <t>InStock</t>
        </is>
      </c>
      <c r="S761" t="inlineStr">
        <is>
          <t>21.99</t>
        </is>
      </c>
      <c r="T761" t="inlineStr">
        <is>
          <t>4440158339161</t>
        </is>
      </c>
    </row>
    <row r="762" hidden="1" ht="15.75" customHeight="1">
      <c r="A762" s="2">
        <f>HYPERLINK("https://www.shelhealth.com/products/666248001263-herbatint-hair-color-8c-ash-blonde-lite-4-56-oz", "https://www.shelhealth.com/products/666248001263-herbatint-hair-color-8c-ash-blonde-lite-4-56-oz")</f>
        <v/>
      </c>
      <c r="B762" s="2">
        <f>HYPERLINK("https://www.shelhealth.com/products/666248001263-herbatint-hair-color-8c-ash-blonde-lite-4-56-oz", "https://www.shelhealth.com/products/666248001263-herbatint-hair-color-8c-ash-blonde-lite-4-56-oz")</f>
        <v/>
      </c>
      <c r="C762" t="inlineStr">
        <is>
          <t>Herbatint Hair Color 8C Ash Blonde Lite, 4.56 Oz</t>
        </is>
      </c>
      <c r="D762" t="inlineStr">
        <is>
          <t>Herbatint Permanent Haircolor Gel, 8C Light Ash Blonde, Alcohol Free, Vegan, 100% Grey Coverage - 4.56 oz</t>
        </is>
      </c>
      <c r="E762" s="2">
        <f>HYPERLINK("https://www.amazon.com/Herbatint-Permanent-Herbal-Haircolor-Blonde/dp/B000K88306/ref=sr_1_1?keywords=Herbatint+Hair+Color+8C+Ash+Blonde+Lite%2C+4.56+Oz&amp;qid=1695170206&amp;sr=8-1", "https://www.amazon.com/Herbatint-Permanent-Herbal-Haircolor-Blonde/dp/B000K88306/ref=sr_1_1?keywords=Herbatint+Hair+Color+8C+Ash+Blonde+Lite%2C+4.56+Oz&amp;qid=1695170206&amp;sr=8-1")</f>
        <v/>
      </c>
      <c r="F762" t="inlineStr">
        <is>
          <t>B000K88306</t>
        </is>
      </c>
      <c r="G762">
        <f>_xludf.IMAGE("https://www.shelhealth.com/cdn/shop/files/herbatint-hair-color-8c-ash-blonde-lite-4-56-oz-beauty-body-care-shelhealth-692.jpg?v=1693355093&amp;width=1946")</f>
        <v/>
      </c>
      <c r="H762">
        <f>_xludf.IMAGE("https://m.media-amazon.com/images/I/81OaStVeogL._AC_UL320_.jpg")</f>
        <v/>
      </c>
      <c r="K762" t="inlineStr">
        <is>
          <t>15.99</t>
        </is>
      </c>
      <c r="L762" t="n">
        <v>15.99</v>
      </c>
      <c r="M762" s="1" t="inlineStr">
        <is>
          <t>0.00%</t>
        </is>
      </c>
      <c r="N762" s="3" t="n">
        <v>0</v>
      </c>
      <c r="O762" t="n">
        <v>4.3</v>
      </c>
      <c r="P762" t="n">
        <v>9117</v>
      </c>
      <c r="R762" t="inlineStr">
        <is>
          <t>OutOfStock</t>
        </is>
      </c>
      <c r="S762" t="inlineStr">
        <is>
          <t>15.99</t>
        </is>
      </c>
      <c r="T762" t="inlineStr">
        <is>
          <t>7241699131580</t>
        </is>
      </c>
    </row>
    <row r="763" hidden="1" ht="15.75" customHeight="1">
      <c r="A763" s="2">
        <f>HYPERLINK("https://www.shelhealth.com/products/666248001263-herbatint-hair-color-8c-ash-blonde-lite-4-56-oz", "https://www.shelhealth.com/products/666248001263-herbatint-hair-color-8c-ash-blonde-lite-4-56-oz")</f>
        <v/>
      </c>
      <c r="B763" s="2">
        <f>HYPERLINK("https://www.shelhealth.com/products/666248001263-herbatint-hair-color-8c-ash-blonde-lite-4-56-oz", "https://www.shelhealth.com/products/666248001263-herbatint-hair-color-8c-ash-blonde-lite-4-56-oz")</f>
        <v/>
      </c>
      <c r="C763" t="inlineStr">
        <is>
          <t>Herbatint Hair Color 8C Ash Blonde Lite, 4.56 Oz</t>
        </is>
      </c>
      <c r="D763" t="inlineStr">
        <is>
          <t>Herbatint Permanent Haircolor Gel, 6C Dark Ash Blonde, Alcohol Free, Vegan, 100% Grey Coverage - 4.56 oz</t>
        </is>
      </c>
      <c r="E763" s="2">
        <f>HYPERLINK("https://www.amazon.com/Herbatint-Number-Blonde-Permanent-Herbal/dp/B00UAO4ZW0/ref=sr_1_5?keywords=Herbatint+Hair+Color+8C+Ash+Blonde+Lite%2C+4.56+Oz&amp;qid=1695170206&amp;sr=8-5", "https://www.amazon.com/Herbatint-Number-Blonde-Permanent-Herbal/dp/B00UAO4ZW0/ref=sr_1_5?keywords=Herbatint+Hair+Color+8C+Ash+Blonde+Lite%2C+4.56+Oz&amp;qid=1695170206&amp;sr=8-5")</f>
        <v/>
      </c>
      <c r="F763" t="inlineStr">
        <is>
          <t>B00UAO4ZW0</t>
        </is>
      </c>
      <c r="G763">
        <f>_xludf.IMAGE("https://www.shelhealth.com/cdn/shop/files/herbatint-hair-color-8c-ash-blonde-lite-4-56-oz-beauty-body-care-shelhealth-692.jpg?v=1693355093&amp;width=1946")</f>
        <v/>
      </c>
      <c r="H763">
        <f>_xludf.IMAGE("https://m.media-amazon.com/images/I/81BjWwkjK8L._AC_UL320_.jpg")</f>
        <v/>
      </c>
      <c r="K763" t="inlineStr">
        <is>
          <t>15.99</t>
        </is>
      </c>
      <c r="L763" t="n">
        <v>15.99</v>
      </c>
      <c r="M763" s="1" t="inlineStr">
        <is>
          <t>0.00%</t>
        </is>
      </c>
      <c r="N763" s="3" t="n">
        <v>0</v>
      </c>
      <c r="O763" t="n">
        <v>4.2</v>
      </c>
      <c r="P763" t="n">
        <v>137</v>
      </c>
      <c r="R763" t="inlineStr">
        <is>
          <t>OutOfStock</t>
        </is>
      </c>
      <c r="S763" t="inlineStr">
        <is>
          <t>15.99</t>
        </is>
      </c>
      <c r="T763" t="inlineStr">
        <is>
          <t>7241699131580</t>
        </is>
      </c>
    </row>
    <row r="764" hidden="1" ht="15.75" customHeight="1">
      <c r="A764" s="2">
        <f>HYPERLINK("https://www.shelhealth.com/products/aussie-miracle-moist-shampoo-and-conditioner-set-with-avocado-australian-jojoba-oil-30-4-fl-oz-each", "https://www.shelhealth.com/products/aussie-miracle-moist-shampoo-and-conditioner-set-with-avocado-australian-jojoba-oil-30-4-fl-oz-each")</f>
        <v/>
      </c>
      <c r="B764" s="2">
        <f>HYPERLINK("https://www.shelhealth.com/products/aussie-miracle-moist-shampoo-and-conditioner-set-with-avocado-australian-jojoba-oil-30-4-fl-oz-each", "https://www.shelhealth.com/products/aussie-miracle-moist-shampoo-and-conditioner-set-with-avocado-australian-jojoba-oil-30-4-fl-oz-each")</f>
        <v/>
      </c>
      <c r="C764" t="inlineStr">
        <is>
          <t>Aussie Miracle Moist Shampoo and Conditioner Set with Avocado &amp; Australian Jojoba Oil - 30.4 fl oz each</t>
        </is>
      </c>
      <c r="D764" t="inlineStr">
        <is>
          <t>Aussie Miracle Moist Shampoo, and 3 Minute Miracle Deep Conditioner Hair Treatment Bundle, Infused with Avocado &amp; Australian Jojoba Oil, Paraben Free, White, Citrus, 3 Piece Set</t>
        </is>
      </c>
      <c r="E764" s="2">
        <f>HYPERLINK("https://www.amazon.com/Aussie-Miracle-Conditioner-Treatment-Australian/dp/B0857LTYZ2/ref=sr_1_2?keywords=Aussie+Miracle+Moist+Shampoo+and+Conditioner+Set+with+Avocado&amp;qid=1695170236&amp;sr=8-2", "https://www.amazon.com/Aussie-Miracle-Conditioner-Treatment-Australian/dp/B0857LTYZ2/ref=sr_1_2?keywords=Aussie+Miracle+Moist+Shampoo+and+Conditioner+Set+with+Avocado&amp;qid=1695170236&amp;sr=8-2")</f>
        <v/>
      </c>
      <c r="F764" t="inlineStr">
        <is>
          <t>B0857LTYZ2</t>
        </is>
      </c>
      <c r="G764">
        <f>_xludf.IMAGE("https://www.shelhealth.com/cdn/shop/products/aussie-miracle-moist-shampoo-and-conditioner-set-with-avocado-australian-jojoba-oil-30-4-fl-oz-each-shelhealth-123.jpg?v=1663372947&amp;width=1946")</f>
        <v/>
      </c>
      <c r="H764">
        <f>_xludf.IMAGE("https://m.media-amazon.com/images/I/81m2X5+mSqL._AC_UL320_.jpg")</f>
        <v/>
      </c>
      <c r="K764" t="inlineStr">
        <is>
          <t>19.99</t>
        </is>
      </c>
      <c r="L764" t="n">
        <v>19.99</v>
      </c>
      <c r="M764" s="1" t="inlineStr">
        <is>
          <t>0.00%</t>
        </is>
      </c>
      <c r="N764" s="3" t="n">
        <v>0</v>
      </c>
      <c r="O764" t="n">
        <v>4.7</v>
      </c>
      <c r="P764" t="n">
        <v>8738</v>
      </c>
      <c r="R764" t="inlineStr">
        <is>
          <t>InStock</t>
        </is>
      </c>
      <c r="S764" t="inlineStr">
        <is>
          <t>19.99</t>
        </is>
      </c>
      <c r="T764" t="inlineStr">
        <is>
          <t>4697907003481</t>
        </is>
      </c>
    </row>
    <row r="765" hidden="1" ht="15.75" customHeight="1">
      <c r="A765" s="2">
        <f>HYPERLINK("https://www.shelhealth.com/products/716237185990-giovanni-cosmetics-smooth-as-silk-deep-moisture-shampoo-24-oz", "https://www.shelhealth.com/products/716237185990-giovanni-cosmetics-smooth-as-silk-deep-moisture-shampoo-24-oz")</f>
        <v/>
      </c>
      <c r="B765" s="2">
        <f>HYPERLINK("https://www.shelhealth.com/products/716237185990-giovanni-cosmetics-smooth-as-silk-deep-moisture-shampoo-24-oz", "https://www.shelhealth.com/products/716237185990-giovanni-cosmetics-smooth-as-silk-deep-moisture-shampoo-24-oz")</f>
        <v/>
      </c>
      <c r="C765" t="inlineStr">
        <is>
          <t>Giovanni Cosmetics Smooth As Silk Deep Moisture Shampoo, 24 Oz</t>
        </is>
      </c>
      <c r="D765" t="inlineStr">
        <is>
          <t>GIOVANNI Eco Chic Smooth as Silk Deep Moisture Shampoo - Apple + Aloe Extracts, Calms Frizz, Detangles, Wash &amp; Go, Lauryl &amp; Laureth Sulfate Free, Paraben Free, Color Safe - 24 oz</t>
        </is>
      </c>
      <c r="E765" s="2">
        <f>HYPERLINK("https://www.amazon.com/GIOVANNI-Moisture-Extracts-Hydrates-Detangles/dp/B07NP2SJMZ/ref=sr_1_2?keywords=Giovanni+Cosmetics+Smooth+As+Silk+Deep+Moisture+Shampoo%2C+24+Oz&amp;qid=1695170188&amp;sr=8-2", "https://www.amazon.com/GIOVANNI-Moisture-Extracts-Hydrates-Detangles/dp/B07NP2SJMZ/ref=sr_1_2?keywords=Giovanni+Cosmetics+Smooth+As+Silk+Deep+Moisture+Shampoo%2C+24+Oz&amp;qid=1695170188&amp;sr=8-2")</f>
        <v/>
      </c>
      <c r="F765" t="inlineStr">
        <is>
          <t>B07NP2SJMZ</t>
        </is>
      </c>
      <c r="G765">
        <f>_xludf.IMAGE("https://www.shelhealth.com/cdn/shop/files/giovanni-cosmetics-smooth-as-silk-deep-moisture-shampoo-24-oz-beauty-body-care-shelhealth-965.jpg?v=1686142680&amp;width=1946")</f>
        <v/>
      </c>
      <c r="H765">
        <f>_xludf.IMAGE("https://m.media-amazon.com/images/I/61GlrYEIpWL._AC_UL320_.jpg")</f>
        <v/>
      </c>
      <c r="K765" t="inlineStr">
        <is>
          <t>18.99</t>
        </is>
      </c>
      <c r="L765" t="n">
        <v>18.99</v>
      </c>
      <c r="M765" s="1" t="inlineStr">
        <is>
          <t>0.00%</t>
        </is>
      </c>
      <c r="N765" s="3" t="n">
        <v>0</v>
      </c>
      <c r="O765" t="n">
        <v>4.5</v>
      </c>
      <c r="P765" t="n">
        <v>733</v>
      </c>
      <c r="R765" t="inlineStr">
        <is>
          <t>OutOfStock</t>
        </is>
      </c>
      <c r="S765" t="inlineStr">
        <is>
          <t>18.99</t>
        </is>
      </c>
      <c r="T765" t="inlineStr">
        <is>
          <t>7241661350076</t>
        </is>
      </c>
    </row>
    <row r="766" hidden="1" ht="15.75" customHeight="1">
      <c r="A766" s="2">
        <f>HYPERLINK("https://www.shelhealth.com/products/old-spice-swagger-mens-2-in-1-shampoo-and-conditioner-38-2-fl-oz", "https://www.shelhealth.com/products/old-spice-swagger-mens-2-in-1-shampoo-and-conditioner-38-2-fl-oz")</f>
        <v/>
      </c>
      <c r="B766" s="2">
        <f>HYPERLINK("https://www.shelhealth.com/products/old-spice-swagger-mens-2-in-1-shampoo-and-conditioner-38-2-fl-oz", "https://www.shelhealth.com/products/old-spice-swagger-mens-2-in-1-shampoo-and-conditioner-38-2-fl-oz")</f>
        <v/>
      </c>
      <c r="C766" t="inlineStr">
        <is>
          <t>Old Spice Swagger Men's 2 in 1 Shampoo and Conditioner, 38.2 fl. oz.</t>
        </is>
      </c>
      <c r="D766" t="inlineStr">
        <is>
          <t>Old Spice Swagger 2in1 Men's Shampoo and Conditioner 12 Fl Oz</t>
        </is>
      </c>
      <c r="E766" s="2">
        <f>HYPERLINK("https://www.amazon.com/Old-Spice-Swagger-Conditioner-12-000-Fluid/dp/B00FRDPQ40/ref=sr_1_1?keywords=Old+Spice+Swagger+Mens+2+in+1+Shampoo+and+Conditioner%2C+38.2+fl.+oz.&amp;qid=1695170242&amp;sr=8-1", "https://www.amazon.com/Old-Spice-Swagger-Conditioner-12-000-Fluid/dp/B00FRDPQ40/ref=sr_1_1?keywords=Old+Spice+Swagger+Mens+2+in+1+Shampoo+and+Conditioner%2C+38.2+fl.+oz.&amp;qid=1695170242&amp;sr=8-1")</f>
        <v/>
      </c>
      <c r="F766" t="inlineStr">
        <is>
          <t>B00FRDPQ40</t>
        </is>
      </c>
      <c r="G766">
        <f>_xludf.IMAGE("https://www.shelhealth.com/cdn/shop/products/old-spice-swagger-mens-2-in-1-shampoo-and-conditioner-38-fl-oz-shelhealth-381.jpg?v=1663355917&amp;width=1946")</f>
        <v/>
      </c>
      <c r="H766">
        <f>_xludf.IMAGE("https://m.media-amazon.com/images/I/81RERmrgm0L._AC_UL320_.jpg")</f>
        <v/>
      </c>
      <c r="K766" t="inlineStr">
        <is>
          <t>19.99</t>
        </is>
      </c>
      <c r="L766" t="n">
        <v>19.99</v>
      </c>
      <c r="M766" s="1" t="inlineStr">
        <is>
          <t>0.00%</t>
        </is>
      </c>
      <c r="N766" s="3" t="n">
        <v>0</v>
      </c>
      <c r="O766" t="n">
        <v>4.6</v>
      </c>
      <c r="P766" t="n">
        <v>814</v>
      </c>
      <c r="R766" t="inlineStr">
        <is>
          <t>InStock</t>
        </is>
      </c>
      <c r="S766" t="inlineStr">
        <is>
          <t>19.99</t>
        </is>
      </c>
      <c r="T766" t="inlineStr">
        <is>
          <t>4172534284340</t>
        </is>
      </c>
    </row>
    <row r="767" hidden="1" ht="15.75" customHeight="1">
      <c r="A767" s="2">
        <f>HYPERLINK("https://www.shelhealth.com/products/old-spice-fiji-2-in-1-mens-shampoo-and-conditioner-38-2-fl-oz", "https://www.shelhealth.com/products/old-spice-fiji-2-in-1-mens-shampoo-and-conditioner-38-2-fl-oz")</f>
        <v/>
      </c>
      <c r="B767" s="2">
        <f>HYPERLINK("https://www.shelhealth.com/products/old-spice-fiji-2-in-1-mens-shampoo-and-conditioner-38-2-fl-oz", "https://www.shelhealth.com/products/old-spice-fiji-2-in-1-mens-shampoo-and-conditioner-38-2-fl-oz")</f>
        <v/>
      </c>
      <c r="C767" t="inlineStr">
        <is>
          <t>Old Spice Fiji 2 in 1 Mens Shampoo and Conditioner, 38.2 FL OZ</t>
        </is>
      </c>
      <c r="D767" t="inlineStr">
        <is>
          <t>Old Spice Fiji 2-in-1 Shampoo and Conditioner for Men, 21.9 Fl Oz Each, Twin Pack</t>
        </is>
      </c>
      <c r="E767" s="2">
        <f>HYPERLINK("https://www.amazon.com/Old-Spice-Shampoo-Conditioner-Coconut/dp/B08LJ5PMB8/ref=sr_1_1?keywords=Old+Spice+Fiji+2+in+1+Mens+Shampoo+and+Conditioner%2C+38.2+FL+OZ&amp;qid=1695170259&amp;sr=8-1", "https://www.amazon.com/Old-Spice-Shampoo-Conditioner-Coconut/dp/B08LJ5PMB8/ref=sr_1_1?keywords=Old+Spice+Fiji+2+in+1+Mens+Shampoo+and+Conditioner%2C+38.2+FL+OZ&amp;qid=1695170259&amp;sr=8-1")</f>
        <v/>
      </c>
      <c r="F767" t="inlineStr">
        <is>
          <t>B08LJ5PMB8</t>
        </is>
      </c>
      <c r="G767">
        <f>_xludf.IMAGE("https://www.shelhealth.com/cdn/shop/products/old-spice-fiji-2-in-1-mens-shampoo-and-conditioner-38-fl-oz-shelhealth-596.jpg?v=1663350158&amp;width=1946")</f>
        <v/>
      </c>
      <c r="H767">
        <f>_xludf.IMAGE("https://m.media-amazon.com/images/I/81LFrEWdK4L._AC_UL320_.jpg")</f>
        <v/>
      </c>
      <c r="K767" t="inlineStr">
        <is>
          <t>15.99</t>
        </is>
      </c>
      <c r="L767" t="n">
        <v>15.94</v>
      </c>
      <c r="M767" s="1" t="inlineStr">
        <is>
          <t>-0.31%</t>
        </is>
      </c>
      <c r="N767" s="3" t="n">
        <v>-0.31</v>
      </c>
      <c r="O767" t="n">
        <v>4.7</v>
      </c>
      <c r="P767" t="n">
        <v>3109</v>
      </c>
      <c r="R767" t="inlineStr">
        <is>
          <t>InStock</t>
        </is>
      </c>
      <c r="S767" t="inlineStr">
        <is>
          <t>15.99</t>
        </is>
      </c>
      <c r="T767" t="inlineStr">
        <is>
          <t>4045945503796</t>
        </is>
      </c>
    </row>
    <row r="768" hidden="1" ht="15.75" customHeight="1">
      <c r="A768" s="2">
        <f>HYPERLINK("https://www.shelhealth.com/products/661176010073-naturtint-permanent-hair-color-9n-honey-blonde-5-28-oz", "https://www.shelhealth.com/products/661176010073-naturtint-permanent-hair-color-9n-honey-blonde-5-28-oz")</f>
        <v/>
      </c>
      <c r="B768" s="2">
        <f>HYPERLINK("https://www.shelhealth.com/products/661176010073-naturtint-permanent-hair-color-9n-honey-blonde-5-28-oz", "https://www.shelhealth.com/products/661176010073-naturtint-permanent-hair-color-9n-honey-blonde-5-28-oz")</f>
        <v/>
      </c>
      <c r="C768" t="inlineStr">
        <is>
          <t>Naturtint Permanent Hair Color 9N Honey Blonde, 5.28 Oz</t>
        </is>
      </c>
      <c r="D768" t="inlineStr">
        <is>
          <t>Naturtint - Permanent Hair Colorant 9N Honey Blonde - 5.6 fl.oz</t>
        </is>
      </c>
      <c r="E768" s="2">
        <f>HYPERLINK("https://www.amazon.com/Naturtint-Hair-Color-Honey-Blonde/dp/B00GZM01LK/ref=sr_1_4?keywords=Naturtint+Permanent+Hair+Color+9N+Honey+Blonde%2C+5.28+Oz&amp;qid=1695170194&amp;sr=8-4", "https://www.amazon.com/Naturtint-Hair-Color-Honey-Blonde/dp/B00GZM01LK/ref=sr_1_4?keywords=Naturtint+Permanent+Hair+Color+9N+Honey+Blonde%2C+5.28+Oz&amp;qid=1695170194&amp;sr=8-4")</f>
        <v/>
      </c>
      <c r="F768" t="inlineStr">
        <is>
          <t>B00GZM01LK</t>
        </is>
      </c>
      <c r="G768">
        <f>_xludf.IMAGE("https://www.shelhealth.com/cdn/shop/files/naturtint-permanent-hair-color-9n-honey-blonde-5-28-oz-beauty-body-care-shelhealth-719.jpg?v=1686533214&amp;width=1946")</f>
        <v/>
      </c>
      <c r="H768">
        <f>_xludf.IMAGE("https://m.media-amazon.com/images/I/810lIGsvcEL._AC_UL320_.jpg")</f>
        <v/>
      </c>
      <c r="K768" t="inlineStr">
        <is>
          <t>17.99</t>
        </is>
      </c>
      <c r="L768" t="n">
        <v>17.93</v>
      </c>
      <c r="M768" s="1" t="inlineStr">
        <is>
          <t>-0.33%</t>
        </is>
      </c>
      <c r="N768" s="3" t="n">
        <v>-0.33</v>
      </c>
      <c r="O768" t="n">
        <v>4.5</v>
      </c>
      <c r="P768" t="n">
        <v>155</v>
      </c>
      <c r="R768" t="inlineStr">
        <is>
          <t>InStock</t>
        </is>
      </c>
      <c r="S768" t="inlineStr">
        <is>
          <t>17.99</t>
        </is>
      </c>
      <c r="T768" t="inlineStr">
        <is>
          <t>7241867624636</t>
        </is>
      </c>
    </row>
    <row r="769" hidden="1" ht="15.75" customHeight="1">
      <c r="A769" s="2">
        <f>HYPERLINK("https://www.shelhealth.com/products/professional-salon-formula-moisture-shampoo-or-conditioner-33-8-oz-each-shampoo-conditioner-set", "https://www.shelhealth.com/products/professional-salon-formula-moisture-shampoo-or-conditioner-33-8-oz-each-shampoo-conditioner-set")</f>
        <v/>
      </c>
      <c r="B769" s="2">
        <f>HYPERLINK("https://www.shelhealth.com/products/professional-salon-formula-moisture-shampoo-or-conditioner-33-8-oz-each-shampoo-conditioner-set", "https://www.shelhealth.com/products/professional-salon-formula-moisture-shampoo-or-conditioner-33-8-oz-each-shampoo-conditioner-set")</f>
        <v/>
      </c>
      <c r="C769" t="inlineStr">
        <is>
          <t>Kirkland Signature Professional Salon Formula Moisture Shampoo &amp; Conditioner Set (33.8 Oz Each)</t>
        </is>
      </c>
      <c r="D769" t="inlineStr">
        <is>
          <t>TraderB Kirkland Signature Professional Salon Formula Moisture Shampoo &amp; Conditioner 33.8fl oz 1 litter (Two Bottles)</t>
        </is>
      </c>
      <c r="E769" s="2">
        <f>HYPERLINK("https://www.amazon.com/Kirkland-Signature-Professional-Moisture-Conditioner/dp/B09WTZLVTD/ref=sr_1_3?keywords=Kirkland+Signature+Professional+Salon+Formula+Moisture+Shampoo+%26+Conditioner+Set+%2833.8+Oz+Each%29&amp;qid=1695170176&amp;sr=8-3", "https://www.amazon.com/Kirkland-Signature-Professional-Moisture-Conditioner/dp/B09WTZLVTD/ref=sr_1_3?keywords=Kirkland+Signature+Professional+Salon+Formula+Moisture+Shampoo+%26+Conditioner+Set+%2833.8+Oz+Each%29&amp;qid=1695170176&amp;sr=8-3")</f>
        <v/>
      </c>
      <c r="F769" t="inlineStr">
        <is>
          <t>B09WTZLVTD</t>
        </is>
      </c>
      <c r="G769">
        <f>_xludf.IMAGE("https://www.shelhealth.com/cdn/shop/products/kirkland-signature-professional-salon-formula-moisture-shampoo-conditioner-set-33-8-oz-each-shelhealth-113.jpg?v=1663336766&amp;width=1946")</f>
        <v/>
      </c>
      <c r="H769">
        <f>_xludf.IMAGE("https://m.media-amazon.com/images/I/61MkrLzygYL._AC_UL320_.jpg")</f>
        <v/>
      </c>
      <c r="K769" t="inlineStr">
        <is>
          <t>35.99</t>
        </is>
      </c>
      <c r="L769" t="n">
        <v>35.78</v>
      </c>
      <c r="M769" s="1" t="inlineStr">
        <is>
          <t>-0.58%</t>
        </is>
      </c>
      <c r="N769" s="3" t="n">
        <v>-0.58</v>
      </c>
      <c r="O769" t="n">
        <v>4.4</v>
      </c>
      <c r="P769" t="n">
        <v>107</v>
      </c>
      <c r="R769" t="inlineStr">
        <is>
          <t>InStock</t>
        </is>
      </c>
      <c r="S769" t="inlineStr">
        <is>
          <t>35.99</t>
        </is>
      </c>
      <c r="T769" t="inlineStr">
        <is>
          <t>3723631558708</t>
        </is>
      </c>
    </row>
    <row r="770" hidden="1" ht="15.75" customHeight="1">
      <c r="A770" s="2">
        <f>HYPERLINK("https://www.shelhealth.com/products/666248001126-herbatint-permanent-hair-color-gel-6d-dark-golden-blonde-4-56-oz", "https://www.shelhealth.com/products/666248001126-herbatint-permanent-hair-color-gel-6d-dark-golden-blonde-4-56-oz")</f>
        <v/>
      </c>
      <c r="B770" s="2">
        <f>HYPERLINK("https://www.shelhealth.com/products/666248001126-herbatint-permanent-hair-color-gel-6d-dark-golden-blonde-4-56-oz", "https://www.shelhealth.com/products/666248001126-herbatint-permanent-hair-color-gel-6d-dark-golden-blonde-4-56-oz")</f>
        <v/>
      </c>
      <c r="C770" t="inlineStr">
        <is>
          <t>Herbatint Permanent Hair Color Gel 6D Dark Golden Blonde, 4.56 Oz</t>
        </is>
      </c>
      <c r="D770" t="inlineStr">
        <is>
          <t>Herbatint-6D/Dark Golden Blonde 4.56fl.oz Haircolor Gel</t>
        </is>
      </c>
      <c r="E770" s="2">
        <f>HYPERLINK("https://www.amazon.com/Herbatint-6D-Golden-Blonde-4-56fl-oz-Haircolor/dp/B0007V6L4Q/ref=sr_1_10?keywords=Herbatint+Permanent+Hair+Color+Gel+6D+Dark+Golden+Blonde%2C+4.56+Oz&amp;qid=1695170201&amp;sr=8-10", "https://www.amazon.com/Herbatint-6D-Golden-Blonde-4-56fl-oz-Haircolor/dp/B0007V6L4Q/ref=sr_1_10?keywords=Herbatint+Permanent+Hair+Color+Gel+6D+Dark+Golden+Blonde%2C+4.56+Oz&amp;qid=1695170201&amp;sr=8-10")</f>
        <v/>
      </c>
      <c r="F770" t="inlineStr">
        <is>
          <t>B0007V6L4Q</t>
        </is>
      </c>
      <c r="G770">
        <f>_xludf.IMAGE("https://www.shelhealth.com/cdn/shop/files/herbatint-permanent-hair-color-gel-6d-dark-golden-blonde-4-56-oz-beauty-body-care-shelhealth-649.jpg?v=1686528158&amp;width=1946")</f>
        <v/>
      </c>
      <c r="H770">
        <f>_xludf.IMAGE("https://m.media-amazon.com/images/I/81ZYj7udabL._AC_UL320_.jpg")</f>
        <v/>
      </c>
      <c r="K770" t="inlineStr">
        <is>
          <t>17.99</t>
        </is>
      </c>
      <c r="L770" t="n">
        <v>17.69</v>
      </c>
      <c r="M770" s="1" t="inlineStr">
        <is>
          <t>-1.67%</t>
        </is>
      </c>
      <c r="N770" s="3" t="n">
        <v>-1.67</v>
      </c>
      <c r="O770" t="n">
        <v>4.9</v>
      </c>
      <c r="P770" t="n">
        <v>17</v>
      </c>
      <c r="R770" t="inlineStr">
        <is>
          <t>InStock</t>
        </is>
      </c>
      <c r="S770" t="inlineStr">
        <is>
          <t>17.99</t>
        </is>
      </c>
      <c r="T770" t="inlineStr">
        <is>
          <t>7241699590332</t>
        </is>
      </c>
    </row>
    <row r="771" hidden="1" ht="15.75" customHeight="1">
      <c r="A771" s="2">
        <f>HYPERLINK("https://www.shelhealth.com/products/herbal-essences-hello-hydration-conditioner-40-fl-oz", "https://www.shelhealth.com/products/herbal-essences-hello-hydration-conditioner-40-fl-oz")</f>
        <v/>
      </c>
      <c r="B771" s="2">
        <f>HYPERLINK("https://www.shelhealth.com/products/herbal-essences-hello-hydration-conditioner-40-fl-oz", "https://www.shelhealth.com/products/herbal-essences-hello-hydration-conditioner-40-fl-oz")</f>
        <v/>
      </c>
      <c r="C771" t="inlineStr">
        <is>
          <t>Herbal Essences Hello Hydration Conditioner (40 Fl Oz),</t>
        </is>
      </c>
      <c r="D771" t="inlineStr">
        <is>
          <t>Herbal Essences Hello Hydration Moisturizing Conditioner with Coconut Essences, 23.7 fl oz</t>
        </is>
      </c>
      <c r="E771" s="2">
        <f>HYPERLINK("https://www.amazon.com/Herbal-Essences-Hydration-Moisturizing-Conditioner/dp/B00MEDQWOY/ref=sr_1_3?keywords=Herbal+Essences+Hello+Hydration+Conditioner+%2840+Fl+Oz%29%2C&amp;qid=1695170163&amp;sr=8-3", "https://www.amazon.com/Herbal-Essences-Hydration-Moisturizing-Conditioner/dp/B00MEDQWOY/ref=sr_1_3?keywords=Herbal+Essences+Hello+Hydration+Conditioner+%2840+Fl+Oz%29%2C&amp;qid=1695170163&amp;sr=8-3")</f>
        <v/>
      </c>
      <c r="F771" t="inlineStr">
        <is>
          <t>B00MEDQWOY</t>
        </is>
      </c>
      <c r="G771">
        <f>_xludf.IMAGE("https://www.shelhealth.com/cdn/shop/products/herbal-essences-hello-hydration-conditioner-40-fl-oz-essence-shelhealth-917.jpg?v=1663349969&amp;width=1946")</f>
        <v/>
      </c>
      <c r="H771">
        <f>_xludf.IMAGE("https://m.media-amazon.com/images/I/81c+aKjOXQL._AC_UL320_.jpg")</f>
        <v/>
      </c>
      <c r="K771" t="inlineStr">
        <is>
          <t>15.99</t>
        </is>
      </c>
      <c r="L771" t="n">
        <v>15.65</v>
      </c>
      <c r="M771" s="1" t="inlineStr">
        <is>
          <t>-2.13%</t>
        </is>
      </c>
      <c r="N771" s="3" t="n">
        <v>-2.13</v>
      </c>
      <c r="O771" t="n">
        <v>4.3</v>
      </c>
      <c r="P771" t="n">
        <v>33</v>
      </c>
      <c r="R771" t="inlineStr">
        <is>
          <t>InStock</t>
        </is>
      </c>
      <c r="S771" t="inlineStr">
        <is>
          <t>15.99</t>
        </is>
      </c>
      <c r="T771" t="inlineStr">
        <is>
          <t>3853302104116</t>
        </is>
      </c>
    </row>
    <row r="772" hidden="1" ht="15.75" customHeight="1">
      <c r="A772" s="2">
        <f>HYPERLINK("https://www.shelhealth.com/products/716237184115-giovanni-cosmetics-2chic-ultra-sleek-shampoo-brazilian-keratin-argan-oil-24-oz", "https://www.shelhealth.com/products/716237184115-giovanni-cosmetics-2chic-ultra-sleek-shampoo-brazilian-keratin-argan-oil-24-oz")</f>
        <v/>
      </c>
      <c r="B772" s="2">
        <f>HYPERLINK("https://www.shelhealth.com/products/716237184115-giovanni-cosmetics-2chic-ultra-sleek-shampoo-brazilian-keratin-argan-oil-24-oz", "https://www.shelhealth.com/products/716237184115-giovanni-cosmetics-2chic-ultra-sleek-shampoo-brazilian-keratin-argan-oil-24-oz")</f>
        <v/>
      </c>
      <c r="C772" t="inlineStr">
        <is>
          <t>Giovanni Cosmetics 2Chic Ultra-Sleek Shampoo Brazilian Keratin &amp; Argan Oil, 24 Oz</t>
        </is>
      </c>
      <c r="D772" t="inlineStr">
        <is>
          <t>GIOVANNI 2chic Ultra-Sleek Conditioner - Brazilian Phyto-Keratin &amp; Moroccan Argan Oil, Anti-Frizz Formula, Coconut, Shea Butter, Pro-Vitamin B5, Color Safe, Paraben Free - 24 oz</t>
        </is>
      </c>
      <c r="E772" s="2">
        <f>HYPERLINK("https://www.amazon.com/GIOVANNI-Brazilian-Keratin-Ultra-Sleek-Conditioner/dp/B009V0Z4HY/ref=sr_1_5?keywords=Giovanni+Cosmetics+2Chic+Ultra-Sleek+Shampoo+Brazilian+Keratin&amp;qid=1695170184&amp;sr=8-5", "https://www.amazon.com/GIOVANNI-Brazilian-Keratin-Ultra-Sleek-Conditioner/dp/B009V0Z4HY/ref=sr_1_5?keywords=Giovanni+Cosmetics+2Chic+Ultra-Sleek+Shampoo+Brazilian+Keratin&amp;qid=1695170184&amp;sr=8-5")</f>
        <v/>
      </c>
      <c r="F772" t="inlineStr">
        <is>
          <t>B009V0Z4HY</t>
        </is>
      </c>
      <c r="G772">
        <f>_xludf.IMAGE("https://www.shelhealth.com/cdn/shop/files/giovanni-cosmetics-2chic-ultra-sleek-shampoo-brazilian-keratin-argan-oil-24-oz-beauty-body-care-shelhealth-161.jpg?v=1690659053&amp;width=1946")</f>
        <v/>
      </c>
      <c r="H772">
        <f>_xludf.IMAGE("https://m.media-amazon.com/images/I/61jlOLSjPyL._AC_UL320_.jpg")</f>
        <v/>
      </c>
      <c r="K772" t="inlineStr">
        <is>
          <t>17.99</t>
        </is>
      </c>
      <c r="L772" t="n">
        <v>17.58</v>
      </c>
      <c r="M772" s="1" t="inlineStr">
        <is>
          <t>-2.28%</t>
        </is>
      </c>
      <c r="N772" s="3" t="n">
        <v>-2.28</v>
      </c>
      <c r="O772" t="n">
        <v>4.4</v>
      </c>
      <c r="P772" t="n">
        <v>657</v>
      </c>
      <c r="R772" t="inlineStr">
        <is>
          <t>InStock</t>
        </is>
      </c>
      <c r="S772" t="inlineStr">
        <is>
          <t>17.99</t>
        </is>
      </c>
      <c r="T772" t="inlineStr">
        <is>
          <t>7241658335420</t>
        </is>
      </c>
    </row>
    <row r="773" hidden="1" ht="15.75" customHeight="1">
      <c r="A773" s="2">
        <f>HYPERLINK("https://www.shelhealth.com/products/724742008611-alba-botanica-natural-hawaiian-conditioner-drink-it-up-coconut-milk-12-oz", "https://www.shelhealth.com/products/724742008611-alba-botanica-natural-hawaiian-conditioner-drink-it-up-coconut-milk-12-oz")</f>
        <v/>
      </c>
      <c r="B773" s="2">
        <f>HYPERLINK("https://www.shelhealth.com/products/724742008611-alba-botanica-natural-hawaiian-conditioner-drink-it-up-coconut-milk-12-oz", "https://www.shelhealth.com/products/724742008611-alba-botanica-natural-hawaiian-conditioner-drink-it-up-coconut-milk-12-oz")</f>
        <v/>
      </c>
      <c r="C773" t="inlineStr">
        <is>
          <t>Alba Botanica Natural Hawaiian Conditioner Drink It Up Coconut Milk, 12 Oz (Case of 2)</t>
        </is>
      </c>
      <c r="D773" t="inlineStr">
        <is>
          <t>Alba Botanica Natural Hawaiian Conditioner Coconut Milk, 12 oz (Pack of 3)</t>
        </is>
      </c>
      <c r="E773" s="2">
        <f>HYPERLINK("https://www.amazon.com/Alba-Botanica-Natural-Hawaiian-Conditioner/dp/B001E11DAA/ref=sr_1_8?keywords=Alba+Botanica+Natural+Hawaiian+Conditioner+Drink+It+Up+Coconut+Milk%2C+12+Oz+%28Case+of+2%29&amp;qid=1695170210&amp;sr=8-8", "https://www.amazon.com/Alba-Botanica-Natural-Hawaiian-Conditioner/dp/B001E11DAA/ref=sr_1_8?keywords=Alba+Botanica+Natural+Hawaiian+Conditioner+Drink+It+Up+Coconut+Milk%2C+12+Oz+%28Case+of+2%29&amp;qid=1695170210&amp;sr=8-8")</f>
        <v/>
      </c>
      <c r="F773" t="inlineStr">
        <is>
          <t>B001E11DAA</t>
        </is>
      </c>
      <c r="G773">
        <f>_xludf.IMAGE("https://www.shelhealth.com/cdn/shop/files/alba-botanica-natural-hawaiian-conditioner-drink-it-up-coconut-milk-12-oz-case-of-2-beauty-body-care-shelhealth-549.jpg?v=1686520897&amp;width=1946")</f>
        <v/>
      </c>
      <c r="H773">
        <f>_xludf.IMAGE("https://m.media-amazon.com/images/I/61IFq9DDN-L._AC_UL320_.jpg")</f>
        <v/>
      </c>
      <c r="K773" t="inlineStr">
        <is>
          <t>22.99</t>
        </is>
      </c>
      <c r="L773" t="n">
        <v>22.39</v>
      </c>
      <c r="M773" s="1" t="inlineStr">
        <is>
          <t>-2.61%</t>
        </is>
      </c>
      <c r="N773" s="3" t="n">
        <v>-2.61</v>
      </c>
      <c r="O773" t="n">
        <v>3.1</v>
      </c>
      <c r="P773" t="n">
        <v>4</v>
      </c>
      <c r="R773" t="inlineStr">
        <is>
          <t>InStock</t>
        </is>
      </c>
      <c r="S773" t="inlineStr">
        <is>
          <t>22.99</t>
        </is>
      </c>
      <c r="T773" t="inlineStr">
        <is>
          <t>7241431777468</t>
        </is>
      </c>
    </row>
    <row r="774" hidden="1" ht="15.75" customHeight="1">
      <c r="A774" s="2">
        <f>HYPERLINK("https://www.shelhealth.com/products/conair-infiniti-pro-hair-dyer-1875-watt", "https://www.shelhealth.com/products/conair-infiniti-pro-hair-dyer-1875-watt")</f>
        <v/>
      </c>
      <c r="B774" s="2">
        <f>HYPERLINK("https://www.shelhealth.com/products/conair-infiniti-pro-hair-dyer-1875-watt", "https://www.shelhealth.com/products/conair-infiniti-pro-hair-dyer-1875-watt")</f>
        <v/>
      </c>
      <c r="C774" t="inlineStr">
        <is>
          <t>Conair Infiniti Pro Hair Dyer 1875 WATT</t>
        </is>
      </c>
      <c r="D774" t="inlineStr">
        <is>
          <t>INFINITIPRO BY CONAIR Hair Dryer, 1875W AC Motor Pro Hair Dryer with Ceramic Technology, Includes Diffuser and Concentrator, Black</t>
        </is>
      </c>
      <c r="E774" s="2">
        <f>HYPERLINK("https://www.amazon.com/Conair-INFINITIPRO-Motor-Dryer-Black/dp/B07TT9XH98/ref=sr_1_3?keywords=Conair+Infiniti+Pro+Hair+Dyer+1875+WATT&amp;qid=1695170168&amp;sr=8-3", "https://www.amazon.com/Conair-INFINITIPRO-Motor-Dryer-Black/dp/B07TT9XH98/ref=sr_1_3?keywords=Conair+Infiniti+Pro+Hair+Dyer+1875+WATT&amp;qid=1695170168&amp;sr=8-3")</f>
        <v/>
      </c>
      <c r="F774" t="inlineStr">
        <is>
          <t>B07TT9XH98</t>
        </is>
      </c>
      <c r="G774">
        <f>_xludf.IMAGE("https://www.shelhealth.com/cdn/shop/products/conair-infiniti-pro-hair-dyer-1875-watt-shelhealth-502.jpg?v=1663343315&amp;width=1946")</f>
        <v/>
      </c>
      <c r="H774">
        <f>_xludf.IMAGE("https://m.media-amazon.com/images/I/71she6AUavL._AC_UL320_.jpg")</f>
        <v/>
      </c>
      <c r="K774" t="inlineStr">
        <is>
          <t>36.99</t>
        </is>
      </c>
      <c r="L774" t="n">
        <v>35.99</v>
      </c>
      <c r="M774" s="1" t="inlineStr">
        <is>
          <t>-2.70%</t>
        </is>
      </c>
      <c r="N774" s="3" t="n">
        <v>-2.7</v>
      </c>
      <c r="O774" t="n">
        <v>4.6</v>
      </c>
      <c r="P774" t="n">
        <v>21016</v>
      </c>
      <c r="R774" t="inlineStr">
        <is>
          <t>OutOfStock</t>
        </is>
      </c>
      <c r="S774" t="inlineStr">
        <is>
          <t>36.99</t>
        </is>
      </c>
      <c r="T774" t="inlineStr">
        <is>
          <t>3820082167860</t>
        </is>
      </c>
    </row>
    <row r="775" hidden="1" ht="15.75" customHeight="1">
      <c r="A775" s="2">
        <f>HYPERLINK("https://www.shelhealth.com/products/859975002416-andalou-naturals-argan-stem-cells-thinning-hair-system-age-defying-1-kit", "https://www.shelhealth.com/products/859975002416-andalou-naturals-argan-stem-cells-thinning-hair-system-age-defying-1-kit")</f>
        <v/>
      </c>
      <c r="B775" s="2">
        <f>HYPERLINK("https://www.shelhealth.com/products/859975002416-andalou-naturals-argan-stem-cells-thinning-hair-system-age-defying-1-kit", "https://www.shelhealth.com/products/859975002416-andalou-naturals-argan-stem-cells-thinning-hair-system-age-defying-1-kit")</f>
        <v/>
      </c>
      <c r="C775" t="inlineStr">
        <is>
          <t>Andalou Naturals Argan Stem Cells Thinning Hair System Age Defying, 1 Kit</t>
        </is>
      </c>
      <c r="D775" t="inlineStr">
        <is>
          <t>Andalou Naturals Age Defying Hair Thinning Treatment System, 3 Piece Kit Conditioner, Shampoo, 11.5 Ounce</t>
        </is>
      </c>
      <c r="E775" s="2">
        <f>HYPERLINK("https://www.amazon.com/Andalou-Naturals-Hair-Trtmnt-Defying/dp/B00PKTWLY4/ref=sr_1_2?keywords=Andalou+Naturals+Argan+Stem+Cells+Thinning+Hair+System+Age+Defying%2C+1+Kit&amp;qid=1695170252&amp;sr=8-2", "https://www.amazon.com/Andalou-Naturals-Hair-Trtmnt-Defying/dp/B00PKTWLY4/ref=sr_1_2?keywords=Andalou+Naturals+Argan+Stem+Cells+Thinning+Hair+System+Age+Defying%2C+1+Kit&amp;qid=1695170252&amp;sr=8-2")</f>
        <v/>
      </c>
      <c r="F775" t="inlineStr">
        <is>
          <t>B00PKTWLY4</t>
        </is>
      </c>
      <c r="G775">
        <f>_xludf.IMAGE("https://www.shelhealth.com/cdn/shop/files/andalou-naturals-argan-stem-cells-thinning-hair-system-age-defying-1-kit-beauty-body-care-shelhealth-747.jpg?v=1686192279&amp;width=1946")</f>
        <v/>
      </c>
      <c r="H775">
        <f>_xludf.IMAGE("https://m.media-amazon.com/images/I/61d-COOktaL._AC_UL320_.jpg")</f>
        <v/>
      </c>
      <c r="K775" t="inlineStr">
        <is>
          <t>26.99</t>
        </is>
      </c>
      <c r="L775" t="n">
        <v>26.08</v>
      </c>
      <c r="M775" s="1" t="inlineStr">
        <is>
          <t>-3.37%</t>
        </is>
      </c>
      <c r="N775" s="3" t="n">
        <v>-3.37</v>
      </c>
      <c r="O775" t="n">
        <v>4.1</v>
      </c>
      <c r="P775" t="n">
        <v>43</v>
      </c>
      <c r="R775" t="inlineStr">
        <is>
          <t>OutOfStock</t>
        </is>
      </c>
      <c r="S775" t="inlineStr">
        <is>
          <t>26.99</t>
        </is>
      </c>
      <c r="T775" t="inlineStr">
        <is>
          <t>7241445769404</t>
        </is>
      </c>
    </row>
    <row r="776" hidden="1" ht="15.75" customHeight="1">
      <c r="A776" s="2">
        <f>HYPERLINK("https://www.shelhealth.com/products/conair-infiniti-pro-11in-flat-iron", "https://www.shelhealth.com/products/conair-infiniti-pro-11in-flat-iron")</f>
        <v/>
      </c>
      <c r="B776" s="2">
        <f>HYPERLINK("https://www.shelhealth.com/products/conair-infiniti-pro-11in-flat-iron", "https://www.shelhealth.com/products/conair-infiniti-pro-11in-flat-iron")</f>
        <v/>
      </c>
      <c r="C776" t="inlineStr">
        <is>
          <t>Conair Infiniti Pro 11in. Flat Iron</t>
        </is>
      </c>
      <c r="D776" t="inlineStr">
        <is>
          <t>INFINITIPRO BY CONAIR Rose Gold Ceramic Flat Iron, 1 3/4-inch</t>
        </is>
      </c>
      <c r="E776" s="2">
        <f>HYPERLINK("https://www.amazon.com/Conair-Rose-Gold-Ceramic-Flat/dp/B07CLNP7W4/ref=sr_1_7?keywords=Conair+Infiniti+Pro+11in.+Flat+Iron&amp;qid=1695170251&amp;sr=8-7", "https://www.amazon.com/Conair-Rose-Gold-Ceramic-Flat/dp/B07CLNP7W4/ref=sr_1_7?keywords=Conair+Infiniti+Pro+11in.+Flat+Iron&amp;qid=1695170251&amp;sr=8-7")</f>
        <v/>
      </c>
      <c r="F776" t="inlineStr">
        <is>
          <t>B07CLNP7W4</t>
        </is>
      </c>
      <c r="G776">
        <f>_xludf.IMAGE("https://www.shelhealth.com/cdn/shop/products/conair-infiniti-pro-11in-flat-iron-shelhealth-337.jpg?v=1663343304&amp;width=1946")</f>
        <v/>
      </c>
      <c r="H776">
        <f>_xludf.IMAGE("https://m.media-amazon.com/images/I/61DXQGSPsjL._AC_UL320_.jpg")</f>
        <v/>
      </c>
      <c r="K776" t="inlineStr">
        <is>
          <t>43.99</t>
        </is>
      </c>
      <c r="L776" t="n">
        <v>42.49</v>
      </c>
      <c r="M776" s="1" t="inlineStr">
        <is>
          <t>-3.41%</t>
        </is>
      </c>
      <c r="N776" s="3" t="n">
        <v>-3.41</v>
      </c>
      <c r="O776" t="n">
        <v>4.4</v>
      </c>
      <c r="P776" t="n">
        <v>12343</v>
      </c>
      <c r="R776" t="inlineStr">
        <is>
          <t>OutOfStock</t>
        </is>
      </c>
      <c r="S776" t="inlineStr">
        <is>
          <t>43.99</t>
        </is>
      </c>
      <c r="T776" t="inlineStr">
        <is>
          <t>3820080267316</t>
        </is>
      </c>
    </row>
    <row r="777" hidden="1" ht="15.75" customHeight="1">
      <c r="A777" s="2">
        <f>HYPERLINK("https://www.shelhealth.com/products/666248001157-herbatint-permanent-hair-color-gel-4m-mahogany-chestnut-4-56-oz", "https://www.shelhealth.com/products/666248001157-herbatint-permanent-hair-color-gel-4m-mahogany-chestnut-4-56-oz")</f>
        <v/>
      </c>
      <c r="B777" s="2">
        <f>HYPERLINK("https://www.shelhealth.com/products/666248001157-herbatint-permanent-hair-color-gel-4m-mahogany-chestnut-4-56-oz", "https://www.shelhealth.com/products/666248001157-herbatint-permanent-hair-color-gel-4m-mahogany-chestnut-4-56-oz")</f>
        <v/>
      </c>
      <c r="C777" t="inlineStr">
        <is>
          <t>Herbatint Permanent Hair Color Gel 4M Mahogany Chestnut, 4.56 Oz</t>
        </is>
      </c>
      <c r="D777" t="inlineStr">
        <is>
          <t>Herbatint Permanent Haircolor Gel, 4R Copper Chestnut, 4.56 Ounce</t>
        </is>
      </c>
      <c r="E777" s="2">
        <f>HYPERLINK("https://www.amazon.com/Herbatint-Permanent-Herbal-Copper-Chestnut/dp/B00A2EZSL0/ref=sr_1_8?keywords=Herbatint+Permanent+Hair+Color+Gel+4M+Mahogany+Chestnut%2C+4.56+Oz&amp;qid=1695170205&amp;sr=8-8", "https://www.amazon.com/Herbatint-Permanent-Herbal-Copper-Chestnut/dp/B00A2EZSL0/ref=sr_1_8?keywords=Herbatint+Permanent+Hair+Color+Gel+4M+Mahogany+Chestnut%2C+4.56+Oz&amp;qid=1695170205&amp;sr=8-8")</f>
        <v/>
      </c>
      <c r="F777" t="inlineStr">
        <is>
          <t>B00A2EZSL0</t>
        </is>
      </c>
      <c r="G777">
        <f>_xludf.IMAGE("https://www.shelhealth.com/cdn/shop/files/herbatint-permanent-hair-color-gel-4m-mahogany-chestnut-4-56-oz-beauty-body-care-shelhealth-126.jpg?v=1693230047&amp;width=1946")</f>
        <v/>
      </c>
      <c r="H777">
        <f>_xludf.IMAGE("https://m.media-amazon.com/images/I/81zOP110FmL._AC_UL320_.jpg")</f>
        <v/>
      </c>
      <c r="K777" t="inlineStr">
        <is>
          <t>17.99</t>
        </is>
      </c>
      <c r="L777" t="n">
        <v>17.29</v>
      </c>
      <c r="M777" s="1" t="inlineStr">
        <is>
          <t>-3.89%</t>
        </is>
      </c>
      <c r="N777" s="3" t="n">
        <v>-3.89</v>
      </c>
      <c r="O777" t="n">
        <v>4.6</v>
      </c>
      <c r="P777" t="n">
        <v>170</v>
      </c>
      <c r="R777" t="inlineStr">
        <is>
          <t>OutOfStock</t>
        </is>
      </c>
      <c r="S777" t="inlineStr">
        <is>
          <t>17.99</t>
        </is>
      </c>
      <c r="T777" t="inlineStr">
        <is>
          <t>7241699295420</t>
        </is>
      </c>
    </row>
    <row r="778" hidden="1" ht="15.75" customHeight="1">
      <c r="A778" s="2">
        <f>HYPERLINK("https://www.shelhealth.com/products/666248001188-herbatint-permanent-hair-color-gel-4r-copper-chestnut-4-56-fo", "https://www.shelhealth.com/products/666248001188-herbatint-permanent-hair-color-gel-4r-copper-chestnut-4-56-fo")</f>
        <v/>
      </c>
      <c r="B778" s="2">
        <f>HYPERLINK("https://www.shelhealth.com/products/666248001188-herbatint-permanent-hair-color-gel-4r-copper-chestnut-4-56-fo", "https://www.shelhealth.com/products/666248001188-herbatint-permanent-hair-color-gel-4r-copper-chestnut-4-56-fo")</f>
        <v/>
      </c>
      <c r="C778" t="inlineStr">
        <is>
          <t>Herbatint Permanent Hair Color Gel 4R Copper Chestnut, 4.56 Fo</t>
        </is>
      </c>
      <c r="D778" t="inlineStr">
        <is>
          <t>Herbatint Permanent Haircolor Gel, 4R Copper Chestnut, 4.56 Ounce</t>
        </is>
      </c>
      <c r="E778" s="2">
        <f>HYPERLINK("https://www.amazon.com/Herbatint-Permanent-Herbal-Copper-Chestnut/dp/B00A2EZSL0/ref=sr_1_3?keywords=Herbatint+Permanent+Hair+Color+Gel+4R+Copper+Chestnut%2C+4.56+Fo&amp;qid=1695170230&amp;sr=8-3", "https://www.amazon.com/Herbatint-Permanent-Herbal-Copper-Chestnut/dp/B00A2EZSL0/ref=sr_1_3?keywords=Herbatint+Permanent+Hair+Color+Gel+4R+Copper+Chestnut%2C+4.56+Fo&amp;qid=1695170230&amp;sr=8-3")</f>
        <v/>
      </c>
      <c r="F778" t="inlineStr">
        <is>
          <t>B00A2EZSL0</t>
        </is>
      </c>
      <c r="G778">
        <f>_xludf.IMAGE("https://www.shelhealth.com/cdn/shop/files/herbatint-permanent-hair-color-gel-4r-copper-chestnut-4-56-fo-beauty-body-care-shelhealth-948.jpg?v=1693230044&amp;width=1946")</f>
        <v/>
      </c>
      <c r="H778">
        <f>_xludf.IMAGE("https://m.media-amazon.com/images/I/81zOP110FmL._AC_UL320_.jpg")</f>
        <v/>
      </c>
      <c r="K778" t="inlineStr">
        <is>
          <t>17.99</t>
        </is>
      </c>
      <c r="L778" t="n">
        <v>17.29</v>
      </c>
      <c r="M778" s="1" t="inlineStr">
        <is>
          <t>-3.89%</t>
        </is>
      </c>
      <c r="N778" s="3" t="n">
        <v>-3.89</v>
      </c>
      <c r="O778" t="n">
        <v>4.6</v>
      </c>
      <c r="P778" t="n">
        <v>170</v>
      </c>
      <c r="R778" t="inlineStr">
        <is>
          <t>OutOfStock</t>
        </is>
      </c>
      <c r="S778" t="inlineStr">
        <is>
          <t>17.99</t>
        </is>
      </c>
      <c r="T778" t="inlineStr">
        <is>
          <t>7241699393724</t>
        </is>
      </c>
    </row>
    <row r="779" hidden="1" ht="15.75" customHeight="1">
      <c r="A779" s="2">
        <f>HYPERLINK("https://www.shelhealth.com/products/alba-botanica-drink-it-up-coconut-milk-hawaiian-shampoo-34-oz", "https://www.shelhealth.com/products/alba-botanica-drink-it-up-coconut-milk-hawaiian-shampoo-34-oz")</f>
        <v/>
      </c>
      <c r="B779" s="2">
        <f>HYPERLINK("https://www.shelhealth.com/products/alba-botanica-drink-it-up-coconut-milk-hawaiian-shampoo-34-oz", "https://www.shelhealth.com/products/alba-botanica-drink-it-up-coconut-milk-hawaiian-shampoo-34-oz")</f>
        <v/>
      </c>
      <c r="C779" t="inlineStr">
        <is>
          <t>Alba Botanica Drink It Up Coconut Milk Hawaiian Shampoo, 34 oz.</t>
        </is>
      </c>
      <c r="D779" t="inlineStr">
        <is>
          <t>Alba Botanica Drink It Up Coconut Milk, Hawaiian Duo Set Shampoo and Conditioner, 12 Ounce Bottle Each</t>
        </is>
      </c>
      <c r="E779" s="2">
        <f>HYPERLINK("https://www.amazon.com/Alba-Botanica-Coconut-Hawaiian-Conditioner/dp/B00K9RC7A0/ref=sr_1_2?keywords=Alba+Botanica+Drink+It+Up+Coconut+Milk+Hawaiian+Shampoo%2C+34+oz.&amp;qid=1695170251&amp;sr=8-2", "https://www.amazon.com/Alba-Botanica-Coconut-Hawaiian-Conditioner/dp/B00K9RC7A0/ref=sr_1_2?keywords=Alba+Botanica+Drink+It+Up+Coconut+Milk+Hawaiian+Shampoo%2C+34+oz.&amp;qid=1695170251&amp;sr=8-2")</f>
        <v/>
      </c>
      <c r="F779" t="inlineStr">
        <is>
          <t>B00K9RC7A0</t>
        </is>
      </c>
      <c r="G779">
        <f>_xludf.IMAGE("https://www.shelhealth.com/cdn/shop/products/alba-botanica-drink-it-up-coconut-milk-hawaiian-shampoo-34-oz-shelhealth-303.jpg?v=1663362289&amp;width=1946")</f>
        <v/>
      </c>
      <c r="H779">
        <f>_xludf.IMAGE("https://m.media-amazon.com/images/I/612atdJEtdL._AC_UL320_.jpg")</f>
        <v/>
      </c>
      <c r="K779" t="inlineStr">
        <is>
          <t>18.99</t>
        </is>
      </c>
      <c r="L779" t="n">
        <v>18.24</v>
      </c>
      <c r="M779" s="1" t="inlineStr">
        <is>
          <t>-3.95%</t>
        </is>
      </c>
      <c r="N779" s="3" t="n">
        <v>-3.95</v>
      </c>
      <c r="O779" t="n">
        <v>4.4</v>
      </c>
      <c r="P779" t="n">
        <v>2799</v>
      </c>
      <c r="R779" t="inlineStr">
        <is>
          <t>InStock</t>
        </is>
      </c>
      <c r="S779" t="inlineStr">
        <is>
          <t>18.99</t>
        </is>
      </c>
      <c r="T779" t="inlineStr">
        <is>
          <t>4440158896217</t>
        </is>
      </c>
    </row>
    <row r="780" hidden="1" ht="15.75" customHeight="1">
      <c r="A780" s="2">
        <f>HYPERLINK("https://www.shelhealth.com/products/724742008611-alba-botanica-natural-hawaiian-conditioner-drink-it-up-coconut-milk-12-oz", "https://www.shelhealth.com/products/724742008611-alba-botanica-natural-hawaiian-conditioner-drink-it-up-coconut-milk-12-oz")</f>
        <v/>
      </c>
      <c r="B780" s="2">
        <f>HYPERLINK("https://www.shelhealth.com/products/724742008611-alba-botanica-natural-hawaiian-conditioner-drink-it-up-coconut-milk-12-oz", "https://www.shelhealth.com/products/724742008611-alba-botanica-natural-hawaiian-conditioner-drink-it-up-coconut-milk-12-oz")</f>
        <v/>
      </c>
      <c r="C780" t="inlineStr">
        <is>
          <t>Alba Botanica Natural Hawaiian Conditioner Drink It Up Coconut Milk, 12 Oz (Case of 2)</t>
        </is>
      </c>
      <c r="D780" t="inlineStr">
        <is>
          <t>Alba Botanica Natural Hawaiian Shampoo Drink It Up Coconut Milk, 12 Ounces Each (Pack of 3)</t>
        </is>
      </c>
      <c r="E780" s="2">
        <f>HYPERLINK("https://www.amazon.com/Alba-Botanica-Natural-Hawaiian-Shampoo/dp/B001E0XIVI/ref=sr_1_6?keywords=Alba+Botanica+Natural+Hawaiian+Conditioner+Drink+It+Up+Coconut+Milk%2C+12+Oz+%28Case+of+2%29&amp;qid=1695170210&amp;sr=8-6", "https://www.amazon.com/Alba-Botanica-Natural-Hawaiian-Shampoo/dp/B001E0XIVI/ref=sr_1_6?keywords=Alba+Botanica+Natural+Hawaiian+Conditioner+Drink+It+Up+Coconut+Milk%2C+12+Oz+%28Case+of+2%29&amp;qid=1695170210&amp;sr=8-6")</f>
        <v/>
      </c>
      <c r="F780" t="inlineStr">
        <is>
          <t>B001E0XIVI</t>
        </is>
      </c>
      <c r="G780">
        <f>_xludf.IMAGE("https://www.shelhealth.com/cdn/shop/files/alba-botanica-natural-hawaiian-conditioner-drink-it-up-coconut-milk-12-oz-case-of-2-beauty-body-care-shelhealth-549.jpg?v=1686520897&amp;width=1946")</f>
        <v/>
      </c>
      <c r="H780">
        <f>_xludf.IMAGE("https://m.media-amazon.com/images/I/61ZVZBrpNAL._AC_UL320_.jpg")</f>
        <v/>
      </c>
      <c r="K780" t="inlineStr">
        <is>
          <t>22.99</t>
        </is>
      </c>
      <c r="L780" t="n">
        <v>22.05</v>
      </c>
      <c r="M780" s="1" t="inlineStr">
        <is>
          <t>-4.09%</t>
        </is>
      </c>
      <c r="N780" s="3" t="n">
        <v>-4.09</v>
      </c>
      <c r="O780" t="n">
        <v>4.5</v>
      </c>
      <c r="P780" t="n">
        <v>69</v>
      </c>
      <c r="R780" t="inlineStr">
        <is>
          <t>InStock</t>
        </is>
      </c>
      <c r="S780" t="inlineStr">
        <is>
          <t>22.99</t>
        </is>
      </c>
      <c r="T780" t="inlineStr">
        <is>
          <t>7241431777468</t>
        </is>
      </c>
    </row>
    <row r="781" hidden="1" ht="15.75" customHeight="1">
      <c r="A781" s="2">
        <f>HYPERLINK("https://www.shelhealth.com/products/conair-infiniti-pro-hair-dyer-1875-watt", "https://www.shelhealth.com/products/conair-infiniti-pro-hair-dyer-1875-watt")</f>
        <v/>
      </c>
      <c r="B781" s="2">
        <f>HYPERLINK("https://www.shelhealth.com/products/conair-infiniti-pro-hair-dyer-1875-watt", "https://www.shelhealth.com/products/conair-infiniti-pro-hair-dyer-1875-watt")</f>
        <v/>
      </c>
      <c r="C781" t="inlineStr">
        <is>
          <t>Conair Infiniti Pro Hair Dyer 1875 WATT</t>
        </is>
      </c>
      <c r="D781" t="inlineStr">
        <is>
          <t>INFINITIPRO by CONAIR Hair Dryer, 1875W Salon Performance AC Motor Hair Dryer, Conair Blow Dryer, Orange with Bonus Blow-Out Brush</t>
        </is>
      </c>
      <c r="E781" s="2">
        <f>HYPERLINK("https://www.amazon.com/INFINITIPRO-CONAIR-Performance-Conair-Blow-Out/dp/B0C5S6QZ6Y/ref=sr_1_2?keywords=Conair+Infiniti+Pro+Hair+Dyer+1875+WATT&amp;qid=1695170168&amp;sr=8-2", "https://www.amazon.com/INFINITIPRO-CONAIR-Performance-Conair-Blow-Out/dp/B0C5S6QZ6Y/ref=sr_1_2?keywords=Conair+Infiniti+Pro+Hair+Dyer+1875+WATT&amp;qid=1695170168&amp;sr=8-2")</f>
        <v/>
      </c>
      <c r="F781" t="inlineStr">
        <is>
          <t>B0C5S6QZ6Y</t>
        </is>
      </c>
      <c r="G781">
        <f>_xludf.IMAGE("https://www.shelhealth.com/cdn/shop/products/conair-infiniti-pro-hair-dyer-1875-watt-shelhealth-502.jpg?v=1663343315&amp;width=1946")</f>
        <v/>
      </c>
      <c r="H781">
        <f>_xludf.IMAGE("https://m.media-amazon.com/images/I/71mWtLAInEL._AC_UL320_.jpg")</f>
        <v/>
      </c>
      <c r="K781" t="inlineStr">
        <is>
          <t>36.99</t>
        </is>
      </c>
      <c r="L781" t="n">
        <v>34.99</v>
      </c>
      <c r="M781" s="1" t="inlineStr">
        <is>
          <t>-5.41%</t>
        </is>
      </c>
      <c r="N781" s="3" t="n">
        <v>-5.41</v>
      </c>
      <c r="O781" t="n">
        <v>4.6</v>
      </c>
      <c r="P781" t="n">
        <v>35221</v>
      </c>
      <c r="R781" t="inlineStr">
        <is>
          <t>OutOfStock</t>
        </is>
      </c>
      <c r="S781" t="inlineStr">
        <is>
          <t>36.99</t>
        </is>
      </c>
      <c r="T781" t="inlineStr">
        <is>
          <t>3820082167860</t>
        </is>
      </c>
    </row>
    <row r="782" hidden="1" ht="15.75" customHeight="1">
      <c r="A782" s="2">
        <f>HYPERLINK("https://www.shelhealth.com/products/666248001133-herbatint-permanent-hair-color-gel-7d-golden-blonde-4-56-oz", "https://www.shelhealth.com/products/666248001133-herbatint-permanent-hair-color-gel-7d-golden-blonde-4-56-oz")</f>
        <v/>
      </c>
      <c r="B782" s="2">
        <f>HYPERLINK("https://www.shelhealth.com/products/666248001133-herbatint-permanent-hair-color-gel-7d-golden-blonde-4-56-oz", "https://www.shelhealth.com/products/666248001133-herbatint-permanent-hair-color-gel-7d-golden-blonde-4-56-oz")</f>
        <v/>
      </c>
      <c r="C782" t="inlineStr">
        <is>
          <t>Herbatint Permanent Hair Color Gel 7D Golden Blonde, 4.56 Oz</t>
        </is>
      </c>
      <c r="D782" t="inlineStr">
        <is>
          <t>Herbatint Permanent Haircolor Gel, 4C Ash Chestnut, Alcohol Free, Vegan, 100% Grey Coverage - 4.56 oz</t>
        </is>
      </c>
      <c r="E782" s="2">
        <f>HYPERLINK("https://www.amazon.com/Herbatint-Hair-Dye-Ash-Chestnut/dp/B002DY7GTE/ref=sr_1_10?keywords=Herbatint+Permanent+Hair+Color+Gel+7D+Golden+Blonde%2C+4.56+Oz&amp;qid=1695170204&amp;sr=8-10", "https://www.amazon.com/Herbatint-Hair-Dye-Ash-Chestnut/dp/B002DY7GTE/ref=sr_1_10?keywords=Herbatint+Permanent+Hair+Color+Gel+7D+Golden+Blonde%2C+4.56+Oz&amp;qid=1695170204&amp;sr=8-10")</f>
        <v/>
      </c>
      <c r="F782" t="inlineStr">
        <is>
          <t>B002DY7GTE</t>
        </is>
      </c>
      <c r="G782">
        <f>_xludf.IMAGE("https://www.shelhealth.com/cdn/shop/files/herbatint-permanent-hair-color-gel-7d-golden-blonde-4-56-oz-beauty-body-care-shelhealth-887.jpg?v=1686196963&amp;width=1946")</f>
        <v/>
      </c>
      <c r="H782">
        <f>_xludf.IMAGE("https://m.media-amazon.com/images/I/81HBZmWIj-L._AC_UL320_.jpg")</f>
        <v/>
      </c>
      <c r="K782" t="inlineStr">
        <is>
          <t>16.99</t>
        </is>
      </c>
      <c r="L782" t="n">
        <v>15.99</v>
      </c>
      <c r="M782" s="1" t="inlineStr">
        <is>
          <t>-5.89%</t>
        </is>
      </c>
      <c r="N782" s="3" t="n">
        <v>-5.89</v>
      </c>
      <c r="O782" t="n">
        <v>4.3</v>
      </c>
      <c r="P782" t="n">
        <v>542</v>
      </c>
      <c r="R782" t="inlineStr">
        <is>
          <t>OutOfStock</t>
        </is>
      </c>
      <c r="S782" t="inlineStr">
        <is>
          <t>16.99</t>
        </is>
      </c>
      <c r="T782" t="inlineStr">
        <is>
          <t>7241699655868</t>
        </is>
      </c>
    </row>
    <row r="783" hidden="1" ht="15.75" customHeight="1">
      <c r="A783" s="2">
        <f>HYPERLINK("https://www.shelhealth.com/products/herbal-essences-hello-hydration-shampoo-40-fl-oz", "https://www.shelhealth.com/products/herbal-essences-hello-hydration-shampoo-40-fl-oz")</f>
        <v/>
      </c>
      <c r="B783" s="2">
        <f>HYPERLINK("https://www.shelhealth.com/products/herbal-essences-hello-hydration-shampoo-40-fl-oz", "https://www.shelhealth.com/products/herbal-essences-hello-hydration-shampoo-40-fl-oz")</f>
        <v/>
      </c>
      <c r="C783" t="inlineStr">
        <is>
          <t>Herbal Essences Repair Conditioner, Argan Oil of Morocco (29.2 fl. oz.)</t>
        </is>
      </c>
      <c r="D783" t="inlineStr">
        <is>
          <t>Herbal Essences Repair Condtioner, Argan Oil of Morocco (29.2 fl. oz.)</t>
        </is>
      </c>
      <c r="E783" s="2">
        <f>HYPERLINK("https://www.amazon.com/Herbal-Essences-Repair-Condtioner-Morocco/dp/B0747Z4PKT/ref=sr_1_1?keywords=Herbal+Essences+Repair+Conditioner%2C+Argan+Oil+of+Morocco+%2829.2+fl.+oz.%29&amp;qid=1695170247&amp;sr=8-1", "https://www.amazon.com/Herbal-Essences-Repair-Condtioner-Morocco/dp/B0747Z4PKT/ref=sr_1_1?keywords=Herbal+Essences+Repair+Conditioner%2C+Argan+Oil+of+Morocco+%2829.2+fl.+oz.%29&amp;qid=1695170247&amp;sr=8-1")</f>
        <v/>
      </c>
      <c r="F783" t="inlineStr">
        <is>
          <t>B0747Z4PKT</t>
        </is>
      </c>
      <c r="G783">
        <f>_xludf.IMAGE("https://www.shelhealth.com/cdn/shop/products/herbal-essences-repair-conditioner-argan-oil-of-morocco-29-2-fl-oz-essence-shelhealth-683.jpg?v=1663349980&amp;width=1946")</f>
        <v/>
      </c>
      <c r="H783">
        <f>_xludf.IMAGE("https://m.media-amazon.com/images/I/71OKuX3-ahL._AC_UL320_.jpg")</f>
        <v/>
      </c>
      <c r="K783" t="inlineStr">
        <is>
          <t>16.99</t>
        </is>
      </c>
      <c r="L783" t="n">
        <v>15.99</v>
      </c>
      <c r="M783" s="1" t="inlineStr">
        <is>
          <t>-5.89%</t>
        </is>
      </c>
      <c r="N783" s="3" t="n">
        <v>-5.89</v>
      </c>
      <c r="O783" t="n">
        <v>4.7</v>
      </c>
      <c r="P783" t="n">
        <v>497</v>
      </c>
      <c r="R783" t="inlineStr">
        <is>
          <t>InStock</t>
        </is>
      </c>
      <c r="S783" t="inlineStr">
        <is>
          <t>16.99</t>
        </is>
      </c>
      <c r="T783" t="inlineStr">
        <is>
          <t>3853303087156</t>
        </is>
      </c>
    </row>
    <row r="784" hidden="1" ht="15.75" customHeight="1">
      <c r="A784" s="2">
        <f>HYPERLINK("https://www.shelhealth.com/products/666248001133-herbatint-permanent-hair-color-gel-7d-golden-blonde-4-56-oz", "https://www.shelhealth.com/products/666248001133-herbatint-permanent-hair-color-gel-7d-golden-blonde-4-56-oz")</f>
        <v/>
      </c>
      <c r="B784" s="2">
        <f>HYPERLINK("https://www.shelhealth.com/products/666248001133-herbatint-permanent-hair-color-gel-7d-golden-blonde-4-56-oz", "https://www.shelhealth.com/products/666248001133-herbatint-permanent-hair-color-gel-7d-golden-blonde-4-56-oz")</f>
        <v/>
      </c>
      <c r="C784" t="inlineStr">
        <is>
          <t>Herbatint Permanent Hair Color Gel 7D Golden Blonde, 4.56 Oz</t>
        </is>
      </c>
      <c r="D784" t="inlineStr">
        <is>
          <t>Herbatint Permanent Haircolor Gel, 6C Dark Ash Blonde, Alcohol Free, Vegan, 100% Grey Coverage - 4.56 oz</t>
        </is>
      </c>
      <c r="E784" s="2">
        <f>HYPERLINK("https://www.amazon.com/Herbatint-Number-Blonde-Permanent-Herbal/dp/B00UAO4ZW0/ref=sr_1_7?keywords=Herbatint+Permanent+Hair+Color+Gel+7D+Golden+Blonde%2C+4.56+Oz&amp;qid=1695170204&amp;sr=8-7", "https://www.amazon.com/Herbatint-Number-Blonde-Permanent-Herbal/dp/B00UAO4ZW0/ref=sr_1_7?keywords=Herbatint+Permanent+Hair+Color+Gel+7D+Golden+Blonde%2C+4.56+Oz&amp;qid=1695170204&amp;sr=8-7")</f>
        <v/>
      </c>
      <c r="F784" t="inlineStr">
        <is>
          <t>B00UAO4ZW0</t>
        </is>
      </c>
      <c r="G784">
        <f>_xludf.IMAGE("https://www.shelhealth.com/cdn/shop/files/herbatint-permanent-hair-color-gel-7d-golden-blonde-4-56-oz-beauty-body-care-shelhealth-887.jpg?v=1686196963&amp;width=1946")</f>
        <v/>
      </c>
      <c r="H784">
        <f>_xludf.IMAGE("https://m.media-amazon.com/images/I/81BjWwkjK8L._AC_UL320_.jpg")</f>
        <v/>
      </c>
      <c r="K784" t="inlineStr">
        <is>
          <t>16.99</t>
        </is>
      </c>
      <c r="L784" t="n">
        <v>15.99</v>
      </c>
      <c r="M784" s="1" t="inlineStr">
        <is>
          <t>-5.89%</t>
        </is>
      </c>
      <c r="N784" s="3" t="n">
        <v>-5.89</v>
      </c>
      <c r="O784" t="n">
        <v>4.2</v>
      </c>
      <c r="P784" t="n">
        <v>137</v>
      </c>
      <c r="R784" t="inlineStr">
        <is>
          <t>OutOfStock</t>
        </is>
      </c>
      <c r="S784" t="inlineStr">
        <is>
          <t>16.99</t>
        </is>
      </c>
      <c r="T784" t="inlineStr">
        <is>
          <t>7241699655868</t>
        </is>
      </c>
    </row>
    <row r="785" hidden="1" ht="15.75" customHeight="1">
      <c r="A785" s="2">
        <f>HYPERLINK("https://www.shelhealth.com/products/666248001133-herbatint-permanent-hair-color-gel-7d-golden-blonde-4-56-oz", "https://www.shelhealth.com/products/666248001133-herbatint-permanent-hair-color-gel-7d-golden-blonde-4-56-oz")</f>
        <v/>
      </c>
      <c r="B785" s="2">
        <f>HYPERLINK("https://www.shelhealth.com/products/666248001133-herbatint-permanent-hair-color-gel-7d-golden-blonde-4-56-oz", "https://www.shelhealth.com/products/666248001133-herbatint-permanent-hair-color-gel-7d-golden-blonde-4-56-oz")</f>
        <v/>
      </c>
      <c r="C785" t="inlineStr">
        <is>
          <t>Herbatint Permanent Hair Color Gel 7D Golden Blonde, 4.56 Oz</t>
        </is>
      </c>
      <c r="D785" t="inlineStr">
        <is>
          <t>Herbatint Permanent Haircolor Gel, 5D Light Golden Chestnut, Alcohol Free, Vegan, 100% Grey Coverage - 4.56 oz</t>
        </is>
      </c>
      <c r="E785" s="2">
        <f>HYPERLINK("https://www.amazon.com/Herbatint-Permanent-Herbal-Haircolor-Chestnut/dp/B000S86OCM/ref=sr_1_6?keywords=Herbatint+Permanent+Hair+Color+Gel+7D+Golden+Blonde%2C+4.56+Oz&amp;qid=1695170204&amp;sr=8-6", "https://www.amazon.com/Herbatint-Permanent-Herbal-Haircolor-Chestnut/dp/B000S86OCM/ref=sr_1_6?keywords=Herbatint+Permanent+Hair+Color+Gel+7D+Golden+Blonde%2C+4.56+Oz&amp;qid=1695170204&amp;sr=8-6")</f>
        <v/>
      </c>
      <c r="F785" t="inlineStr">
        <is>
          <t>B000S86OCM</t>
        </is>
      </c>
      <c r="G785">
        <f>_xludf.IMAGE("https://www.shelhealth.com/cdn/shop/files/herbatint-permanent-hair-color-gel-7d-golden-blonde-4-56-oz-beauty-body-care-shelhealth-887.jpg?v=1686196963&amp;width=1946")</f>
        <v/>
      </c>
      <c r="H785">
        <f>_xludf.IMAGE("https://m.media-amazon.com/images/I/81EpKvJbNyL._AC_UL320_.jpg")</f>
        <v/>
      </c>
      <c r="K785" t="inlineStr">
        <is>
          <t>16.99</t>
        </is>
      </c>
      <c r="L785" t="n">
        <v>15.99</v>
      </c>
      <c r="M785" s="1" t="inlineStr">
        <is>
          <t>-5.89%</t>
        </is>
      </c>
      <c r="N785" s="3" t="n">
        <v>-5.89</v>
      </c>
      <c r="O785" t="n">
        <v>4.3</v>
      </c>
      <c r="P785" t="n">
        <v>1121</v>
      </c>
      <c r="R785" t="inlineStr">
        <is>
          <t>OutOfStock</t>
        </is>
      </c>
      <c r="S785" t="inlineStr">
        <is>
          <t>16.99</t>
        </is>
      </c>
      <c r="T785" t="inlineStr">
        <is>
          <t>7241699655868</t>
        </is>
      </c>
    </row>
    <row r="786" hidden="1" ht="15.75" customHeight="1">
      <c r="A786" s="2">
        <f>HYPERLINK("https://www.shelhealth.com/products/666248001133-herbatint-permanent-hair-color-gel-7d-golden-blonde-4-56-oz", "https://www.shelhealth.com/products/666248001133-herbatint-permanent-hair-color-gel-7d-golden-blonde-4-56-oz")</f>
        <v/>
      </c>
      <c r="B786" s="2">
        <f>HYPERLINK("https://www.shelhealth.com/products/666248001133-herbatint-permanent-hair-color-gel-7d-golden-blonde-4-56-oz", "https://www.shelhealth.com/products/666248001133-herbatint-permanent-hair-color-gel-7d-golden-blonde-4-56-oz")</f>
        <v/>
      </c>
      <c r="C786" t="inlineStr">
        <is>
          <t>Herbatint Permanent Hair Color Gel 7D Golden Blonde, 4.56 Oz</t>
        </is>
      </c>
      <c r="D786" t="inlineStr">
        <is>
          <t>Herbatint Permanent Haircolor Gel, 7D Golden Blonde, Alcohol Free, Vegan, 100% Grey Coverage - 4.56 oz</t>
        </is>
      </c>
      <c r="E786" s="2">
        <f>HYPERLINK("https://www.amazon.com/Herbatint-Permanent-Herbal-Haircolour-Golden/dp/B000OO4XQE/ref=sr_1_1?keywords=Herbatint+Permanent+Hair+Color+Gel+7D+Golden+Blonde%2C+4.56+Oz&amp;qid=1695170204&amp;sr=8-1", "https://www.amazon.com/Herbatint-Permanent-Herbal-Haircolour-Golden/dp/B000OO4XQE/ref=sr_1_1?keywords=Herbatint+Permanent+Hair+Color+Gel+7D+Golden+Blonde%2C+4.56+Oz&amp;qid=1695170204&amp;sr=8-1")</f>
        <v/>
      </c>
      <c r="F786" t="inlineStr">
        <is>
          <t>B000OO4XQE</t>
        </is>
      </c>
      <c r="G786">
        <f>_xludf.IMAGE("https://www.shelhealth.com/cdn/shop/files/herbatint-permanent-hair-color-gel-7d-golden-blonde-4-56-oz-beauty-body-care-shelhealth-887.jpg?v=1686196963&amp;width=1946")</f>
        <v/>
      </c>
      <c r="H786">
        <f>_xludf.IMAGE("https://m.media-amazon.com/images/I/81ErW2Dk7kL._AC_UL320_.jpg")</f>
        <v/>
      </c>
      <c r="K786" t="inlineStr">
        <is>
          <t>16.99</t>
        </is>
      </c>
      <c r="L786" t="n">
        <v>15.99</v>
      </c>
      <c r="M786" s="1" t="inlineStr">
        <is>
          <t>-5.89%</t>
        </is>
      </c>
      <c r="N786" s="3" t="n">
        <v>-5.89</v>
      </c>
      <c r="O786" t="n">
        <v>4.4</v>
      </c>
      <c r="P786" t="n">
        <v>55</v>
      </c>
      <c r="R786" t="inlineStr">
        <is>
          <t>OutOfStock</t>
        </is>
      </c>
      <c r="S786" t="inlineStr">
        <is>
          <t>16.99</t>
        </is>
      </c>
      <c r="T786" t="inlineStr">
        <is>
          <t>7241699655868</t>
        </is>
      </c>
    </row>
    <row r="787" hidden="1" ht="15.75" customHeight="1">
      <c r="A787" s="2">
        <f>HYPERLINK("https://www.shelhealth.com/products/666248001133-herbatint-permanent-hair-color-gel-7d-golden-blonde-4-56-oz", "https://www.shelhealth.com/products/666248001133-herbatint-permanent-hair-color-gel-7d-golden-blonde-4-56-oz")</f>
        <v/>
      </c>
      <c r="B787" s="2">
        <f>HYPERLINK("https://www.shelhealth.com/products/666248001133-herbatint-permanent-hair-color-gel-7d-golden-blonde-4-56-oz", "https://www.shelhealth.com/products/666248001133-herbatint-permanent-hair-color-gel-7d-golden-blonde-4-56-oz")</f>
        <v/>
      </c>
      <c r="C787" t="inlineStr">
        <is>
          <t>Herbatint Permanent Hair Color Gel 7D Golden Blonde, 4.56 Oz</t>
        </is>
      </c>
      <c r="D787" t="inlineStr">
        <is>
          <t>Herbatint Permanent Haircolor Gel, 9N Honey Blonde, 4.56 Ounce</t>
        </is>
      </c>
      <c r="E787" s="2">
        <f>HYPERLINK("https://www.amazon.com/Herbatint-Permanent-Haircolor-Alcohol-Coverage/dp/B000EYNPFY/ref=sr_1_5?keywords=Herbatint+Permanent+Hair+Color+Gel+7D+Golden+Blonde%2C+4.56+Oz&amp;qid=1695170204&amp;sr=8-5", "https://www.amazon.com/Herbatint-Permanent-Haircolor-Alcohol-Coverage/dp/B000EYNPFY/ref=sr_1_5?keywords=Herbatint+Permanent+Hair+Color+Gel+7D+Golden+Blonde%2C+4.56+Oz&amp;qid=1695170204&amp;sr=8-5")</f>
        <v/>
      </c>
      <c r="F787" t="inlineStr">
        <is>
          <t>B000EYNPFY</t>
        </is>
      </c>
      <c r="G787">
        <f>_xludf.IMAGE("https://www.shelhealth.com/cdn/shop/files/herbatint-permanent-hair-color-gel-7d-golden-blonde-4-56-oz-beauty-body-care-shelhealth-887.jpg?v=1686196963&amp;width=1946")</f>
        <v/>
      </c>
      <c r="H787">
        <f>_xludf.IMAGE("https://m.media-amazon.com/images/I/81ttPCWKAfL._AC_UL320_.jpg")</f>
        <v/>
      </c>
      <c r="K787" t="inlineStr">
        <is>
          <t>16.99</t>
        </is>
      </c>
      <c r="L787" t="n">
        <v>15.98</v>
      </c>
      <c r="M787" s="1" t="inlineStr">
        <is>
          <t>-5.94%</t>
        </is>
      </c>
      <c r="N787" s="3" t="n">
        <v>-5.94</v>
      </c>
      <c r="O787" t="n">
        <v>4.4</v>
      </c>
      <c r="P787" t="n">
        <v>1596</v>
      </c>
      <c r="R787" t="inlineStr">
        <is>
          <t>OutOfStock</t>
        </is>
      </c>
      <c r="S787" t="inlineStr">
        <is>
          <t>16.99</t>
        </is>
      </c>
      <c r="T787" t="inlineStr">
        <is>
          <t>7241699655868</t>
        </is>
      </c>
    </row>
    <row r="788" hidden="1" ht="15.75" customHeight="1">
      <c r="A788" s="2">
        <f>HYPERLINK("https://www.shelhealth.com/products/pantene-repair-and-protect-shampoo-38-2-oz", "https://www.shelhealth.com/products/pantene-repair-and-protect-shampoo-38-2-oz")</f>
        <v/>
      </c>
      <c r="B788" s="2">
        <f>HYPERLINK("https://www.shelhealth.com/products/pantene-repair-and-protect-shampoo-38-2-oz", "https://www.shelhealth.com/products/pantene-repair-and-protect-shampoo-38-2-oz")</f>
        <v/>
      </c>
      <c r="C788" t="inlineStr">
        <is>
          <t>Pantene Repair and Protect Shampoo, 38.2 oz</t>
        </is>
      </c>
      <c r="D788" t="inlineStr">
        <is>
          <t>Pantene Repair and Protect Shampoo 20.1 Fl Oz</t>
        </is>
      </c>
      <c r="E788" s="2">
        <f>HYPERLINK("https://www.amazon.com/Pantene-Pro-v-Repair-Protect-Shampoo/dp/B01MQH371L/ref=sr_1_6?keywords=Pantene+Repair+and+Protect+Shampoo%2C+38.2+oz&amp;qid=1695170249&amp;sr=8-6", "https://www.amazon.com/Pantene-Pro-v-Repair-Protect-Shampoo/dp/B01MQH371L/ref=sr_1_6?keywords=Pantene+Repair+and+Protect+Shampoo%2C+38.2+oz&amp;qid=1695170249&amp;sr=8-6")</f>
        <v/>
      </c>
      <c r="F788" t="inlineStr">
        <is>
          <t>B01MQH371L</t>
        </is>
      </c>
      <c r="G788">
        <f>_xludf.IMAGE("https://www.shelhealth.com/cdn/shop/products/pantene-repair-and-protect-shampoo-38-2-oz-shelhealth-791.jpg?v=1663350171&amp;width=1946")</f>
        <v/>
      </c>
      <c r="H788">
        <f>_xludf.IMAGE("https://m.media-amazon.com/images/I/71HpWxDdg3L._AC_UL320_.jpg")</f>
        <v/>
      </c>
      <c r="K788" t="inlineStr">
        <is>
          <t>15.99</t>
        </is>
      </c>
      <c r="L788" t="n">
        <v>15</v>
      </c>
      <c r="M788" s="1" t="inlineStr">
        <is>
          <t>-6.19%</t>
        </is>
      </c>
      <c r="N788" s="3" t="n">
        <v>-6.19</v>
      </c>
      <c r="O788" t="n">
        <v>4.7</v>
      </c>
      <c r="P788" t="n">
        <v>62</v>
      </c>
      <c r="R788" t="inlineStr">
        <is>
          <t>InStock</t>
        </is>
      </c>
      <c r="S788" t="inlineStr">
        <is>
          <t>15.99</t>
        </is>
      </c>
      <c r="T788" t="inlineStr">
        <is>
          <t>4045973192756</t>
        </is>
      </c>
    </row>
    <row r="789" hidden="1" ht="15.75" customHeight="1">
      <c r="A789" s="2">
        <f>HYPERLINK("https://www.shelhealth.com/products/724742008611-alba-botanica-natural-hawaiian-conditioner-drink-it-up-coconut-milk-12-oz", "https://www.shelhealth.com/products/724742008611-alba-botanica-natural-hawaiian-conditioner-drink-it-up-coconut-milk-12-oz")</f>
        <v/>
      </c>
      <c r="B789" s="2">
        <f>HYPERLINK("https://www.shelhealth.com/products/724742008611-alba-botanica-natural-hawaiian-conditioner-drink-it-up-coconut-milk-12-oz", "https://www.shelhealth.com/products/724742008611-alba-botanica-natural-hawaiian-conditioner-drink-it-up-coconut-milk-12-oz")</f>
        <v/>
      </c>
      <c r="C789" t="inlineStr">
        <is>
          <t>Alba Botanica Natural Hawaiian Conditioner Drink It Up Coconut Milk, 12 Oz (Case of 2)</t>
        </is>
      </c>
      <c r="D789" t="inlineStr">
        <is>
          <t>Alba Botanica Natural Hawaiian Conditioner Coconut Milk, 12 oz (Pack of 4)</t>
        </is>
      </c>
      <c r="E789" s="2">
        <f>HYPERLINK("https://www.amazon.com/Alba-Botanica-Natural-Hawaiian-Conditioner/dp/B001E16R5Q/ref=sr_1_9?keywords=Alba+Botanica+Natural+Hawaiian+Conditioner+Drink+It+Up+Coconut+Milk%2C+12+Oz+%28Case+of+2%29&amp;qid=1695170210&amp;sr=8-9", "https://www.amazon.com/Alba-Botanica-Natural-Hawaiian-Conditioner/dp/B001E16R5Q/ref=sr_1_9?keywords=Alba+Botanica+Natural+Hawaiian+Conditioner+Drink+It+Up+Coconut+Milk%2C+12+Oz+%28Case+of+2%29&amp;qid=1695170210&amp;sr=8-9")</f>
        <v/>
      </c>
      <c r="F789" t="inlineStr">
        <is>
          <t>B001E16R5Q</t>
        </is>
      </c>
      <c r="G789">
        <f>_xludf.IMAGE("https://www.shelhealth.com/cdn/shop/files/alba-botanica-natural-hawaiian-conditioner-drink-it-up-coconut-milk-12-oz-case-of-2-beauty-body-care-shelhealth-549.jpg?v=1686520897&amp;width=1946")</f>
        <v/>
      </c>
      <c r="H789">
        <f>_xludf.IMAGE("https://m.media-amazon.com/images/I/41turTQ+XzL._AC_UL320_.jpg")</f>
        <v/>
      </c>
      <c r="K789" t="inlineStr">
        <is>
          <t>22.99</t>
        </is>
      </c>
      <c r="L789" t="n">
        <v>21.51</v>
      </c>
      <c r="M789" s="1" t="inlineStr">
        <is>
          <t>-6.44%</t>
        </is>
      </c>
      <c r="N789" s="3" t="n">
        <v>-6.44</v>
      </c>
      <c r="O789" t="n">
        <v>4.7</v>
      </c>
      <c r="P789" t="n">
        <v>4</v>
      </c>
      <c r="R789" t="inlineStr">
        <is>
          <t>InStock</t>
        </is>
      </c>
      <c r="S789" t="inlineStr">
        <is>
          <t>22.99</t>
        </is>
      </c>
      <c r="T789" t="inlineStr">
        <is>
          <t>7241431777468</t>
        </is>
      </c>
    </row>
    <row r="790" hidden="1" ht="15.75" customHeight="1">
      <c r="A790" s="2">
        <f>HYPERLINK("https://www.shelhealth.com/products/shea-moisture-boosting-conditioner-34-fl-oz", "https://www.shelhealth.com/products/shea-moisture-boosting-conditioner-34-fl-oz")</f>
        <v/>
      </c>
      <c r="B790" s="2">
        <f>HYPERLINK("https://www.shelhealth.com/products/shea-moisture-boosting-conditioner-34-fl-oz", "https://www.shelhealth.com/products/shea-moisture-boosting-conditioner-34-fl-oz")</f>
        <v/>
      </c>
      <c r="C790" t="inlineStr">
        <is>
          <t>Shea Moisture Boosting Conditioner, 34 fl oz.</t>
        </is>
      </c>
      <c r="D790" t="inlineStr">
        <is>
          <t>Shea Moisture Raw Shea Butter Conditioner, Deep Moisturizer with Sea Kelp &amp; Argan Oil, Sulfate Free &amp; Silicone Free, Curly Hair Products, Family Size (2 Pack - 16 Fl Oz)</t>
        </is>
      </c>
      <c r="E790" s="2">
        <f>HYPERLINK("https://www.amazon.com/Shea-Moisture-Butter-Restorative-Conditioner/dp/B078NBXRSZ/ref=sr_1_7?keywords=Shea+Moisture+Boosting+Conditioner%2C+34+fl+oz.&amp;qid=1695170206&amp;sr=8-7", "https://www.amazon.com/Shea-Moisture-Butter-Restorative-Conditioner/dp/B078NBXRSZ/ref=sr_1_7?keywords=Shea+Moisture+Boosting+Conditioner%2C+34+fl+oz.&amp;qid=1695170206&amp;sr=8-7")</f>
        <v/>
      </c>
      <c r="F790" t="inlineStr">
        <is>
          <t>B078NBXRSZ</t>
        </is>
      </c>
      <c r="G790">
        <f>_xludf.IMAGE("https://www.shelhealth.com/cdn/shop/products/shea-moisture-boosting-conditioner-34-fl-oz-shelhealth-540.jpg?v=1665519157&amp;width=1946")</f>
        <v/>
      </c>
      <c r="H790">
        <f>_xludf.IMAGE("https://m.media-amazon.com/images/I/61sBZr5DCuL._AC_UL320_.jpg")</f>
        <v/>
      </c>
      <c r="K790" t="inlineStr">
        <is>
          <t>26.99</t>
        </is>
      </c>
      <c r="L790" t="n">
        <v>24.99</v>
      </c>
      <c r="M790" s="1" t="inlineStr">
        <is>
          <t>-7.41%</t>
        </is>
      </c>
      <c r="N790" s="3" t="n">
        <v>-7.41</v>
      </c>
      <c r="O790" t="n">
        <v>4.6</v>
      </c>
      <c r="P790" t="n">
        <v>421</v>
      </c>
      <c r="R790" t="inlineStr">
        <is>
          <t>InStock</t>
        </is>
      </c>
      <c r="S790" t="inlineStr">
        <is>
          <t>26.99</t>
        </is>
      </c>
      <c r="T790" t="inlineStr">
        <is>
          <t>8007319257320</t>
        </is>
      </c>
    </row>
    <row r="791" hidden="1" ht="15.75" customHeight="1">
      <c r="A791" s="2">
        <f>HYPERLINK("https://www.shelhealth.com/products/conair-infiniti-pro-11in-flat-iron", "https://www.shelhealth.com/products/conair-infiniti-pro-11in-flat-iron")</f>
        <v/>
      </c>
      <c r="B791" s="2">
        <f>HYPERLINK("https://www.shelhealth.com/products/conair-infiniti-pro-11in-flat-iron", "https://www.shelhealth.com/products/conair-infiniti-pro-11in-flat-iron")</f>
        <v/>
      </c>
      <c r="C791" t="inlineStr">
        <is>
          <t>Conair Infiniti Pro 11in. Flat Iron</t>
        </is>
      </c>
      <c r="D791" t="inlineStr">
        <is>
          <t>INFINITIPRO BY CONAIR Rainbow Titanium Flat Iron, 1-inch</t>
        </is>
      </c>
      <c r="E791" s="2">
        <f>HYPERLINK("https://www.amazon.com/INFINITIPRO-CONAIR-Titanium-Extra-Long-Rainbow/dp/B01MDVO2GE/ref=sr_1_4?keywords=Conair+Infiniti+Pro+11in.+Flat+Iron&amp;qid=1695170251&amp;sr=8-4", "https://www.amazon.com/INFINITIPRO-CONAIR-Titanium-Extra-Long-Rainbow/dp/B01MDVO2GE/ref=sr_1_4?keywords=Conair+Infiniti+Pro+11in.+Flat+Iron&amp;qid=1695170251&amp;sr=8-4")</f>
        <v/>
      </c>
      <c r="F791" t="inlineStr">
        <is>
          <t>B01MDVO2GE</t>
        </is>
      </c>
      <c r="G791">
        <f>_xludf.IMAGE("https://www.shelhealth.com/cdn/shop/products/conair-infiniti-pro-11in-flat-iron-shelhealth-337.jpg?v=1663343304&amp;width=1946")</f>
        <v/>
      </c>
      <c r="H791">
        <f>_xludf.IMAGE("https://m.media-amazon.com/images/I/51P6RKyiYOL._AC_UL320_.jpg")</f>
        <v/>
      </c>
      <c r="K791" t="inlineStr">
        <is>
          <t>43.99</t>
        </is>
      </c>
      <c r="L791" t="n">
        <v>39.99</v>
      </c>
      <c r="M791" s="1" t="inlineStr">
        <is>
          <t>-9.09%</t>
        </is>
      </c>
      <c r="N791" s="3" t="n">
        <v>-9.09</v>
      </c>
      <c r="O791" t="n">
        <v>4.5</v>
      </c>
      <c r="P791" t="n">
        <v>5784</v>
      </c>
      <c r="R791" t="inlineStr">
        <is>
          <t>OutOfStock</t>
        </is>
      </c>
      <c r="S791" t="inlineStr">
        <is>
          <t>43.99</t>
        </is>
      </c>
      <c r="T791" t="inlineStr">
        <is>
          <t>3820080267316</t>
        </is>
      </c>
    </row>
    <row r="792" hidden="1" ht="15.75" customHeight="1">
      <c r="A792" s="2">
        <f>HYPERLINK("https://www.shelhealth.com/products/taliah-waajid-the-great-detangler-8-fl-oz", "https://www.shelhealth.com/products/taliah-waajid-the-great-detangler-8-fl-oz")</f>
        <v/>
      </c>
      <c r="B792" s="2">
        <f>HYPERLINK("https://www.shelhealth.com/products/taliah-waajid-the-great-detangler-8-fl-oz", "https://www.shelhealth.com/products/taliah-waajid-the-great-detangler-8-fl-oz")</f>
        <v/>
      </c>
      <c r="C792" t="inlineStr">
        <is>
          <t>Taliah Waajid The Great Detangler, 8 Fl. oz.</t>
        </is>
      </c>
      <c r="D792" t="inlineStr">
        <is>
          <t>Taliah Waajid Curls, Waves and Naturals The Great Detangler, 8 Ounce</t>
        </is>
      </c>
      <c r="E792" s="2">
        <f>HYPERLINK("https://www.amazon.com/Taliah-Waajid-Curls-Naturals-Detangler/dp/B00515JT6A/ref=sr_1_2?keywords=Taliah+Waajid+The+Great+Detangler%2C+8+Fl.+oz.&amp;qid=1695170250&amp;sr=8-2", "https://www.amazon.com/Taliah-Waajid-Curls-Naturals-Detangler/dp/B00515JT6A/ref=sr_1_2?keywords=Taliah+Waajid+The+Great+Detangler%2C+8+Fl.+oz.&amp;qid=1695170250&amp;sr=8-2")</f>
        <v/>
      </c>
      <c r="F792" t="inlineStr">
        <is>
          <t>B00515JT6A</t>
        </is>
      </c>
      <c r="G792">
        <f>_xludf.IMAGE("https://www.shelhealth.com/cdn/shop/products/taliah-waajid-the-great-detangler-8-fl-oz-shelhealth-303.jpg?v=1663350615&amp;width=1946")</f>
        <v/>
      </c>
      <c r="H792">
        <f>_xludf.IMAGE("https://m.media-amazon.com/images/I/713RUPsvHPL._AC_UL320_.jpg")</f>
        <v/>
      </c>
      <c r="K792" t="inlineStr">
        <is>
          <t>10.99</t>
        </is>
      </c>
      <c r="L792" t="n">
        <v>9.99</v>
      </c>
      <c r="M792" s="1" t="inlineStr">
        <is>
          <t>-9.10%</t>
        </is>
      </c>
      <c r="N792" s="3" t="n">
        <v>-9.1</v>
      </c>
      <c r="O792" t="n">
        <v>4.5</v>
      </c>
      <c r="P792" t="n">
        <v>407</v>
      </c>
      <c r="R792" t="inlineStr">
        <is>
          <t>InStock</t>
        </is>
      </c>
      <c r="S792" t="inlineStr">
        <is>
          <t>10.99</t>
        </is>
      </c>
      <c r="T792" t="inlineStr">
        <is>
          <t>4091408973876</t>
        </is>
      </c>
    </row>
    <row r="793" hidden="1" ht="15.75" customHeight="1">
      <c r="A793" s="2">
        <f>HYPERLINK("https://www.shelhealth.com/products/batiste-dry-shampoo-original-fragrance-6-73-ounce-pack-of-2", "https://www.shelhealth.com/products/batiste-dry-shampoo-original-fragrance-6-73-ounce-pack-of-2")</f>
        <v/>
      </c>
      <c r="B793" s="2">
        <f>HYPERLINK("https://www.shelhealth.com/products/batiste-dry-shampoo-original-fragrance-6-73-ounce-pack-of-2", "https://www.shelhealth.com/products/batiste-dry-shampoo-original-fragrance-6-73-ounce-pack-of-2")</f>
        <v/>
      </c>
      <c r="C793" t="inlineStr">
        <is>
          <t>Batiste dry shampoo, original fragrance, 6.73 Ounce (Pack of 2)</t>
        </is>
      </c>
      <c r="D793" t="inlineStr">
        <is>
          <t>Batiste Dry Shampoo, Original Fragrance, 6.73 Fl Oz,Pack of 3</t>
        </is>
      </c>
      <c r="E793" s="2">
        <f>HYPERLINK("https://www.amazon.com/Batiste-Shampoo-Original-Fragrance-6-73/dp/B01CYDXMSW/ref=sr_1_7?keywords=Batiste+dry+shampoo%2C+original+fragrance%2C+6.73+Ounce+%28Pack+of+2%29&amp;qid=1695170258&amp;sr=8-7", "https://www.amazon.com/Batiste-Shampoo-Original-Fragrance-6-73/dp/B01CYDXMSW/ref=sr_1_7?keywords=Batiste+dry+shampoo%2C+original+fragrance%2C+6.73+Ounce+%28Pack+of+2%29&amp;qid=1695170258&amp;sr=8-7")</f>
        <v/>
      </c>
      <c r="F793" t="inlineStr">
        <is>
          <t>B01CYDXMSW</t>
        </is>
      </c>
      <c r="G793">
        <f>_xludf.IMAGE("https://www.shelhealth.com/cdn/shop/products/batiste-dry-shampoo-original-fragrance-6-73-ounce-pack-of-2-shelhealth-752.jpg?v=1663350199&amp;width=1946")</f>
        <v/>
      </c>
      <c r="H793">
        <f>_xludf.IMAGE("https://m.media-amazon.com/images/I/717SEkU9F+L._AC_UL320_.jpg")</f>
        <v/>
      </c>
      <c r="K793" t="inlineStr">
        <is>
          <t>17.99</t>
        </is>
      </c>
      <c r="L793" t="n">
        <v>16.31</v>
      </c>
      <c r="M793" s="1" t="inlineStr">
        <is>
          <t>-9.34%</t>
        </is>
      </c>
      <c r="N793" s="3" t="n">
        <v>-9.34</v>
      </c>
      <c r="O793" t="n">
        <v>4.7</v>
      </c>
      <c r="P793" t="n">
        <v>9626</v>
      </c>
      <c r="R793" t="inlineStr">
        <is>
          <t>InStock</t>
        </is>
      </c>
      <c r="S793" t="inlineStr">
        <is>
          <t>17.99</t>
        </is>
      </c>
      <c r="T793" t="inlineStr">
        <is>
          <t>4045990887476</t>
        </is>
      </c>
    </row>
    <row r="794" hidden="1" ht="15.75" customHeight="1">
      <c r="A794" s="2">
        <f>HYPERLINK("https://www.shelhealth.com/products/maui-moisture-heal-hydrate-shea-butter-shampoo-conditioner-set-19-5-ounce", "https://www.shelhealth.com/products/maui-moisture-heal-hydrate-shea-butter-shampoo-conditioner-set-19-5-ounce")</f>
        <v/>
      </c>
      <c r="B794" s="2">
        <f>HYPERLINK("https://www.shelhealth.com/products/maui-moisture-heal-hydrate-shea-butter-shampoo-conditioner-set-19-5-ounce", "https://www.shelhealth.com/products/maui-moisture-heal-hydrate-shea-butter-shampoo-conditioner-set-19-5-ounce")</f>
        <v/>
      </c>
      <c r="C794" t="inlineStr">
        <is>
          <t>Maui Moisture Heal &amp; Hydrate Shea Butter Shampoo &amp; Conditioner Set 19.5 Ounce</t>
        </is>
      </c>
      <c r="D794" t="inlineStr">
        <is>
          <t>Maui Moisture Heal &amp; Hydrate + Shea Butter Shampoo + Conditioner to Repair &amp; Deeply Moisturize Tight Curly Hair with Coconut &amp; Macademia Oils, Vegan, Silicone, Paraben &amp; Sulfate-Free, 13 Fl Oz</t>
        </is>
      </c>
      <c r="E794" s="2">
        <f>HYPERLINK("https://www.amazon.com/Maui-Moisture-Conditioner-Moisturize-Sulfate-Free/dp/B09PJ4TC8Y/ref=sr_1_1?keywords=Maui+Moisture+Heal&amp;qid=1695170174&amp;sr=8-1", "https://www.amazon.com/Maui-Moisture-Conditioner-Moisturize-Sulfate-Free/dp/B09PJ4TC8Y/ref=sr_1_1?keywords=Maui+Moisture+Heal&amp;qid=1695170174&amp;sr=8-1")</f>
        <v/>
      </c>
      <c r="F794" t="inlineStr">
        <is>
          <t>B09PJ4TC8Y</t>
        </is>
      </c>
      <c r="G794">
        <f>_xludf.IMAGE("https://www.shelhealth.com/cdn/shop/products/maui-moisture-heal-hydrate-shea-butter-shampoo-conditioner-set-19-5-ounce-shelhealth-141.jpg?v=1663361941&amp;width=1946")</f>
        <v/>
      </c>
      <c r="H794">
        <f>_xludf.IMAGE("https://m.media-amazon.com/images/I/71nz1-oTJyL._AC_UL320_.jpg")</f>
        <v/>
      </c>
      <c r="K794" t="inlineStr">
        <is>
          <t>18.99</t>
        </is>
      </c>
      <c r="L794" t="n">
        <v>17.18</v>
      </c>
      <c r="M794" s="1" t="inlineStr">
        <is>
          <t>-9.53%</t>
        </is>
      </c>
      <c r="N794" s="3" t="n">
        <v>-9.529999999999999</v>
      </c>
      <c r="O794" t="n">
        <v>4.5</v>
      </c>
      <c r="P794" t="n">
        <v>1036</v>
      </c>
      <c r="R794" t="inlineStr">
        <is>
          <t>OutOfStock</t>
        </is>
      </c>
      <c r="S794" t="inlineStr">
        <is>
          <t>18.99</t>
        </is>
      </c>
      <c r="T794" t="inlineStr">
        <is>
          <t>4437350350937</t>
        </is>
      </c>
    </row>
    <row r="795" hidden="1" ht="15.75" customHeight="1">
      <c r="A795" s="2">
        <f>HYPERLINK("https://www.shelhealth.com/products/nexxus-therappe-humectress-combo-pack-shampoo-and-conditioner-33-8-oz-2-count", "https://www.shelhealth.com/products/nexxus-therappe-humectress-combo-pack-shampoo-and-conditioner-33-8-oz-2-count")</f>
        <v/>
      </c>
      <c r="B795" s="2">
        <f>HYPERLINK("https://www.shelhealth.com/products/nexxus-therappe-humectress-combo-pack-shampoo-and-conditioner-33-8-oz-2-count", "https://www.shelhealth.com/products/nexxus-therappe-humectress-combo-pack-shampoo-and-conditioner-33-8-oz-2-count")</f>
        <v/>
      </c>
      <c r="C795" t="inlineStr">
        <is>
          <t>Nexxus Therappe Humectress Combo Pack Shampoo and Conditioner 33.8 oz, 2 count</t>
        </is>
      </c>
      <c r="D795" t="inlineStr">
        <is>
          <t>Nexxus Shampoo and Conditioner Therappe Humectress 2 Count for Dry Hair Silicone-Free, Moisturizing Caviar Complex and Elastin Protein 33.80 Fl Oz (Pack of 2)</t>
        </is>
      </c>
      <c r="E795" s="2">
        <f>HYPERLINK("https://www.amazon.com/Nexxus-Therappe-Humectress-Shampoo-Conditioner/dp/B00C5AHTVQ/ref=sr_1_2?keywords=Nexxus+Therappe+Humectress+Combo+Pack+Shampoo+and+Conditioner+33.8+oz%2C+2+count&amp;qid=1695170162&amp;sr=8-2", "https://www.amazon.com/Nexxus-Therappe-Humectress-Shampoo-Conditioner/dp/B00C5AHTVQ/ref=sr_1_2?keywords=Nexxus+Therappe+Humectress+Combo+Pack+Shampoo+and+Conditioner+33.8+oz%2C+2+count&amp;qid=1695170162&amp;sr=8-2")</f>
        <v/>
      </c>
      <c r="F795" t="inlineStr">
        <is>
          <t>B00C5AHTVQ</t>
        </is>
      </c>
      <c r="G795">
        <f>_xludf.IMAGE("https://www.shelhealth.com/cdn/shop/products/nexxus-therappe-humectress-combo-pack-shampoo-and-conditioner-33-8-oz-2-count-shelhealth-274.jpg?v=1663338530&amp;width=1946")</f>
        <v/>
      </c>
      <c r="H795">
        <f>_xludf.IMAGE("https://m.media-amazon.com/images/I/719Ge3JDYXL._AC_UL320_.jpg")</f>
        <v/>
      </c>
      <c r="K795" t="inlineStr">
        <is>
          <t>47.99</t>
        </is>
      </c>
      <c r="L795" t="n">
        <v>43.38</v>
      </c>
      <c r="M795" s="1" t="inlineStr">
        <is>
          <t>-9.61%</t>
        </is>
      </c>
      <c r="N795" s="3" t="n">
        <v>-9.609999999999999</v>
      </c>
      <c r="O795" t="n">
        <v>4.7</v>
      </c>
      <c r="P795" t="n">
        <v>15884</v>
      </c>
      <c r="R795" t="inlineStr">
        <is>
          <t>InStock</t>
        </is>
      </c>
      <c r="S795" t="inlineStr">
        <is>
          <t>47.99</t>
        </is>
      </c>
      <c r="T795" t="inlineStr">
        <is>
          <t>3785879224372</t>
        </is>
      </c>
    </row>
    <row r="796" hidden="1" ht="15.75" customHeight="1">
      <c r="A796" s="2">
        <f>HYPERLINK("https://www.shelhealth.com/products/666248001102-herbatint-permanent-haircolor-gel-4d-golden-chestnut-4-56-fo", "https://www.shelhealth.com/products/666248001102-herbatint-permanent-haircolor-gel-4d-golden-chestnut-4-56-fo")</f>
        <v/>
      </c>
      <c r="B796" s="2">
        <f>HYPERLINK("https://www.shelhealth.com/products/666248001102-herbatint-permanent-haircolor-gel-4d-golden-chestnut-4-56-fo", "https://www.shelhealth.com/products/666248001102-herbatint-permanent-haircolor-gel-4d-golden-chestnut-4-56-fo")</f>
        <v/>
      </c>
      <c r="C796" t="inlineStr">
        <is>
          <t>Herbatint Permanent Haircolor Gel 4D Golden Chestnut, 4.56 Fo</t>
        </is>
      </c>
      <c r="D796" t="inlineStr">
        <is>
          <t>Herbatint Permanent Haircolor Gel, 4D Golden Chestnut, Alcohol Free, Vegan, 100% Grey Coverage - 4.56 oz</t>
        </is>
      </c>
      <c r="E796" s="2">
        <f>HYPERLINK("https://www.amazon.com/Herbatint-Permanent-Herbal-Haircolour-Chestnut/dp/B01FUCGTVQ/ref=sr_1_1?keywords=Herbatint+Permanent+Haircolor+Gel+4D+Golden+Chestnut%2C+4.56+Fo&amp;qid=1695170205&amp;sr=8-1", "https://www.amazon.com/Herbatint-Permanent-Herbal-Haircolour-Chestnut/dp/B01FUCGTVQ/ref=sr_1_1?keywords=Herbatint+Permanent+Haircolor+Gel+4D+Golden+Chestnut%2C+4.56+Fo&amp;qid=1695170205&amp;sr=8-1")</f>
        <v/>
      </c>
      <c r="F796" t="inlineStr">
        <is>
          <t>B01FUCGTVQ</t>
        </is>
      </c>
      <c r="G796">
        <f>_xludf.IMAGE("https://www.shelhealth.com/cdn/shop/files/herbatint-permanent-haircolor-gel-4d-golden-chestnut-4-56-fo-beauty-body-care-shelhealth-915.jpg?v=1693230025&amp;width=1946")</f>
        <v/>
      </c>
      <c r="H796">
        <f>_xludf.IMAGE("https://m.media-amazon.com/images/I/81HJuii+zLL._AC_UL320_.jpg")</f>
        <v/>
      </c>
      <c r="K796" t="inlineStr">
        <is>
          <t>17.99</t>
        </is>
      </c>
      <c r="L796" t="n">
        <v>15.99</v>
      </c>
      <c r="M796" s="1" t="inlineStr">
        <is>
          <t>-11.12%</t>
        </is>
      </c>
      <c r="N796" s="3" t="n">
        <v>-11.12</v>
      </c>
      <c r="O796" t="n">
        <v>4.3</v>
      </c>
      <c r="P796" t="n">
        <v>9117</v>
      </c>
      <c r="R796" t="inlineStr">
        <is>
          <t>OutOfStock</t>
        </is>
      </c>
      <c r="S796" t="inlineStr">
        <is>
          <t>17.99</t>
        </is>
      </c>
      <c r="T796" t="inlineStr">
        <is>
          <t>7241699786940</t>
        </is>
      </c>
    </row>
    <row r="797" hidden="1" ht="15.75" customHeight="1">
      <c r="A797" s="2">
        <f>HYPERLINK("https://www.shelhealth.com/products/666248001232-herbatint-hair-color-5c-ash-chestnut-lite-4-56-oz", "https://www.shelhealth.com/products/666248001232-herbatint-hair-color-5c-ash-chestnut-lite-4-56-oz")</f>
        <v/>
      </c>
      <c r="B797" s="2">
        <f>HYPERLINK("https://www.shelhealth.com/products/666248001232-herbatint-hair-color-5c-ash-chestnut-lite-4-56-oz", "https://www.shelhealth.com/products/666248001232-herbatint-hair-color-5c-ash-chestnut-lite-4-56-oz")</f>
        <v/>
      </c>
      <c r="C797" t="inlineStr">
        <is>
          <t>Herbatint Hair Color 5C Ash Chestnut Lite, 4.56 Oz</t>
        </is>
      </c>
      <c r="D797" t="inlineStr">
        <is>
          <t>Herbatint Permanent Haircolor Gel, 5C Light Ash Chestnut, Alcohol Free, Vegan, 100% Grey Coverage - 4.56 oz</t>
        </is>
      </c>
      <c r="E797" s="2">
        <f>HYPERLINK("https://www.amazon.com/Herbatint-Permanent-Herbal-Haircolour-Chestnut/dp/B00A2EZSYW/ref=sr_1_1?keywords=Herbatint+Hair+Color+5C+Ash+Chestnut+Lite%2C+4.56+Oz&amp;qid=1695170214&amp;sr=8-1", "https://www.amazon.com/Herbatint-Permanent-Herbal-Haircolour-Chestnut/dp/B00A2EZSYW/ref=sr_1_1?keywords=Herbatint+Hair+Color+5C+Ash+Chestnut+Lite%2C+4.56+Oz&amp;qid=1695170214&amp;sr=8-1")</f>
        <v/>
      </c>
      <c r="F797" t="inlineStr">
        <is>
          <t>B00A2EZSYW</t>
        </is>
      </c>
      <c r="G797">
        <f>_xludf.IMAGE("https://www.shelhealth.com/cdn/shop/files/herbatint-hair-color-5c-ash-chestnut-lite-4-56-oz-beauty-body-care-shelhealth-728.jpg?v=1693355093&amp;width=1946")</f>
        <v/>
      </c>
      <c r="H797">
        <f>_xludf.IMAGE("https://m.media-amazon.com/images/I/81icTT4BezL._AC_UL320_.jpg")</f>
        <v/>
      </c>
      <c r="K797" t="inlineStr">
        <is>
          <t>17.99</t>
        </is>
      </c>
      <c r="L797" t="n">
        <v>15.99</v>
      </c>
      <c r="M797" s="1" t="inlineStr">
        <is>
          <t>-11.12%</t>
        </is>
      </c>
      <c r="N797" s="3" t="n">
        <v>-11.12</v>
      </c>
      <c r="O797" t="n">
        <v>4.3</v>
      </c>
      <c r="P797" t="n">
        <v>9117</v>
      </c>
      <c r="R797" t="inlineStr">
        <is>
          <t>OutOfStock</t>
        </is>
      </c>
      <c r="S797" t="inlineStr">
        <is>
          <t>17.99</t>
        </is>
      </c>
      <c r="T797" t="inlineStr">
        <is>
          <t>7241699033276</t>
        </is>
      </c>
    </row>
    <row r="798" hidden="1" ht="15.75" customHeight="1">
      <c r="A798" s="2">
        <f>HYPERLINK("https://www.shelhealth.com/products/666248001232-herbatint-hair-color-5c-ash-chestnut-lite-4-56-oz", "https://www.shelhealth.com/products/666248001232-herbatint-hair-color-5c-ash-chestnut-lite-4-56-oz")</f>
        <v/>
      </c>
      <c r="B798" s="2">
        <f>HYPERLINK("https://www.shelhealth.com/products/666248001232-herbatint-hair-color-5c-ash-chestnut-lite-4-56-oz", "https://www.shelhealth.com/products/666248001232-herbatint-hair-color-5c-ash-chestnut-lite-4-56-oz")</f>
        <v/>
      </c>
      <c r="C798" t="inlineStr">
        <is>
          <t>Herbatint Hair Color 5C Ash Chestnut Lite, 4.56 Oz</t>
        </is>
      </c>
      <c r="D798" t="inlineStr">
        <is>
          <t>Herbatint Permanent Haircolor Gel, 4C Ash Chestnut, Alcohol Free, Vegan, 100% Grey Coverage - 4.56 oz</t>
        </is>
      </c>
      <c r="E798" s="2">
        <f>HYPERLINK("https://www.amazon.com/Herbatint-Hair-Dye-Ash-Chestnut/dp/B002DY7GTE/ref=sr_1_4?keywords=Herbatint+Hair+Color+5C+Ash+Chestnut+Lite%2C+4.56+Oz&amp;qid=1695170214&amp;sr=8-4", "https://www.amazon.com/Herbatint-Hair-Dye-Ash-Chestnut/dp/B002DY7GTE/ref=sr_1_4?keywords=Herbatint+Hair+Color+5C+Ash+Chestnut+Lite%2C+4.56+Oz&amp;qid=1695170214&amp;sr=8-4")</f>
        <v/>
      </c>
      <c r="F798" t="inlineStr">
        <is>
          <t>B002DY7GTE</t>
        </is>
      </c>
      <c r="G798">
        <f>_xludf.IMAGE("https://www.shelhealth.com/cdn/shop/files/herbatint-hair-color-5c-ash-chestnut-lite-4-56-oz-beauty-body-care-shelhealth-728.jpg?v=1693355093&amp;width=1946")</f>
        <v/>
      </c>
      <c r="H798">
        <f>_xludf.IMAGE("https://m.media-amazon.com/images/I/81HBZmWIj-L._AC_UL320_.jpg")</f>
        <v/>
      </c>
      <c r="K798" t="inlineStr">
        <is>
          <t>17.99</t>
        </is>
      </c>
      <c r="L798" t="n">
        <v>15.99</v>
      </c>
      <c r="M798" s="1" t="inlineStr">
        <is>
          <t>-11.12%</t>
        </is>
      </c>
      <c r="N798" s="3" t="n">
        <v>-11.12</v>
      </c>
      <c r="O798" t="n">
        <v>4.3</v>
      </c>
      <c r="P798" t="n">
        <v>542</v>
      </c>
      <c r="R798" t="inlineStr">
        <is>
          <t>OutOfStock</t>
        </is>
      </c>
      <c r="S798" t="inlineStr">
        <is>
          <t>17.99</t>
        </is>
      </c>
      <c r="T798" t="inlineStr">
        <is>
          <t>7241699033276</t>
        </is>
      </c>
    </row>
    <row r="799" hidden="1" ht="15.75" customHeight="1">
      <c r="A799" s="2">
        <f>HYPERLINK("https://www.shelhealth.com/products/666248001041-herbatint-permanent-herbal-haircolor-gel-5n-light-chestnut-4-56-oz", "https://www.shelhealth.com/products/666248001041-herbatint-permanent-herbal-haircolor-gel-5n-light-chestnut-4-56-oz")</f>
        <v/>
      </c>
      <c r="B799" s="2">
        <f>HYPERLINK("https://www.shelhealth.com/products/666248001041-herbatint-permanent-herbal-haircolor-gel-5n-light-chestnut-4-56-oz", "https://www.shelhealth.com/products/666248001041-herbatint-permanent-herbal-haircolor-gel-5n-light-chestnut-4-56-oz")</f>
        <v/>
      </c>
      <c r="C799" t="inlineStr">
        <is>
          <t>HERBATINT Permanent Herbal Haircolor Gel 5N Light Chestnut, 4.56 Oz</t>
        </is>
      </c>
      <c r="D799" t="inlineStr">
        <is>
          <t>Herbatint Permanent Haircolor Gel, 5D Light Golden Chestnut, Alcohol Free, Vegan, 100% Grey Coverage - 4.56 oz</t>
        </is>
      </c>
      <c r="E799" s="2">
        <f>HYPERLINK("https://www.amazon.com/Herbatint-Permanent-Herbal-Haircolor-Chestnut/dp/B000S86OCM/ref=sr_1_2?keywords=HERBATINT+Permanent+Herbal+Haircolor+Gel+5N+Light+Chestnut%2C+4.56+Oz&amp;qid=1695170204&amp;sr=8-2", "https://www.amazon.com/Herbatint-Permanent-Herbal-Haircolor-Chestnut/dp/B000S86OCM/ref=sr_1_2?keywords=HERBATINT+Permanent+Herbal+Haircolor+Gel+5N+Light+Chestnut%2C+4.56+Oz&amp;qid=1695170204&amp;sr=8-2")</f>
        <v/>
      </c>
      <c r="F799" t="inlineStr">
        <is>
          <t>B000S86OCM</t>
        </is>
      </c>
      <c r="G799">
        <f>_xludf.IMAGE("https://www.shelhealth.com/cdn/shop/files/herbatint-permanent-herbal-haircolor-gel-5n-light-chestnut-4-56-oz-beauty-body-care-shelhealth-981.jpg?v=1689698231&amp;width=1946")</f>
        <v/>
      </c>
      <c r="H799">
        <f>_xludf.IMAGE("https://m.media-amazon.com/images/I/81EpKvJbNyL._AC_UL320_.jpg")</f>
        <v/>
      </c>
      <c r="K799" t="inlineStr">
        <is>
          <t>17.99</t>
        </is>
      </c>
      <c r="L799" t="n">
        <v>15.99</v>
      </c>
      <c r="M799" s="1" t="inlineStr">
        <is>
          <t>-11.12%</t>
        </is>
      </c>
      <c r="N799" s="3" t="n">
        <v>-11.12</v>
      </c>
      <c r="O799" t="n">
        <v>4.3</v>
      </c>
      <c r="P799" t="n">
        <v>1121</v>
      </c>
      <c r="R799" t="inlineStr">
        <is>
          <t>OutOfStock</t>
        </is>
      </c>
      <c r="S799" t="inlineStr">
        <is>
          <t>17.99</t>
        </is>
      </c>
      <c r="T799" t="inlineStr">
        <is>
          <t>7574112010472</t>
        </is>
      </c>
    </row>
    <row r="800" hidden="1" ht="15.75" customHeight="1">
      <c r="A800" s="2">
        <f>HYPERLINK("https://www.shelhealth.com/products/661176010042-naturtint-permanent-hair-color-6n-dark-blonde-5-28-oz", "https://www.shelhealth.com/products/661176010042-naturtint-permanent-hair-color-6n-dark-blonde-5-28-oz")</f>
        <v/>
      </c>
      <c r="B800" s="2">
        <f>HYPERLINK("https://www.shelhealth.com/products/661176010042-naturtint-permanent-hair-color-6n-dark-blonde-5-28-oz", "https://www.shelhealth.com/products/661176010042-naturtint-permanent-hair-color-6n-dark-blonde-5-28-oz")</f>
        <v/>
      </c>
      <c r="C800" t="inlineStr">
        <is>
          <t>Naturtint Permanent Hair Color 6N Dark Blonde, 5.28 Oz</t>
        </is>
      </c>
      <c r="D800" t="inlineStr">
        <is>
          <t>Naturtint, Permanent Hair Color, 6GDark Golden Blonde, 5.28 Florida Ounces. Pack of 1 Box.</t>
        </is>
      </c>
      <c r="E800" s="2">
        <f>HYPERLINK("https://www.amazon.com/Naturtint-Permanent-6GDark-Florida-Ounces/dp/B006B01F7A/ref=sr_1_9?keywords=Naturtint+Permanent+Hair+Color+6N+Dark+Blonde%2C+5.28+Oz&amp;qid=1695170196&amp;sr=8-9", "https://www.amazon.com/Naturtint-Permanent-6GDark-Florida-Ounces/dp/B006B01F7A/ref=sr_1_9?keywords=Naturtint+Permanent+Hair+Color+6N+Dark+Blonde%2C+5.28+Oz&amp;qid=1695170196&amp;sr=8-9")</f>
        <v/>
      </c>
      <c r="F800" t="inlineStr">
        <is>
          <t>B006B01F7A</t>
        </is>
      </c>
      <c r="G800">
        <f>_xludf.IMAGE("https://www.shelhealth.com/cdn/shop/files/naturtint-permanent-hair-color-6n-dark-blonde-5-28-oz-beauty-body-care-shelhealth-686.jpg?v=1686533248&amp;width=1946")</f>
        <v/>
      </c>
      <c r="H800">
        <f>_xludf.IMAGE("https://m.media-amazon.com/images/I/61fkKhZwUVL._AC_UL320_.jpg")</f>
        <v/>
      </c>
      <c r="K800" t="inlineStr">
        <is>
          <t>17.99</t>
        </is>
      </c>
      <c r="L800" t="n">
        <v>15.99</v>
      </c>
      <c r="M800" s="1" t="inlineStr">
        <is>
          <t>-11.12%</t>
        </is>
      </c>
      <c r="N800" s="3" t="n">
        <v>-11.12</v>
      </c>
      <c r="O800" t="n">
        <v>5</v>
      </c>
      <c r="P800" t="n">
        <v>4</v>
      </c>
      <c r="R800" t="inlineStr">
        <is>
          <t>InStock</t>
        </is>
      </c>
      <c r="S800" t="inlineStr">
        <is>
          <t>17.99</t>
        </is>
      </c>
      <c r="T800" t="inlineStr">
        <is>
          <t>7241867002044</t>
        </is>
      </c>
    </row>
    <row r="801" hidden="1" ht="15.75" customHeight="1">
      <c r="A801" s="2">
        <f>HYPERLINK("https://www.shelhealth.com/products/661176010073-naturtint-permanent-hair-color-9n-honey-blonde-5-28-oz", "https://www.shelhealth.com/products/661176010073-naturtint-permanent-hair-color-9n-honey-blonde-5-28-oz")</f>
        <v/>
      </c>
      <c r="B801" s="2">
        <f>HYPERLINK("https://www.shelhealth.com/products/661176010073-naturtint-permanent-hair-color-9n-honey-blonde-5-28-oz", "https://www.shelhealth.com/products/661176010073-naturtint-permanent-hair-color-9n-honey-blonde-5-28-oz")</f>
        <v/>
      </c>
      <c r="C801" t="inlineStr">
        <is>
          <t>Naturtint Permanent Hair Color 9N Honey Blonde, 5.28 Oz</t>
        </is>
      </c>
      <c r="D801" t="inlineStr">
        <is>
          <t>Herbatint Permanent Haircolor Gel, 9N Honey Blonde, Alcohol Free, Vegan, 100% Grey Coverage - 4.56 oz</t>
        </is>
      </c>
      <c r="E801" s="2">
        <f>HYPERLINK("https://www.amazon.com/Herbatint-Permanent-Herbal-Haircolor-Blonde/dp/B00014I6VA/ref=sr_1_9?keywords=Naturtint+Permanent+Hair+Color+9N+Honey+Blonde%2C+5.28+Oz&amp;qid=1695170194&amp;sr=8-9", "https://www.amazon.com/Herbatint-Permanent-Herbal-Haircolor-Blonde/dp/B00014I6VA/ref=sr_1_9?keywords=Naturtint+Permanent+Hair+Color+9N+Honey+Blonde%2C+5.28+Oz&amp;qid=1695170194&amp;sr=8-9")</f>
        <v/>
      </c>
      <c r="F801" t="inlineStr">
        <is>
          <t>B00014I6VA</t>
        </is>
      </c>
      <c r="G801">
        <f>_xludf.IMAGE("https://www.shelhealth.com/cdn/shop/files/naturtint-permanent-hair-color-9n-honey-blonde-5-28-oz-beauty-body-care-shelhealth-719.jpg?v=1686533214&amp;width=1946")</f>
        <v/>
      </c>
      <c r="H801">
        <f>_xludf.IMAGE("https://m.media-amazon.com/images/I/81ttPCWKAfL._AC_UL320_.jpg")</f>
        <v/>
      </c>
      <c r="K801" t="inlineStr">
        <is>
          <t>17.99</t>
        </is>
      </c>
      <c r="L801" t="n">
        <v>15.99</v>
      </c>
      <c r="M801" s="1" t="inlineStr">
        <is>
          <t>-11.12%</t>
        </is>
      </c>
      <c r="N801" s="3" t="n">
        <v>-11.12</v>
      </c>
      <c r="O801" t="n">
        <v>4.3</v>
      </c>
      <c r="P801" t="n">
        <v>9117</v>
      </c>
      <c r="R801" t="inlineStr">
        <is>
          <t>InStock</t>
        </is>
      </c>
      <c r="S801" t="inlineStr">
        <is>
          <t>17.99</t>
        </is>
      </c>
      <c r="T801" t="inlineStr">
        <is>
          <t>7241867624636</t>
        </is>
      </c>
    </row>
    <row r="802" hidden="1" ht="15.75" customHeight="1">
      <c r="A802" s="2">
        <f>HYPERLINK("https://www.shelhealth.com/products/666248001126-herbatint-permanent-hair-color-gel-6d-dark-golden-blonde-4-56-oz", "https://www.shelhealth.com/products/666248001126-herbatint-permanent-hair-color-gel-6d-dark-golden-blonde-4-56-oz")</f>
        <v/>
      </c>
      <c r="B802" s="2">
        <f>HYPERLINK("https://www.shelhealth.com/products/666248001126-herbatint-permanent-hair-color-gel-6d-dark-golden-blonde-4-56-oz", "https://www.shelhealth.com/products/666248001126-herbatint-permanent-hair-color-gel-6d-dark-golden-blonde-4-56-oz")</f>
        <v/>
      </c>
      <c r="C802" t="inlineStr">
        <is>
          <t>Herbatint Permanent Hair Color Gel 6D Dark Golden Blonde, 4.56 Oz</t>
        </is>
      </c>
      <c r="D802" t="inlineStr">
        <is>
          <t>Herbatint Permanent Haircolor Gel, 5D Light Golden Chestnut, Alcohol Free, Vegan, 100% Grey Coverage - 4.56 oz</t>
        </is>
      </c>
      <c r="E802" s="2">
        <f>HYPERLINK("https://www.amazon.com/Herbatint-Permanent-Herbal-Haircolor-Chestnut/dp/B000S86OCM/ref=sr_1_5?keywords=Herbatint+Permanent+Hair+Color+Gel+6D+Dark+Golden+Blonde%2C+4.56+Oz&amp;qid=1695170201&amp;sr=8-5", "https://www.amazon.com/Herbatint-Permanent-Herbal-Haircolor-Chestnut/dp/B000S86OCM/ref=sr_1_5?keywords=Herbatint+Permanent+Hair+Color+Gel+6D+Dark+Golden+Blonde%2C+4.56+Oz&amp;qid=1695170201&amp;sr=8-5")</f>
        <v/>
      </c>
      <c r="F802" t="inlineStr">
        <is>
          <t>B000S86OCM</t>
        </is>
      </c>
      <c r="G802">
        <f>_xludf.IMAGE("https://www.shelhealth.com/cdn/shop/files/herbatint-permanent-hair-color-gel-6d-dark-golden-blonde-4-56-oz-beauty-body-care-shelhealth-649.jpg?v=1686528158&amp;width=1946")</f>
        <v/>
      </c>
      <c r="H802">
        <f>_xludf.IMAGE("https://m.media-amazon.com/images/I/81EpKvJbNyL._AC_UL320_.jpg")</f>
        <v/>
      </c>
      <c r="K802" t="inlineStr">
        <is>
          <t>17.99</t>
        </is>
      </c>
      <c r="L802" t="n">
        <v>15.99</v>
      </c>
      <c r="M802" s="1" t="inlineStr">
        <is>
          <t>-11.12%</t>
        </is>
      </c>
      <c r="N802" s="3" t="n">
        <v>-11.12</v>
      </c>
      <c r="O802" t="n">
        <v>4.3</v>
      </c>
      <c r="P802" t="n">
        <v>1121</v>
      </c>
      <c r="R802" t="inlineStr">
        <is>
          <t>InStock</t>
        </is>
      </c>
      <c r="S802" t="inlineStr">
        <is>
          <t>17.99</t>
        </is>
      </c>
      <c r="T802" t="inlineStr">
        <is>
          <t>7241699590332</t>
        </is>
      </c>
    </row>
    <row r="803" hidden="1" ht="15.75" customHeight="1">
      <c r="A803" s="2">
        <f>HYPERLINK("https://www.shelhealth.com/products/666248001126-herbatint-permanent-hair-color-gel-6d-dark-golden-blonde-4-56-oz", "https://www.shelhealth.com/products/666248001126-herbatint-permanent-hair-color-gel-6d-dark-golden-blonde-4-56-oz")</f>
        <v/>
      </c>
      <c r="B803" s="2">
        <f>HYPERLINK("https://www.shelhealth.com/products/666248001126-herbatint-permanent-hair-color-gel-6d-dark-golden-blonde-4-56-oz", "https://www.shelhealth.com/products/666248001126-herbatint-permanent-hair-color-gel-6d-dark-golden-blonde-4-56-oz")</f>
        <v/>
      </c>
      <c r="C803" t="inlineStr">
        <is>
          <t>Herbatint Permanent Hair Color Gel 6D Dark Golden Blonde, 4.56 Oz</t>
        </is>
      </c>
      <c r="D803" t="inlineStr">
        <is>
          <t>Herbatint Permanent Haircolor Gel, 6C Dark Ash Blonde, Alcohol Free, Vegan, 100% Grey Coverage - 4.56 oz</t>
        </is>
      </c>
      <c r="E803" s="2">
        <f>HYPERLINK("https://www.amazon.com/Herbatint-Number-Blonde-Permanent-Herbal/dp/B00UAO4ZW0/ref=sr_1_4?keywords=Herbatint+Permanent+Hair+Color+Gel+6D+Dark+Golden+Blonde%2C+4.56+Oz&amp;qid=1695170201&amp;sr=8-4", "https://www.amazon.com/Herbatint-Number-Blonde-Permanent-Herbal/dp/B00UAO4ZW0/ref=sr_1_4?keywords=Herbatint+Permanent+Hair+Color+Gel+6D+Dark+Golden+Blonde%2C+4.56+Oz&amp;qid=1695170201&amp;sr=8-4")</f>
        <v/>
      </c>
      <c r="F803" t="inlineStr">
        <is>
          <t>B00UAO4ZW0</t>
        </is>
      </c>
      <c r="G803">
        <f>_xludf.IMAGE("https://www.shelhealth.com/cdn/shop/files/herbatint-permanent-hair-color-gel-6d-dark-golden-blonde-4-56-oz-beauty-body-care-shelhealth-649.jpg?v=1686528158&amp;width=1946")</f>
        <v/>
      </c>
      <c r="H803">
        <f>_xludf.IMAGE("https://m.media-amazon.com/images/I/81BjWwkjK8L._AC_UL320_.jpg")</f>
        <v/>
      </c>
      <c r="K803" t="inlineStr">
        <is>
          <t>17.99</t>
        </is>
      </c>
      <c r="L803" t="n">
        <v>15.99</v>
      </c>
      <c r="M803" s="1" t="inlineStr">
        <is>
          <t>-11.12%</t>
        </is>
      </c>
      <c r="N803" s="3" t="n">
        <v>-11.12</v>
      </c>
      <c r="O803" t="n">
        <v>4.2</v>
      </c>
      <c r="P803" t="n">
        <v>137</v>
      </c>
      <c r="R803" t="inlineStr">
        <is>
          <t>InStock</t>
        </is>
      </c>
      <c r="S803" t="inlineStr">
        <is>
          <t>17.99</t>
        </is>
      </c>
      <c r="T803" t="inlineStr">
        <is>
          <t>7241699590332</t>
        </is>
      </c>
    </row>
    <row r="804" hidden="1" ht="15.75" customHeight="1">
      <c r="A804" s="2">
        <f>HYPERLINK("https://www.shelhealth.com/products/666248001041-herbatint-permanent-herbal-haircolor-gel-5n-light-chestnut-4-56-oz", "https://www.shelhealth.com/products/666248001041-herbatint-permanent-herbal-haircolor-gel-5n-light-chestnut-4-56-oz")</f>
        <v/>
      </c>
      <c r="B804" s="2">
        <f>HYPERLINK("https://www.shelhealth.com/products/666248001041-herbatint-permanent-herbal-haircolor-gel-5n-light-chestnut-4-56-oz", "https://www.shelhealth.com/products/666248001041-herbatint-permanent-herbal-haircolor-gel-5n-light-chestnut-4-56-oz")</f>
        <v/>
      </c>
      <c r="C804" t="inlineStr">
        <is>
          <t>HERBATINT Permanent Herbal Haircolor Gel 5N Light Chestnut, 4.56 Oz</t>
        </is>
      </c>
      <c r="D804" t="inlineStr">
        <is>
          <t>Herbatint Permanent Haircolor Gel, 4C Ash Chestnut, Alcohol Free, Vegan, 100% Grey Coverage - 4.56 oz</t>
        </is>
      </c>
      <c r="E804" s="2">
        <f>HYPERLINK("https://www.amazon.com/Herbatint-Hair-Dye-Ash-Chestnut/dp/B002DY7GTE/ref=sr_1_7?keywords=HERBATINT+Permanent+Herbal+Haircolor+Gel+5N+Light+Chestnut%2C+4.56+Oz&amp;qid=1695170204&amp;sr=8-7", "https://www.amazon.com/Herbatint-Hair-Dye-Ash-Chestnut/dp/B002DY7GTE/ref=sr_1_7?keywords=HERBATINT+Permanent+Herbal+Haircolor+Gel+5N+Light+Chestnut%2C+4.56+Oz&amp;qid=1695170204&amp;sr=8-7")</f>
        <v/>
      </c>
      <c r="F804" t="inlineStr">
        <is>
          <t>B002DY7GTE</t>
        </is>
      </c>
      <c r="G804">
        <f>_xludf.IMAGE("https://www.shelhealth.com/cdn/shop/files/herbatint-permanent-herbal-haircolor-gel-5n-light-chestnut-4-56-oz-beauty-body-care-shelhealth-981.jpg?v=1689698231&amp;width=1946")</f>
        <v/>
      </c>
      <c r="H804">
        <f>_xludf.IMAGE("https://m.media-amazon.com/images/I/81HBZmWIj-L._AC_UL320_.jpg")</f>
        <v/>
      </c>
      <c r="K804" t="inlineStr">
        <is>
          <t>17.99</t>
        </is>
      </c>
      <c r="L804" t="n">
        <v>15.99</v>
      </c>
      <c r="M804" s="1" t="inlineStr">
        <is>
          <t>-11.12%</t>
        </is>
      </c>
      <c r="N804" s="3" t="n">
        <v>-11.12</v>
      </c>
      <c r="O804" t="n">
        <v>4.3</v>
      </c>
      <c r="P804" t="n">
        <v>542</v>
      </c>
      <c r="R804" t="inlineStr">
        <is>
          <t>OutOfStock</t>
        </is>
      </c>
      <c r="S804" t="inlineStr">
        <is>
          <t>17.99</t>
        </is>
      </c>
      <c r="T804" t="inlineStr">
        <is>
          <t>7574112010472</t>
        </is>
      </c>
    </row>
    <row r="805" hidden="1" ht="15.75" customHeight="1">
      <c r="A805" s="2">
        <f>HYPERLINK("https://www.shelhealth.com/products/666248001072-herbatint-permanent-herbal-haircolor-gel-8n-light-blonde-4-oz", "https://www.shelhealth.com/products/666248001072-herbatint-permanent-herbal-haircolor-gel-8n-light-blonde-4-oz")</f>
        <v/>
      </c>
      <c r="B805" s="2">
        <f>HYPERLINK("https://www.shelhealth.com/products/666248001072-herbatint-permanent-herbal-haircolor-gel-8n-light-blonde-4-oz", "https://www.shelhealth.com/products/666248001072-herbatint-permanent-herbal-haircolor-gel-8n-light-blonde-4-oz")</f>
        <v/>
      </c>
      <c r="C805" t="inlineStr">
        <is>
          <t>Herbatint Permanent Herbal Haircolor Gel 8N Light Blonde, 4 Oz</t>
        </is>
      </c>
      <c r="D805" t="inlineStr">
        <is>
          <t>Herbatint Permanent Haircolor Gel, 8N Light Blonde, Alcohol Free, Vegan, 100% Grey Coverage - 4.56 oz</t>
        </is>
      </c>
      <c r="E805" s="2">
        <f>HYPERLINK("https://www.amazon.com/Herbatint-Permanent-Herbal-Color-Blonde/dp/B0007V7N66/ref=sr_1_4?keywords=Herbatint+Permanent+Herbal+Haircolor+Gel+8N+Light+Blonde%2C+4+Oz&amp;qid=1695170199&amp;sr=8-4", "https://www.amazon.com/Herbatint-Permanent-Herbal-Color-Blonde/dp/B0007V7N66/ref=sr_1_4?keywords=Herbatint+Permanent+Herbal+Haircolor+Gel+8N+Light+Blonde%2C+4+Oz&amp;qid=1695170199&amp;sr=8-4")</f>
        <v/>
      </c>
      <c r="F805" t="inlineStr">
        <is>
          <t>B0007V7N66</t>
        </is>
      </c>
      <c r="G805">
        <f>_xludf.IMAGE("https://www.shelhealth.com/cdn/shop/files/herbatint-permanent-herbal-haircolor-gel-8n-light-blonde-4-oz-beauty-body-care-shelhealth-377.jpg?v=1686196957&amp;width=1946")</f>
        <v/>
      </c>
      <c r="H805">
        <f>_xludf.IMAGE("https://m.media-amazon.com/images/I/810BrercvkL._AC_UL320_.jpg")</f>
        <v/>
      </c>
      <c r="K805" t="inlineStr">
        <is>
          <t>17.99</t>
        </is>
      </c>
      <c r="L805" t="n">
        <v>15.99</v>
      </c>
      <c r="M805" s="1" t="inlineStr">
        <is>
          <t>-11.12%</t>
        </is>
      </c>
      <c r="N805" s="3" t="n">
        <v>-11.12</v>
      </c>
      <c r="O805" t="n">
        <v>4.3</v>
      </c>
      <c r="P805" t="n">
        <v>9117</v>
      </c>
      <c r="R805" t="inlineStr">
        <is>
          <t>OutOfStock</t>
        </is>
      </c>
      <c r="S805" t="inlineStr">
        <is>
          <t>17.99</t>
        </is>
      </c>
      <c r="T805" t="inlineStr">
        <is>
          <t>7241699950780</t>
        </is>
      </c>
    </row>
    <row r="806" hidden="1" ht="15.75" customHeight="1">
      <c r="A806" s="2">
        <f>HYPERLINK("https://www.shelhealth.com/products/666248001072-herbatint-permanent-herbal-haircolor-gel-8n-light-blonde-4-oz", "https://www.shelhealth.com/products/666248001072-herbatint-permanent-herbal-haircolor-gel-8n-light-blonde-4-oz")</f>
        <v/>
      </c>
      <c r="B806" s="2">
        <f>HYPERLINK("https://www.shelhealth.com/products/666248001072-herbatint-permanent-herbal-haircolor-gel-8n-light-blonde-4-oz", "https://www.shelhealth.com/products/666248001072-herbatint-permanent-herbal-haircolor-gel-8n-light-blonde-4-oz")</f>
        <v/>
      </c>
      <c r="C806" t="inlineStr">
        <is>
          <t>Herbatint Permanent Herbal Haircolor Gel 8N Light Blonde, 4 Oz</t>
        </is>
      </c>
      <c r="D806" t="inlineStr">
        <is>
          <t>Herbatint Permanent Haircolor Gel, 10N Platinum Blonde, Alcohol Free, Vegan, 100% Grey Coverage - 4.56 oz</t>
        </is>
      </c>
      <c r="E806" s="2">
        <f>HYPERLINK("https://www.amazon.com/Herbatint-Permanent-Herbal-Haircolour-Platinum/dp/B00014UFN2/ref=sr_1_6?keywords=Herbatint+Permanent+Herbal+Haircolor+Gel+8N+Light+Blonde%2C+4+Oz&amp;qid=1695170199&amp;sr=8-6", "https://www.amazon.com/Herbatint-Permanent-Herbal-Haircolour-Platinum/dp/B00014UFN2/ref=sr_1_6?keywords=Herbatint+Permanent+Herbal+Haircolor+Gel+8N+Light+Blonde%2C+4+Oz&amp;qid=1695170199&amp;sr=8-6")</f>
        <v/>
      </c>
      <c r="F806" t="inlineStr">
        <is>
          <t>B00014UFN2</t>
        </is>
      </c>
      <c r="G806">
        <f>_xludf.IMAGE("https://www.shelhealth.com/cdn/shop/files/herbatint-permanent-herbal-haircolor-gel-8n-light-blonde-4-oz-beauty-body-care-shelhealth-377.jpg?v=1686196957&amp;width=1946")</f>
        <v/>
      </c>
      <c r="H806">
        <f>_xludf.IMAGE("https://m.media-amazon.com/images/I/61mFJE0iATL._AC_UL320_.jpg")</f>
        <v/>
      </c>
      <c r="K806" t="inlineStr">
        <is>
          <t>17.99</t>
        </is>
      </c>
      <c r="L806" t="n">
        <v>15.99</v>
      </c>
      <c r="M806" s="1" t="inlineStr">
        <is>
          <t>-11.12%</t>
        </is>
      </c>
      <c r="N806" s="3" t="n">
        <v>-11.12</v>
      </c>
      <c r="O806" t="n">
        <v>4.3</v>
      </c>
      <c r="P806" t="n">
        <v>1121</v>
      </c>
      <c r="R806" t="inlineStr">
        <is>
          <t>OutOfStock</t>
        </is>
      </c>
      <c r="S806" t="inlineStr">
        <is>
          <t>17.99</t>
        </is>
      </c>
      <c r="T806" t="inlineStr">
        <is>
          <t>7241699950780</t>
        </is>
      </c>
    </row>
    <row r="807" hidden="1" ht="15.75" customHeight="1">
      <c r="A807" s="2">
        <f>HYPERLINK("https://www.shelhealth.com/products/666248001126-herbatint-permanent-hair-color-gel-6d-dark-golden-blonde-4-56-oz", "https://www.shelhealth.com/products/666248001126-herbatint-permanent-hair-color-gel-6d-dark-golden-blonde-4-56-oz")</f>
        <v/>
      </c>
      <c r="B807" s="2">
        <f>HYPERLINK("https://www.shelhealth.com/products/666248001126-herbatint-permanent-hair-color-gel-6d-dark-golden-blonde-4-56-oz", "https://www.shelhealth.com/products/666248001126-herbatint-permanent-hair-color-gel-6d-dark-golden-blonde-4-56-oz")</f>
        <v/>
      </c>
      <c r="C807" t="inlineStr">
        <is>
          <t>Herbatint Permanent Hair Color Gel 6D Dark Golden Blonde, 4.56 Oz</t>
        </is>
      </c>
      <c r="D807" t="inlineStr">
        <is>
          <t>Herbatint Permanent Haircolor Gel, 6D Dark Golden Blonde, Alcohol Free, Vegan, 100% Grey Coverage - 4.56 oz</t>
        </is>
      </c>
      <c r="E807" s="2">
        <f>HYPERLINK("https://www.amazon.com/Herbatint-Permanent-Herbal-Haircolor-Golden/dp/B00014IXAY/ref=sr_1_1?keywords=Herbatint+Permanent+Hair+Color+Gel+6D+Dark+Golden+Blonde%2C+4.56+Oz&amp;qid=1695170201&amp;sr=8-1", "https://www.amazon.com/Herbatint-Permanent-Herbal-Haircolor-Golden/dp/B00014IXAY/ref=sr_1_1?keywords=Herbatint+Permanent+Hair+Color+Gel+6D+Dark+Golden+Blonde%2C+4.56+Oz&amp;qid=1695170201&amp;sr=8-1")</f>
        <v/>
      </c>
      <c r="F807" t="inlineStr">
        <is>
          <t>B00014IXAY</t>
        </is>
      </c>
      <c r="G807">
        <f>_xludf.IMAGE("https://www.shelhealth.com/cdn/shop/files/herbatint-permanent-hair-color-gel-6d-dark-golden-blonde-4-56-oz-beauty-body-care-shelhealth-649.jpg?v=1686528158&amp;width=1946")</f>
        <v/>
      </c>
      <c r="H807">
        <f>_xludf.IMAGE("https://m.media-amazon.com/images/I/81ZYj7udabL._AC_UL320_.jpg")</f>
        <v/>
      </c>
      <c r="K807" t="inlineStr">
        <is>
          <t>17.99</t>
        </is>
      </c>
      <c r="L807" t="n">
        <v>15.99</v>
      </c>
      <c r="M807" s="1" t="inlineStr">
        <is>
          <t>-11.12%</t>
        </is>
      </c>
      <c r="N807" s="3" t="n">
        <v>-11.12</v>
      </c>
      <c r="O807" t="n">
        <v>4.3</v>
      </c>
      <c r="P807" t="n">
        <v>9117</v>
      </c>
      <c r="R807" t="inlineStr">
        <is>
          <t>InStock</t>
        </is>
      </c>
      <c r="S807" t="inlineStr">
        <is>
          <t>17.99</t>
        </is>
      </c>
      <c r="T807" t="inlineStr">
        <is>
          <t>7241699590332</t>
        </is>
      </c>
    </row>
    <row r="808" hidden="1" ht="15.75" customHeight="1">
      <c r="A808" s="2">
        <f>HYPERLINK("https://www.shelhealth.com/products/666248001102-herbatint-permanent-haircolor-gel-4d-golden-chestnut-4-56-fo", "https://www.shelhealth.com/products/666248001102-herbatint-permanent-haircolor-gel-4d-golden-chestnut-4-56-fo")</f>
        <v/>
      </c>
      <c r="B808" s="2">
        <f>HYPERLINK("https://www.shelhealth.com/products/666248001102-herbatint-permanent-haircolor-gel-4d-golden-chestnut-4-56-fo", "https://www.shelhealth.com/products/666248001102-herbatint-permanent-haircolor-gel-4d-golden-chestnut-4-56-fo")</f>
        <v/>
      </c>
      <c r="C808" t="inlineStr">
        <is>
          <t>Herbatint Permanent Haircolor Gel 4D Golden Chestnut, 4.56 Fo</t>
        </is>
      </c>
      <c r="D808" t="inlineStr">
        <is>
          <t>Herbatint Permanent Haircolor Gel, 5D Light Golden Chestnut, Alcohol Free, Vegan, 100% Grey Coverage - 4.56 oz</t>
        </is>
      </c>
      <c r="E808" s="2">
        <f>HYPERLINK("https://www.amazon.com/Herbatint-Permanent-Herbal-Haircolor-Chestnut/dp/B000S86OCM/ref=sr_1_2?keywords=Herbatint+Permanent+Haircolor+Gel+4D+Golden+Chestnut%2C+4.56+Fo&amp;qid=1695170205&amp;sr=8-2", "https://www.amazon.com/Herbatint-Permanent-Herbal-Haircolor-Chestnut/dp/B000S86OCM/ref=sr_1_2?keywords=Herbatint+Permanent+Haircolor+Gel+4D+Golden+Chestnut%2C+4.56+Fo&amp;qid=1695170205&amp;sr=8-2")</f>
        <v/>
      </c>
      <c r="F808" t="inlineStr">
        <is>
          <t>B000S86OCM</t>
        </is>
      </c>
      <c r="G808">
        <f>_xludf.IMAGE("https://www.shelhealth.com/cdn/shop/files/herbatint-permanent-haircolor-gel-4d-golden-chestnut-4-56-fo-beauty-body-care-shelhealth-915.jpg?v=1693230025&amp;width=1946")</f>
        <v/>
      </c>
      <c r="H808">
        <f>_xludf.IMAGE("https://m.media-amazon.com/images/I/81EpKvJbNyL._AC_UL320_.jpg")</f>
        <v/>
      </c>
      <c r="K808" t="inlineStr">
        <is>
          <t>17.99</t>
        </is>
      </c>
      <c r="L808" t="n">
        <v>15.99</v>
      </c>
      <c r="M808" s="1" t="inlineStr">
        <is>
          <t>-11.12%</t>
        </is>
      </c>
      <c r="N808" s="3" t="n">
        <v>-11.12</v>
      </c>
      <c r="O808" t="n">
        <v>4.3</v>
      </c>
      <c r="P808" t="n">
        <v>1121</v>
      </c>
      <c r="R808" t="inlineStr">
        <is>
          <t>OutOfStock</t>
        </is>
      </c>
      <c r="S808" t="inlineStr">
        <is>
          <t>17.99</t>
        </is>
      </c>
      <c r="T808" t="inlineStr">
        <is>
          <t>7241699786940</t>
        </is>
      </c>
    </row>
    <row r="809" hidden="1" ht="15.75" customHeight="1">
      <c r="A809" s="2">
        <f>HYPERLINK("https://www.shelhealth.com/products/666248001089-herbatint-permanent-herbal-haircolor-gel-9n-honey-blonde-4-6-oz", "https://www.shelhealth.com/products/666248001089-herbatint-permanent-herbal-haircolor-gel-9n-honey-blonde-4-6-oz")</f>
        <v/>
      </c>
      <c r="B809" s="2">
        <f>HYPERLINK("https://www.shelhealth.com/products/666248001089-herbatint-permanent-herbal-haircolor-gel-9n-honey-blonde-4-6-oz", "https://www.shelhealth.com/products/666248001089-herbatint-permanent-herbal-haircolor-gel-9n-honey-blonde-4-6-oz")</f>
        <v/>
      </c>
      <c r="C809" t="inlineStr">
        <is>
          <t>Herbatint Permanent Herbal Haircolor Gel 9N Honey Blonde, 4.6 Oz</t>
        </is>
      </c>
      <c r="D809" t="inlineStr">
        <is>
          <t>Herbatint Permanent Haircolor Gel, 9N Honey Blonde, 4.56 Ounce</t>
        </is>
      </c>
      <c r="E809" s="2">
        <f>HYPERLINK("https://www.amazon.com/Herbatint-Permanent-Haircolor-Alcohol-Coverage/dp/B000EYNPFY/ref=sr_1_1?keywords=Herbatint+Permanent+Herbal+Haircolor+Gel+9N+Honey+Blonde%2C+4.6+Oz&amp;qid=1695170216&amp;sr=8-1", "https://www.amazon.com/Herbatint-Permanent-Haircolor-Alcohol-Coverage/dp/B000EYNPFY/ref=sr_1_1?keywords=Herbatint+Permanent+Herbal+Haircolor+Gel+9N+Honey+Blonde%2C+4.6+Oz&amp;qid=1695170216&amp;sr=8-1")</f>
        <v/>
      </c>
      <c r="F809" t="inlineStr">
        <is>
          <t>B000EYNPFY</t>
        </is>
      </c>
      <c r="G809">
        <f>_xludf.IMAGE("https://www.shelhealth.com/cdn/shop/files/herbatint-permanent-herbal-haircolor-gel-9n-honey-blonde-4-6-oz-beauty-body-care-shelhealth-442.jpg?v=1686196956&amp;width=1946")</f>
        <v/>
      </c>
      <c r="H809">
        <f>_xludf.IMAGE("https://m.media-amazon.com/images/I/81ttPCWKAfL._AC_UL320_.jpg")</f>
        <v/>
      </c>
      <c r="K809" t="inlineStr">
        <is>
          <t>17.99</t>
        </is>
      </c>
      <c r="L809" t="n">
        <v>15.99</v>
      </c>
      <c r="M809" s="1" t="inlineStr">
        <is>
          <t>-11.12%</t>
        </is>
      </c>
      <c r="N809" s="3" t="n">
        <v>-11.12</v>
      </c>
      <c r="O809" t="n">
        <v>4.4</v>
      </c>
      <c r="P809" t="n">
        <v>1596</v>
      </c>
      <c r="R809" t="inlineStr">
        <is>
          <t>OutOfStock</t>
        </is>
      </c>
      <c r="S809" t="inlineStr">
        <is>
          <t>17.99</t>
        </is>
      </c>
      <c r="T809" t="inlineStr">
        <is>
          <t>7241699983548</t>
        </is>
      </c>
    </row>
    <row r="810" hidden="1" ht="15.75" customHeight="1">
      <c r="A810" s="2">
        <f>HYPERLINK("https://www.shelhealth.com/products/666248001089-herbatint-permanent-herbal-haircolor-gel-9n-honey-blonde-4-6-oz", "https://www.shelhealth.com/products/666248001089-herbatint-permanent-herbal-haircolor-gel-9n-honey-blonde-4-6-oz")</f>
        <v/>
      </c>
      <c r="B810" s="2">
        <f>HYPERLINK("https://www.shelhealth.com/products/666248001089-herbatint-permanent-herbal-haircolor-gel-9n-honey-blonde-4-6-oz", "https://www.shelhealth.com/products/666248001089-herbatint-permanent-herbal-haircolor-gel-9n-honey-blonde-4-6-oz")</f>
        <v/>
      </c>
      <c r="C810" t="inlineStr">
        <is>
          <t>Herbatint Permanent Herbal Haircolor Gel 9N Honey Blonde, 4.6 Oz</t>
        </is>
      </c>
      <c r="D810" t="inlineStr">
        <is>
          <t>Herbatint Permanent Haircolor Gel, 9N Honey Blonde, Alcohol Free, Vegan, 100% Grey Coverage - 4.56 oz</t>
        </is>
      </c>
      <c r="E810" s="2">
        <f>HYPERLINK("https://www.amazon.com/Herbatint-Permanent-Herbal-Haircolor-Blonde/dp/B00014I6VA/ref=sr_1_2?keywords=Herbatint+Permanent+Herbal+Haircolor+Gel+9N+Honey+Blonde%2C+4.6+Oz&amp;qid=1695170216&amp;sr=8-2", "https://www.amazon.com/Herbatint-Permanent-Herbal-Haircolor-Blonde/dp/B00014I6VA/ref=sr_1_2?keywords=Herbatint+Permanent+Herbal+Haircolor+Gel+9N+Honey+Blonde%2C+4.6+Oz&amp;qid=1695170216&amp;sr=8-2")</f>
        <v/>
      </c>
      <c r="F810" t="inlineStr">
        <is>
          <t>B00014I6VA</t>
        </is>
      </c>
      <c r="G810">
        <f>_xludf.IMAGE("https://www.shelhealth.com/cdn/shop/files/herbatint-permanent-herbal-haircolor-gel-9n-honey-blonde-4-6-oz-beauty-body-care-shelhealth-442.jpg?v=1686196956&amp;width=1946")</f>
        <v/>
      </c>
      <c r="H810">
        <f>_xludf.IMAGE("https://m.media-amazon.com/images/I/81ttPCWKAfL._AC_UL320_.jpg")</f>
        <v/>
      </c>
      <c r="K810" t="inlineStr">
        <is>
          <t>17.99</t>
        </is>
      </c>
      <c r="L810" t="n">
        <v>15.99</v>
      </c>
      <c r="M810" s="1" t="inlineStr">
        <is>
          <t>-11.12%</t>
        </is>
      </c>
      <c r="N810" s="3" t="n">
        <v>-11.12</v>
      </c>
      <c r="O810" t="n">
        <v>4.3</v>
      </c>
      <c r="P810" t="n">
        <v>9117</v>
      </c>
      <c r="R810" t="inlineStr">
        <is>
          <t>OutOfStock</t>
        </is>
      </c>
      <c r="S810" t="inlineStr">
        <is>
          <t>17.99</t>
        </is>
      </c>
      <c r="T810" t="inlineStr">
        <is>
          <t>7241699983548</t>
        </is>
      </c>
    </row>
    <row r="811" hidden="1" ht="15.75" customHeight="1">
      <c r="A811" s="2">
        <f>HYPERLINK("https://www.shelhealth.com/products/666248001072-herbatint-permanent-herbal-haircolor-gel-8n-light-blonde-4-oz", "https://www.shelhealth.com/products/666248001072-herbatint-permanent-herbal-haircolor-gel-8n-light-blonde-4-oz")</f>
        <v/>
      </c>
      <c r="B811" s="2">
        <f>HYPERLINK("https://www.shelhealth.com/products/666248001072-herbatint-permanent-herbal-haircolor-gel-8n-light-blonde-4-oz", "https://www.shelhealth.com/products/666248001072-herbatint-permanent-herbal-haircolor-gel-8n-light-blonde-4-oz")</f>
        <v/>
      </c>
      <c r="C811" t="inlineStr">
        <is>
          <t>Herbatint Permanent Herbal Haircolor Gel 8N Light Blonde, 4 Oz</t>
        </is>
      </c>
      <c r="D811" t="inlineStr">
        <is>
          <t>Herbatint Permanent Haircolor Gel, 6C Dark Ash Blonde, Alcohol Free, Vegan, 100% Grey Coverage - 4.56 oz</t>
        </is>
      </c>
      <c r="E811" s="2">
        <f>HYPERLINK("https://www.amazon.com/Herbatint-Number-Blonde-Permanent-Herbal/dp/B00UAO4ZW0/ref=sr_1_9?keywords=Herbatint+Permanent+Herbal+Haircolor+Gel+8N+Light+Blonde%2C+4+Oz&amp;qid=1695170199&amp;sr=8-9", "https://www.amazon.com/Herbatint-Number-Blonde-Permanent-Herbal/dp/B00UAO4ZW0/ref=sr_1_9?keywords=Herbatint+Permanent+Herbal+Haircolor+Gel+8N+Light+Blonde%2C+4+Oz&amp;qid=1695170199&amp;sr=8-9")</f>
        <v/>
      </c>
      <c r="F811" t="inlineStr">
        <is>
          <t>B00UAO4ZW0</t>
        </is>
      </c>
      <c r="G811">
        <f>_xludf.IMAGE("https://www.shelhealth.com/cdn/shop/files/herbatint-permanent-herbal-haircolor-gel-8n-light-blonde-4-oz-beauty-body-care-shelhealth-377.jpg?v=1686196957&amp;width=1946")</f>
        <v/>
      </c>
      <c r="H811">
        <f>_xludf.IMAGE("https://m.media-amazon.com/images/I/81BjWwkjK8L._AC_UL320_.jpg")</f>
        <v/>
      </c>
      <c r="K811" t="inlineStr">
        <is>
          <t>17.99</t>
        </is>
      </c>
      <c r="L811" t="n">
        <v>15.99</v>
      </c>
      <c r="M811" s="1" t="inlineStr">
        <is>
          <t>-11.12%</t>
        </is>
      </c>
      <c r="N811" s="3" t="n">
        <v>-11.12</v>
      </c>
      <c r="O811" t="n">
        <v>4.2</v>
      </c>
      <c r="P811" t="n">
        <v>137</v>
      </c>
      <c r="R811" t="inlineStr">
        <is>
          <t>OutOfStock</t>
        </is>
      </c>
      <c r="S811" t="inlineStr">
        <is>
          <t>17.99</t>
        </is>
      </c>
      <c r="T811" t="inlineStr">
        <is>
          <t>7241699950780</t>
        </is>
      </c>
    </row>
    <row r="812" hidden="1" ht="15.75" customHeight="1">
      <c r="A812" s="2">
        <f>HYPERLINK("https://www.shelhealth.com/products/666248001188-herbatint-permanent-hair-color-gel-4r-copper-chestnut-4-56-fo", "https://www.shelhealth.com/products/666248001188-herbatint-permanent-hair-color-gel-4r-copper-chestnut-4-56-fo")</f>
        <v/>
      </c>
      <c r="B812" s="2">
        <f>HYPERLINK("https://www.shelhealth.com/products/666248001188-herbatint-permanent-hair-color-gel-4r-copper-chestnut-4-56-fo", "https://www.shelhealth.com/products/666248001188-herbatint-permanent-hair-color-gel-4r-copper-chestnut-4-56-fo")</f>
        <v/>
      </c>
      <c r="C812" t="inlineStr">
        <is>
          <t>Herbatint Permanent Hair Color Gel 4R Copper Chestnut, 4.56 Fo</t>
        </is>
      </c>
      <c r="D812" t="inlineStr">
        <is>
          <t>Herbatint Permanent Haircolor Gel, 4C Ash Chestnut, Alcohol Free, Vegan, 100% Grey Coverage - 4.56 oz</t>
        </is>
      </c>
      <c r="E812" s="2">
        <f>HYPERLINK("https://www.amazon.com/Herbatint-Hair-Dye-Ash-Chestnut/dp/B002DY7GTE/ref=sr_1_5?keywords=Herbatint+Permanent+Hair+Color+Gel+4R+Copper+Chestnut%2C+4.56+Fo&amp;qid=1695170230&amp;sr=8-5", "https://www.amazon.com/Herbatint-Hair-Dye-Ash-Chestnut/dp/B002DY7GTE/ref=sr_1_5?keywords=Herbatint+Permanent+Hair+Color+Gel+4R+Copper+Chestnut%2C+4.56+Fo&amp;qid=1695170230&amp;sr=8-5")</f>
        <v/>
      </c>
      <c r="F812" t="inlineStr">
        <is>
          <t>B002DY7GTE</t>
        </is>
      </c>
      <c r="G812">
        <f>_xludf.IMAGE("https://www.shelhealth.com/cdn/shop/files/herbatint-permanent-hair-color-gel-4r-copper-chestnut-4-56-fo-beauty-body-care-shelhealth-948.jpg?v=1693230044&amp;width=1946")</f>
        <v/>
      </c>
      <c r="H812">
        <f>_xludf.IMAGE("https://m.media-amazon.com/images/I/81HBZmWIj-L._AC_UL320_.jpg")</f>
        <v/>
      </c>
      <c r="K812" t="inlineStr">
        <is>
          <t>17.99</t>
        </is>
      </c>
      <c r="L812" t="n">
        <v>15.99</v>
      </c>
      <c r="M812" s="1" t="inlineStr">
        <is>
          <t>-11.12%</t>
        </is>
      </c>
      <c r="N812" s="3" t="n">
        <v>-11.12</v>
      </c>
      <c r="O812" t="n">
        <v>4.3</v>
      </c>
      <c r="P812" t="n">
        <v>542</v>
      </c>
      <c r="R812" t="inlineStr">
        <is>
          <t>OutOfStock</t>
        </is>
      </c>
      <c r="S812" t="inlineStr">
        <is>
          <t>17.99</t>
        </is>
      </c>
      <c r="T812" t="inlineStr">
        <is>
          <t>7241699393724</t>
        </is>
      </c>
    </row>
    <row r="813" hidden="1" ht="15.75" customHeight="1">
      <c r="A813" s="2">
        <f>HYPERLINK("https://www.shelhealth.com/products/666248001188-herbatint-permanent-hair-color-gel-4r-copper-chestnut-4-56-fo", "https://www.shelhealth.com/products/666248001188-herbatint-permanent-hair-color-gel-4r-copper-chestnut-4-56-fo")</f>
        <v/>
      </c>
      <c r="B813" s="2">
        <f>HYPERLINK("https://www.shelhealth.com/products/666248001188-herbatint-permanent-hair-color-gel-4r-copper-chestnut-4-56-fo", "https://www.shelhealth.com/products/666248001188-herbatint-permanent-hair-color-gel-4r-copper-chestnut-4-56-fo")</f>
        <v/>
      </c>
      <c r="C813" t="inlineStr">
        <is>
          <t>Herbatint Permanent Hair Color Gel 4R Copper Chestnut, 4.56 Fo</t>
        </is>
      </c>
      <c r="D813" t="inlineStr">
        <is>
          <t>Herbatint Permanent Haircolor Gel, 5D Light Golden Chestnut, Alcohol Free, Vegan, 100% Grey Coverage - 4.56 oz</t>
        </is>
      </c>
      <c r="E813" s="2">
        <f>HYPERLINK("https://www.amazon.com/Herbatint-Permanent-Herbal-Haircolor-Chestnut/dp/B000S86OCM/ref=sr_1_4?keywords=Herbatint+Permanent+Hair+Color+Gel+4R+Copper+Chestnut%2C+4.56+Fo&amp;qid=1695170230&amp;sr=8-4", "https://www.amazon.com/Herbatint-Permanent-Herbal-Haircolor-Chestnut/dp/B000S86OCM/ref=sr_1_4?keywords=Herbatint+Permanent+Hair+Color+Gel+4R+Copper+Chestnut%2C+4.56+Fo&amp;qid=1695170230&amp;sr=8-4")</f>
        <v/>
      </c>
      <c r="F813" t="inlineStr">
        <is>
          <t>B000S86OCM</t>
        </is>
      </c>
      <c r="G813">
        <f>_xludf.IMAGE("https://www.shelhealth.com/cdn/shop/files/herbatint-permanent-hair-color-gel-4r-copper-chestnut-4-56-fo-beauty-body-care-shelhealth-948.jpg?v=1693230044&amp;width=1946")</f>
        <v/>
      </c>
      <c r="H813">
        <f>_xludf.IMAGE("https://m.media-amazon.com/images/I/81EpKvJbNyL._AC_UL320_.jpg")</f>
        <v/>
      </c>
      <c r="K813" t="inlineStr">
        <is>
          <t>17.99</t>
        </is>
      </c>
      <c r="L813" t="n">
        <v>15.99</v>
      </c>
      <c r="M813" s="1" t="inlineStr">
        <is>
          <t>-11.12%</t>
        </is>
      </c>
      <c r="N813" s="3" t="n">
        <v>-11.12</v>
      </c>
      <c r="O813" t="n">
        <v>4.3</v>
      </c>
      <c r="P813" t="n">
        <v>1121</v>
      </c>
      <c r="R813" t="inlineStr">
        <is>
          <t>OutOfStock</t>
        </is>
      </c>
      <c r="S813" t="inlineStr">
        <is>
          <t>17.99</t>
        </is>
      </c>
      <c r="T813" t="inlineStr">
        <is>
          <t>7241699393724</t>
        </is>
      </c>
    </row>
    <row r="814" hidden="1" ht="15.75" customHeight="1">
      <c r="A814" s="2">
        <f>HYPERLINK("https://www.shelhealth.com/products/666248001188-herbatint-permanent-hair-color-gel-4r-copper-chestnut-4-56-fo", "https://www.shelhealth.com/products/666248001188-herbatint-permanent-hair-color-gel-4r-copper-chestnut-4-56-fo")</f>
        <v/>
      </c>
      <c r="B814" s="2">
        <f>HYPERLINK("https://www.shelhealth.com/products/666248001188-herbatint-permanent-hair-color-gel-4r-copper-chestnut-4-56-fo", "https://www.shelhealth.com/products/666248001188-herbatint-permanent-hair-color-gel-4r-copper-chestnut-4-56-fo")</f>
        <v/>
      </c>
      <c r="C814" t="inlineStr">
        <is>
          <t>Herbatint Permanent Hair Color Gel 4R Copper Chestnut, 4.56 Fo</t>
        </is>
      </c>
      <c r="D814" t="inlineStr">
        <is>
          <t>Herbatint Permanent Haircolor Gel, 4R Copper Chestnut, Alcohol Free, Vegan, 100% Grey Coverage - 4.56 oz</t>
        </is>
      </c>
      <c r="E814" s="2">
        <f>HYPERLINK("https://www.amazon.com/Herbatint-Hair-Color-Copper-Chestnut/dp/B07MVY1YVV/ref=sr_1_1?keywords=Herbatint+Permanent+Hair+Color+Gel+4R+Copper+Chestnut%2C+4.56+Fo&amp;qid=1695170230&amp;sr=8-1", "https://www.amazon.com/Herbatint-Hair-Color-Copper-Chestnut/dp/B07MVY1YVV/ref=sr_1_1?keywords=Herbatint+Permanent+Hair+Color+Gel+4R+Copper+Chestnut%2C+4.56+Fo&amp;qid=1695170230&amp;sr=8-1")</f>
        <v/>
      </c>
      <c r="F814" t="inlineStr">
        <is>
          <t>B07MVY1YVV</t>
        </is>
      </c>
      <c r="G814">
        <f>_xludf.IMAGE("https://www.shelhealth.com/cdn/shop/files/herbatint-permanent-hair-color-gel-4r-copper-chestnut-4-56-fo-beauty-body-care-shelhealth-948.jpg?v=1693230044&amp;width=1946")</f>
        <v/>
      </c>
      <c r="H814">
        <f>_xludf.IMAGE("https://m.media-amazon.com/images/I/81zOP110FmL._AC_UL320_.jpg")</f>
        <v/>
      </c>
      <c r="K814" t="inlineStr">
        <is>
          <t>17.99</t>
        </is>
      </c>
      <c r="L814" t="n">
        <v>15.99</v>
      </c>
      <c r="M814" s="1" t="inlineStr">
        <is>
          <t>-11.12%</t>
        </is>
      </c>
      <c r="N814" s="3" t="n">
        <v>-11.12</v>
      </c>
      <c r="O814" t="n">
        <v>4.3</v>
      </c>
      <c r="P814" t="n">
        <v>9117</v>
      </c>
      <c r="R814" t="inlineStr">
        <is>
          <t>OutOfStock</t>
        </is>
      </c>
      <c r="S814" t="inlineStr">
        <is>
          <t>17.99</t>
        </is>
      </c>
      <c r="T814" t="inlineStr">
        <is>
          <t>7241699393724</t>
        </is>
      </c>
    </row>
    <row r="815" hidden="1" ht="15.75" customHeight="1">
      <c r="A815" s="2">
        <f>HYPERLINK("https://www.shelhealth.com/products/661176010141-naturtint-permanent-hair-color-5m-light-mahogany-chestnut-5-28-oz", "https://www.shelhealth.com/products/661176010141-naturtint-permanent-hair-color-5m-light-mahogany-chestnut-5-28-oz")</f>
        <v/>
      </c>
      <c r="B815" s="2">
        <f>HYPERLINK("https://www.shelhealth.com/products/661176010141-naturtint-permanent-hair-color-5m-light-mahogany-chestnut-5-28-oz", "https://www.shelhealth.com/products/661176010141-naturtint-permanent-hair-color-5m-light-mahogany-chestnut-5-28-oz")</f>
        <v/>
      </c>
      <c r="C815" t="inlineStr">
        <is>
          <t>Naturtint Permanent Hair Color 5M Light Mahogany Chestnut, 5.28 Oz</t>
        </is>
      </c>
      <c r="D815" t="inlineStr">
        <is>
          <t>Herbatint Permanent Haircolor Gel, 5M Light Mahogany Chestnut, Alcohol Free, Vegan, 100% Grey Coverage - 4.56 oz</t>
        </is>
      </c>
      <c r="E815" s="2">
        <f>HYPERLINK("https://www.amazon.com/Herbatint-Permanent-Haircolor-Mahogany-Chestnut/dp/B0011DRY3G/ref=sr_1_8?keywords=Naturtint+Permanent+Hair+Color+5M+Light+Mahogany+Chestnut%2C+5.28+Oz&amp;qid=1695170206&amp;sr=8-8", "https://www.amazon.com/Herbatint-Permanent-Haircolor-Mahogany-Chestnut/dp/B0011DRY3G/ref=sr_1_8?keywords=Naturtint+Permanent+Hair+Color+5M+Light+Mahogany+Chestnut%2C+5.28+Oz&amp;qid=1695170206&amp;sr=8-8")</f>
        <v/>
      </c>
      <c r="F815" t="inlineStr">
        <is>
          <t>B0011DRY3G</t>
        </is>
      </c>
      <c r="G815">
        <f>_xludf.IMAGE("https://www.shelhealth.com/cdn/shop/files/naturtint-permanent-hair-color-5m-light-mahogany-chestnut-5-28-oz-beauty-body-care-shelhealth-137.jpg?v=1686533115&amp;width=1946")</f>
        <v/>
      </c>
      <c r="H815">
        <f>_xludf.IMAGE("https://m.media-amazon.com/images/I/81IC0UJhiIL._AC_UL320_.jpg")</f>
        <v/>
      </c>
      <c r="K815" t="inlineStr">
        <is>
          <t>17.99</t>
        </is>
      </c>
      <c r="L815" t="n">
        <v>15.99</v>
      </c>
      <c r="M815" s="1" t="inlineStr">
        <is>
          <t>-11.12%</t>
        </is>
      </c>
      <c r="N815" s="3" t="n">
        <v>-11.12</v>
      </c>
      <c r="O815" t="n">
        <v>4.3</v>
      </c>
      <c r="P815" t="n">
        <v>1121</v>
      </c>
      <c r="R815" t="inlineStr">
        <is>
          <t>InStock</t>
        </is>
      </c>
      <c r="S815" t="inlineStr">
        <is>
          <t>17.99</t>
        </is>
      </c>
      <c r="T815" t="inlineStr">
        <is>
          <t>7241866379452</t>
        </is>
      </c>
    </row>
    <row r="816" hidden="1" ht="15.75" customHeight="1">
      <c r="A816" s="2">
        <f>HYPERLINK("https://www.shelhealth.com/products/661176010035-naturtint-permanent-hair-color-5n-light-chestnut-brown-5-28-oz", "https://www.shelhealth.com/products/661176010035-naturtint-permanent-hair-color-5n-light-chestnut-brown-5-28-oz")</f>
        <v/>
      </c>
      <c r="B816" s="2">
        <f>HYPERLINK("https://www.shelhealth.com/products/661176010035-naturtint-permanent-hair-color-5n-light-chestnut-brown-5-28-oz", "https://www.shelhealth.com/products/661176010035-naturtint-permanent-hair-color-5n-light-chestnut-brown-5-28-oz")</f>
        <v/>
      </c>
      <c r="C816" t="inlineStr">
        <is>
          <t>Naturtint Permanent Hair Color 5N Light Chestnut Brown, 5.28 Oz</t>
        </is>
      </c>
      <c r="D816" t="inlineStr">
        <is>
          <t>Herbatint Permanent Haircolor Gel, 5N Light Chestnut, Alcohol Free, Vegan, 100% Grey Coverage - 4.56 oz</t>
        </is>
      </c>
      <c r="E816" s="2">
        <f>HYPERLINK("https://www.amazon.com/Herbatint-Herbal-Haircolor-Permanent-Chestnut/dp/B00016X0AA/ref=sr_1_7?keywords=Naturtint+Permanent+Hair+Color+5N+Light+Chestnut+Brown%2C+5.28+Oz&amp;qid=1695170200&amp;sr=8-7", "https://www.amazon.com/Herbatint-Herbal-Haircolor-Permanent-Chestnut/dp/B00016X0AA/ref=sr_1_7?keywords=Naturtint+Permanent+Hair+Color+5N+Light+Chestnut+Brown%2C+5.28+Oz&amp;qid=1695170200&amp;sr=8-7")</f>
        <v/>
      </c>
      <c r="F816" t="inlineStr">
        <is>
          <t>B00016X0AA</t>
        </is>
      </c>
      <c r="G816">
        <f>_xludf.IMAGE("https://www.shelhealth.com/cdn/shop/files/naturtint-permanent-hair-color-5n-light-chestnut-brown-5-28-oz-beauty-body-care-shelhealth-188.jpg?v=1686533265&amp;width=1946")</f>
        <v/>
      </c>
      <c r="H816">
        <f>_xludf.IMAGE("https://m.media-amazon.com/images/I/81Wrmq0FluL._AC_UL320_.jpg")</f>
        <v/>
      </c>
      <c r="K816" t="inlineStr">
        <is>
          <t>17.99</t>
        </is>
      </c>
      <c r="L816" t="n">
        <v>15.99</v>
      </c>
      <c r="M816" s="1" t="inlineStr">
        <is>
          <t>-11.12%</t>
        </is>
      </c>
      <c r="N816" s="3" t="n">
        <v>-11.12</v>
      </c>
      <c r="O816" t="n">
        <v>4.3</v>
      </c>
      <c r="P816" t="n">
        <v>9117</v>
      </c>
      <c r="R816" t="inlineStr">
        <is>
          <t>InStock</t>
        </is>
      </c>
      <c r="S816" t="inlineStr">
        <is>
          <t>17.99</t>
        </is>
      </c>
      <c r="T816" t="inlineStr">
        <is>
          <t>7241866576060</t>
        </is>
      </c>
    </row>
    <row r="817" hidden="1" ht="15.75" customHeight="1">
      <c r="A817" s="2">
        <f>HYPERLINK("https://www.shelhealth.com/products/666248001164-herbatint-permanent-hair-color-gel-5m-light-mahogany-chestnut-4-56-oz", "https://www.shelhealth.com/products/666248001164-herbatint-permanent-hair-color-gel-5m-light-mahogany-chestnut-4-56-oz")</f>
        <v/>
      </c>
      <c r="B817" s="2">
        <f>HYPERLINK("https://www.shelhealth.com/products/666248001164-herbatint-permanent-hair-color-gel-5m-light-mahogany-chestnut-4-56-oz", "https://www.shelhealth.com/products/666248001164-herbatint-permanent-hair-color-gel-5m-light-mahogany-chestnut-4-56-oz")</f>
        <v/>
      </c>
      <c r="C817" t="inlineStr">
        <is>
          <t>Herbatint Permanent Hair Color Gel 5M Light Mahogany Chestnut, 4.56 Oz</t>
        </is>
      </c>
      <c r="D817" t="inlineStr">
        <is>
          <t>Herbatint Permanent Haircolor Gel, 5C Light Ash Chestnut, Alcohol Free, Vegan, 100% Grey Coverage - 4.56 oz</t>
        </is>
      </c>
      <c r="E817" s="2">
        <f>HYPERLINK("https://www.amazon.com/Herbatint-Permanent-Herbal-Haircolour-Chestnut/dp/B00A2EZSYW/ref=sr_1_5?keywords=Herbatint+Permanent+Hair+Color+Gel+5M+Light+Mahogany+Chestnut%2C+4.56+Oz&amp;qid=1695170205&amp;sr=8-5", "https://www.amazon.com/Herbatint-Permanent-Herbal-Haircolour-Chestnut/dp/B00A2EZSYW/ref=sr_1_5?keywords=Herbatint+Permanent+Hair+Color+Gel+5M+Light+Mahogany+Chestnut%2C+4.56+Oz&amp;qid=1695170205&amp;sr=8-5")</f>
        <v/>
      </c>
      <c r="F817" t="inlineStr">
        <is>
          <t>B00A2EZSYW</t>
        </is>
      </c>
      <c r="G817">
        <f>_xludf.IMAGE("https://www.shelhealth.com/cdn/shop/files/herbatint-permanent-hair-color-gel-5m-light-mahogany-chestnut-4-56-oz-beauty-body-care-shelhealth-333.jpg?v=1693230037&amp;width=1946")</f>
        <v/>
      </c>
      <c r="H817">
        <f>_xludf.IMAGE("https://m.media-amazon.com/images/I/81icTT4BezL._AC_UL320_.jpg")</f>
        <v/>
      </c>
      <c r="K817" t="inlineStr">
        <is>
          <t>17.99</t>
        </is>
      </c>
      <c r="L817" t="n">
        <v>15.99</v>
      </c>
      <c r="M817" s="1" t="inlineStr">
        <is>
          <t>-11.12%</t>
        </is>
      </c>
      <c r="N817" s="3" t="n">
        <v>-11.12</v>
      </c>
      <c r="O817" t="n">
        <v>4.3</v>
      </c>
      <c r="P817" t="n">
        <v>9117</v>
      </c>
      <c r="R817" t="inlineStr">
        <is>
          <t>OutOfStock</t>
        </is>
      </c>
      <c r="S817" t="inlineStr">
        <is>
          <t>17.99</t>
        </is>
      </c>
      <c r="T817" t="inlineStr">
        <is>
          <t>7241699557564</t>
        </is>
      </c>
    </row>
    <row r="818" hidden="1" ht="15.75" customHeight="1">
      <c r="A818" s="2">
        <f>HYPERLINK("https://www.shelhealth.com/products/666248001157-herbatint-permanent-hair-color-gel-4m-mahogany-chestnut-4-56-oz", "https://www.shelhealth.com/products/666248001157-herbatint-permanent-hair-color-gel-4m-mahogany-chestnut-4-56-oz")</f>
        <v/>
      </c>
      <c r="B818" s="2">
        <f>HYPERLINK("https://www.shelhealth.com/products/666248001157-herbatint-permanent-hair-color-gel-4m-mahogany-chestnut-4-56-oz", "https://www.shelhealth.com/products/666248001157-herbatint-permanent-hair-color-gel-4m-mahogany-chestnut-4-56-oz")</f>
        <v/>
      </c>
      <c r="C818" t="inlineStr">
        <is>
          <t>Herbatint Permanent Hair Color Gel 4M Mahogany Chestnut, 4.56 Oz</t>
        </is>
      </c>
      <c r="D818" t="inlineStr">
        <is>
          <t>Herbatint Permanent Haircolor Gel, 4M Mahogany Chestnut, Alcohol Free, Vegan, 100% Grey Coverage - 4.56 oz</t>
        </is>
      </c>
      <c r="E818" s="2">
        <f>HYPERLINK("https://www.amazon.com/Herbatint-Color-Mahogany-Chestnut-Fluid/dp/B00014GBZI/ref=sr_1_1?keywords=Herbatint+Permanent+Hair+Color+Gel+4M+Mahogany+Chestnut%2C+4.56+Oz&amp;qid=1695170205&amp;sr=8-1", "https://www.amazon.com/Herbatint-Color-Mahogany-Chestnut-Fluid/dp/B00014GBZI/ref=sr_1_1?keywords=Herbatint+Permanent+Hair+Color+Gel+4M+Mahogany+Chestnut%2C+4.56+Oz&amp;qid=1695170205&amp;sr=8-1")</f>
        <v/>
      </c>
      <c r="F818" t="inlineStr">
        <is>
          <t>B00014GBZI</t>
        </is>
      </c>
      <c r="G818">
        <f>_xludf.IMAGE("https://www.shelhealth.com/cdn/shop/files/herbatint-permanent-hair-color-gel-4m-mahogany-chestnut-4-56-oz-beauty-body-care-shelhealth-126.jpg?v=1693230047&amp;width=1946")</f>
        <v/>
      </c>
      <c r="H818">
        <f>_xludf.IMAGE("https://m.media-amazon.com/images/I/81Qc4RG+vRL._AC_UL320_.jpg")</f>
        <v/>
      </c>
      <c r="K818" t="inlineStr">
        <is>
          <t>17.99</t>
        </is>
      </c>
      <c r="L818" t="n">
        <v>15.99</v>
      </c>
      <c r="M818" s="1" t="inlineStr">
        <is>
          <t>-11.12%</t>
        </is>
      </c>
      <c r="N818" s="3" t="n">
        <v>-11.12</v>
      </c>
      <c r="O818" t="n">
        <v>4.3</v>
      </c>
      <c r="P818" t="n">
        <v>9117</v>
      </c>
      <c r="R818" t="inlineStr">
        <is>
          <t>OutOfStock</t>
        </is>
      </c>
      <c r="S818" t="inlineStr">
        <is>
          <t>17.99</t>
        </is>
      </c>
      <c r="T818" t="inlineStr">
        <is>
          <t>7241699295420</t>
        </is>
      </c>
    </row>
    <row r="819" hidden="1" ht="15.75" customHeight="1">
      <c r="A819" s="2">
        <f>HYPERLINK("https://www.shelhealth.com/products/666248001164-herbatint-permanent-hair-color-gel-5m-light-mahogany-chestnut-4-56-oz", "https://www.shelhealth.com/products/666248001164-herbatint-permanent-hair-color-gel-5m-light-mahogany-chestnut-4-56-oz")</f>
        <v/>
      </c>
      <c r="B819" s="2">
        <f>HYPERLINK("https://www.shelhealth.com/products/666248001164-herbatint-permanent-hair-color-gel-5m-light-mahogany-chestnut-4-56-oz", "https://www.shelhealth.com/products/666248001164-herbatint-permanent-hair-color-gel-5m-light-mahogany-chestnut-4-56-oz")</f>
        <v/>
      </c>
      <c r="C819" t="inlineStr">
        <is>
          <t>Herbatint Permanent Hair Color Gel 5M Light Mahogany Chestnut, 4.56 Oz</t>
        </is>
      </c>
      <c r="D819" t="inlineStr">
        <is>
          <t>Herbatint Permanent Haircolor Gel, 5M Light Mahogany Chestnut, Alcohol Free, Vegan, 100% Grey Coverage - 4.56 oz</t>
        </is>
      </c>
      <c r="E819" s="2">
        <f>HYPERLINK("https://www.amazon.com/Herbatint-Permanent-Haircolor-Mahogany-Chestnut/dp/B0011DRY3G/ref=sr_1_1?keywords=Herbatint+Permanent+Hair+Color+Gel+5M+Light+Mahogany+Chestnut%2C+4.56+Oz&amp;qid=1695170205&amp;sr=8-1", "https://www.amazon.com/Herbatint-Permanent-Haircolor-Mahogany-Chestnut/dp/B0011DRY3G/ref=sr_1_1?keywords=Herbatint+Permanent+Hair+Color+Gel+5M+Light+Mahogany+Chestnut%2C+4.56+Oz&amp;qid=1695170205&amp;sr=8-1")</f>
        <v/>
      </c>
      <c r="F819" t="inlineStr">
        <is>
          <t>B0011DRY3G</t>
        </is>
      </c>
      <c r="G819">
        <f>_xludf.IMAGE("https://www.shelhealth.com/cdn/shop/files/herbatint-permanent-hair-color-gel-5m-light-mahogany-chestnut-4-56-oz-beauty-body-care-shelhealth-333.jpg?v=1693230037&amp;width=1946")</f>
        <v/>
      </c>
      <c r="H819">
        <f>_xludf.IMAGE("https://m.media-amazon.com/images/I/81IC0UJhiIL._AC_UL320_.jpg")</f>
        <v/>
      </c>
      <c r="K819" t="inlineStr">
        <is>
          <t>17.99</t>
        </is>
      </c>
      <c r="L819" t="n">
        <v>15.99</v>
      </c>
      <c r="M819" s="1" t="inlineStr">
        <is>
          <t>-11.12%</t>
        </is>
      </c>
      <c r="N819" s="3" t="n">
        <v>-11.12</v>
      </c>
      <c r="O819" t="n">
        <v>4.3</v>
      </c>
      <c r="P819" t="n">
        <v>1121</v>
      </c>
      <c r="R819" t="inlineStr">
        <is>
          <t>OutOfStock</t>
        </is>
      </c>
      <c r="S819" t="inlineStr">
        <is>
          <t>17.99</t>
        </is>
      </c>
      <c r="T819" t="inlineStr">
        <is>
          <t>7241699557564</t>
        </is>
      </c>
    </row>
    <row r="820" hidden="1" ht="15.75" customHeight="1">
      <c r="A820" s="2">
        <f>HYPERLINK("https://www.shelhealth.com/products/666248001119-herbatint-permanent-hair-color-gel-5d-light-golden-chestnut-4-56-oz", "https://www.shelhealth.com/products/666248001119-herbatint-permanent-hair-color-gel-5d-light-golden-chestnut-4-56-oz")</f>
        <v/>
      </c>
      <c r="B820" s="2">
        <f>HYPERLINK("https://www.shelhealth.com/products/666248001119-herbatint-permanent-hair-color-gel-5d-light-golden-chestnut-4-56-oz", "https://www.shelhealth.com/products/666248001119-herbatint-permanent-hair-color-gel-5d-light-golden-chestnut-4-56-oz")</f>
        <v/>
      </c>
      <c r="C820" t="inlineStr">
        <is>
          <t>Herbatint Permanent Hair Color Gel 5D Light Golden Chestnut, 4.56 Oz</t>
        </is>
      </c>
      <c r="D820" t="inlineStr">
        <is>
          <t>Herbatint Permanent Haircolor Gel, 5D Light Golden Chestnut, Alcohol Free, Vegan, 100% Grey Coverage - 4.56 oz</t>
        </is>
      </c>
      <c r="E820" s="2">
        <f>HYPERLINK("https://www.amazon.com/Herbatint-Permanent-Herbal-Haircolor-Chestnut/dp/B000S86OCM/ref=sr_1_1?keywords=Herbatint+Permanent+Hair+Color+Gel+5D+Light+Golden+Chestnut%2C+4.56+Oz&amp;qid=1695170207&amp;sr=8-1", "https://www.amazon.com/Herbatint-Permanent-Herbal-Haircolor-Chestnut/dp/B000S86OCM/ref=sr_1_1?keywords=Herbatint+Permanent+Hair+Color+Gel+5D+Light+Golden+Chestnut%2C+4.56+Oz&amp;qid=1695170207&amp;sr=8-1")</f>
        <v/>
      </c>
      <c r="F820" t="inlineStr">
        <is>
          <t>B000S86OCM</t>
        </is>
      </c>
      <c r="G820">
        <f>_xludf.IMAGE("https://www.shelhealth.com/cdn/shop/files/herbatint-permanent-hair-color-gel-5d-light-golden-chestnut-4-56-oz-beauty-body-care-shelhealth-320.jpg?v=1686528264&amp;width=1946")</f>
        <v/>
      </c>
      <c r="H820">
        <f>_xludf.IMAGE("https://m.media-amazon.com/images/I/81EpKvJbNyL._AC_UL320_.jpg")</f>
        <v/>
      </c>
      <c r="K820" t="inlineStr">
        <is>
          <t>17.99</t>
        </is>
      </c>
      <c r="L820" t="n">
        <v>15.99</v>
      </c>
      <c r="M820" s="1" t="inlineStr">
        <is>
          <t>-11.12%</t>
        </is>
      </c>
      <c r="N820" s="3" t="n">
        <v>-11.12</v>
      </c>
      <c r="O820" t="n">
        <v>4.3</v>
      </c>
      <c r="P820" t="n">
        <v>1121</v>
      </c>
      <c r="R820" t="inlineStr">
        <is>
          <t>InStock</t>
        </is>
      </c>
      <c r="S820" t="inlineStr">
        <is>
          <t>17.99</t>
        </is>
      </c>
      <c r="T820" t="inlineStr">
        <is>
          <t>7241699492028</t>
        </is>
      </c>
    </row>
    <row r="821" hidden="1" ht="15.75" customHeight="1">
      <c r="A821" s="2">
        <f>HYPERLINK("https://www.shelhealth.com/products/666248001119-herbatint-permanent-hair-color-gel-5d-light-golden-chestnut-4-56-oz", "https://www.shelhealth.com/products/666248001119-herbatint-permanent-hair-color-gel-5d-light-golden-chestnut-4-56-oz")</f>
        <v/>
      </c>
      <c r="B821" s="2">
        <f>HYPERLINK("https://www.shelhealth.com/products/666248001119-herbatint-permanent-hair-color-gel-5d-light-golden-chestnut-4-56-oz", "https://www.shelhealth.com/products/666248001119-herbatint-permanent-hair-color-gel-5d-light-golden-chestnut-4-56-oz")</f>
        <v/>
      </c>
      <c r="C821" t="inlineStr">
        <is>
          <t>Herbatint Permanent Hair Color Gel 5D Light Golden Chestnut, 4.56 Oz</t>
        </is>
      </c>
      <c r="D821" t="inlineStr">
        <is>
          <t>Herbatint Permanent Haircolor Gel, 5N Light Chestnut, Alcohol Free, Vegan, 100% Grey Coverage - 4.56 oz</t>
        </is>
      </c>
      <c r="E821" s="2">
        <f>HYPERLINK("https://www.amazon.com/Herbatint-Herbal-Haircolor-Permanent-Chestnut/dp/B00016X0AA/ref=sr_1_7?keywords=Herbatint+Permanent+Hair+Color+Gel+5D+Light+Golden+Chestnut%2C+4.56+Oz&amp;qid=1695170207&amp;sr=8-7", "https://www.amazon.com/Herbatint-Herbal-Haircolor-Permanent-Chestnut/dp/B00016X0AA/ref=sr_1_7?keywords=Herbatint+Permanent+Hair+Color+Gel+5D+Light+Golden+Chestnut%2C+4.56+Oz&amp;qid=1695170207&amp;sr=8-7")</f>
        <v/>
      </c>
      <c r="F821" t="inlineStr">
        <is>
          <t>B00016X0AA</t>
        </is>
      </c>
      <c r="G821">
        <f>_xludf.IMAGE("https://www.shelhealth.com/cdn/shop/files/herbatint-permanent-hair-color-gel-5d-light-golden-chestnut-4-56-oz-beauty-body-care-shelhealth-320.jpg?v=1686528264&amp;width=1946")</f>
        <v/>
      </c>
      <c r="H821">
        <f>_xludf.IMAGE("https://m.media-amazon.com/images/I/81Wrmq0FluL._AC_UL320_.jpg")</f>
        <v/>
      </c>
      <c r="K821" t="inlineStr">
        <is>
          <t>17.99</t>
        </is>
      </c>
      <c r="L821" t="n">
        <v>15.99</v>
      </c>
      <c r="M821" s="1" t="inlineStr">
        <is>
          <t>-11.12%</t>
        </is>
      </c>
      <c r="N821" s="3" t="n">
        <v>-11.12</v>
      </c>
      <c r="O821" t="n">
        <v>4.3</v>
      </c>
      <c r="P821" t="n">
        <v>9117</v>
      </c>
      <c r="R821" t="inlineStr">
        <is>
          <t>InStock</t>
        </is>
      </c>
      <c r="S821" t="inlineStr">
        <is>
          <t>17.99</t>
        </is>
      </c>
      <c r="T821" t="inlineStr">
        <is>
          <t>7241699492028</t>
        </is>
      </c>
    </row>
    <row r="822" hidden="1" ht="15.75" customHeight="1">
      <c r="A822" s="2">
        <f>HYPERLINK("https://www.shelhealth.com/products/666248001157-herbatint-permanent-hair-color-gel-4m-mahogany-chestnut-4-56-oz", "https://www.shelhealth.com/products/666248001157-herbatint-permanent-hair-color-gel-4m-mahogany-chestnut-4-56-oz")</f>
        <v/>
      </c>
      <c r="B822" s="2">
        <f>HYPERLINK("https://www.shelhealth.com/products/666248001157-herbatint-permanent-hair-color-gel-4m-mahogany-chestnut-4-56-oz", "https://www.shelhealth.com/products/666248001157-herbatint-permanent-hair-color-gel-4m-mahogany-chestnut-4-56-oz")</f>
        <v/>
      </c>
      <c r="C822" t="inlineStr">
        <is>
          <t>Herbatint Permanent Hair Color Gel 4M Mahogany Chestnut, 4.56 Oz</t>
        </is>
      </c>
      <c r="D822" t="inlineStr">
        <is>
          <t>Herbatint Permanent Haircolor Gel, 5M Light Mahogany Chestnut, Alcohol Free, Vegan, 100% Grey Coverage - 4.56 oz</t>
        </is>
      </c>
      <c r="E822" s="2">
        <f>HYPERLINK("https://www.amazon.com/Herbatint-Permanent-Haircolor-Mahogany-Chestnut/dp/B0011DRY3G/ref=sr_1_2?keywords=Herbatint+Permanent+Hair+Color+Gel+4M+Mahogany+Chestnut%2C+4.56+Oz&amp;qid=1695170205&amp;sr=8-2", "https://www.amazon.com/Herbatint-Permanent-Haircolor-Mahogany-Chestnut/dp/B0011DRY3G/ref=sr_1_2?keywords=Herbatint+Permanent+Hair+Color+Gel+4M+Mahogany+Chestnut%2C+4.56+Oz&amp;qid=1695170205&amp;sr=8-2")</f>
        <v/>
      </c>
      <c r="F822" t="inlineStr">
        <is>
          <t>B0011DRY3G</t>
        </is>
      </c>
      <c r="G822">
        <f>_xludf.IMAGE("https://www.shelhealth.com/cdn/shop/files/herbatint-permanent-hair-color-gel-4m-mahogany-chestnut-4-56-oz-beauty-body-care-shelhealth-126.jpg?v=1693230047&amp;width=1946")</f>
        <v/>
      </c>
      <c r="H822">
        <f>_xludf.IMAGE("https://m.media-amazon.com/images/I/81IC0UJhiIL._AC_UL320_.jpg")</f>
        <v/>
      </c>
      <c r="K822" t="inlineStr">
        <is>
          <t>17.99</t>
        </is>
      </c>
      <c r="L822" t="n">
        <v>15.99</v>
      </c>
      <c r="M822" s="1" t="inlineStr">
        <is>
          <t>-11.12%</t>
        </is>
      </c>
      <c r="N822" s="3" t="n">
        <v>-11.12</v>
      </c>
      <c r="O822" t="n">
        <v>4.3</v>
      </c>
      <c r="P822" t="n">
        <v>1121</v>
      </c>
      <c r="R822" t="inlineStr">
        <is>
          <t>OutOfStock</t>
        </is>
      </c>
      <c r="S822" t="inlineStr">
        <is>
          <t>17.99</t>
        </is>
      </c>
      <c r="T822" t="inlineStr">
        <is>
          <t>7241699295420</t>
        </is>
      </c>
    </row>
    <row r="823" hidden="1" ht="15.75" customHeight="1">
      <c r="A823" s="2">
        <f>HYPERLINK("https://www.shelhealth.com/products/716237184115-giovanni-cosmetics-2chic-ultra-sleek-shampoo-brazilian-keratin-argan-oil-24-oz", "https://www.shelhealth.com/products/716237184115-giovanni-cosmetics-2chic-ultra-sleek-shampoo-brazilian-keratin-argan-oil-24-oz")</f>
        <v/>
      </c>
      <c r="B823" s="2">
        <f>HYPERLINK("https://www.shelhealth.com/products/716237184115-giovanni-cosmetics-2chic-ultra-sleek-shampoo-brazilian-keratin-argan-oil-24-oz", "https://www.shelhealth.com/products/716237184115-giovanni-cosmetics-2chic-ultra-sleek-shampoo-brazilian-keratin-argan-oil-24-oz")</f>
        <v/>
      </c>
      <c r="C823" t="inlineStr">
        <is>
          <t>Giovanni Cosmetics 2Chic Ultra-Sleek Shampoo Brazilian Keratin &amp; Argan Oil, 24 Oz</t>
        </is>
      </c>
      <c r="D823" t="inlineStr">
        <is>
          <t>GIOVANNI 2chic Ultra-Sleek Shampoo - Brazilian Phyto-Keratin &amp; Moroccan Argan Oil, Anti-Frizz Formula, Coconut, Shea Butter, Pro-Vitamin B5, Color Safe, Paraben Free - 24 oz</t>
        </is>
      </c>
      <c r="E823" s="2">
        <f>HYPERLINK("https://www.amazon.com/Giovanni-Brazilian-Keratin-Ultra-Sleek-Shampoo/dp/B009V0Z4T2/ref=sr_1_3?keywords=Giovanni+Cosmetics+2Chic+Ultra-Sleek+Shampoo+Brazilian+Keratin&amp;qid=1695170184&amp;sr=8-3", "https://www.amazon.com/Giovanni-Brazilian-Keratin-Ultra-Sleek-Shampoo/dp/B009V0Z4T2/ref=sr_1_3?keywords=Giovanni+Cosmetics+2Chic+Ultra-Sleek+Shampoo+Brazilian+Keratin&amp;qid=1695170184&amp;sr=8-3")</f>
        <v/>
      </c>
      <c r="F823" t="inlineStr">
        <is>
          <t>B009V0Z4T2</t>
        </is>
      </c>
      <c r="G823">
        <f>_xludf.IMAGE("https://www.shelhealth.com/cdn/shop/files/giovanni-cosmetics-2chic-ultra-sleek-shampoo-brazilian-keratin-argan-oil-24-oz-beauty-body-care-shelhealth-161.jpg?v=1690659053&amp;width=1946")</f>
        <v/>
      </c>
      <c r="H823">
        <f>_xludf.IMAGE("https://m.media-amazon.com/images/I/61s62SyMR8L._AC_UL320_.jpg")</f>
        <v/>
      </c>
      <c r="K823" t="inlineStr">
        <is>
          <t>17.99</t>
        </is>
      </c>
      <c r="L823" t="n">
        <v>15.99</v>
      </c>
      <c r="M823" s="1" t="inlineStr">
        <is>
          <t>-11.12%</t>
        </is>
      </c>
      <c r="N823" s="3" t="n">
        <v>-11.12</v>
      </c>
      <c r="O823" t="n">
        <v>4.5</v>
      </c>
      <c r="P823" t="n">
        <v>737</v>
      </c>
      <c r="R823" t="inlineStr">
        <is>
          <t>InStock</t>
        </is>
      </c>
      <c r="S823" t="inlineStr">
        <is>
          <t>17.99</t>
        </is>
      </c>
      <c r="T823" t="inlineStr">
        <is>
          <t>7241658335420</t>
        </is>
      </c>
    </row>
    <row r="824" hidden="1" ht="15.75" customHeight="1">
      <c r="A824" s="2">
        <f>HYPERLINK("https://www.shelhealth.com/products/666248001157-herbatint-permanent-hair-color-gel-4m-mahogany-chestnut-4-56-oz", "https://www.shelhealth.com/products/666248001157-herbatint-permanent-hair-color-gel-4m-mahogany-chestnut-4-56-oz")</f>
        <v/>
      </c>
      <c r="B824" s="2">
        <f>HYPERLINK("https://www.shelhealth.com/products/666248001157-herbatint-permanent-hair-color-gel-4m-mahogany-chestnut-4-56-oz", "https://www.shelhealth.com/products/666248001157-herbatint-permanent-hair-color-gel-4m-mahogany-chestnut-4-56-oz")</f>
        <v/>
      </c>
      <c r="C824" t="inlineStr">
        <is>
          <t>Herbatint Permanent Hair Color Gel 4M Mahogany Chestnut, 4.56 Oz</t>
        </is>
      </c>
      <c r="D824" t="inlineStr">
        <is>
          <t>Herbatint Permanent Hair Color Gel, 4d Golden Chestnut, 4 Oz (095216)</t>
        </is>
      </c>
      <c r="E824" s="2">
        <f>HYPERLINK("https://www.amazon.com/Herbatint-Permanent-Herbal-Haircolor-Chestnut/dp/B00016X06O/ref=sr_1_7?keywords=Herbatint+Permanent+Hair+Color+Gel+4M+Mahogany+Chestnut%2C+4.56+Oz&amp;qid=1695170205&amp;sr=8-7", "https://www.amazon.com/Herbatint-Permanent-Herbal-Haircolor-Chestnut/dp/B00016X06O/ref=sr_1_7?keywords=Herbatint+Permanent+Hair+Color+Gel+4M+Mahogany+Chestnut%2C+4.56+Oz&amp;qid=1695170205&amp;sr=8-7")</f>
        <v/>
      </c>
      <c r="F824" t="inlineStr">
        <is>
          <t>B00016X06O</t>
        </is>
      </c>
      <c r="G824">
        <f>_xludf.IMAGE("https://www.shelhealth.com/cdn/shop/files/herbatint-permanent-hair-color-gel-4m-mahogany-chestnut-4-56-oz-beauty-body-care-shelhealth-126.jpg?v=1693230047&amp;width=1946")</f>
        <v/>
      </c>
      <c r="H824">
        <f>_xludf.IMAGE("https://m.media-amazon.com/images/I/81HJuii+zLL._AC_UL320_.jpg")</f>
        <v/>
      </c>
      <c r="K824" t="inlineStr">
        <is>
          <t>17.99</t>
        </is>
      </c>
      <c r="L824" t="n">
        <v>15.99</v>
      </c>
      <c r="M824" s="1" t="inlineStr">
        <is>
          <t>-11.12%</t>
        </is>
      </c>
      <c r="N824" s="3" t="n">
        <v>-11.12</v>
      </c>
      <c r="O824" t="n">
        <v>4.5</v>
      </c>
      <c r="P824" t="n">
        <v>103</v>
      </c>
      <c r="R824" t="inlineStr">
        <is>
          <t>OutOfStock</t>
        </is>
      </c>
      <c r="S824" t="inlineStr">
        <is>
          <t>17.99</t>
        </is>
      </c>
      <c r="T824" t="inlineStr">
        <is>
          <t>7241699295420</t>
        </is>
      </c>
    </row>
    <row r="825" hidden="1" ht="15.75" customHeight="1">
      <c r="A825" s="2">
        <f>HYPERLINK("https://www.shelhealth.com/products/666248001157-herbatint-permanent-hair-color-gel-4m-mahogany-chestnut-4-56-oz", "https://www.shelhealth.com/products/666248001157-herbatint-permanent-hair-color-gel-4m-mahogany-chestnut-4-56-oz")</f>
        <v/>
      </c>
      <c r="B825" s="2">
        <f>HYPERLINK("https://www.shelhealth.com/products/666248001157-herbatint-permanent-hair-color-gel-4m-mahogany-chestnut-4-56-oz", "https://www.shelhealth.com/products/666248001157-herbatint-permanent-hair-color-gel-4m-mahogany-chestnut-4-56-oz")</f>
        <v/>
      </c>
      <c r="C825" t="inlineStr">
        <is>
          <t>Herbatint Permanent Hair Color Gel 4M Mahogany Chestnut, 4.56 Oz</t>
        </is>
      </c>
      <c r="D825" t="inlineStr">
        <is>
          <t>Herbatint Permanent Haircolor Gel, 4C Ash Chestnut, Alcohol Free, Vegan, 100% Grey Coverage - 4.56 oz</t>
        </is>
      </c>
      <c r="E825" s="2">
        <f>HYPERLINK("https://www.amazon.com/Herbatint-Hair-Dye-Ash-Chestnut/dp/B002DY7GTE/ref=sr_1_9?keywords=Herbatint+Permanent+Hair+Color+Gel+4M+Mahogany+Chestnut%2C+4.56+Oz&amp;qid=1695170205&amp;sr=8-9", "https://www.amazon.com/Herbatint-Hair-Dye-Ash-Chestnut/dp/B002DY7GTE/ref=sr_1_9?keywords=Herbatint+Permanent+Hair+Color+Gel+4M+Mahogany+Chestnut%2C+4.56+Oz&amp;qid=1695170205&amp;sr=8-9")</f>
        <v/>
      </c>
      <c r="F825" t="inlineStr">
        <is>
          <t>B002DY7GTE</t>
        </is>
      </c>
      <c r="G825">
        <f>_xludf.IMAGE("https://www.shelhealth.com/cdn/shop/files/herbatint-permanent-hair-color-gel-4m-mahogany-chestnut-4-56-oz-beauty-body-care-shelhealth-126.jpg?v=1693230047&amp;width=1946")</f>
        <v/>
      </c>
      <c r="H825">
        <f>_xludf.IMAGE("https://m.media-amazon.com/images/I/81HBZmWIj-L._AC_UL320_.jpg")</f>
        <v/>
      </c>
      <c r="K825" t="inlineStr">
        <is>
          <t>17.99</t>
        </is>
      </c>
      <c r="L825" t="n">
        <v>15.99</v>
      </c>
      <c r="M825" s="1" t="inlineStr">
        <is>
          <t>-11.12%</t>
        </is>
      </c>
      <c r="N825" s="3" t="n">
        <v>-11.12</v>
      </c>
      <c r="O825" t="n">
        <v>4.3</v>
      </c>
      <c r="P825" t="n">
        <v>542</v>
      </c>
      <c r="R825" t="inlineStr">
        <is>
          <t>OutOfStock</t>
        </is>
      </c>
      <c r="S825" t="inlineStr">
        <is>
          <t>17.99</t>
        </is>
      </c>
      <c r="T825" t="inlineStr">
        <is>
          <t>7241699295420</t>
        </is>
      </c>
    </row>
    <row r="826" hidden="1" ht="15.75" customHeight="1">
      <c r="A826" s="2">
        <f>HYPERLINK("https://www.shelhealth.com/products/661176010127-naturtint-permanent-hair-color-8g-sandy-golden-blonde-5-28-oz", "https://www.shelhealth.com/products/661176010127-naturtint-permanent-hair-color-8g-sandy-golden-blonde-5-28-oz")</f>
        <v/>
      </c>
      <c r="B826" s="2">
        <f>HYPERLINK("https://www.shelhealth.com/products/661176010127-naturtint-permanent-hair-color-8g-sandy-golden-blonde-5-28-oz", "https://www.shelhealth.com/products/661176010127-naturtint-permanent-hair-color-8g-sandy-golden-blonde-5-28-oz")</f>
        <v/>
      </c>
      <c r="C826" t="inlineStr">
        <is>
          <t>Naturtint Permanent Hair Color 8G Sandy Golden Blonde, 5.28 Oz</t>
        </is>
      </c>
      <c r="D826" t="inlineStr">
        <is>
          <t>Phergal Naturtint Hair Color Permanent, 8G Sandy Golden Blonde, 5.28 Ounce</t>
        </is>
      </c>
      <c r="E826" s="2">
        <f>HYPERLINK("https://www.amazon.com/Phergal-Naturtint-Permanent-Golden-Blonde/dp/B002MZTVR4/ref=sr_1_2?keywords=Naturtint+Permanent+Hair+Color+8G+Sandy+Golden+Blonde%2C+5.28+Oz&amp;qid=1695170200&amp;sr=8-2", "https://www.amazon.com/Phergal-Naturtint-Permanent-Golden-Blonde/dp/B002MZTVR4/ref=sr_1_2?keywords=Naturtint+Permanent+Hair+Color+8G+Sandy+Golden+Blonde%2C+5.28+Oz&amp;qid=1695170200&amp;sr=8-2")</f>
        <v/>
      </c>
      <c r="F826" t="inlineStr">
        <is>
          <t>B002MZTVR4</t>
        </is>
      </c>
      <c r="G826">
        <f>_xludf.IMAGE("https://www.shelhealth.com/cdn/shop/files/naturtint-permanent-hair-color-8g-sandy-golden-blonde-5-28-oz-beauty-body-care-shelhealth-148.jpg?v=1686533299&amp;width=1946")</f>
        <v/>
      </c>
      <c r="H826">
        <f>_xludf.IMAGE("https://m.media-amazon.com/images/I/811wIqV8BRL._AC_UL320_.jpg")</f>
        <v/>
      </c>
      <c r="K826" t="inlineStr">
        <is>
          <t>17.99</t>
        </is>
      </c>
      <c r="L826" t="n">
        <v>15.99</v>
      </c>
      <c r="M826" s="1" t="inlineStr">
        <is>
          <t>-11.12%</t>
        </is>
      </c>
      <c r="N826" s="3" t="n">
        <v>-11.12</v>
      </c>
      <c r="O826" t="n">
        <v>4.4</v>
      </c>
      <c r="P826" t="n">
        <v>9436</v>
      </c>
      <c r="R826" t="inlineStr">
        <is>
          <t>InStock</t>
        </is>
      </c>
      <c r="S826" t="inlineStr">
        <is>
          <t>17.99</t>
        </is>
      </c>
      <c r="T826" t="inlineStr">
        <is>
          <t>7241867362492</t>
        </is>
      </c>
    </row>
    <row r="827" hidden="1" ht="15.75" customHeight="1">
      <c r="A827" s="2">
        <f>HYPERLINK("https://www.shelhealth.com/products/axe-hair-2-in-1-shampoo-and-conditioner-phoenix-28-fluid-ounce-pack-of-2", "https://www.shelhealth.com/products/axe-hair-2-in-1-shampoo-and-conditioner-phoenix-28-fluid-ounce-pack-of-2")</f>
        <v/>
      </c>
      <c r="B827" s="2">
        <f>HYPERLINK("https://www.shelhealth.com/products/axe-hair-2-in-1-shampoo-and-conditioner-phoenix-28-fluid-ounce-pack-of-2", "https://www.shelhealth.com/products/axe-hair-2-in-1-shampoo-and-conditioner-phoenix-28-fluid-ounce-pack-of-2")</f>
        <v/>
      </c>
      <c r="C827" t="inlineStr">
        <is>
          <t>Axe Hair 2-in-1 Shampoo and Conditioner, Phoenix, 28 Fluid Ounce (Pack of 2)</t>
        </is>
      </c>
      <c r="D827" t="inlineStr">
        <is>
          <t>Axe Hair 2-in-1 Shampoo and Conditioner, Phoenix, 16 Fluid Ounce (Pack of 2)</t>
        </is>
      </c>
      <c r="E827" s="2">
        <f>HYPERLINK("https://www.amazon.com/Shampoo-Conditioner-Phoenix-Fluid-Ounce/dp/B07XF9CZ9D/ref=sr_1_1?keywords=Axe+Hair+2-in-1+Shampoo+and+Conditioner%2C+Phoenix%2C+28+Fluid+Ounce+%28Pack+of+2%29&amp;qid=1695170162&amp;sr=8-1", "https://www.amazon.com/Shampoo-Conditioner-Phoenix-Fluid-Ounce/dp/B07XF9CZ9D/ref=sr_1_1?keywords=Axe+Hair+2-in-1+Shampoo+and+Conditioner%2C+Phoenix%2C+28+Fluid+Ounce+%28Pack+of+2%29&amp;qid=1695170162&amp;sr=8-1")</f>
        <v/>
      </c>
      <c r="F827" t="inlineStr">
        <is>
          <t>B07XF9CZ9D</t>
        </is>
      </c>
      <c r="G827">
        <f>_xludf.IMAGE("https://www.shelhealth.com/cdn/shop/products/axe-hair-2-in-1-shampoo-and-conditioner-phoenix-28-fluid-ounce-pack-of-shelhealth-300.jpg?v=1663371267&amp;width=1946")</f>
        <v/>
      </c>
      <c r="H827">
        <f>_xludf.IMAGE("https://m.media-amazon.com/images/I/81vpDURoeRS._AC_UL320_.jpg")</f>
        <v/>
      </c>
      <c r="K827" t="inlineStr">
        <is>
          <t>18.99</t>
        </is>
      </c>
      <c r="L827" t="n">
        <v>16.76</v>
      </c>
      <c r="M827" s="1" t="inlineStr">
        <is>
          <t>-11.74%</t>
        </is>
      </c>
      <c r="N827" s="3" t="n">
        <v>-11.74</v>
      </c>
      <c r="O827" t="n">
        <v>4.7</v>
      </c>
      <c r="P827" t="n">
        <v>419</v>
      </c>
      <c r="R827" t="inlineStr">
        <is>
          <t>InStock</t>
        </is>
      </c>
      <c r="S827" t="inlineStr">
        <is>
          <t>18.99</t>
        </is>
      </c>
      <c r="T827" t="inlineStr">
        <is>
          <t>4670832083033</t>
        </is>
      </c>
    </row>
    <row r="828" hidden="1" ht="15.75" customHeight="1">
      <c r="A828" s="2">
        <f>HYPERLINK("https://www.shelhealth.com/products/love-beauty-and-planet-blooming-color-conditioner-for-color-treated-hair-murumuru-butter-rose-22-oz", "https://www.shelhealth.com/products/love-beauty-and-planet-blooming-color-conditioner-for-color-treated-hair-murumuru-butter-rose-22-oz")</f>
        <v/>
      </c>
      <c r="B828" s="2">
        <f>HYPERLINK("https://www.shelhealth.com/products/love-beauty-and-planet-blooming-color-conditioner-for-color-treated-hair-murumuru-butter-rose-22-oz", "https://www.shelhealth.com/products/love-beauty-and-planet-blooming-color-conditioner-for-color-treated-hair-murumuru-butter-rose-22-oz")</f>
        <v/>
      </c>
      <c r="C828" t="inlineStr">
        <is>
          <t>Love Beauty and Planet Conditioner Blooming Color Murumuru Butter &amp; Rose, 22 FL OZ</t>
        </is>
      </c>
      <c r="D828" t="inlineStr">
        <is>
          <t>Love Beauty And Planet Blooming Hair Conditioner for Color Treated Hair Murumuru Butter &amp; Rose Paraben &amp; Silicone Free &amp; Vegan Hair Care, 32.3 Fl Oz</t>
        </is>
      </c>
      <c r="E828" s="2">
        <f>HYPERLINK("https://www.amazon.com/Love-Beauty-Planet-Blooming-Conditioner/dp/B086CN5N4K/ref=sr_1_3?keywords=Love+Beauty+and+Planet+Conditioner+Blooming+Color+Murumuru+Butter&amp;qid=1695170238&amp;sr=8-3", "https://www.amazon.com/Love-Beauty-Planet-Blooming-Conditioner/dp/B086CN5N4K/ref=sr_1_3?keywords=Love+Beauty+and+Planet+Conditioner+Blooming+Color+Murumuru+Butter&amp;qid=1695170238&amp;sr=8-3")</f>
        <v/>
      </c>
      <c r="F828" t="inlineStr">
        <is>
          <t>B086CN5N4K</t>
        </is>
      </c>
      <c r="G828">
        <f>_xludf.IMAGE("https://www.shelhealth.com/cdn/shop/products/love-beauty-and-planet-conditioner-blooming-color-murumuru-butter-rose-22-fl-oz-shelhealth-412.jpg?v=1663360343&amp;width=1946")</f>
        <v/>
      </c>
      <c r="H828">
        <f>_xludf.IMAGE("https://m.media-amazon.com/images/I/71po18msnbL._AC_UL320_.jpg")</f>
        <v/>
      </c>
      <c r="K828" t="inlineStr">
        <is>
          <t>16.99</t>
        </is>
      </c>
      <c r="L828" t="n">
        <v>14.99</v>
      </c>
      <c r="M828" s="1" t="inlineStr">
        <is>
          <t>-11.77%</t>
        </is>
      </c>
      <c r="N828" s="3" t="n">
        <v>-11.77</v>
      </c>
      <c r="O828" t="n">
        <v>4.7</v>
      </c>
      <c r="P828" t="n">
        <v>1176</v>
      </c>
      <c r="R828" t="inlineStr">
        <is>
          <t>OutOfStock</t>
        </is>
      </c>
      <c r="S828" t="inlineStr">
        <is>
          <t>16.99</t>
        </is>
      </c>
      <c r="T828" t="inlineStr">
        <is>
          <t>4417498546265</t>
        </is>
      </c>
    </row>
    <row r="829" hidden="1" ht="15.75" customHeight="1">
      <c r="A829" s="2">
        <f>HYPERLINK("https://www.shelhealth.com/products/dove-anti-frizz-oil-therapy-shampoo-conditioner-40-oz", "https://www.shelhealth.com/products/dove-anti-frizz-oil-therapy-shampoo-conditioner-40-oz")</f>
        <v/>
      </c>
      <c r="B829" s="2">
        <f>HYPERLINK("https://www.shelhealth.com/products/dove-anti-frizz-oil-therapy-shampoo-conditioner-40-oz", "https://www.shelhealth.com/products/dove-anti-frizz-oil-therapy-shampoo-conditioner-40-oz")</f>
        <v/>
      </c>
      <c r="C829" t="inlineStr">
        <is>
          <t>Dove Anti-Frizz Oil Therapy Shampoo &amp; Conditioner - 40 oz</t>
        </is>
      </c>
      <c r="D829" t="inlineStr">
        <is>
          <t>Dove Anti-Frizz Oil Therapy Shampoo With Almond Oil 12 oz ( Pack of 3)</t>
        </is>
      </c>
      <c r="E829" s="2">
        <f>HYPERLINK("https://www.amazon.com/Dove-Anti-Frizz-Therapy-Shampoo-Almond/dp/B00GLBIEU0/ref=sr_1_7?keywords=Dove+Anti-Frizz+Oil+Therapy+Shampoo&amp;qid=1695170236&amp;sr=8-7", "https://www.amazon.com/Dove-Anti-Frizz-Therapy-Shampoo-Almond/dp/B00GLBIEU0/ref=sr_1_7?keywords=Dove+Anti-Frizz+Oil+Therapy+Shampoo&amp;qid=1695170236&amp;sr=8-7")</f>
        <v/>
      </c>
      <c r="F829" t="inlineStr">
        <is>
          <t>B00GLBIEU0</t>
        </is>
      </c>
      <c r="G829">
        <f>_xludf.IMAGE("https://www.shelhealth.com/cdn/shop/products/dove-anti-frizz-oil-therapy-shampoo-conditioner-40-oz-shelhealth-636.jpg?v=1663749796&amp;width=1946")</f>
        <v/>
      </c>
      <c r="H829">
        <f>_xludf.IMAGE("https://m.media-amazon.com/images/I/41Uxu7uYEZL._AC_UL320_.jpg")</f>
        <v/>
      </c>
      <c r="K829" t="inlineStr">
        <is>
          <t>25.99</t>
        </is>
      </c>
      <c r="L829" t="n">
        <v>22.9</v>
      </c>
      <c r="M829" s="1" t="inlineStr">
        <is>
          <t>-11.89%</t>
        </is>
      </c>
      <c r="N829" s="3" t="n">
        <v>-11.89</v>
      </c>
      <c r="O829" t="n">
        <v>4.5</v>
      </c>
      <c r="P829" t="n">
        <v>5</v>
      </c>
      <c r="R829" t="inlineStr">
        <is>
          <t>InStock</t>
        </is>
      </c>
      <c r="S829" t="inlineStr">
        <is>
          <t>25.99</t>
        </is>
      </c>
      <c r="T829" t="inlineStr">
        <is>
          <t>7506504581352</t>
        </is>
      </c>
    </row>
    <row r="830" hidden="1" ht="15.75" customHeight="1">
      <c r="A830" s="2">
        <f>HYPERLINK("https://www.shelhealth.com/products/maui-moisture-heal-hydrate-shea-butter-shampoo-conditioner-set-19-5-ounce", "https://www.shelhealth.com/products/maui-moisture-heal-hydrate-shea-butter-shampoo-conditioner-set-19-5-ounce")</f>
        <v/>
      </c>
      <c r="B830" s="2">
        <f>HYPERLINK("https://www.shelhealth.com/products/maui-moisture-heal-hydrate-shea-butter-shampoo-conditioner-set-19-5-ounce", "https://www.shelhealth.com/products/maui-moisture-heal-hydrate-shea-butter-shampoo-conditioner-set-19-5-ounce")</f>
        <v/>
      </c>
      <c r="C830" t="inlineStr">
        <is>
          <t>Maui Moisture Heal &amp; Hydrate Shea Butter Shampoo &amp; Conditioner Set 19.5 Ounce</t>
        </is>
      </c>
      <c r="D830" t="inlineStr">
        <is>
          <t>Maui Moisture Heal &amp; Hydrate + Shea Butter Shampoo Heal &amp; Hydrate + Shea Butter Hair Mask &amp; Leave-In Conditioner Treatment to Deeply Nour</t>
        </is>
      </c>
      <c r="E830" s="2">
        <f>HYPERLINK("https://www.amazon.com/Maui-Moisture-Hydrate-Conditioner-Treatment/dp/B09MH8X7ZS/ref=sr_1_10?keywords=Maui+Moisture+Heal&amp;qid=1695170174&amp;sr=8-10", "https://www.amazon.com/Maui-Moisture-Hydrate-Conditioner-Treatment/dp/B09MH8X7ZS/ref=sr_1_10?keywords=Maui+Moisture+Heal&amp;qid=1695170174&amp;sr=8-10")</f>
        <v/>
      </c>
      <c r="F830" t="inlineStr">
        <is>
          <t>B09MH8X7ZS</t>
        </is>
      </c>
      <c r="G830">
        <f>_xludf.IMAGE("https://www.shelhealth.com/cdn/shop/products/maui-moisture-heal-hydrate-shea-butter-shampoo-conditioner-set-19-5-ounce-shelhealth-141.jpg?v=1663361941&amp;width=1946")</f>
        <v/>
      </c>
      <c r="H830">
        <f>_xludf.IMAGE("https://m.media-amazon.com/images/I/51u9XCIX14L._AC_UL320_.jpg")</f>
        <v/>
      </c>
      <c r="K830" t="inlineStr">
        <is>
          <t>18.99</t>
        </is>
      </c>
      <c r="L830" t="n">
        <v>16.68</v>
      </c>
      <c r="M830" s="1" t="inlineStr">
        <is>
          <t>-12.16%</t>
        </is>
      </c>
      <c r="N830" s="3" t="n">
        <v>-12.16</v>
      </c>
      <c r="O830" t="n">
        <v>5</v>
      </c>
      <c r="P830" t="n">
        <v>3</v>
      </c>
      <c r="R830" t="inlineStr">
        <is>
          <t>OutOfStock</t>
        </is>
      </c>
      <c r="S830" t="inlineStr">
        <is>
          <t>18.99</t>
        </is>
      </c>
      <c r="T830" t="inlineStr">
        <is>
          <t>4437350350937</t>
        </is>
      </c>
    </row>
    <row r="831" hidden="1" ht="15.75" customHeight="1">
      <c r="A831" s="2">
        <f>HYPERLINK("https://www.shelhealth.com/products/654749351260-avalon-organics-shampoo-nourishing-lavender-32-oz", "https://www.shelhealth.com/products/654749351260-avalon-organics-shampoo-nourishing-lavender-32-oz")</f>
        <v/>
      </c>
      <c r="B831" s="2">
        <f>HYPERLINK("https://www.shelhealth.com/products/654749351260-avalon-organics-shampoo-nourishing-lavender-32-oz", "https://www.shelhealth.com/products/654749351260-avalon-organics-shampoo-nourishing-lavender-32-oz")</f>
        <v/>
      </c>
      <c r="C831" t="inlineStr">
        <is>
          <t>Avalon Organics Shampoo Nourishing Lavender, 32 Oz</t>
        </is>
      </c>
      <c r="D831" t="inlineStr">
        <is>
          <t>Avalon Organics Lavender Nourishing Shampoo &amp; Conditioner Duo, 11 oz</t>
        </is>
      </c>
      <c r="E831" s="2">
        <f>HYPERLINK("https://www.amazon.com/Avalon-Organics-Lavender-Nourishing-Conditioner/dp/B00PHVORLA/ref=sr_1_8?keywords=Avalon+Organics+Shampoo+Nourishing+Lavender%2C+32+Oz&amp;qid=1695170186&amp;sr=8-8", "https://www.amazon.com/Avalon-Organics-Lavender-Nourishing-Conditioner/dp/B00PHVORLA/ref=sr_1_8?keywords=Avalon+Organics+Shampoo+Nourishing+Lavender%2C+32+Oz&amp;qid=1695170186&amp;sr=8-8")</f>
        <v/>
      </c>
      <c r="F831" t="inlineStr">
        <is>
          <t>B00PHVORLA</t>
        </is>
      </c>
      <c r="G831">
        <f>_xludf.IMAGE("https://www.shelhealth.com/cdn/shop/files/avalon-organics-shampoo-nourishing-lavender-32-oz-beauty-body-care-shelhealth-457.jpg?v=1686522170&amp;width=1946")</f>
        <v/>
      </c>
      <c r="H831">
        <f>_xludf.IMAGE("https://m.media-amazon.com/images/I/61ojQMMMvSL._AC_UL320_.jpg")</f>
        <v/>
      </c>
      <c r="K831" t="inlineStr">
        <is>
          <t>21.99</t>
        </is>
      </c>
      <c r="L831" t="n">
        <v>19.29</v>
      </c>
      <c r="M831" s="1" t="inlineStr">
        <is>
          <t>-12.28%</t>
        </is>
      </c>
      <c r="N831" s="3" t="n">
        <v>-12.28</v>
      </c>
      <c r="O831" t="n">
        <v>4.1</v>
      </c>
      <c r="P831" t="n">
        <v>846</v>
      </c>
      <c r="R831" t="inlineStr">
        <is>
          <t>InStock</t>
        </is>
      </c>
      <c r="S831" t="inlineStr">
        <is>
          <t>21.99</t>
        </is>
      </c>
      <c r="T831" t="inlineStr">
        <is>
          <t>7241472377020</t>
        </is>
      </c>
    </row>
    <row r="832" hidden="1" ht="15.75" customHeight="1">
      <c r="A832" s="2">
        <f>HYPERLINK("https://www.shelhealth.com/products/654749361290-avalon-organics-conditioner-tea-tree-32-oz", "https://www.shelhealth.com/products/654749361290-avalon-organics-conditioner-tea-tree-32-oz")</f>
        <v/>
      </c>
      <c r="B832" s="2">
        <f>HYPERLINK("https://www.shelhealth.com/products/654749361290-avalon-organics-conditioner-tea-tree-32-oz", "https://www.shelhealth.com/products/654749361290-avalon-organics-conditioner-tea-tree-32-oz")</f>
        <v/>
      </c>
      <c r="C832" t="inlineStr">
        <is>
          <t>Avalon Organics Conditioner Tea Tree, 32 Oz</t>
        </is>
      </c>
      <c r="D832" t="inlineStr">
        <is>
          <t>Avalon Organics Conditioner, Scalp Treatment Tea Tree, 32 Oz</t>
        </is>
      </c>
      <c r="E832" s="2">
        <f>HYPERLINK("https://www.amazon.com/Avalon-Organics-Scalp-Treatment-Conditioner/dp/B008OL3XTM/ref=sr_1_1?keywords=Avalon+Organics+Conditioner+Tea+Tree%2C+32+Oz&amp;qid=1695170213&amp;sr=8-1", "https://www.amazon.com/Avalon-Organics-Scalp-Treatment-Conditioner/dp/B008OL3XTM/ref=sr_1_1?keywords=Avalon+Organics+Conditioner+Tea+Tree%2C+32+Oz&amp;qid=1695170213&amp;sr=8-1")</f>
        <v/>
      </c>
      <c r="F832" t="inlineStr">
        <is>
          <t>B008OL3XTM</t>
        </is>
      </c>
      <c r="G832">
        <f>_xludf.IMAGE("https://www.shelhealth.com/cdn/shop/files/avalon-organics-conditioner-tea-tree-32-oz-beauty-body-care-shelhealth-540.jpg?v=1686522279&amp;width=1946")</f>
        <v/>
      </c>
      <c r="H832">
        <f>_xludf.IMAGE("https://m.media-amazon.com/images/I/51ZZ2HtpTAL._AC_UL320_.jpg")</f>
        <v/>
      </c>
      <c r="K832" t="inlineStr">
        <is>
          <t>18.99</t>
        </is>
      </c>
      <c r="L832" t="n">
        <v>16.62</v>
      </c>
      <c r="M832" s="1" t="inlineStr">
        <is>
          <t>-12.48%</t>
        </is>
      </c>
      <c r="N832" s="3" t="n">
        <v>-12.48</v>
      </c>
      <c r="O832" t="n">
        <v>4.1</v>
      </c>
      <c r="P832" t="n">
        <v>1209</v>
      </c>
      <c r="R832" t="inlineStr">
        <is>
          <t>InStock</t>
        </is>
      </c>
      <c r="S832" t="inlineStr">
        <is>
          <t>18.99</t>
        </is>
      </c>
      <c r="T832" t="inlineStr">
        <is>
          <t>7241470476476</t>
        </is>
      </c>
    </row>
    <row r="833" hidden="1" ht="15.75" customHeight="1">
      <c r="A833" s="2">
        <f>HYPERLINK("https://www.shelhealth.com/products/654749361290-avalon-organics-conditioner-tea-tree-32-oz", "https://www.shelhealth.com/products/654749361290-avalon-organics-conditioner-tea-tree-32-oz")</f>
        <v/>
      </c>
      <c r="B833" s="2">
        <f>HYPERLINK("https://www.shelhealth.com/products/654749361290-avalon-organics-conditioner-tea-tree-32-oz", "https://www.shelhealth.com/products/654749361290-avalon-organics-conditioner-tea-tree-32-oz")</f>
        <v/>
      </c>
      <c r="C833" t="inlineStr">
        <is>
          <t>Avalon Organics Conditioner Tea Tree, 32 Oz</t>
        </is>
      </c>
      <c r="D833" t="inlineStr">
        <is>
          <t>Avalon Organics Scalp Treatment Shampoo, Tea Tree, 32 Oz</t>
        </is>
      </c>
      <c r="E833" s="2">
        <f>HYPERLINK("https://www.amazon.com/Avalon-Organics-Scalp-Treatment-Shampoo/dp/B008OL3WZC/ref=sr_1_3?keywords=Avalon+Organics+Conditioner+Tea+Tree%2C+32+Oz&amp;qid=1695170213&amp;sr=8-3", "https://www.amazon.com/Avalon-Organics-Scalp-Treatment-Shampoo/dp/B008OL3WZC/ref=sr_1_3?keywords=Avalon+Organics+Conditioner+Tea+Tree%2C+32+Oz&amp;qid=1695170213&amp;sr=8-3")</f>
        <v/>
      </c>
      <c r="F833" t="inlineStr">
        <is>
          <t>B008OL3WZC</t>
        </is>
      </c>
      <c r="G833">
        <f>_xludf.IMAGE("https://www.shelhealth.com/cdn/shop/files/avalon-organics-conditioner-tea-tree-32-oz-beauty-body-care-shelhealth-540.jpg?v=1686522279&amp;width=1946")</f>
        <v/>
      </c>
      <c r="H833">
        <f>_xludf.IMAGE("https://m.media-amazon.com/images/I/51q4svLCo0L._AC_UL320_.jpg")</f>
        <v/>
      </c>
      <c r="K833" t="inlineStr">
        <is>
          <t>18.99</t>
        </is>
      </c>
      <c r="L833" t="n">
        <v>16.49</v>
      </c>
      <c r="M833" s="1" t="inlineStr">
        <is>
          <t>-13.16%</t>
        </is>
      </c>
      <c r="N833" s="3" t="n">
        <v>-13.16</v>
      </c>
      <c r="O833" t="n">
        <v>4.4</v>
      </c>
      <c r="P833" t="n">
        <v>4361</v>
      </c>
      <c r="R833" t="inlineStr">
        <is>
          <t>InStock</t>
        </is>
      </c>
      <c r="S833" t="inlineStr">
        <is>
          <t>18.99</t>
        </is>
      </c>
      <c r="T833" t="inlineStr">
        <is>
          <t>7241470476476</t>
        </is>
      </c>
    </row>
    <row r="834" hidden="1" ht="15.75" customHeight="1">
      <c r="A834" s="2">
        <f>HYPERLINK("https://www.shelhealth.com/products/love-beauty-and-planet-shampoo-for-unisex-murumuru-butter-and-rose-22-ounce", "https://www.shelhealth.com/products/love-beauty-and-planet-shampoo-for-unisex-murumuru-butter-and-rose-22-ounce")</f>
        <v/>
      </c>
      <c r="B834" s="2">
        <f>HYPERLINK("https://www.shelhealth.com/products/love-beauty-and-planet-shampoo-for-unisex-murumuru-butter-and-rose-22-ounce", "https://www.shelhealth.com/products/love-beauty-and-planet-shampoo-for-unisex-murumuru-butter-and-rose-22-ounce")</f>
        <v/>
      </c>
      <c r="C834" t="inlineStr">
        <is>
          <t>Love Beauty and Planet Shampoo for Unisex, Murumuru Butter and Rose, 22 Ounce</t>
        </is>
      </c>
      <c r="D834" t="inlineStr">
        <is>
          <t>Love Beauty and Planet Blooming Color Sulfate-Free Shampoo Murumuru Butter &amp; Rose, for Color Treated Hair Vegan, Paraben-free, Silicone-free, Cruelty-free 32.3 oz</t>
        </is>
      </c>
      <c r="E834" s="2">
        <f>HYPERLINK("https://www.amazon.com/Love-Beauty-Planet-Sulfate-Free-Silicone-free/dp/B086CRQKYH/ref=sr_1_5?keywords=Love+Beauty+and+Planet+Shampoo+for+Unisex%2C+Murumuru+Butter+and+Rose%2C+22+Ounce&amp;qid=1695170248&amp;sr=8-5", "https://www.amazon.com/Love-Beauty-Planet-Sulfate-Free-Silicone-free/dp/B086CRQKYH/ref=sr_1_5?keywords=Love+Beauty+and+Planet+Shampoo+for+Unisex%2C+Murumuru+Butter+and+Rose%2C+22+Ounce&amp;qid=1695170248&amp;sr=8-5")</f>
        <v/>
      </c>
      <c r="F834" t="inlineStr">
        <is>
          <t>B086CRQKYH</t>
        </is>
      </c>
      <c r="G834">
        <f>_xludf.IMAGE("https://www.shelhealth.com/cdn/shop/products/love-beauty-and-planet-shampoo-for-unisex-murumuru-butter-rose-22-ounce-shelhealth-904.jpg?v=1663360351&amp;width=1946")</f>
        <v/>
      </c>
      <c r="H834">
        <f>_xludf.IMAGE("https://m.media-amazon.com/images/I/71IMB1ifL6L._AC_UL320_.jpg")</f>
        <v/>
      </c>
      <c r="K834" t="inlineStr">
        <is>
          <t>16.99</t>
        </is>
      </c>
      <c r="L834" t="n">
        <v>14.61</v>
      </c>
      <c r="M834" s="1" t="inlineStr">
        <is>
          <t>-14.01%</t>
        </is>
      </c>
      <c r="N834" s="3" t="n">
        <v>-14.01</v>
      </c>
      <c r="O834" t="n">
        <v>4.5</v>
      </c>
      <c r="P834" t="n">
        <v>1777</v>
      </c>
      <c r="R834" t="inlineStr">
        <is>
          <t>OutOfStock</t>
        </is>
      </c>
      <c r="S834" t="inlineStr">
        <is>
          <t>16.99</t>
        </is>
      </c>
      <c r="T834" t="inlineStr">
        <is>
          <t>4417500282969</t>
        </is>
      </c>
    </row>
    <row r="835" hidden="1" ht="15.75" customHeight="1">
      <c r="A835" s="2">
        <f>HYPERLINK("https://www.shelhealth.com/products/tigi-bed-head-urban-anti-dote-recovery-shampoo-conditioner-duo-damage-level-2-25-36oz-pack-of-2", "https://www.shelhealth.com/products/tigi-bed-head-urban-anti-dote-recovery-shampoo-conditioner-duo-damage-level-2-25-36oz-pack-of-2")</f>
        <v/>
      </c>
      <c r="B835" s="2">
        <f>HYPERLINK("https://www.shelhealth.com/products/tigi-bed-head-urban-anti-dote-recovery-shampoo-conditioner-duo-damage-level-2-25-36oz-pack-of-2", "https://www.shelhealth.com/products/tigi-bed-head-urban-anti-dote-recovery-shampoo-conditioner-duo-damage-level-2-25-36oz-pack-of-2")</f>
        <v/>
      </c>
      <c r="C835" t="inlineStr">
        <is>
          <t>TIGI Bed Head Urban Anti-dote Recovery Shampoo &amp; Conditioner Duo Damage Level 2 (25.36oz) (Pack of 2)</t>
        </is>
      </c>
      <c r="D835" t="inlineStr">
        <is>
          <t>TIGI Bed Head Urban Anti-dote PFZoVz Recovery Shampoo &amp; Conditioner Duo Damage Level 2, 25.36 Oz, 2 Units</t>
        </is>
      </c>
      <c r="E835" s="2">
        <f>HYPERLINK("https://www.amazon.com/Anti-dote-PFZoVz-Recovery-Shampoo-Conditioner/dp/B07487K2RB/ref=sr_1_1?keywords=TIGI+Bed+Head+Urban+Anti-dote+Recovery+Shampoo&amp;qid=1695170238&amp;sr=8-1", "https://www.amazon.com/Anti-dote-PFZoVz-Recovery-Shampoo-Conditioner/dp/B07487K2RB/ref=sr_1_1?keywords=TIGI+Bed+Head+Urban+Anti-dote+Recovery+Shampoo&amp;qid=1695170238&amp;sr=8-1")</f>
        <v/>
      </c>
      <c r="F835" t="inlineStr">
        <is>
          <t>B07487K2RB</t>
        </is>
      </c>
      <c r="G835">
        <f>_xludf.IMAGE("https://www.shelhealth.com/cdn/shop/products/tigi-bed-head-urban-anti-dote-recovery-shampoo-conditioner-duo-damage-level-2-25-36oz-pack-of-shelhealth-208.jpg?v=1663356041&amp;width=1946")</f>
        <v/>
      </c>
      <c r="H835">
        <f>_xludf.IMAGE("https://m.media-amazon.com/images/I/71Wyt4QQhXL._AC_UL320_.jpg")</f>
        <v/>
      </c>
      <c r="K835" t="inlineStr">
        <is>
          <t>31.99</t>
        </is>
      </c>
      <c r="L835" t="n">
        <v>26.99</v>
      </c>
      <c r="M835" s="1" t="inlineStr">
        <is>
          <t>-15.63%</t>
        </is>
      </c>
      <c r="N835" s="3" t="n">
        <v>-15.63</v>
      </c>
      <c r="O835" t="n">
        <v>4.7</v>
      </c>
      <c r="P835" t="n">
        <v>1084</v>
      </c>
      <c r="R835" t="inlineStr">
        <is>
          <t>OutOfStock</t>
        </is>
      </c>
      <c r="S835" t="inlineStr">
        <is>
          <t>31.99</t>
        </is>
      </c>
      <c r="T835" t="inlineStr">
        <is>
          <t>4172666175540</t>
        </is>
      </c>
    </row>
    <row r="836" hidden="1" ht="15.75" customHeight="1">
      <c r="A836" s="2">
        <f>HYPERLINK("https://www.shelhealth.com/products/conair-infiniti-pro-11in-flat-iron", "https://www.shelhealth.com/products/conair-infiniti-pro-11in-flat-iron")</f>
        <v/>
      </c>
      <c r="B836" s="2">
        <f>HYPERLINK("https://www.shelhealth.com/products/conair-infiniti-pro-11in-flat-iron", "https://www.shelhealth.com/products/conair-infiniti-pro-11in-flat-iron")</f>
        <v/>
      </c>
      <c r="C836" t="inlineStr">
        <is>
          <t>Conair Infiniti Pro 11in. Flat Iron</t>
        </is>
      </c>
      <c r="D836" t="inlineStr">
        <is>
          <t>INFINITIPRO by CONAIR Tourmaline Ceramic Flat Iron, 1-inch Digital Flat Iron</t>
        </is>
      </c>
      <c r="E836" s="2">
        <f>HYPERLINK("https://www.amazon.com/INFINITIPRO-CONAIR-Tourmaline-Ceramic-Digital/dp/B09SS3F8FK/ref=sr_1_6?keywords=Conair+Infiniti+Pro+11in.+Flat+Iron&amp;qid=1695170251&amp;sr=8-6", "https://www.amazon.com/INFINITIPRO-CONAIR-Tourmaline-Ceramic-Digital/dp/B09SS3F8FK/ref=sr_1_6?keywords=Conair+Infiniti+Pro+11in.+Flat+Iron&amp;qid=1695170251&amp;sr=8-6")</f>
        <v/>
      </c>
      <c r="F836" t="inlineStr">
        <is>
          <t>B09SS3F8FK</t>
        </is>
      </c>
      <c r="G836">
        <f>_xludf.IMAGE("https://www.shelhealth.com/cdn/shop/products/conair-infiniti-pro-11in-flat-iron-shelhealth-337.jpg?v=1663343304&amp;width=1946")</f>
        <v/>
      </c>
      <c r="H836">
        <f>_xludf.IMAGE("https://m.media-amazon.com/images/I/61URibVxYxL._AC_UL320_.jpg")</f>
        <v/>
      </c>
      <c r="K836" t="inlineStr">
        <is>
          <t>43.99</t>
        </is>
      </c>
      <c r="L836" t="n">
        <v>37.09</v>
      </c>
      <c r="M836" s="1" t="inlineStr">
        <is>
          <t>-15.69%</t>
        </is>
      </c>
      <c r="N836" s="3" t="n">
        <v>-15.69</v>
      </c>
      <c r="O836" t="n">
        <v>4.4</v>
      </c>
      <c r="P836" t="n">
        <v>166</v>
      </c>
      <c r="R836" t="inlineStr">
        <is>
          <t>OutOfStock</t>
        </is>
      </c>
      <c r="S836" t="inlineStr">
        <is>
          <t>43.99</t>
        </is>
      </c>
      <c r="T836" t="inlineStr">
        <is>
          <t>3820080267316</t>
        </is>
      </c>
    </row>
    <row r="837" hidden="1" ht="15.75" customHeight="1">
      <c r="A837" s="2">
        <f>HYPERLINK("https://www.shelhealth.com/products/716237185990-giovanni-cosmetics-smooth-as-silk-deep-moisture-shampoo-24-oz", "https://www.shelhealth.com/products/716237185990-giovanni-cosmetics-smooth-as-silk-deep-moisture-shampoo-24-oz")</f>
        <v/>
      </c>
      <c r="B837" s="2">
        <f>HYPERLINK("https://www.shelhealth.com/products/716237185990-giovanni-cosmetics-smooth-as-silk-deep-moisture-shampoo-24-oz", "https://www.shelhealth.com/products/716237185990-giovanni-cosmetics-smooth-as-silk-deep-moisture-shampoo-24-oz")</f>
        <v/>
      </c>
      <c r="C837" t="inlineStr">
        <is>
          <t>Giovanni Cosmetics Smooth As Silk Deep Moisture Shampoo, 24 Oz</t>
        </is>
      </c>
      <c r="D837" t="inlineStr">
        <is>
          <t>Giovanni Cosmetics - Giovanni Smooth As Silk Deep Moisture Shampoo - 8.5 Fl Oz - Pack Of 1</t>
        </is>
      </c>
      <c r="E837" s="2">
        <f>HYPERLINK("https://www.amazon.com/Giovanni-Cosmetics-Smooth-Moisture-Shampoo/dp/B00K3IXOVG/ref=sr_1_6?keywords=Giovanni+Cosmetics+Smooth+As+Silk+Deep+Moisture+Shampoo%2C+24+Oz&amp;qid=1695170188&amp;sr=8-6", "https://www.amazon.com/Giovanni-Cosmetics-Smooth-Moisture-Shampoo/dp/B00K3IXOVG/ref=sr_1_6?keywords=Giovanni+Cosmetics+Smooth+As+Silk+Deep+Moisture+Shampoo%2C+24+Oz&amp;qid=1695170188&amp;sr=8-6")</f>
        <v/>
      </c>
      <c r="F837" t="inlineStr">
        <is>
          <t>B00K3IXOVG</t>
        </is>
      </c>
      <c r="G837">
        <f>_xludf.IMAGE("https://www.shelhealth.com/cdn/shop/files/giovanni-cosmetics-smooth-as-silk-deep-moisture-shampoo-24-oz-beauty-body-care-shelhealth-965.jpg?v=1686142680&amp;width=1946")</f>
        <v/>
      </c>
      <c r="H837">
        <f>_xludf.IMAGE("https://m.media-amazon.com/images/I/61WS8umiVrL._AC_UL320_.jpg")</f>
        <v/>
      </c>
      <c r="K837" t="inlineStr">
        <is>
          <t>18.99</t>
        </is>
      </c>
      <c r="L837" t="n">
        <v>15.99</v>
      </c>
      <c r="M837" s="1" t="inlineStr">
        <is>
          <t>-15.80%</t>
        </is>
      </c>
      <c r="N837" s="3" t="n">
        <v>-15.8</v>
      </c>
      <c r="O837" t="n">
        <v>3</v>
      </c>
      <c r="P837" t="n">
        <v>1</v>
      </c>
      <c r="R837" t="inlineStr">
        <is>
          <t>OutOfStock</t>
        </is>
      </c>
      <c r="S837" t="inlineStr">
        <is>
          <t>18.99</t>
        </is>
      </c>
      <c r="T837" t="inlineStr">
        <is>
          <t>7241661350076</t>
        </is>
      </c>
    </row>
    <row r="838" hidden="1" ht="15.75" customHeight="1">
      <c r="A838" s="2">
        <f>HYPERLINK("https://www.shelhealth.com/products/654749361290-avalon-organics-conditioner-tea-tree-32-oz", "https://www.shelhealth.com/products/654749361290-avalon-organics-conditioner-tea-tree-32-oz")</f>
        <v/>
      </c>
      <c r="B838" s="2">
        <f>HYPERLINK("https://www.shelhealth.com/products/654749361290-avalon-organics-conditioner-tea-tree-32-oz", "https://www.shelhealth.com/products/654749361290-avalon-organics-conditioner-tea-tree-32-oz")</f>
        <v/>
      </c>
      <c r="C838" t="inlineStr">
        <is>
          <t>Avalon Organics Conditioner Tea Tree, 32 Oz</t>
        </is>
      </c>
      <c r="D838" t="inlineStr">
        <is>
          <t>Avalon Organics Therapy Thickening Conditioner, Biotin B-Complex, 32 Oz</t>
        </is>
      </c>
      <c r="E838" s="2">
        <f>HYPERLINK("https://www.amazon.com/Avalon-Organics-B-Complex-Thickening-Conditioner/dp/B008OL3VW6/ref=sr_1_9?keywords=Avalon+Organics+Conditioner+Tea+Tree%2C+32+Oz&amp;qid=1695170213&amp;sr=8-9", "https://www.amazon.com/Avalon-Organics-B-Complex-Thickening-Conditioner/dp/B008OL3VW6/ref=sr_1_9?keywords=Avalon+Organics+Conditioner+Tea+Tree%2C+32+Oz&amp;qid=1695170213&amp;sr=8-9")</f>
        <v/>
      </c>
      <c r="F838" t="inlineStr">
        <is>
          <t>B008OL3VW6</t>
        </is>
      </c>
      <c r="G838">
        <f>_xludf.IMAGE("https://www.shelhealth.com/cdn/shop/files/avalon-organics-conditioner-tea-tree-32-oz-beauty-body-care-shelhealth-540.jpg?v=1686522279&amp;width=1946")</f>
        <v/>
      </c>
      <c r="H838">
        <f>_xludf.IMAGE("https://m.media-amazon.com/images/I/61i2A3BKDHL._AC_UL320_.jpg")</f>
        <v/>
      </c>
      <c r="K838" t="inlineStr">
        <is>
          <t>18.99</t>
        </is>
      </c>
      <c r="L838" t="n">
        <v>15.94</v>
      </c>
      <c r="M838" s="1" t="inlineStr">
        <is>
          <t>-16.06%</t>
        </is>
      </c>
      <c r="N838" s="3" t="n">
        <v>-16.06</v>
      </c>
      <c r="O838" t="n">
        <v>4</v>
      </c>
      <c r="P838" t="n">
        <v>3535</v>
      </c>
      <c r="R838" t="inlineStr">
        <is>
          <t>InStock</t>
        </is>
      </c>
      <c r="S838" t="inlineStr">
        <is>
          <t>18.99</t>
        </is>
      </c>
      <c r="T838" t="inlineStr">
        <is>
          <t>7241470476476</t>
        </is>
      </c>
    </row>
    <row r="839" hidden="1" ht="15.75" customHeight="1">
      <c r="A839" s="2">
        <f>HYPERLINK("https://www.shelhealth.com/products/661176010127-naturtint-permanent-hair-color-8g-sandy-golden-blonde-5-28-oz", "https://www.shelhealth.com/products/661176010127-naturtint-permanent-hair-color-8g-sandy-golden-blonde-5-28-oz")</f>
        <v/>
      </c>
      <c r="B839" s="2">
        <f>HYPERLINK("https://www.shelhealth.com/products/661176010127-naturtint-permanent-hair-color-8g-sandy-golden-blonde-5-28-oz", "https://www.shelhealth.com/products/661176010127-naturtint-permanent-hair-color-8g-sandy-golden-blonde-5-28-oz")</f>
        <v/>
      </c>
      <c r="C839" t="inlineStr">
        <is>
          <t>Naturtint Permanent Hair Color 8G Sandy Golden Blonde, 5.28 Oz</t>
        </is>
      </c>
      <c r="D839" t="inlineStr">
        <is>
          <t>Naturtint Permanent Hair Color 8G Sandy Golden Blonde (Pack of 1), Ammonia Free, Vegan, Cruelty Free, up to 100% Gray Coverage, Long Lasting Results</t>
        </is>
      </c>
      <c r="E839" s="2">
        <f>HYPERLINK("https://www.amazon.com/Naturtint-Permanent-Colorant-Golden-Blonde/dp/B003DI554M/ref=sr_1_1?keywords=Naturtint+Permanent+Hair+Color+8G+Sandy+Golden+Blonde%2C+5.28+Oz&amp;qid=1695170200&amp;sr=8-1", "https://www.amazon.com/Naturtint-Permanent-Colorant-Golden-Blonde/dp/B003DI554M/ref=sr_1_1?keywords=Naturtint+Permanent+Hair+Color+8G+Sandy+Golden+Blonde%2C+5.28+Oz&amp;qid=1695170200&amp;sr=8-1")</f>
        <v/>
      </c>
      <c r="F839" t="inlineStr">
        <is>
          <t>B003DI554M</t>
        </is>
      </c>
      <c r="G839">
        <f>_xludf.IMAGE("https://www.shelhealth.com/cdn/shop/files/naturtint-permanent-hair-color-8g-sandy-golden-blonde-5-28-oz-beauty-body-care-shelhealth-148.jpg?v=1686533299&amp;width=1946")</f>
        <v/>
      </c>
      <c r="H839">
        <f>_xludf.IMAGE("https://m.media-amazon.com/images/I/81x4UTnexWL._AC_UL320_.jpg")</f>
        <v/>
      </c>
      <c r="K839" t="inlineStr">
        <is>
          <t>17.99</t>
        </is>
      </c>
      <c r="L839" t="n">
        <v>14.99</v>
      </c>
      <c r="M839" s="1" t="inlineStr">
        <is>
          <t>-16.68%</t>
        </is>
      </c>
      <c r="N839" s="3" t="n">
        <v>-16.68</v>
      </c>
      <c r="O839" t="n">
        <v>4.3</v>
      </c>
      <c r="P839" t="n">
        <v>9310</v>
      </c>
      <c r="R839" t="inlineStr">
        <is>
          <t>InStock</t>
        </is>
      </c>
      <c r="S839" t="inlineStr">
        <is>
          <t>17.99</t>
        </is>
      </c>
      <c r="T839" t="inlineStr">
        <is>
          <t>7241867362492</t>
        </is>
      </c>
    </row>
    <row r="840" hidden="1" ht="15.75" customHeight="1">
      <c r="A840" s="2">
        <f>HYPERLINK("https://www.shelhealth.com/products/661176010103-naturtint-permanent-hair-color-6g-dark-golden-blonde-5-28-oz", "https://www.shelhealth.com/products/661176010103-naturtint-permanent-hair-color-6g-dark-golden-blonde-5-28-oz")</f>
        <v/>
      </c>
      <c r="B840" s="2">
        <f>HYPERLINK("https://www.shelhealth.com/products/661176010103-naturtint-permanent-hair-color-6g-dark-golden-blonde-5-28-oz", "https://www.shelhealth.com/products/661176010103-naturtint-permanent-hair-color-6g-dark-golden-blonde-5-28-oz")</f>
        <v/>
      </c>
      <c r="C840" t="inlineStr">
        <is>
          <t>Naturtint Permanent Hair Color 6G Dark Golden Blonde, 5.28 Oz</t>
        </is>
      </c>
      <c r="D840" t="inlineStr">
        <is>
          <t>Naturtint Permanent Hair Color 6G Dark Golden Blonde (Pack of 1), Ammonia Free, Vegan, Cruelty Free, up to 100% Gray Coverage, Long Lasting Results</t>
        </is>
      </c>
      <c r="E840" s="2">
        <f>HYPERLINK("https://www.amazon.com/Naturtint-Permanent-Ammonia-Cruelty-Coverage/dp/B0061WG9A6/ref=sr_1_1?keywords=Naturtint+Permanent+Hair+Color+6G+Dark+Golden+Blonde%2C+5.28+Oz&amp;qid=1695170205&amp;sr=8-1", "https://www.amazon.com/Naturtint-Permanent-Ammonia-Cruelty-Coverage/dp/B0061WG9A6/ref=sr_1_1?keywords=Naturtint+Permanent+Hair+Color+6G+Dark+Golden+Blonde%2C+5.28+Oz&amp;qid=1695170205&amp;sr=8-1")</f>
        <v/>
      </c>
      <c r="F840" t="inlineStr">
        <is>
          <t>B0061WG9A6</t>
        </is>
      </c>
      <c r="G840">
        <f>_xludf.IMAGE("https://www.shelhealth.com/cdn/shop/files/naturtint-permanent-hair-color-6g-dark-golden-blonde-5-28-oz-beauty-body-care-shelhealth-442.jpg?v=1686533289&amp;width=1946")</f>
        <v/>
      </c>
      <c r="H840">
        <f>_xludf.IMAGE("https://m.media-amazon.com/images/I/61WU6laW4EL._AC_UL320_.jpg")</f>
        <v/>
      </c>
      <c r="K840" t="inlineStr">
        <is>
          <t>17.99</t>
        </is>
      </c>
      <c r="L840" t="n">
        <v>14.99</v>
      </c>
      <c r="M840" s="1" t="inlineStr">
        <is>
          <t>-16.68%</t>
        </is>
      </c>
      <c r="N840" s="3" t="n">
        <v>-16.68</v>
      </c>
      <c r="O840" t="n">
        <v>4.5</v>
      </c>
      <c r="P840" t="n">
        <v>217</v>
      </c>
      <c r="R840" t="inlineStr">
        <is>
          <t>InStock</t>
        </is>
      </c>
      <c r="S840" t="inlineStr">
        <is>
          <t>17.99</t>
        </is>
      </c>
      <c r="T840" t="inlineStr">
        <is>
          <t>7241866903740</t>
        </is>
      </c>
    </row>
    <row r="841" hidden="1" ht="15.75" customHeight="1">
      <c r="A841" s="2">
        <f>HYPERLINK("https://www.shelhealth.com/products/love-beauty-and-planet-murumuru-butter-rose-blooming-color-shampoo-22-oz", "https://www.shelhealth.com/products/love-beauty-and-planet-murumuru-butter-rose-blooming-color-shampoo-22-oz")</f>
        <v/>
      </c>
      <c r="B841" s="2">
        <f>HYPERLINK("https://www.shelhealth.com/products/love-beauty-and-planet-murumuru-butter-rose-blooming-color-shampoo-22-oz", "https://www.shelhealth.com/products/love-beauty-and-planet-murumuru-butter-rose-blooming-color-shampoo-22-oz")</f>
        <v/>
      </c>
      <c r="C841" t="inlineStr">
        <is>
          <t>Love Beauty And Planet Murumuru Butter &amp; Rose Blooming Color Shampoo, 22 oz.</t>
        </is>
      </c>
      <c r="D841" t="inlineStr">
        <is>
          <t>Love Beauty and Planet Blooming Color Sulfate-Free Shampoo Murumuru Butter &amp; Rose, for Color Treated Hair Vegan, Paraben-free, Silicone-free, Cruelty-free 32.3 oz</t>
        </is>
      </c>
      <c r="E841" s="2">
        <f>HYPERLINK("https://www.amazon.com/Love-Beauty-Planet-Sulfate-Free-Silicone-free/dp/B086CRQKYH/ref=sr_1_7?keywords=Love+Beauty+And+Planet+Murumuru+Butter&amp;qid=1695170247&amp;sr=8-7", "https://www.amazon.com/Love-Beauty-Planet-Sulfate-Free-Silicone-free/dp/B086CRQKYH/ref=sr_1_7?keywords=Love+Beauty+And+Planet+Murumuru+Butter&amp;qid=1695170247&amp;sr=8-7")</f>
        <v/>
      </c>
      <c r="F841" t="inlineStr">
        <is>
          <t>B086CRQKYH</t>
        </is>
      </c>
      <c r="G841">
        <f>_xludf.IMAGE("https://www.shelhealth.com/cdn/shop/products/love-beauty-and-planet-murumuru-butter-rose-blooming-color-shampoo-22-oz-shelhealth-314.jpg?v=1663355846&amp;width=1946")</f>
        <v/>
      </c>
      <c r="H841">
        <f>_xludf.IMAGE("https://m.media-amazon.com/images/I/71IMB1ifL6L._AC_UL320_.jpg")</f>
        <v/>
      </c>
      <c r="K841" t="inlineStr">
        <is>
          <t>17.99</t>
        </is>
      </c>
      <c r="L841" t="n">
        <v>14.99</v>
      </c>
      <c r="M841" s="1" t="inlineStr">
        <is>
          <t>-16.68%</t>
        </is>
      </c>
      <c r="N841" s="3" t="n">
        <v>-16.68</v>
      </c>
      <c r="O841" t="n">
        <v>4.5</v>
      </c>
      <c r="P841" t="n">
        <v>1777</v>
      </c>
      <c r="R841" t="inlineStr">
        <is>
          <t>InStock</t>
        </is>
      </c>
      <c r="S841" t="inlineStr">
        <is>
          <t>17.99</t>
        </is>
      </c>
      <c r="T841" t="inlineStr">
        <is>
          <t>4172497518644</t>
        </is>
      </c>
    </row>
    <row r="842" hidden="1" ht="15.75" customHeight="1">
      <c r="A842" s="2">
        <f>HYPERLINK("https://www.shelhealth.com/products/661176010035-naturtint-permanent-hair-color-5n-light-chestnut-brown-5-28-oz", "https://www.shelhealth.com/products/661176010035-naturtint-permanent-hair-color-5n-light-chestnut-brown-5-28-oz")</f>
        <v/>
      </c>
      <c r="B842" s="2">
        <f>HYPERLINK("https://www.shelhealth.com/products/661176010035-naturtint-permanent-hair-color-5n-light-chestnut-brown-5-28-oz", "https://www.shelhealth.com/products/661176010035-naturtint-permanent-hair-color-5n-light-chestnut-brown-5-28-oz")</f>
        <v/>
      </c>
      <c r="C842" t="inlineStr">
        <is>
          <t>Naturtint Permanent Hair Color 5N Light Chestnut Brown, 5.28 Oz</t>
        </is>
      </c>
      <c r="D842" t="inlineStr">
        <is>
          <t>Naturtint Permanent Hair Color 5N Light Chestnut Brown (Pack of 1), Ammonia Free, Vegan, Cruelty Free, up to 100% Gray Coverage, Long Lasting Results</t>
        </is>
      </c>
      <c r="E842" s="2">
        <f>HYPERLINK("https://www.amazon.com/Naturtint-Permanent-Colorant-Light-Chestnut/dp/B0001TQCSO/ref=sr_1_1?keywords=Naturtint+Permanent+Hair+Color+5N+Light+Chestnut+Brown%2C+5.28+Oz&amp;qid=1695170200&amp;sr=8-1", "https://www.amazon.com/Naturtint-Permanent-Colorant-Light-Chestnut/dp/B0001TQCSO/ref=sr_1_1?keywords=Naturtint+Permanent+Hair+Color+5N+Light+Chestnut+Brown%2C+5.28+Oz&amp;qid=1695170200&amp;sr=8-1")</f>
        <v/>
      </c>
      <c r="F842" t="inlineStr">
        <is>
          <t>B0001TQCSO</t>
        </is>
      </c>
      <c r="G842">
        <f>_xludf.IMAGE("https://www.shelhealth.com/cdn/shop/files/naturtint-permanent-hair-color-5n-light-chestnut-brown-5-28-oz-beauty-body-care-shelhealth-188.jpg?v=1686533265&amp;width=1946")</f>
        <v/>
      </c>
      <c r="H842">
        <f>_xludf.IMAGE("https://m.media-amazon.com/images/I/81nphuE2A3L._AC_UL320_.jpg")</f>
        <v/>
      </c>
      <c r="K842" t="inlineStr">
        <is>
          <t>17.99</t>
        </is>
      </c>
      <c r="L842" t="n">
        <v>14.99</v>
      </c>
      <c r="M842" s="1" t="inlineStr">
        <is>
          <t>-16.68%</t>
        </is>
      </c>
      <c r="N842" s="3" t="n">
        <v>-16.68</v>
      </c>
      <c r="O842" t="n">
        <v>4.3</v>
      </c>
      <c r="P842" t="n">
        <v>9310</v>
      </c>
      <c r="R842" t="inlineStr">
        <is>
          <t>InStock</t>
        </is>
      </c>
      <c r="S842" t="inlineStr">
        <is>
          <t>17.99</t>
        </is>
      </c>
      <c r="T842" t="inlineStr">
        <is>
          <t>7241866576060</t>
        </is>
      </c>
    </row>
    <row r="843" hidden="1" ht="15.75" customHeight="1">
      <c r="A843" s="2">
        <f>HYPERLINK("https://www.shelhealth.com/products/661176010141-naturtint-permanent-hair-color-5m-light-mahogany-chestnut-5-28-oz", "https://www.shelhealth.com/products/661176010141-naturtint-permanent-hair-color-5m-light-mahogany-chestnut-5-28-oz")</f>
        <v/>
      </c>
      <c r="B843" s="2">
        <f>HYPERLINK("https://www.shelhealth.com/products/661176010141-naturtint-permanent-hair-color-5m-light-mahogany-chestnut-5-28-oz", "https://www.shelhealth.com/products/661176010141-naturtint-permanent-hair-color-5m-light-mahogany-chestnut-5-28-oz")</f>
        <v/>
      </c>
      <c r="C843" t="inlineStr">
        <is>
          <t>Naturtint Permanent Hair Color 5M Light Mahogany Chestnut, 5.28 Oz</t>
        </is>
      </c>
      <c r="D843" t="inlineStr">
        <is>
          <t>Naturtint Permanent Hair Color 5M Light Mahogany Chestnut (Pack of 1), Ammonia Free, Vegan, Cruelty Free, up to 100% Gray Coverage, Long Lasting Results</t>
        </is>
      </c>
      <c r="E843" s="2">
        <f>HYPERLINK("https://www.amazon.com/Naturtint-Permanent-Color-Mahogany-Chestnut/dp/B00014TRQI/ref=sr_1_1?keywords=Naturtint+Permanent+Hair+Color+5M+Light+Mahogany+Chestnut%2C+5.28+Oz&amp;qid=1695170206&amp;sr=8-1", "https://www.amazon.com/Naturtint-Permanent-Color-Mahogany-Chestnut/dp/B00014TRQI/ref=sr_1_1?keywords=Naturtint+Permanent+Hair+Color+5M+Light+Mahogany+Chestnut%2C+5.28+Oz&amp;qid=1695170206&amp;sr=8-1")</f>
        <v/>
      </c>
      <c r="F843" t="inlineStr">
        <is>
          <t>B00014TRQI</t>
        </is>
      </c>
      <c r="G843">
        <f>_xludf.IMAGE("https://www.shelhealth.com/cdn/shop/files/naturtint-permanent-hair-color-5m-light-mahogany-chestnut-5-28-oz-beauty-body-care-shelhealth-137.jpg?v=1686533115&amp;width=1946")</f>
        <v/>
      </c>
      <c r="H843">
        <f>_xludf.IMAGE("https://m.media-amazon.com/images/I/81gmyc8TybL._AC_UL320_.jpg")</f>
        <v/>
      </c>
      <c r="K843" t="inlineStr">
        <is>
          <t>17.99</t>
        </is>
      </c>
      <c r="L843" t="n">
        <v>14.99</v>
      </c>
      <c r="M843" s="1" t="inlineStr">
        <is>
          <t>-16.68%</t>
        </is>
      </c>
      <c r="N843" s="3" t="n">
        <v>-16.68</v>
      </c>
      <c r="O843" t="n">
        <v>4.4</v>
      </c>
      <c r="P843" t="n">
        <v>9436</v>
      </c>
      <c r="R843" t="inlineStr">
        <is>
          <t>InStock</t>
        </is>
      </c>
      <c r="S843" t="inlineStr">
        <is>
          <t>17.99</t>
        </is>
      </c>
      <c r="T843" t="inlineStr">
        <is>
          <t>7241866379452</t>
        </is>
      </c>
    </row>
    <row r="844" hidden="1" ht="15.75" customHeight="1">
      <c r="A844" s="2">
        <f>HYPERLINK("https://www.shelhealth.com/products/661176010080-naturtint-permanent-hair-color-10n-light-dawn-blonde-5-28-oz", "https://www.shelhealth.com/products/661176010080-naturtint-permanent-hair-color-10n-light-dawn-blonde-5-28-oz")</f>
        <v/>
      </c>
      <c r="B844" s="2">
        <f>HYPERLINK("https://www.shelhealth.com/products/661176010080-naturtint-permanent-hair-color-10n-light-dawn-blonde-5-28-oz", "https://www.shelhealth.com/products/661176010080-naturtint-permanent-hair-color-10n-light-dawn-blonde-5-28-oz")</f>
        <v/>
      </c>
      <c r="C844" t="inlineStr">
        <is>
          <t>Naturtint Permanent Hair Color 10N Light Dawn Blonde, 5.28 Oz</t>
        </is>
      </c>
      <c r="D844" t="inlineStr">
        <is>
          <t>Naturtint Permanent Hair Color 10N Light Dawn Blonde (Pack of 1), Ammonia Free, Vegan, Cruelty Free, up to 100% Gray Coverage, Long Lasting Results</t>
        </is>
      </c>
      <c r="E844" s="2">
        <f>HYPERLINK("https://www.amazon.com/Naturtint-Color-Permanent-Light-Blonde/dp/B000OO63ZS/ref=sr_1_1?keywords=Naturtint+Permanent+Hair+Color+10N+Light+Dawn+Blonde%2C+5.28+Oz&amp;qid=1695170259&amp;sr=8-1", "https://www.amazon.com/Naturtint-Color-Permanent-Light-Blonde/dp/B000OO63ZS/ref=sr_1_1?keywords=Naturtint+Permanent+Hair+Color+10N+Light+Dawn+Blonde%2C+5.28+Oz&amp;qid=1695170259&amp;sr=8-1")</f>
        <v/>
      </c>
      <c r="F844" t="inlineStr">
        <is>
          <t>B000OO63ZS</t>
        </is>
      </c>
      <c r="G844">
        <f>_xludf.IMAGE("https://www.shelhealth.com/cdn/shop/files/naturtint-permanent-hair-color-10n-light-dawn-blonde-5-28-oz-beauty-body-care-shelhealth-292.jpg?v=1686533104&amp;width=1946")</f>
        <v/>
      </c>
      <c r="H844">
        <f>_xludf.IMAGE("https://m.media-amazon.com/images/I/81x1siS4aTL._AC_UL320_.jpg")</f>
        <v/>
      </c>
      <c r="K844" t="inlineStr">
        <is>
          <t>17.99</t>
        </is>
      </c>
      <c r="L844" t="n">
        <v>14.99</v>
      </c>
      <c r="M844" s="1" t="inlineStr">
        <is>
          <t>-16.68%</t>
        </is>
      </c>
      <c r="N844" s="3" t="n">
        <v>-16.68</v>
      </c>
      <c r="O844" t="n">
        <v>4.3</v>
      </c>
      <c r="P844" t="n">
        <v>9310</v>
      </c>
      <c r="R844" t="inlineStr">
        <is>
          <t>InStock</t>
        </is>
      </c>
      <c r="S844" t="inlineStr">
        <is>
          <t>17.99</t>
        </is>
      </c>
      <c r="T844" t="inlineStr">
        <is>
          <t>7241866084540</t>
        </is>
      </c>
    </row>
    <row r="845" hidden="1" ht="15.75" customHeight="1">
      <c r="A845" s="2">
        <f>HYPERLINK("https://www.shelhealth.com/products/batiste-dry-shampoo-original-fragrance-6-73-ounce-pack-of-2", "https://www.shelhealth.com/products/batiste-dry-shampoo-original-fragrance-6-73-ounce-pack-of-2")</f>
        <v/>
      </c>
      <c r="B845" s="2">
        <f>HYPERLINK("https://www.shelhealth.com/products/batiste-dry-shampoo-original-fragrance-6-73-ounce-pack-of-2", "https://www.shelhealth.com/products/batiste-dry-shampoo-original-fragrance-6-73-ounce-pack-of-2")</f>
        <v/>
      </c>
      <c r="C845" t="inlineStr">
        <is>
          <t>Batiste dry shampoo, original fragrance, 6.73 Ounce (Pack of 2)</t>
        </is>
      </c>
      <c r="D845" t="inlineStr">
        <is>
          <t>Batiste Dry Shampoo, Original Fragrance, 6.73 Ounce</t>
        </is>
      </c>
      <c r="E845" s="2">
        <f>HYPERLINK("https://www.amazon.com/Batiste-Shampoo-Original-Clean-Classic/dp/B06WD3G7J1/ref=sr_1_2?keywords=Batiste+dry+shampoo%2C+original+fragrance%2C+6.73+Ounce+%28Pack+of+2%29&amp;qid=1695170258&amp;sr=8-2", "https://www.amazon.com/Batiste-Shampoo-Original-Clean-Classic/dp/B06WD3G7J1/ref=sr_1_2?keywords=Batiste+dry+shampoo%2C+original+fragrance%2C+6.73+Ounce+%28Pack+of+2%29&amp;qid=1695170258&amp;sr=8-2")</f>
        <v/>
      </c>
      <c r="F845" t="inlineStr">
        <is>
          <t>B06WD3G7J1</t>
        </is>
      </c>
      <c r="G845">
        <f>_xludf.IMAGE("https://www.shelhealth.com/cdn/shop/products/batiste-dry-shampoo-original-fragrance-6-73-ounce-pack-of-2-shelhealth-752.jpg?v=1663350199&amp;width=1946")</f>
        <v/>
      </c>
      <c r="H845">
        <f>_xludf.IMAGE("https://m.media-amazon.com/images/I/61UIUxWbv5L._AC_UL320_.jpg")</f>
        <v/>
      </c>
      <c r="K845" t="inlineStr">
        <is>
          <t>17.99</t>
        </is>
      </c>
      <c r="L845" t="n">
        <v>14.89</v>
      </c>
      <c r="M845" s="1" t="inlineStr">
        <is>
          <t>-17.23%</t>
        </is>
      </c>
      <c r="N845" s="3" t="n">
        <v>-17.23</v>
      </c>
      <c r="O845" t="n">
        <v>4.2</v>
      </c>
      <c r="P845" t="n">
        <v>10</v>
      </c>
      <c r="R845" t="inlineStr">
        <is>
          <t>InStock</t>
        </is>
      </c>
      <c r="S845" t="inlineStr">
        <is>
          <t>17.99</t>
        </is>
      </c>
      <c r="T845" t="inlineStr">
        <is>
          <t>4045990887476</t>
        </is>
      </c>
    </row>
    <row r="846" hidden="1" ht="15.75" customHeight="1">
      <c r="A846" s="2">
        <f>HYPERLINK("https://www.shelhealth.com/products/654749361276-avalon-organics-thickening-conditioner-biotin-b-complex-therapy-paraben-free-32-oz", "https://www.shelhealth.com/products/654749361276-avalon-organics-thickening-conditioner-biotin-b-complex-therapy-paraben-free-32-oz")</f>
        <v/>
      </c>
      <c r="B846" s="2">
        <f>HYPERLINK("https://www.shelhealth.com/products/654749361276-avalon-organics-thickening-conditioner-biotin-b-complex-therapy-paraben-free-32-oz", "https://www.shelhealth.com/products/654749361276-avalon-organics-thickening-conditioner-biotin-b-complex-therapy-paraben-free-32-oz")</f>
        <v/>
      </c>
      <c r="C846" t="inlineStr">
        <is>
          <t>Avalon Organics Thickening Conditioner Biotin B-Complex Therapy, Paraben Free, 32 Oz</t>
        </is>
      </c>
      <c r="D846" t="inlineStr">
        <is>
          <t>Avalon Organics Thickening Conditioner Biotin B-Complex Therapy - 32 fl oz</t>
        </is>
      </c>
      <c r="E846" s="2">
        <f>HYPERLINK("https://www.amazon.com/Avalon-Organics-Thickening-Conditioner-B-Complex/dp/B00IGJNBJY/ref=sr_1_3?keywords=Avalon+Organics+Thickening+Conditioner+Biotin+B-Complex+Therapy%2C+Paraben+Free%2C+32+Oz&amp;qid=1695170215&amp;sr=8-3", "https://www.amazon.com/Avalon-Organics-Thickening-Conditioner-B-Complex/dp/B00IGJNBJY/ref=sr_1_3?keywords=Avalon+Organics+Thickening+Conditioner+Biotin+B-Complex+Therapy%2C+Paraben+Free%2C+32+Oz&amp;qid=1695170215&amp;sr=8-3")</f>
        <v/>
      </c>
      <c r="F846" t="inlineStr">
        <is>
          <t>B00IGJNBJY</t>
        </is>
      </c>
      <c r="G846">
        <f>_xludf.IMAGE("https://www.shelhealth.com/cdn/shop/files/avalon-organics-thickening-conditioner-biotin-b-complex-therapy-paraben-free-32-oz-beauty-body-care-shelhealth-125.jpg?v=1686522184&amp;width=1946")</f>
        <v/>
      </c>
      <c r="H846">
        <f>_xludf.IMAGE("https://m.media-amazon.com/images/I/71uwbOL2KEL._AC_UL320_.jpg")</f>
        <v/>
      </c>
      <c r="K846" t="inlineStr">
        <is>
          <t>21.99</t>
        </is>
      </c>
      <c r="L846" t="n">
        <v>18</v>
      </c>
      <c r="M846" s="1" t="inlineStr">
        <is>
          <t>-18.14%</t>
        </is>
      </c>
      <c r="N846" s="3" t="n">
        <v>-18.14</v>
      </c>
      <c r="O846" t="n">
        <v>4.1</v>
      </c>
      <c r="P846" t="n">
        <v>218</v>
      </c>
      <c r="R846" t="inlineStr">
        <is>
          <t>InStock</t>
        </is>
      </c>
      <c r="S846" t="inlineStr">
        <is>
          <t>21.99</t>
        </is>
      </c>
      <c r="T846" t="inlineStr">
        <is>
          <t>7241472704700</t>
        </is>
      </c>
    </row>
    <row r="847" hidden="1" ht="15.75" customHeight="1">
      <c r="A847" s="2">
        <f>HYPERLINK("https://www.shelhealth.com/products/716237185587-giovanni-cosmetics-2chic-frizz-be-gone-conditioner-shea-butter-sweet-almond-oil-8-5-oz", "https://www.shelhealth.com/products/716237185587-giovanni-cosmetics-2chic-frizz-be-gone-conditioner-shea-butter-sweet-almond-oil-8-5-oz")</f>
        <v/>
      </c>
      <c r="B847" s="2">
        <f>HYPERLINK("https://www.shelhealth.com/products/716237185587-giovanni-cosmetics-2chic-frizz-be-gone-conditioner-shea-butter-sweet-almond-oil-8-5-oz", "https://www.shelhealth.com/products/716237185587-giovanni-cosmetics-2chic-frizz-be-gone-conditioner-shea-butter-sweet-almond-oil-8-5-oz")</f>
        <v/>
      </c>
      <c r="C847" t="inlineStr">
        <is>
          <t>Giovanni Cosmetics 2Chic Frizz Be Gone Conditioner Shea Butter &amp; Sweet Almond Oil, 8.5 Oz (Case of 3)</t>
        </is>
      </c>
      <c r="D847" t="inlineStr">
        <is>
          <t>GIOVANNI 2chic Frizz Be Gone Conditioner - Anti-Frizz Natural Hair Smoothing Formula with Shea Butter &amp; Sweet Almond Oil, Macadamia, Paraben Free, Color Safe - 24 oz</t>
        </is>
      </c>
      <c r="E847" s="2">
        <f>HYPERLINK("https://www.amazon.com/GIOVANNI-Conditioner-Anti-Frizz-Smoothing-Macadamia/dp/B073P797PL/ref=sr_1_1?keywords=Giovanni+Cosmetics+2Chic+Frizz+Be+Gone+Conditioner+Shea+Butter&amp;qid=1695170252&amp;sr=8-1", "https://www.amazon.com/GIOVANNI-Conditioner-Anti-Frizz-Smoothing-Macadamia/dp/B073P797PL/ref=sr_1_1?keywords=Giovanni+Cosmetics+2Chic+Frizz+Be+Gone+Conditioner+Shea+Butter&amp;qid=1695170252&amp;sr=8-1")</f>
        <v/>
      </c>
      <c r="F847" t="inlineStr">
        <is>
          <t>B073P797PL</t>
        </is>
      </c>
      <c r="G847">
        <f>_xludf.IMAGE("https://www.shelhealth.com/cdn/shop/files/giovanni-cosmetics-2chic-frizz-be-gone-conditioner-shea-butter-sweet-almond-oil-8-5-oz-case-of-3-beauty-body-care-shelhealth-832.jpg?v=1686196336&amp;width=1946")</f>
        <v/>
      </c>
      <c r="H847">
        <f>_xludf.IMAGE("https://m.media-amazon.com/images/I/61D1Nv6NFtL._AC_UL320_.jpg")</f>
        <v/>
      </c>
      <c r="K847" t="inlineStr">
        <is>
          <t>24.99</t>
        </is>
      </c>
      <c r="L847" t="n">
        <v>19.99</v>
      </c>
      <c r="M847" s="1" t="inlineStr">
        <is>
          <t>-20.01%</t>
        </is>
      </c>
      <c r="N847" s="3" t="n">
        <v>-20.01</v>
      </c>
      <c r="O847" t="n">
        <v>4.5</v>
      </c>
      <c r="P847" t="n">
        <v>436</v>
      </c>
      <c r="R847" t="inlineStr">
        <is>
          <t>InStock</t>
        </is>
      </c>
      <c r="S847" t="inlineStr">
        <is>
          <t>24.99</t>
        </is>
      </c>
      <c r="T847" t="inlineStr">
        <is>
          <t>7241656336572</t>
        </is>
      </c>
    </row>
    <row r="848" hidden="1" ht="15.75" customHeight="1">
      <c r="A848" s="2">
        <f>HYPERLINK("https://www.shelhealth.com/products/finishing-touch-flawless-facial-hair-remover", "https://www.shelhealth.com/products/finishing-touch-flawless-facial-hair-remover")</f>
        <v/>
      </c>
      <c r="B848" s="2">
        <f>HYPERLINK("https://www.shelhealth.com/products/finishing-touch-flawless-facial-hair-remover", "https://www.shelhealth.com/products/finishing-touch-flawless-facial-hair-remover")</f>
        <v/>
      </c>
      <c r="C848" t="inlineStr">
        <is>
          <t>Finishing Touch Flawless Facial Hair Remover</t>
        </is>
      </c>
      <c r="D848" t="inlineStr">
        <is>
          <t>Replacement Heads for Flawless Facial Hair Remover,Replacement Blades for Finishing Touch Flawless Gen 2 Hair Removal</t>
        </is>
      </c>
      <c r="E848" s="2">
        <f>HYPERLINK("https://www.amazon.com/Replacement-Generation-Finishing-Flawless-tuokiy/dp/B091XPJDPK/ref=sr_1_4?keywords=Finishing+Touch+Flawless+Facial+Hair+Remover&amp;qid=1695170242&amp;sr=8-4", "https://www.amazon.com/Replacement-Generation-Finishing-Flawless-tuokiy/dp/B091XPJDPK/ref=sr_1_4?keywords=Finishing+Touch+Flawless+Facial+Hair+Remover&amp;qid=1695170242&amp;sr=8-4")</f>
        <v/>
      </c>
      <c r="F848" t="inlineStr">
        <is>
          <t>B091XPJDPK</t>
        </is>
      </c>
      <c r="G848">
        <f>_xludf.IMAGE("https://www.shelhealth.com/cdn/shop/products/finishing-touch-flawless-facial-hair-remover-shelhealth-241.jpg?v=1663620023&amp;width=1946")</f>
        <v/>
      </c>
      <c r="H848">
        <f>_xludf.IMAGE("https://m.media-amazon.com/images/I/61gYvONRL-L._AC_UL320_.jpg")</f>
        <v/>
      </c>
      <c r="K848" t="inlineStr">
        <is>
          <t>24.99</t>
        </is>
      </c>
      <c r="L848" t="n">
        <v>19.99</v>
      </c>
      <c r="M848" s="1" t="inlineStr">
        <is>
          <t>-20.01%</t>
        </is>
      </c>
      <c r="N848" s="3" t="n">
        <v>-20.01</v>
      </c>
      <c r="O848" t="n">
        <v>4.2</v>
      </c>
      <c r="P848" t="n">
        <v>4931</v>
      </c>
      <c r="R848" t="inlineStr">
        <is>
          <t>InStock</t>
        </is>
      </c>
      <c r="S848" t="inlineStr">
        <is>
          <t>24.99</t>
        </is>
      </c>
      <c r="T848" t="inlineStr">
        <is>
          <t>4727992909913</t>
        </is>
      </c>
    </row>
    <row r="849" hidden="1" ht="15.75" customHeight="1">
      <c r="A849" s="2">
        <f>HYPERLINK("https://www.shelhealth.com/products/724742001216-alba-botanica-shampoo-smooth-gardenia-32-oz", "https://www.shelhealth.com/products/724742001216-alba-botanica-shampoo-smooth-gardenia-32-oz")</f>
        <v/>
      </c>
      <c r="B849" s="2">
        <f>HYPERLINK("https://www.shelhealth.com/products/724742001216-alba-botanica-shampoo-smooth-gardenia-32-oz", "https://www.shelhealth.com/products/724742001216-alba-botanica-shampoo-smooth-gardenia-32-oz")</f>
        <v/>
      </c>
      <c r="C849" t="inlineStr">
        <is>
          <t>Alba Botanica Shampoo Smooth Gardenia, 32 Oz</t>
        </is>
      </c>
      <c r="D849" t="inlineStr">
        <is>
          <t>Alba Botanica So Smooth Conditioner, Gardenia, 32 Oz</t>
        </is>
      </c>
      <c r="E849" s="2">
        <f>HYPERLINK("https://www.amazon.com/Alba-Botanica-Gardenia-Hawaiian-Conditioner/dp/B01M0MGFQC/ref=sr_1_2?keywords=Alba+Botanica+Shampoo+Smooth+Gardenia%2C+32+Oz&amp;qid=1695170186&amp;sr=8-2", "https://www.amazon.com/Alba-Botanica-Gardenia-Hawaiian-Conditioner/dp/B01M0MGFQC/ref=sr_1_2?keywords=Alba+Botanica+Shampoo+Smooth+Gardenia%2C+32+Oz&amp;qid=1695170186&amp;sr=8-2")</f>
        <v/>
      </c>
      <c r="F849" t="inlineStr">
        <is>
          <t>B01M0MGFQC</t>
        </is>
      </c>
      <c r="G849">
        <f>_xludf.IMAGE("https://www.shelhealth.com/cdn/shop/files/alba-botanica-shampoo-smooth-gardenia-32-oz-beauty-body-care-shelhealth-782.jpg?v=1686191917&amp;width=1946")</f>
        <v/>
      </c>
      <c r="H849">
        <f>_xludf.IMAGE("https://m.media-amazon.com/images/I/51Ava7MB6cS._AC_UL320_.jpg")</f>
        <v/>
      </c>
      <c r="K849" t="inlineStr">
        <is>
          <t>19.99</t>
        </is>
      </c>
      <c r="L849" t="n">
        <v>15.99</v>
      </c>
      <c r="M849" s="1" t="inlineStr">
        <is>
          <t>-20.01%</t>
        </is>
      </c>
      <c r="N849" s="3" t="n">
        <v>-20.01</v>
      </c>
      <c r="O849" t="n">
        <v>4.5</v>
      </c>
      <c r="P849" t="n">
        <v>883</v>
      </c>
      <c r="R849" t="inlineStr">
        <is>
          <t>OutOfStock</t>
        </is>
      </c>
      <c r="S849" t="inlineStr">
        <is>
          <t>19.99</t>
        </is>
      </c>
      <c r="T849" t="inlineStr">
        <is>
          <t>7241433841852</t>
        </is>
      </c>
    </row>
    <row r="850" hidden="1" ht="15.75" customHeight="1">
      <c r="A850" s="2">
        <f>HYPERLINK("https://www.shelhealth.com/products/724742001209-alba-botanica-conditioner-smooth-gardenia-32-oz", "https://www.shelhealth.com/products/724742001209-alba-botanica-conditioner-smooth-gardenia-32-oz")</f>
        <v/>
      </c>
      <c r="B850" s="2">
        <f>HYPERLINK("https://www.shelhealth.com/products/724742001209-alba-botanica-conditioner-smooth-gardenia-32-oz", "https://www.shelhealth.com/products/724742001209-alba-botanica-conditioner-smooth-gardenia-32-oz")</f>
        <v/>
      </c>
      <c r="C850" t="inlineStr">
        <is>
          <t>Alba Botanica Conditioner Smooth Gardenia, 32 Oz</t>
        </is>
      </c>
      <c r="D850" t="inlineStr">
        <is>
          <t>Alba Botanica So Smooth Conditioner, Gardenia, 32 Oz</t>
        </is>
      </c>
      <c r="E850" s="2">
        <f>HYPERLINK("https://www.amazon.com/Alba-Botanica-Gardenia-Hawaiian-Conditioner/dp/B01M0MGFQC/ref=sr_1_1?keywords=Alba+Botanica+Conditioner+Smooth+Gardenia%2C+32+Oz&amp;qid=1695170209&amp;sr=8-1", "https://www.amazon.com/Alba-Botanica-Gardenia-Hawaiian-Conditioner/dp/B01M0MGFQC/ref=sr_1_1?keywords=Alba+Botanica+Conditioner+Smooth+Gardenia%2C+32+Oz&amp;qid=1695170209&amp;sr=8-1")</f>
        <v/>
      </c>
      <c r="F850" t="inlineStr">
        <is>
          <t>B01M0MGFQC</t>
        </is>
      </c>
      <c r="G850">
        <f>_xludf.IMAGE("https://www.shelhealth.com/cdn/shop/files/alba-botanica-conditioner-smooth-gardenia-32-oz-beauty-body-care-shelhealth-819.jpg?v=1686191553&amp;width=1946")</f>
        <v/>
      </c>
      <c r="H850">
        <f>_xludf.IMAGE("https://m.media-amazon.com/images/I/51Ava7MB6cS._AC_UL320_.jpg")</f>
        <v/>
      </c>
      <c r="K850" t="inlineStr">
        <is>
          <t>19.99</t>
        </is>
      </c>
      <c r="L850" t="n">
        <v>15.99</v>
      </c>
      <c r="M850" s="1" t="inlineStr">
        <is>
          <t>-20.01%</t>
        </is>
      </c>
      <c r="N850" s="3" t="n">
        <v>-20.01</v>
      </c>
      <c r="O850" t="n">
        <v>4.5</v>
      </c>
      <c r="P850" t="n">
        <v>883</v>
      </c>
      <c r="R850" t="inlineStr">
        <is>
          <t>OutOfStock</t>
        </is>
      </c>
      <c r="S850" t="inlineStr">
        <is>
          <t>19.99</t>
        </is>
      </c>
      <c r="T850" t="inlineStr">
        <is>
          <t>7241428336828</t>
        </is>
      </c>
    </row>
    <row r="851" hidden="1" ht="15.75" customHeight="1">
      <c r="A851" s="2">
        <f>HYPERLINK("https://www.shelhealth.com/products/pantene-smooth-and-sleek-conditioner-38-2-oz", "https://www.shelhealth.com/products/pantene-smooth-and-sleek-conditioner-38-2-oz")</f>
        <v/>
      </c>
      <c r="B851" s="2">
        <f>HYPERLINK("https://www.shelhealth.com/products/pantene-smooth-and-sleek-conditioner-38-2-oz", "https://www.shelhealth.com/products/pantene-smooth-and-sleek-conditioner-38-2-oz")</f>
        <v/>
      </c>
      <c r="C851" t="inlineStr">
        <is>
          <t>Pantene Smooth And Sleek Conditioner, 38.2 oz</t>
        </is>
      </c>
      <c r="D851" t="inlineStr">
        <is>
          <t>Pantene Pro-V Smooth &amp; Sleek Conditioner, 12 fl oz(Packaging May Vary)</t>
        </is>
      </c>
      <c r="E851" s="2">
        <f>HYPERLINK("https://www.amazon.com/Pantene-Pro-V-Smooth-Conditioner-Packaging/dp/B012GJXGG2/ref=sr_1_4?keywords=Pantene+Smooth+And+Sleek+Conditioner%2C+38.2+oz&amp;qid=1695170249&amp;sr=8-4", "https://www.amazon.com/Pantene-Pro-V-Smooth-Conditioner-Packaging/dp/B012GJXGG2/ref=sr_1_4?keywords=Pantene+Smooth+And+Sleek+Conditioner%2C+38.2+oz&amp;qid=1695170249&amp;sr=8-4")</f>
        <v/>
      </c>
      <c r="F851" t="inlineStr">
        <is>
          <t>B012GJXGG2</t>
        </is>
      </c>
      <c r="G851">
        <f>_xludf.IMAGE("https://www.shelhealth.com/cdn/shop/products/pantene-smooth-and-sleek-conditioner-38-2-oz-shelhealth-407.jpg?v=1663350151&amp;width=1946")</f>
        <v/>
      </c>
      <c r="H851">
        <f>_xludf.IMAGE("https://m.media-amazon.com/images/I/71RditecPyL._AC_UL320_.jpg")</f>
        <v/>
      </c>
      <c r="K851" t="inlineStr">
        <is>
          <t>15.99</t>
        </is>
      </c>
      <c r="L851" t="n">
        <v>12.79</v>
      </c>
      <c r="M851" s="1" t="inlineStr">
        <is>
          <t>-20.01%</t>
        </is>
      </c>
      <c r="N851" s="3" t="n">
        <v>-20.01</v>
      </c>
      <c r="O851" t="n">
        <v>4.6</v>
      </c>
      <c r="P851" t="n">
        <v>18</v>
      </c>
      <c r="R851" t="inlineStr">
        <is>
          <t>InStock</t>
        </is>
      </c>
      <c r="S851" t="inlineStr">
        <is>
          <t>15.99</t>
        </is>
      </c>
      <c r="T851" t="inlineStr">
        <is>
          <t>4045943898164</t>
        </is>
      </c>
    </row>
    <row r="852" hidden="1" ht="15.75" customHeight="1">
      <c r="A852" s="2">
        <f>HYPERLINK("https://www.shelhealth.com/products/finishing-touch-flawless-facial-hair-remover", "https://www.shelhealth.com/products/finishing-touch-flawless-facial-hair-remover")</f>
        <v/>
      </c>
      <c r="B852" s="2">
        <f>HYPERLINK("https://www.shelhealth.com/products/finishing-touch-flawless-facial-hair-remover", "https://www.shelhealth.com/products/finishing-touch-flawless-facial-hair-remover")</f>
        <v/>
      </c>
      <c r="C852" t="inlineStr">
        <is>
          <t>Finishing Touch Flawless Facial Hair Remover</t>
        </is>
      </c>
      <c r="D852" t="inlineStr">
        <is>
          <t>Finishing Touch Flawless Facial Hair Remover for Women, Rose Gold Electric Face Razor with LED Light, Recyclable Packaging</t>
        </is>
      </c>
      <c r="E852" s="2">
        <f>HYPERLINK("https://www.amazon.com/Finishing-Touch-Flawless-Recyclable-Packaging/dp/B0CCT1F19X/ref=sr_1_5?keywords=Finishing+Touch+Flawless+Facial+Hair+Remover&amp;qid=1695170242&amp;sr=8-5", "https://www.amazon.com/Finishing-Touch-Flawless-Recyclable-Packaging/dp/B0CCT1F19X/ref=sr_1_5?keywords=Finishing+Touch+Flawless+Facial+Hair+Remover&amp;qid=1695170242&amp;sr=8-5")</f>
        <v/>
      </c>
      <c r="F852" t="inlineStr">
        <is>
          <t>B0CCT1F19X</t>
        </is>
      </c>
      <c r="G852">
        <f>_xludf.IMAGE("https://www.shelhealth.com/cdn/shop/products/finishing-touch-flawless-facial-hair-remover-shelhealth-241.jpg?v=1663620023&amp;width=1946")</f>
        <v/>
      </c>
      <c r="H852">
        <f>_xludf.IMAGE("https://m.media-amazon.com/images/I/61Eb3qIgSIL._AC_UL320_.jpg")</f>
        <v/>
      </c>
      <c r="K852" t="inlineStr">
        <is>
          <t>24.99</t>
        </is>
      </c>
      <c r="L852" t="n">
        <v>19.89</v>
      </c>
      <c r="M852" s="1" t="inlineStr">
        <is>
          <t>-20.41%</t>
        </is>
      </c>
      <c r="N852" s="3" t="n">
        <v>-20.41</v>
      </c>
      <c r="O852" t="n">
        <v>4.3</v>
      </c>
      <c r="P852" t="n">
        <v>15</v>
      </c>
      <c r="R852" t="inlineStr">
        <is>
          <t>InStock</t>
        </is>
      </c>
      <c r="S852" t="inlineStr">
        <is>
          <t>24.99</t>
        </is>
      </c>
      <c r="T852" t="inlineStr">
        <is>
          <t>4727992909913</t>
        </is>
      </c>
    </row>
    <row r="853" hidden="1" ht="15.75" customHeight="1">
      <c r="A853" s="2">
        <f>HYPERLINK("https://www.shelhealth.com/products/654749351680-avalon-organics-conditioner-lavender-vsize-32-oz", "https://www.shelhealth.com/products/654749351680-avalon-organics-conditioner-lavender-vsize-32-oz")</f>
        <v/>
      </c>
      <c r="B853" s="2">
        <f>HYPERLINK("https://www.shelhealth.com/products/654749351680-avalon-organics-conditioner-lavender-vsize-32-oz", "https://www.shelhealth.com/products/654749351680-avalon-organics-conditioner-lavender-vsize-32-oz")</f>
        <v/>
      </c>
      <c r="C853" t="inlineStr">
        <is>
          <t>Avalon Organics Conditioner Lavender Vsize, 32 Oz</t>
        </is>
      </c>
      <c r="D853" t="inlineStr">
        <is>
          <t>Avalon Organics Shampoo, Nourishing Lavender, 32 Oz</t>
        </is>
      </c>
      <c r="E853" s="2">
        <f>HYPERLINK("https://www.amazon.com/Avalon-Organics-Nourishing-Lavender-Shampoo/dp/B0011DP24Y/ref=sr_1_7?keywords=avalon+organics+conditioner+lavender+size%2C+32+oz&amp;qid=1695170216&amp;sr=8-7", "https://www.amazon.com/Avalon-Organics-Nourishing-Lavender-Shampoo/dp/B0011DP24Y/ref=sr_1_7?keywords=avalon+organics+conditioner+lavender+size%2C+32+oz&amp;qid=1695170216&amp;sr=8-7")</f>
        <v/>
      </c>
      <c r="F853" t="inlineStr">
        <is>
          <t>B0011DP24Y</t>
        </is>
      </c>
      <c r="G853">
        <f>_xludf.IMAGE("https://www.shelhealth.com/cdn/shop/files/avalon-organics-conditioner-lavender-vsize-32-oz-beauty-body-care-shelhealth-367.jpg?v=1687409190&amp;width=1946")</f>
        <v/>
      </c>
      <c r="H853">
        <f>_xludf.IMAGE("https://m.media-amazon.com/images/I/61Roudr-CyL._AC_UL320_.jpg")</f>
        <v/>
      </c>
      <c r="K853" t="inlineStr">
        <is>
          <t>21.99</t>
        </is>
      </c>
      <c r="L853" t="n">
        <v>17.48</v>
      </c>
      <c r="M853" s="1" t="inlineStr">
        <is>
          <t>-20.51%</t>
        </is>
      </c>
      <c r="N853" s="3" t="n">
        <v>-20.51</v>
      </c>
      <c r="O853" t="n">
        <v>4.3</v>
      </c>
      <c r="P853" t="n">
        <v>4772</v>
      </c>
      <c r="R853" t="inlineStr">
        <is>
          <t>InStock</t>
        </is>
      </c>
      <c r="S853" t="inlineStr">
        <is>
          <t>21.99</t>
        </is>
      </c>
      <c r="T853" t="inlineStr">
        <is>
          <t>7241470345404</t>
        </is>
      </c>
    </row>
    <row r="854" hidden="1" ht="15.75" customHeight="1">
      <c r="A854" s="2">
        <f>HYPERLINK("https://www.shelhealth.com/products/654749351260-avalon-organics-shampoo-nourishing-lavender-32-oz", "https://www.shelhealth.com/products/654749351260-avalon-organics-shampoo-nourishing-lavender-32-oz")</f>
        <v/>
      </c>
      <c r="B854" s="2">
        <f>HYPERLINK("https://www.shelhealth.com/products/654749351260-avalon-organics-shampoo-nourishing-lavender-32-oz", "https://www.shelhealth.com/products/654749351260-avalon-organics-shampoo-nourishing-lavender-32-oz")</f>
        <v/>
      </c>
      <c r="C854" t="inlineStr">
        <is>
          <t>Avalon Organics Shampoo Nourishing Lavender, 32 Oz</t>
        </is>
      </c>
      <c r="D854" t="inlineStr">
        <is>
          <t>Avalon Organics Shampoo, Nourishing Lavender, 32 Oz</t>
        </is>
      </c>
      <c r="E854" s="2">
        <f>HYPERLINK("https://www.amazon.com/Avalon-Organics-Nourishing-Lavender-Shampoo/dp/B0011DP24Y/ref=sr_1_1?keywords=Avalon+Organics+Shampoo+Nourishing+Lavender%2C+32+Oz&amp;qid=1695170186&amp;sr=8-1", "https://www.amazon.com/Avalon-Organics-Nourishing-Lavender-Shampoo/dp/B0011DP24Y/ref=sr_1_1?keywords=Avalon+Organics+Shampoo+Nourishing+Lavender%2C+32+Oz&amp;qid=1695170186&amp;sr=8-1")</f>
        <v/>
      </c>
      <c r="F854" t="inlineStr">
        <is>
          <t>B0011DP24Y</t>
        </is>
      </c>
      <c r="G854">
        <f>_xludf.IMAGE("https://www.shelhealth.com/cdn/shop/files/avalon-organics-shampoo-nourishing-lavender-32-oz-beauty-body-care-shelhealth-457.jpg?v=1686522170&amp;width=1946")</f>
        <v/>
      </c>
      <c r="H854">
        <f>_xludf.IMAGE("https://m.media-amazon.com/images/I/61Roudr-CyL._AC_UL320_.jpg")</f>
        <v/>
      </c>
      <c r="K854" t="inlineStr">
        <is>
          <t>21.99</t>
        </is>
      </c>
      <c r="L854" t="n">
        <v>17.48</v>
      </c>
      <c r="M854" s="1" t="inlineStr">
        <is>
          <t>-20.51%</t>
        </is>
      </c>
      <c r="N854" s="3" t="n">
        <v>-20.51</v>
      </c>
      <c r="O854" t="n">
        <v>4.3</v>
      </c>
      <c r="P854" t="n">
        <v>4772</v>
      </c>
      <c r="R854" t="inlineStr">
        <is>
          <t>InStock</t>
        </is>
      </c>
      <c r="S854" t="inlineStr">
        <is>
          <t>21.99</t>
        </is>
      </c>
      <c r="T854" t="inlineStr">
        <is>
          <t>7241472377020</t>
        </is>
      </c>
    </row>
    <row r="855" hidden="1" ht="15.75" customHeight="1">
      <c r="A855" s="2">
        <f>HYPERLINK("https://www.shelhealth.com/products/724742001247-alba-botanica-conditioner-mango-body-builder-32-oz", "https://www.shelhealth.com/products/724742001247-alba-botanica-conditioner-mango-body-builder-32-oz")</f>
        <v/>
      </c>
      <c r="B855" s="2">
        <f>HYPERLINK("https://www.shelhealth.com/products/724742001247-alba-botanica-conditioner-mango-body-builder-32-oz", "https://www.shelhealth.com/products/724742001247-alba-botanica-conditioner-mango-body-builder-32-oz")</f>
        <v/>
      </c>
      <c r="C855" t="inlineStr">
        <is>
          <t>Alba Botanica Conditioner Mango Body Builder, 32 Oz</t>
        </is>
      </c>
      <c r="D855" t="inlineStr">
        <is>
          <t>Alba Botanica Body Builder Conditioner, Mango, 32 Oz</t>
        </is>
      </c>
      <c r="E855" s="2">
        <f>HYPERLINK("https://www.amazon.com/Alba-Botanica-Builder-Hawaiian-Conditioner/dp/B01LYCFORK/ref=sr_1_1?keywords=Alba+Botanica+Conditioner+Mango+Body+Builder%2C+32+Oz&amp;qid=1695170210&amp;sr=8-1", "https://www.amazon.com/Alba-Botanica-Builder-Hawaiian-Conditioner/dp/B01LYCFORK/ref=sr_1_1?keywords=Alba+Botanica+Conditioner+Mango+Body+Builder%2C+32+Oz&amp;qid=1695170210&amp;sr=8-1")</f>
        <v/>
      </c>
      <c r="F855" t="inlineStr">
        <is>
          <t>B01LYCFORK</t>
        </is>
      </c>
      <c r="G855">
        <f>_xludf.IMAGE("https://www.shelhealth.com/cdn/shop/files/alba-botanica-conditioner-mango-body-builder-32-oz-beauty-care-shelhealth-884.jpg?v=1686191557&amp;width=1946")</f>
        <v/>
      </c>
      <c r="H855">
        <f>_xludf.IMAGE("https://m.media-amazon.com/images/I/51mU7pnoXvS._AC_UL320_.jpg")</f>
        <v/>
      </c>
      <c r="K855" t="inlineStr">
        <is>
          <t>18.99</t>
        </is>
      </c>
      <c r="L855" t="n">
        <v>14.99</v>
      </c>
      <c r="M855" s="1" t="inlineStr">
        <is>
          <t>-21.06%</t>
        </is>
      </c>
      <c r="N855" s="3" t="n">
        <v>-21.06</v>
      </c>
      <c r="O855" t="n">
        <v>4.5</v>
      </c>
      <c r="P855" t="n">
        <v>851</v>
      </c>
      <c r="R855" t="inlineStr">
        <is>
          <t>OutOfStock</t>
        </is>
      </c>
      <c r="S855" t="inlineStr">
        <is>
          <t>18.99</t>
        </is>
      </c>
      <c r="T855" t="inlineStr">
        <is>
          <t>7241428074684</t>
        </is>
      </c>
    </row>
    <row r="856" hidden="1" ht="15.75" customHeight="1">
      <c r="A856" s="2">
        <f>HYPERLINK("https://www.shelhealth.com/products/rogaine-for-men-hair-regrowth-treatment-easy-to-use-foam-6-month-supply-6-packs-2-11-oz-cans", "https://www.shelhealth.com/products/rogaine-for-men-hair-regrowth-treatment-easy-to-use-foam-6-month-supply-6-packs-2-11-oz-cans")</f>
        <v/>
      </c>
      <c r="B856" s="2">
        <f>HYPERLINK("https://www.shelhealth.com/products/rogaine-for-men-hair-regrowth-treatment-easy-to-use-foam-6-month-supply-6-packs-2-11-oz-cans", "https://www.shelhealth.com/products/rogaine-for-men-hair-regrowth-treatment-easy-to-use-foam-6-month-supply-6-packs-2-11-oz-cans")</f>
        <v/>
      </c>
      <c r="C856" t="inlineStr">
        <is>
          <t>Rogaine for Men Hair Regrowth Treatment, Easy-to-Use Foam, 6 Month Supply (6 Packs- 2.11 oz Cans)</t>
        </is>
      </c>
      <c r="D856" t="inlineStr">
        <is>
          <t>Rogaine for Men Hair Regrowth Treatment, Easy-to-Use Foam, 6 Month Supply (6 Packs- 2.11 oz Cans)</t>
        </is>
      </c>
      <c r="E856" s="2">
        <f>HYPERLINK("https://www.amazon.com/Rogaine-Regrowth-Treatment-Supply-Packs/dp/B00PG5SD9Y/ref=sr_1_1?keywords=Rogaine+for+Men+Hair+Regrowth+Treatment%2C+Easy-to-Use+Foam%2C+6+Month+Supply+%286+Packs-+2.11+oz+Cans%29&amp;qid=1695170162&amp;sr=8-1", "https://www.amazon.com/Rogaine-Regrowth-Treatment-Supply-Packs/dp/B00PG5SD9Y/ref=sr_1_1?keywords=Rogaine+for+Men+Hair+Regrowth+Treatment%2C+Easy-to-Use+Foam%2C+6+Month+Supply+%286+Packs-+2.11+oz+Cans%29&amp;qid=1695170162&amp;sr=8-1")</f>
        <v/>
      </c>
      <c r="F856" t="inlineStr">
        <is>
          <t>B00PG5SD9Y</t>
        </is>
      </c>
      <c r="G856">
        <f>_xludf.IMAGE("https://www.shelhealth.com/cdn/shop/products/rogaine-for-men-hair-regrowth-treatment-easy-to-use-foam-6-month-supply-packs-2-11-oz-cans-shelhealth-385.jpg?v=1663371188&amp;width=1946")</f>
        <v/>
      </c>
      <c r="H856">
        <f>_xludf.IMAGE("https://m.media-amazon.com/images/I/61JgDtT3DpL._AC_UL320_.jpg")</f>
        <v/>
      </c>
      <c r="K856" t="inlineStr">
        <is>
          <t>149.99</t>
        </is>
      </c>
      <c r="L856" t="n">
        <v>117.98</v>
      </c>
      <c r="M856" s="1" t="inlineStr">
        <is>
          <t>-21.34%</t>
        </is>
      </c>
      <c r="N856" s="3" t="n">
        <v>-21.34</v>
      </c>
      <c r="O856" t="n">
        <v>4.2</v>
      </c>
      <c r="P856" t="n">
        <v>1643</v>
      </c>
      <c r="R856" t="inlineStr">
        <is>
          <t>InStock</t>
        </is>
      </c>
      <c r="S856" t="inlineStr">
        <is>
          <t>149.99</t>
        </is>
      </c>
      <c r="T856" t="inlineStr">
        <is>
          <t>4668925116505</t>
        </is>
      </c>
    </row>
    <row r="857" hidden="1" ht="15.75" customHeight="1">
      <c r="A857" s="2">
        <f>HYPERLINK("https://www.shelhealth.com/products/704326100306-tints-of-nature-3n-natural-dark-brown-permanent-hair-colour-4-4-fo", "https://www.shelhealth.com/products/704326100306-tints-of-nature-3n-natural-dark-brown-permanent-hair-colour-4-4-fo")</f>
        <v/>
      </c>
      <c r="B857" s="2">
        <f>HYPERLINK("https://www.shelhealth.com/products/704326100306-tints-of-nature-3n-natural-dark-brown-permanent-hair-colour-4-4-fo", "https://www.shelhealth.com/products/704326100306-tints-of-nature-3n-natural-dark-brown-permanent-hair-colour-4-4-fo")</f>
        <v/>
      </c>
      <c r="C857" t="inlineStr">
        <is>
          <t>Tints Of Nature 3N Natural Dark Brown Permanent Hair Colour, 4.4 Fo</t>
        </is>
      </c>
      <c r="D857" t="inlineStr">
        <is>
          <t>Tints of Nature 3N Natural Dark Brown Permanent Hair Dye, Nourishes Hair and Covers Greys, Ammonia-Free, 130ml</t>
        </is>
      </c>
      <c r="E857" s="2">
        <f>HYPERLINK("https://www.amazon.com/Tints-Nature-Natural-Dark-Brown/dp/B008B58XA0/ref=sr_1_2?keywords=Tints+Of+Nature+3N+Natural+Dark+Brown+Permanent+Hair+Colour%2C+4.4+Fo&amp;qid=1695170195&amp;sr=8-2", "https://www.amazon.com/Tints-Nature-Natural-Dark-Brown/dp/B008B58XA0/ref=sr_1_2?keywords=Tints+Of+Nature+3N+Natural+Dark+Brown+Permanent+Hair+Colour%2C+4.4+Fo&amp;qid=1695170195&amp;sr=8-2")</f>
        <v/>
      </c>
      <c r="F857" t="inlineStr">
        <is>
          <t>B008B58XA0</t>
        </is>
      </c>
      <c r="G857">
        <f>_xludf.IMAGE("https://www.shelhealth.com/cdn/shop/files/tints-of-nature-3n-natural-dark-brown-permanent-hair-colour-4-fo-beauty-body-care-shelhealth-465.jpg?v=1689667949&amp;width=1946")</f>
        <v/>
      </c>
      <c r="H857">
        <f>_xludf.IMAGE("https://m.media-amazon.com/images/I/61eCNKzBYSL._AC_UL320_.jpg")</f>
        <v/>
      </c>
      <c r="K857" t="inlineStr">
        <is>
          <t>19.99</t>
        </is>
      </c>
      <c r="L857" t="n">
        <v>15.68</v>
      </c>
      <c r="M857" s="1" t="inlineStr">
        <is>
          <t>-21.56%</t>
        </is>
      </c>
      <c r="N857" s="3" t="n">
        <v>-21.56</v>
      </c>
      <c r="O857" t="n">
        <v>4.3</v>
      </c>
      <c r="P857" t="n">
        <v>2026</v>
      </c>
      <c r="R857" t="inlineStr">
        <is>
          <t>OutOfStock</t>
        </is>
      </c>
      <c r="S857" t="inlineStr">
        <is>
          <t>19.99</t>
        </is>
      </c>
      <c r="T857" t="inlineStr">
        <is>
          <t>7242043719868</t>
        </is>
      </c>
    </row>
    <row r="858" hidden="1" ht="15.75" customHeight="1">
      <c r="A858" s="2">
        <f>HYPERLINK("https://www.shelhealth.com/products/finishing-touch-flawless-facial-hair-remover", "https://www.shelhealth.com/products/finishing-touch-flawless-facial-hair-remover")</f>
        <v/>
      </c>
      <c r="B858" s="2">
        <f>HYPERLINK("https://www.shelhealth.com/products/finishing-touch-flawless-facial-hair-remover", "https://www.shelhealth.com/products/finishing-touch-flawless-facial-hair-remover")</f>
        <v/>
      </c>
      <c r="C858" t="inlineStr">
        <is>
          <t>Finishing Touch Flawless Facial Hair Remover</t>
        </is>
      </c>
      <c r="D858" t="inlineStr">
        <is>
          <t>Finishing Touch Flawless Women's Painless Hair Remover , White/Rose Gold</t>
        </is>
      </c>
      <c r="E858" s="2">
        <f>HYPERLINK("https://www.amazon.com/Finishing-Touch-Flawless-Painless-Remover/dp/B071KW9GTT/ref=sr_1_1?keywords=Finishing+Touch+Flawless+Facial+Hair+Remover&amp;qid=1695170242&amp;sr=8-1", "https://www.amazon.com/Finishing-Touch-Flawless-Painless-Remover/dp/B071KW9GTT/ref=sr_1_1?keywords=Finishing+Touch+Flawless+Facial+Hair+Remover&amp;qid=1695170242&amp;sr=8-1")</f>
        <v/>
      </c>
      <c r="F858" t="inlineStr">
        <is>
          <t>B071KW9GTT</t>
        </is>
      </c>
      <c r="G858">
        <f>_xludf.IMAGE("https://www.shelhealth.com/cdn/shop/products/finishing-touch-flawless-facial-hair-remover-shelhealth-241.jpg?v=1663620023&amp;width=1946")</f>
        <v/>
      </c>
      <c r="H858">
        <f>_xludf.IMAGE("https://m.media-amazon.com/images/I/61Orj8GcsYL._AC_UL320_.jpg")</f>
        <v/>
      </c>
      <c r="K858" t="inlineStr">
        <is>
          <t>24.99</t>
        </is>
      </c>
      <c r="L858" t="n">
        <v>19.59</v>
      </c>
      <c r="M858" s="1" t="inlineStr">
        <is>
          <t>-21.61%</t>
        </is>
      </c>
      <c r="N858" s="3" t="n">
        <v>-21.61</v>
      </c>
      <c r="O858" t="n">
        <v>4.4</v>
      </c>
      <c r="P858" t="n">
        <v>105899</v>
      </c>
      <c r="R858" t="inlineStr">
        <is>
          <t>InStock</t>
        </is>
      </c>
      <c r="S858" t="inlineStr">
        <is>
          <t>24.99</t>
        </is>
      </c>
      <c r="T858" t="inlineStr">
        <is>
          <t>4727992909913</t>
        </is>
      </c>
    </row>
    <row r="859" hidden="1" ht="15.75" customHeight="1">
      <c r="A859" s="2">
        <f>HYPERLINK("https://www.shelhealth.com/products/finishing-touch-flawless-facial-hair-remover", "https://www.shelhealth.com/products/finishing-touch-flawless-facial-hair-remover")</f>
        <v/>
      </c>
      <c r="B859" s="2">
        <f>HYPERLINK("https://www.shelhealth.com/products/finishing-touch-flawless-facial-hair-remover", "https://www.shelhealth.com/products/finishing-touch-flawless-facial-hair-remover")</f>
        <v/>
      </c>
      <c r="C859" t="inlineStr">
        <is>
          <t>Finishing Touch Flawless Facial Hair Remover</t>
        </is>
      </c>
      <c r="D859" t="inlineStr">
        <is>
          <t>Finishing Touch Flawless Women's Painless Hair Remover, Blush/Rose Gold</t>
        </is>
      </c>
      <c r="E859" s="2">
        <f>HYPERLINK("https://www.amazon.com/Finishing-Flawless-Womens-Painless-Remover/dp/B0768M8SVH/ref=sr_1_2?keywords=Finishing+Touch+Flawless+Facial+Hair+Remover&amp;qid=1695170242&amp;sr=8-2", "https://www.amazon.com/Finishing-Flawless-Womens-Painless-Remover/dp/B0768M8SVH/ref=sr_1_2?keywords=Finishing+Touch+Flawless+Facial+Hair+Remover&amp;qid=1695170242&amp;sr=8-2")</f>
        <v/>
      </c>
      <c r="F859" t="inlineStr">
        <is>
          <t>B0768M8SVH</t>
        </is>
      </c>
      <c r="G859">
        <f>_xludf.IMAGE("https://www.shelhealth.com/cdn/shop/products/finishing-touch-flawless-facial-hair-remover-shelhealth-241.jpg?v=1663620023&amp;width=1946")</f>
        <v/>
      </c>
      <c r="H859">
        <f>_xludf.IMAGE("https://m.media-amazon.com/images/I/614QQgOQPrL._AC_UL320_.jpg")</f>
        <v/>
      </c>
      <c r="K859" t="inlineStr">
        <is>
          <t>24.99</t>
        </is>
      </c>
      <c r="L859" t="n">
        <v>19.4</v>
      </c>
      <c r="M859" s="1" t="inlineStr">
        <is>
          <t>-22.37%</t>
        </is>
      </c>
      <c r="N859" s="3" t="n">
        <v>-22.37</v>
      </c>
      <c r="O859" t="n">
        <v>4.4</v>
      </c>
      <c r="P859" t="n">
        <v>28060</v>
      </c>
      <c r="R859" t="inlineStr">
        <is>
          <t>InStock</t>
        </is>
      </c>
      <c r="S859" t="inlineStr">
        <is>
          <t>24.99</t>
        </is>
      </c>
      <c r="T859" t="inlineStr">
        <is>
          <t>4727992909913</t>
        </is>
      </c>
    </row>
    <row r="860" hidden="1" ht="15.75" customHeight="1">
      <c r="A860" s="2">
        <f>HYPERLINK("https://www.shelhealth.com/products/berkley-jensen-minoxidil-mens-hair-regrowth-treatment-for-men-topical-aerosol-5-foam-4-month-supply", "https://www.shelhealth.com/products/berkley-jensen-minoxidil-mens-hair-regrowth-treatment-for-men-topical-aerosol-5-foam-4-month-supply")</f>
        <v/>
      </c>
      <c r="B860" s="2">
        <f>HYPERLINK("https://www.shelhealth.com/products/berkley-jensen-minoxidil-mens-hair-regrowth-treatment-for-men-topical-aerosol-5-foam-4-month-supply", "https://www.shelhealth.com/products/berkley-jensen-minoxidil-mens-hair-regrowth-treatment-for-men-topical-aerosol-5-foam-4-month-supply")</f>
        <v/>
      </c>
      <c r="C860" t="inlineStr">
        <is>
          <t>Berkley Jensen Minoxidil Men's Hair Regrowth Treatment for Men Topical Aerosol 5% Foam 4 Month Supply</t>
        </is>
      </c>
      <c r="D860" t="inlineStr">
        <is>
          <t>Amazon Basic Care Minoxidil Topical Aerosol, 5% Foam Hair Regrowth Treatment for Men, 3-month Supply, Unscented, 2.11 oz. (Pack of 3)</t>
        </is>
      </c>
      <c r="E860" s="2">
        <f>HYPERLINK("https://www.amazon.com/Amazon-Basic-Care-Minoxidil-Treatment/dp/B09NBTMF86/ref=sr_1_3?keywords=Berkley+Jensen+Minoxidil+Men%27s+Hair+Regrowth+Treatment+for+Men+Topical+Aerosol+5%25+Foam+4+Month+Supply&amp;qid=1695170161&amp;sr=8-3", "https://www.amazon.com/Amazon-Basic-Care-Minoxidil-Treatment/dp/B09NBTMF86/ref=sr_1_3?keywords=Berkley+Jensen+Minoxidil+Men%27s+Hair+Regrowth+Treatment+for+Men+Topical+Aerosol+5%25+Foam+4+Month+Supply&amp;qid=1695170161&amp;sr=8-3")</f>
        <v/>
      </c>
      <c r="F860" t="inlineStr">
        <is>
          <t>B09NBTMF86</t>
        </is>
      </c>
      <c r="G860">
        <f>_xludf.IMAGE("https://www.shelhealth.com/cdn/shop/products/berkley-jensen-minoxidil-mens-hair-regrowth-treatment-for-men-topical-aerosol-5-foam-4-month-supply-shelhealth-472.jpg?v=1663349999&amp;width=1946")</f>
        <v/>
      </c>
      <c r="H860">
        <f>_xludf.IMAGE("https://m.media-amazon.com/images/I/71+ANhyetbL._AC_UL320_.jpg")</f>
        <v/>
      </c>
      <c r="K860" t="inlineStr">
        <is>
          <t>46.99</t>
        </is>
      </c>
      <c r="L860" t="n">
        <v>36.29</v>
      </c>
      <c r="M860" s="1" t="inlineStr">
        <is>
          <t>-22.77%</t>
        </is>
      </c>
      <c r="N860" s="3" t="n">
        <v>-22.77</v>
      </c>
      <c r="O860" t="n">
        <v>4.4</v>
      </c>
      <c r="P860" t="n">
        <v>572</v>
      </c>
      <c r="R860" t="inlineStr">
        <is>
          <t>OutOfStock</t>
        </is>
      </c>
      <c r="S860" t="inlineStr">
        <is>
          <t>46.99</t>
        </is>
      </c>
      <c r="T860" t="inlineStr">
        <is>
          <t>3853318979636</t>
        </is>
      </c>
    </row>
    <row r="861" hidden="1" ht="15.75" customHeight="1">
      <c r="A861" s="2">
        <f>HYPERLINK("https://www.shelhealth.com/products/love-beauty-and-planet-blooming-color-conditioner-for-color-treated-hair-murumuru-butter-rose-22-oz", "https://www.shelhealth.com/products/love-beauty-and-planet-blooming-color-conditioner-for-color-treated-hair-murumuru-butter-rose-22-oz")</f>
        <v/>
      </c>
      <c r="B861" s="2">
        <f>HYPERLINK("https://www.shelhealth.com/products/love-beauty-and-planet-blooming-color-conditioner-for-color-treated-hair-murumuru-butter-rose-22-oz", "https://www.shelhealth.com/products/love-beauty-and-planet-blooming-color-conditioner-for-color-treated-hair-murumuru-butter-rose-22-oz")</f>
        <v/>
      </c>
      <c r="C861" t="inlineStr">
        <is>
          <t>Love Beauty and Planet Conditioner Blooming Color Murumuru Butter &amp; Rose, 22 FL OZ</t>
        </is>
      </c>
      <c r="D861" t="inlineStr">
        <is>
          <t>Love Beauty and Planet Shampoo &amp; Conditioner Murumuru Butter &amp; Rose 2 Count for Color-Treated Hair Shampoo and Conditioner Silicone Free, Paraben Free and Vegan 13.5 oz</t>
        </is>
      </c>
      <c r="E861" s="2">
        <f>HYPERLINK("https://www.amazon.com/Love-Beauty-Planet-Blooming-Conditioner/dp/B0784P7P16/ref=sr_1_4?keywords=Love+Beauty+and+Planet+Conditioner+Blooming+Color+Murumuru+Butter&amp;qid=1695170238&amp;sr=8-4", "https://www.amazon.com/Love-Beauty-Planet-Blooming-Conditioner/dp/B0784P7P16/ref=sr_1_4?keywords=Love+Beauty+and+Planet+Conditioner+Blooming+Color+Murumuru+Butter&amp;qid=1695170238&amp;sr=8-4")</f>
        <v/>
      </c>
      <c r="F861" t="inlineStr">
        <is>
          <t>B0784P7P16</t>
        </is>
      </c>
      <c r="G861">
        <f>_xludf.IMAGE("https://www.shelhealth.com/cdn/shop/products/love-beauty-and-planet-conditioner-blooming-color-murumuru-butter-rose-22-fl-oz-shelhealth-412.jpg?v=1663360343&amp;width=1946")</f>
        <v/>
      </c>
      <c r="H861">
        <f>_xludf.IMAGE("https://m.media-amazon.com/images/I/81wXZMDnoHL._AC_UL320_.jpg")</f>
        <v/>
      </c>
      <c r="K861" t="inlineStr">
        <is>
          <t>16.99</t>
        </is>
      </c>
      <c r="L861" t="n">
        <v>13.09</v>
      </c>
      <c r="M861" s="1" t="inlineStr">
        <is>
          <t>-22.95%</t>
        </is>
      </c>
      <c r="N861" s="3" t="n">
        <v>-22.95</v>
      </c>
      <c r="O861" t="n">
        <v>4.4</v>
      </c>
      <c r="P861" t="n">
        <v>7053</v>
      </c>
      <c r="R861" t="inlineStr">
        <is>
          <t>OutOfStock</t>
        </is>
      </c>
      <c r="S861" t="inlineStr">
        <is>
          <t>16.99</t>
        </is>
      </c>
      <c r="T861" t="inlineStr">
        <is>
          <t>4417498546265</t>
        </is>
      </c>
    </row>
    <row r="862" hidden="1" ht="15.75" customHeight="1">
      <c r="A862" s="2">
        <f>HYPERLINK("https://www.shelhealth.com/products/654749351260-avalon-organics-shampoo-nourishing-lavender-32-oz", "https://www.shelhealth.com/products/654749351260-avalon-organics-shampoo-nourishing-lavender-32-oz")</f>
        <v/>
      </c>
      <c r="B862" s="2">
        <f>HYPERLINK("https://www.shelhealth.com/products/654749351260-avalon-organics-shampoo-nourishing-lavender-32-oz", "https://www.shelhealth.com/products/654749351260-avalon-organics-shampoo-nourishing-lavender-32-oz")</f>
        <v/>
      </c>
      <c r="C862" t="inlineStr">
        <is>
          <t>Avalon Organics Shampoo Nourishing Lavender, 32 Oz</t>
        </is>
      </c>
      <c r="D862" t="inlineStr">
        <is>
          <t>Avalon Organics Nourishing Shampoo Lavender, 11 Oz (Pack of 2)</t>
        </is>
      </c>
      <c r="E862" s="2">
        <f>HYPERLINK("https://www.amazon.com/Avalon-Organics-Nourishing-Shampoo-Lavender/dp/B00JGQ53WY/ref=sr_1_10?keywords=Avalon+Organics+Shampoo+Nourishing+Lavender%2C+32+Oz&amp;qid=1695170186&amp;sr=8-10", "https://www.amazon.com/Avalon-Organics-Nourishing-Shampoo-Lavender/dp/B00JGQ53WY/ref=sr_1_10?keywords=Avalon+Organics+Shampoo+Nourishing+Lavender%2C+32+Oz&amp;qid=1695170186&amp;sr=8-10")</f>
        <v/>
      </c>
      <c r="F862" t="inlineStr">
        <is>
          <t>B00JGQ53WY</t>
        </is>
      </c>
      <c r="G862">
        <f>_xludf.IMAGE("https://www.shelhealth.com/cdn/shop/files/avalon-organics-shampoo-nourishing-lavender-32-oz-beauty-body-care-shelhealth-457.jpg?v=1686522170&amp;width=1946")</f>
        <v/>
      </c>
      <c r="H862">
        <f>_xludf.IMAGE("https://m.media-amazon.com/images/I/51-vjSCB5DL._AC_UL320_.jpg")</f>
        <v/>
      </c>
      <c r="K862" t="inlineStr">
        <is>
          <t>21.99</t>
        </is>
      </c>
      <c r="L862" t="n">
        <v>16.93</v>
      </c>
      <c r="M862" s="1" t="inlineStr">
        <is>
          <t>-23.01%</t>
        </is>
      </c>
      <c r="N862" s="3" t="n">
        <v>-23.01</v>
      </c>
      <c r="O862" t="n">
        <v>3.9</v>
      </c>
      <c r="P862" t="n">
        <v>16</v>
      </c>
      <c r="R862" t="inlineStr">
        <is>
          <t>InStock</t>
        </is>
      </c>
      <c r="S862" t="inlineStr">
        <is>
          <t>21.99</t>
        </is>
      </c>
      <c r="T862" t="inlineStr">
        <is>
          <t>7241472377020</t>
        </is>
      </c>
    </row>
    <row r="863" hidden="1" ht="15.75" customHeight="1">
      <c r="A863" s="2">
        <f>HYPERLINK("https://www.shelhealth.com/products/monday-moisturizing-shampoo-conditioner-2-x-30-fl-oz", "https://www.shelhealth.com/products/monday-moisturizing-shampoo-conditioner-2-x-30-fl-oz")</f>
        <v/>
      </c>
      <c r="B863" s="2">
        <f>HYPERLINK("https://www.shelhealth.com/products/monday-moisturizing-shampoo-conditioner-2-x-30-fl-oz", "https://www.shelhealth.com/products/monday-moisturizing-shampoo-conditioner-2-x-30-fl-oz")</f>
        <v/>
      </c>
      <c r="C863" t="inlineStr">
        <is>
          <t>Monday Moisturizing Shampoo &amp; Conditioner, 2 x 30 fl. oz.</t>
        </is>
      </c>
      <c r="D863" t="inlineStr">
        <is>
          <t>MONDAY HAIRCARE Volume Shampoo + Conditioner Set (2 Pack) 30oz Each for Thin, Fine, and Oily Hair, Made from Coconut Oil, Ginger Extract, &amp; Vitamin E, 100% Recyclable Bottles</t>
        </is>
      </c>
      <c r="E863" s="2">
        <f>HYPERLINK("https://www.amazon.com/MONDAY-HAIRCARE-Bathroom-Conditioner-Exclusive/dp/B096ZFFZDX/ref=sr_1_9?keywords=Monday+Moisturizing+Shampoo+%26+Conditioner%2C+2+x+30+fl.+oz.&amp;qid=1695170263&amp;sr=8-9", "https://www.amazon.com/MONDAY-HAIRCARE-Bathroom-Conditioner-Exclusive/dp/B096ZFFZDX/ref=sr_1_9?keywords=Monday+Moisturizing+Shampoo+%26+Conditioner%2C+2+x+30+fl.+oz.&amp;qid=1695170263&amp;sr=8-9")</f>
        <v/>
      </c>
      <c r="F863" t="inlineStr">
        <is>
          <t>B096ZFFZDX</t>
        </is>
      </c>
      <c r="G863">
        <f>_xludf.IMAGE("https://www.shelhealth.com/cdn/shop/products/monday-moisturizing-shampoo-conditioner-2-x-30-fl-oz-shelhealth-677.jpg?v=1663750232&amp;width=1946")</f>
        <v/>
      </c>
      <c r="H863">
        <f>_xludf.IMAGE("https://m.media-amazon.com/images/I/71FZDY56cYL._AC_UL320_.jpg")</f>
        <v/>
      </c>
      <c r="K863" t="inlineStr">
        <is>
          <t>38.99</t>
        </is>
      </c>
      <c r="L863" t="n">
        <v>29.99</v>
      </c>
      <c r="M863" s="1" t="inlineStr">
        <is>
          <t>-23.08%</t>
        </is>
      </c>
      <c r="N863" s="3" t="n">
        <v>-23.08</v>
      </c>
      <c r="O863" t="n">
        <v>4.3</v>
      </c>
      <c r="P863" t="n">
        <v>262</v>
      </c>
      <c r="R863" t="inlineStr">
        <is>
          <t>InStock</t>
        </is>
      </c>
      <c r="S863" t="inlineStr">
        <is>
          <t>38.99</t>
        </is>
      </c>
      <c r="T863" t="inlineStr">
        <is>
          <t>7557727322344</t>
        </is>
      </c>
    </row>
    <row r="864" hidden="1" ht="15.75" customHeight="1">
      <c r="A864" s="2">
        <f>HYPERLINK("https://www.shelhealth.com/products/724742001247-alba-botanica-conditioner-mango-body-builder-32-oz", "https://www.shelhealth.com/products/724742001247-alba-botanica-conditioner-mango-body-builder-32-oz")</f>
        <v/>
      </c>
      <c r="B864" s="2">
        <f>HYPERLINK("https://www.shelhealth.com/products/724742001247-alba-botanica-conditioner-mango-body-builder-32-oz", "https://www.shelhealth.com/products/724742001247-alba-botanica-conditioner-mango-body-builder-32-oz")</f>
        <v/>
      </c>
      <c r="C864" t="inlineStr">
        <is>
          <t>Alba Botanica Conditioner Mango Body Builder, 32 Oz</t>
        </is>
      </c>
      <c r="D864" t="inlineStr">
        <is>
          <t>Alba Botanica Body Builder Shampoo, Mango, 32 Oz</t>
        </is>
      </c>
      <c r="E864" s="2">
        <f>HYPERLINK("https://www.amazon.com/Alba-Botanica-Builder-Hawaiian-Shampoo/dp/B01LWPXT14/ref=sr_1_2?keywords=Alba+Botanica+Conditioner+Mango+Body+Builder%2C+32+Oz&amp;qid=1695170210&amp;sr=8-2", "https://www.amazon.com/Alba-Botanica-Builder-Hawaiian-Shampoo/dp/B01LWPXT14/ref=sr_1_2?keywords=Alba+Botanica+Conditioner+Mango+Body+Builder%2C+32+Oz&amp;qid=1695170210&amp;sr=8-2")</f>
        <v/>
      </c>
      <c r="F864" t="inlineStr">
        <is>
          <t>B01LWPXT14</t>
        </is>
      </c>
      <c r="G864">
        <f>_xludf.IMAGE("https://www.shelhealth.com/cdn/shop/files/alba-botanica-conditioner-mango-body-builder-32-oz-beauty-care-shelhealth-884.jpg?v=1686191557&amp;width=1946")</f>
        <v/>
      </c>
      <c r="H864">
        <f>_xludf.IMAGE("https://m.media-amazon.com/images/I/51NOZOhWbNS._AC_UL320_.jpg")</f>
        <v/>
      </c>
      <c r="K864" t="inlineStr">
        <is>
          <t>18.99</t>
        </is>
      </c>
      <c r="L864" t="n">
        <v>14.49</v>
      </c>
      <c r="M864" s="1" t="inlineStr">
        <is>
          <t>-23.70%</t>
        </is>
      </c>
      <c r="N864" s="3" t="n">
        <v>-23.7</v>
      </c>
      <c r="O864" t="n">
        <v>4.4</v>
      </c>
      <c r="P864" t="n">
        <v>1352</v>
      </c>
      <c r="R864" t="inlineStr">
        <is>
          <t>OutOfStock</t>
        </is>
      </c>
      <c r="S864" t="inlineStr">
        <is>
          <t>18.99</t>
        </is>
      </c>
      <c r="T864" t="inlineStr">
        <is>
          <t>7241428074684</t>
        </is>
      </c>
    </row>
    <row r="865" hidden="1" ht="15.75" customHeight="1">
      <c r="A865" s="2">
        <f>HYPERLINK("https://www.shelhealth.com/products/75363001100-brittanie-s-thyme-squalane-skin-oil-2-oz", "https://www.shelhealth.com/products/75363001100-brittanie-s-thyme-squalane-skin-oil-2-oz")</f>
        <v/>
      </c>
      <c r="B865" s="2">
        <f>HYPERLINK("https://www.shelhealth.com/products/75363001100-brittanie-s-thyme-squalane-skin-oil-2-oz", "https://www.shelhealth.com/products/75363001100-brittanie-s-thyme-squalane-skin-oil-2-oz")</f>
        <v/>
      </c>
      <c r="C865" t="inlineStr">
        <is>
          <t>BRITTANIE'S THYME Squalane Skin Oil, 2 oz</t>
        </is>
      </c>
      <c r="D865" t="inlineStr">
        <is>
          <t>Brittanie's Thyme Squalane Skin Moisturizing Oil 2oz | 100% Plant Derived Squalane for Face, Skin &amp; Hair | Luxurious Formula, Lightweight Formula for Hydration</t>
        </is>
      </c>
      <c r="E865" s="2">
        <f>HYPERLINK("https://www.amazon.com/Moisturizing-Luxurious-Lightweight-Hydration-Anti-Aging/dp/B07GJV7R9C/ref=sr_1_1?keywords=BRITTANIES+THYME+Squalane+Skin+Oil%2C+2+oz&amp;qid=1695170231&amp;sr=8-1", "https://www.amazon.com/Moisturizing-Luxurious-Lightweight-Hydration-Anti-Aging/dp/B07GJV7R9C/ref=sr_1_1?keywords=BRITTANIES+THYME+Squalane+Skin+Oil%2C+2+oz&amp;qid=1695170231&amp;sr=8-1")</f>
        <v/>
      </c>
      <c r="F865" t="inlineStr">
        <is>
          <t>B07GJV7R9C</t>
        </is>
      </c>
      <c r="G865">
        <f>_xludf.IMAGE("https://www.shelhealth.com/cdn/shop/files/brittanies-thyme-squalane-skin-oil-2-oz-beauty-body-care-shelhealth-512.jpg?v=1686487962&amp;width=1946")</f>
        <v/>
      </c>
      <c r="H865">
        <f>_xludf.IMAGE("https://m.media-amazon.com/images/I/6162fSow72L._AC_UL320_.jpg")</f>
        <v/>
      </c>
      <c r="K865" t="inlineStr">
        <is>
          <t>12.99</t>
        </is>
      </c>
      <c r="L865" t="n">
        <v>9.890000000000001</v>
      </c>
      <c r="M865" s="1" t="inlineStr">
        <is>
          <t>-23.86%</t>
        </is>
      </c>
      <c r="N865" s="3" t="n">
        <v>-23.86</v>
      </c>
      <c r="O865" t="n">
        <v>4.5</v>
      </c>
      <c r="P865" t="n">
        <v>117</v>
      </c>
      <c r="R865" t="inlineStr">
        <is>
          <t>OutOfStock</t>
        </is>
      </c>
      <c r="S865" t="inlineStr">
        <is>
          <t>12.99</t>
        </is>
      </c>
      <c r="T865" t="inlineStr">
        <is>
          <t>7573999452392</t>
        </is>
      </c>
    </row>
    <row r="866" hidden="1" ht="15.75" customHeight="1">
      <c r="A866" s="2">
        <f>HYPERLINK("https://www.shelhealth.com/products/axe-clean-cut-look-classic-hair-pomade-2-64-oz-3-count", "https://www.shelhealth.com/products/axe-clean-cut-look-classic-hair-pomade-2-64-oz-3-count")</f>
        <v/>
      </c>
      <c r="B866" s="2">
        <f>HYPERLINK("https://www.shelhealth.com/products/axe-clean-cut-look-classic-hair-pomade-2-64-oz-3-count", "https://www.shelhealth.com/products/axe-clean-cut-look-classic-hair-pomade-2-64-oz-3-count")</f>
        <v/>
      </c>
      <c r="C866" t="inlineStr">
        <is>
          <t>AXE Clean Cut Look Classic Hair Pomade 2.64 oz, 3 Count</t>
        </is>
      </c>
      <c r="D866" t="inlineStr">
        <is>
          <t>Axe Styling Look Classic Pomade For Easy To Style Hair 2.64oz, Medium Hold and Natural Finish Clean Cut Look (Pack of 2)</t>
        </is>
      </c>
      <c r="E866" s="2">
        <f>HYPERLINK("https://www.amazon.com/AXE-Clean-Pomade-Classic-Count/dp/B01INE0K8Q/ref=sr_1_1?keywords=AXE+Clean+Cut+Look+Classic+Hair+Pomade+2.64+oz%2C+3+Count&amp;qid=1695170243&amp;sr=8-1", "https://www.amazon.com/AXE-Clean-Pomade-Classic-Count/dp/B01INE0K8Q/ref=sr_1_1?keywords=AXE+Clean+Cut+Look+Classic+Hair+Pomade+2.64+oz%2C+3+Count&amp;qid=1695170243&amp;sr=8-1")</f>
        <v/>
      </c>
      <c r="F866" t="inlineStr">
        <is>
          <t>B01INE0K8Q</t>
        </is>
      </c>
      <c r="G866">
        <f>_xludf.IMAGE("https://www.shelhealth.com/cdn/shop/products/axe-clean-cut-look-classic-hair-pomade-2-64-oz-3-count-shelhealth-674.jpg?v=1663371224&amp;width=1946")</f>
        <v/>
      </c>
      <c r="H866">
        <f>_xludf.IMAGE("https://m.media-amazon.com/images/I/71dC+++U2lL._AC_UL320_.jpg")</f>
        <v/>
      </c>
      <c r="K866" t="inlineStr">
        <is>
          <t>20.99</t>
        </is>
      </c>
      <c r="L866" t="n">
        <v>15.96</v>
      </c>
      <c r="M866" s="1" t="inlineStr">
        <is>
          <t>-23.96%</t>
        </is>
      </c>
      <c r="N866" s="3" t="n">
        <v>-23.96</v>
      </c>
      <c r="O866" t="n">
        <v>4.7</v>
      </c>
      <c r="P866" t="n">
        <v>2776</v>
      </c>
      <c r="R866" t="inlineStr">
        <is>
          <t>OutOfStock</t>
        </is>
      </c>
      <c r="S866" t="inlineStr">
        <is>
          <t>20.99</t>
        </is>
      </c>
      <c r="T866" t="inlineStr">
        <is>
          <t>4668931965017</t>
        </is>
      </c>
    </row>
    <row r="867" hidden="1" ht="15.75" customHeight="1">
      <c r="A867" s="2">
        <f>HYPERLINK("https://www.shelhealth.com/products/conair-infiniti-pro-hair-dyer-1875-watt", "https://www.shelhealth.com/products/conair-infiniti-pro-hair-dyer-1875-watt")</f>
        <v/>
      </c>
      <c r="B867" s="2">
        <f>HYPERLINK("https://www.shelhealth.com/products/conair-infiniti-pro-hair-dyer-1875-watt", "https://www.shelhealth.com/products/conair-infiniti-pro-hair-dyer-1875-watt")</f>
        <v/>
      </c>
      <c r="C867" t="inlineStr">
        <is>
          <t>Conair Infiniti Pro Hair Dyer 1875 WATT</t>
        </is>
      </c>
      <c r="D867" t="inlineStr">
        <is>
          <t>INFINITIPRO BY CONAIR 3-in-1 Styling Hair Dryer, 1875W Hair Dryer with Ceramic Technology and 3 Attachments</t>
        </is>
      </c>
      <c r="E867" s="2">
        <f>HYPERLINK("https://www.amazon.com/INFINITIPRO-Attachments-Detangle-Straighten-Volumize/dp/B074PTZCNS/ref=sr_1_4?keywords=Conair+Infiniti+Pro+Hair+Dyer+1875+WATT&amp;qid=1695170168&amp;sr=8-4", "https://www.amazon.com/INFINITIPRO-Attachments-Detangle-Straighten-Volumize/dp/B074PTZCNS/ref=sr_1_4?keywords=Conair+Infiniti+Pro+Hair+Dyer+1875+WATT&amp;qid=1695170168&amp;sr=8-4")</f>
        <v/>
      </c>
      <c r="F867" t="inlineStr">
        <is>
          <t>B074PTZCNS</t>
        </is>
      </c>
      <c r="G867">
        <f>_xludf.IMAGE("https://www.shelhealth.com/cdn/shop/products/conair-infiniti-pro-hair-dyer-1875-watt-shelhealth-502.jpg?v=1663343315&amp;width=1946")</f>
        <v/>
      </c>
      <c r="H867">
        <f>_xludf.IMAGE("https://m.media-amazon.com/images/I/81PeFlJ1+jS._AC_UL320_.jpg")</f>
        <v/>
      </c>
      <c r="K867" t="inlineStr">
        <is>
          <t>36.99</t>
        </is>
      </c>
      <c r="L867" t="n">
        <v>27.99</v>
      </c>
      <c r="M867" s="1" t="inlineStr">
        <is>
          <t>-24.33%</t>
        </is>
      </c>
      <c r="N867" s="3" t="n">
        <v>-24.33</v>
      </c>
      <c r="O867" t="n">
        <v>4.6</v>
      </c>
      <c r="P867" t="n">
        <v>9443</v>
      </c>
      <c r="R867" t="inlineStr">
        <is>
          <t>OutOfStock</t>
        </is>
      </c>
      <c r="S867" t="inlineStr">
        <is>
          <t>36.99</t>
        </is>
      </c>
      <c r="T867" t="inlineStr">
        <is>
          <t>3820082167860</t>
        </is>
      </c>
    </row>
    <row r="868" hidden="1" ht="15.75" customHeight="1">
      <c r="A868" s="2">
        <f>HYPERLINK("https://www.shelhealth.com/products/654749351260-avalon-organics-shampoo-nourishing-lavender-32-oz", "https://www.shelhealth.com/products/654749351260-avalon-organics-shampoo-nourishing-lavender-32-oz")</f>
        <v/>
      </c>
      <c r="B868" s="2">
        <f>HYPERLINK("https://www.shelhealth.com/products/654749351260-avalon-organics-shampoo-nourishing-lavender-32-oz", "https://www.shelhealth.com/products/654749351260-avalon-organics-shampoo-nourishing-lavender-32-oz")</f>
        <v/>
      </c>
      <c r="C868" t="inlineStr">
        <is>
          <t>Avalon Organics Shampoo Nourishing Lavender, 32 Oz</t>
        </is>
      </c>
      <c r="D868" t="inlineStr">
        <is>
          <t>Avalon Organics Therapy Thickening Shampoo, Biotin B-Complex, 32 Oz</t>
        </is>
      </c>
      <c r="E868" s="2">
        <f>HYPERLINK("https://www.amazon.com/Avalon-Organics-B-Complex-Thickening-Shampoo/dp/B008OL3UYK/ref=sr_1_7?keywords=Avalon+Organics+Shampoo+Nourishing+Lavender%2C+32+Oz&amp;qid=1695170186&amp;sr=8-7", "https://www.amazon.com/Avalon-Organics-B-Complex-Thickening-Shampoo/dp/B008OL3UYK/ref=sr_1_7?keywords=Avalon+Organics+Shampoo+Nourishing+Lavender%2C+32+Oz&amp;qid=1695170186&amp;sr=8-7")</f>
        <v/>
      </c>
      <c r="F868" t="inlineStr">
        <is>
          <t>B008OL3UYK</t>
        </is>
      </c>
      <c r="G868">
        <f>_xludf.IMAGE("https://www.shelhealth.com/cdn/shop/files/avalon-organics-shampoo-nourishing-lavender-32-oz-beauty-body-care-shelhealth-457.jpg?v=1686522170&amp;width=1946")</f>
        <v/>
      </c>
      <c r="H868">
        <f>_xludf.IMAGE("https://m.media-amazon.com/images/I/51kPkibiuSL._AC_UL320_.jpg")</f>
        <v/>
      </c>
      <c r="K868" t="inlineStr">
        <is>
          <t>21.99</t>
        </is>
      </c>
      <c r="L868" t="n">
        <v>16.49</v>
      </c>
      <c r="M868" s="1" t="inlineStr">
        <is>
          <t>-25.01%</t>
        </is>
      </c>
      <c r="N868" s="3" t="n">
        <v>-25.01</v>
      </c>
      <c r="O868" t="n">
        <v>4.3</v>
      </c>
      <c r="P868" t="n">
        <v>12136</v>
      </c>
      <c r="R868" t="inlineStr">
        <is>
          <t>InStock</t>
        </is>
      </c>
      <c r="S868" t="inlineStr">
        <is>
          <t>21.99</t>
        </is>
      </c>
      <c r="T868" t="inlineStr">
        <is>
          <t>7241472377020</t>
        </is>
      </c>
    </row>
    <row r="869" hidden="1" ht="15.75" customHeight="1">
      <c r="A869" s="2">
        <f>HYPERLINK("https://www.shelhealth.com/products/654749361269-avalon-organics-thickening-shampoo-biotin-b-complex-therapy-paraben-free-32-oz", "https://www.shelhealth.com/products/654749361269-avalon-organics-thickening-shampoo-biotin-b-complex-therapy-paraben-free-32-oz")</f>
        <v/>
      </c>
      <c r="B869" s="2">
        <f>HYPERLINK("https://www.shelhealth.com/products/654749361269-avalon-organics-thickening-shampoo-biotin-b-complex-therapy-paraben-free-32-oz", "https://www.shelhealth.com/products/654749361269-avalon-organics-thickening-shampoo-biotin-b-complex-therapy-paraben-free-32-oz")</f>
        <v/>
      </c>
      <c r="C869" t="inlineStr">
        <is>
          <t>Avalon Organics Thickening Shampoo Biotin B-Complex Therapy, Paraben Free, 32 Oz</t>
        </is>
      </c>
      <c r="D869" t="inlineStr">
        <is>
          <t>Avalon Organics Therapy Thickening Shampoo, Biotin B-Complex, 32 Oz</t>
        </is>
      </c>
      <c r="E869" s="2">
        <f>HYPERLINK("https://www.amazon.com/Avalon-Organics-B-Complex-Thickening-Shampoo/dp/B008OL3UYK/ref=sr_1_1?keywords=Avalon+Organics+Thickening+Shampoo+Biotin+B-Complex+Therapy%2C+Paraben+Free%2C+32+Oz&amp;qid=1695170184&amp;sr=8-1", "https://www.amazon.com/Avalon-Organics-B-Complex-Thickening-Shampoo/dp/B008OL3UYK/ref=sr_1_1?keywords=Avalon+Organics+Thickening+Shampoo+Biotin+B-Complex+Therapy%2C+Paraben+Free%2C+32+Oz&amp;qid=1695170184&amp;sr=8-1")</f>
        <v/>
      </c>
      <c r="F869" t="inlineStr">
        <is>
          <t>B008OL3UYK</t>
        </is>
      </c>
      <c r="G869">
        <f>_xludf.IMAGE("https://www.shelhealth.com/cdn/shop/files/avalon-organics-thickening-shampoo-biotin-b-complex-therapy-paraben-free-32-oz-beauty-body-care-shelhealth-519.jpg?v=1686522173&amp;width=1946")</f>
        <v/>
      </c>
      <c r="H869">
        <f>_xludf.IMAGE("https://m.media-amazon.com/images/I/51kPkibiuSL._AC_UL320_.jpg")</f>
        <v/>
      </c>
      <c r="K869" t="inlineStr">
        <is>
          <t>21.99</t>
        </is>
      </c>
      <c r="L869" t="n">
        <v>16.49</v>
      </c>
      <c r="M869" s="1" t="inlineStr">
        <is>
          <t>-25.01%</t>
        </is>
      </c>
      <c r="N869" s="3" t="n">
        <v>-25.01</v>
      </c>
      <c r="O869" t="n">
        <v>4.3</v>
      </c>
      <c r="P869" t="n">
        <v>12136</v>
      </c>
      <c r="R869" t="inlineStr">
        <is>
          <t>InStock</t>
        </is>
      </c>
      <c r="S869" t="inlineStr">
        <is>
          <t>21.99</t>
        </is>
      </c>
      <c r="T869" t="inlineStr">
        <is>
          <t>7241472868540</t>
        </is>
      </c>
    </row>
    <row r="870" hidden="1" ht="15.75" customHeight="1">
      <c r="A870" s="2">
        <f>HYPERLINK("https://www.shelhealth.com/products/conair-infiniti-pro-11in-flat-iron", "https://www.shelhealth.com/products/conair-infiniti-pro-11in-flat-iron")</f>
        <v/>
      </c>
      <c r="B870" s="2">
        <f>HYPERLINK("https://www.shelhealth.com/products/conair-infiniti-pro-11in-flat-iron", "https://www.shelhealth.com/products/conair-infiniti-pro-11in-flat-iron")</f>
        <v/>
      </c>
      <c r="C870" t="inlineStr">
        <is>
          <t>Conair Infiniti Pro 11in. Flat Iron</t>
        </is>
      </c>
      <c r="D870" t="inlineStr">
        <is>
          <t>INFINITIPRO BY CONAIR Tourmaline Ceramic Flat Iron, 1 1/2-inch</t>
        </is>
      </c>
      <c r="E870" s="2">
        <f>HYPERLINK("https://www.amazon.com/INFINITIPRO-CONAIR-Tourmaline-Ceramic-2-inch/dp/B000R8715M/ref=sr_1_2?keywords=Conair+Infiniti+Pro+11in.+Flat+Iron&amp;qid=1695170251&amp;sr=8-2", "https://www.amazon.com/INFINITIPRO-CONAIR-Tourmaline-Ceramic-2-inch/dp/B000R8715M/ref=sr_1_2?keywords=Conair+Infiniti+Pro+11in.+Flat+Iron&amp;qid=1695170251&amp;sr=8-2")</f>
        <v/>
      </c>
      <c r="F870" t="inlineStr">
        <is>
          <t>B000R8715M</t>
        </is>
      </c>
      <c r="G870">
        <f>_xludf.IMAGE("https://www.shelhealth.com/cdn/shop/products/conair-infiniti-pro-11in-flat-iron-shelhealth-337.jpg?v=1663343304&amp;width=1946")</f>
        <v/>
      </c>
      <c r="H870">
        <f>_xludf.IMAGE("https://m.media-amazon.com/images/I/71bCFz7+YCL._AC_UL320_.jpg")</f>
        <v/>
      </c>
      <c r="K870" t="inlineStr">
        <is>
          <t>43.99</t>
        </is>
      </c>
      <c r="L870" t="n">
        <v>32.98</v>
      </c>
      <c r="M870" s="1" t="inlineStr">
        <is>
          <t>-25.03%</t>
        </is>
      </c>
      <c r="N870" s="3" t="n">
        <v>-25.03</v>
      </c>
      <c r="O870" t="n">
        <v>4.5</v>
      </c>
      <c r="P870" t="n">
        <v>6744</v>
      </c>
      <c r="R870" t="inlineStr">
        <is>
          <t>OutOfStock</t>
        </is>
      </c>
      <c r="S870" t="inlineStr">
        <is>
          <t>43.99</t>
        </is>
      </c>
      <c r="T870" t="inlineStr">
        <is>
          <t>3820080267316</t>
        </is>
      </c>
    </row>
    <row r="871" hidden="1" ht="15.75" customHeight="1">
      <c r="A871" s="2">
        <f>HYPERLINK("https://www.shelhealth.com/products/817810012198-the-honest-company-conditioner-detangler-4-oz", "https://www.shelhealth.com/products/817810012198-the-honest-company-conditioner-detangler-4-oz")</f>
        <v/>
      </c>
      <c r="B871" s="2">
        <f>HYPERLINK("https://www.shelhealth.com/products/817810012198-the-honest-company-conditioner-detangler-4-oz", "https://www.shelhealth.com/products/817810012198-the-honest-company-conditioner-detangler-4-oz")</f>
        <v/>
      </c>
      <c r="C871" t="inlineStr">
        <is>
          <t>The Honest Company Conditioner Detangler, 4 Oz (Case of 3)</t>
        </is>
      </c>
      <c r="D871" t="inlineStr">
        <is>
          <t>The Honest Company Conditioning Hair Detangler 3-Pack | Leave-in Conditioner + Fortifying Spray | Tear-free, Cruelty-Free, Hypoallergenic | Citrus Vanilla Refresh, 4 fl oz each (pack of 3)</t>
        </is>
      </c>
      <c r="E871" s="2">
        <f>HYPERLINK("https://www.amazon.com/Conditioning-Conditioner-Fortifying-Cruelty-Free-Hypoallergenic/dp/B08DLL78F9/ref=sr_1_1?keywords=The+Honest+Company+Conditioner+Detangler%2C+4+Oz+%28Case+of+3%29&amp;qid=1695170224&amp;rdc=1&amp;sr=8-1", "https://www.amazon.com/Conditioning-Conditioner-Fortifying-Cruelty-Free-Hypoallergenic/dp/B08DLL78F9/ref=sr_1_1?keywords=The+Honest+Company+Conditioner+Detangler%2C+4+Oz+%28Case+of+3%29&amp;qid=1695170224&amp;rdc=1&amp;sr=8-1")</f>
        <v/>
      </c>
      <c r="F871" t="inlineStr">
        <is>
          <t>B08DLL78F9</t>
        </is>
      </c>
      <c r="G871">
        <f>_xludf.IMAGE("https://www.shelhealth.com/cdn/shop/files/the-honest-company-conditioner-detangler-4-oz-case-of-3-beauty-body-care-shelhealth-377.jpg?v=1689666555&amp;width=1946")</f>
        <v/>
      </c>
      <c r="H871">
        <f>_xludf.IMAGE("https://m.media-amazon.com/images/I/71hcz4PJxjL._AC_UL320_.jpg")</f>
        <v/>
      </c>
      <c r="K871" t="inlineStr">
        <is>
          <t>24.99</t>
        </is>
      </c>
      <c r="L871" t="n">
        <v>18.73</v>
      </c>
      <c r="M871" s="1" t="inlineStr">
        <is>
          <t>-25.05%</t>
        </is>
      </c>
      <c r="N871" s="3" t="n">
        <v>-25.05</v>
      </c>
      <c r="O871" t="n">
        <v>4.7</v>
      </c>
      <c r="P871" t="n">
        <v>2288</v>
      </c>
      <c r="R871" t="inlineStr">
        <is>
          <t>InStock</t>
        </is>
      </c>
      <c r="S871" t="inlineStr">
        <is>
          <t>24.99</t>
        </is>
      </c>
      <c r="T871" t="inlineStr">
        <is>
          <t>7242037362876</t>
        </is>
      </c>
    </row>
    <row r="872" hidden="1" ht="15.75" customHeight="1">
      <c r="A872" s="2">
        <f>HYPERLINK("https://www.shelhealth.com/products/hair-food-avocado-argan-oil-sulfate-free-shampoo-and-conditioner-bundle-pack", "https://www.shelhealth.com/products/hair-food-avocado-argan-oil-sulfate-free-shampoo-and-conditioner-bundle-pack")</f>
        <v/>
      </c>
      <c r="B872" s="2">
        <f>HYPERLINK("https://www.shelhealth.com/products/hair-food-avocado-argan-oil-sulfate-free-shampoo-and-conditioner-bundle-pack", "https://www.shelhealth.com/products/hair-food-avocado-argan-oil-sulfate-free-shampoo-and-conditioner-bundle-pack")</f>
        <v/>
      </c>
      <c r="C872" t="inlineStr">
        <is>
          <t>Hair Food Avocado &amp; Argan Oil Sulfate-Free Shampoo and Conditioner Bundle Pack</t>
        </is>
      </c>
      <c r="D872" t="inlineStr">
        <is>
          <t>BOTANIC HEARTH Argan Oil Shampoo and Conditioner Set - with Keratin, Restorative &amp; Moisturizing, Sulfate Free - All Hair Types &amp; Color Treated Hair, Men and Women - (Packaging May Vary) -16 fl oz each</t>
        </is>
      </c>
      <c r="E872" s="2">
        <f>HYPERLINK("https://www.amazon.com/BOTANIC-HEARTH-Argan-Shampoo-Conditioner/dp/B07XCJSYRT/ref=sr_1_7?keywords=Hair+Food+Avocado+%26+Argan+Oil+Sulfate-Free+Shampoo+and+Conditioner+Bundle+Pack&amp;qid=1695170248&amp;sr=8-7", "https://www.amazon.com/BOTANIC-HEARTH-Argan-Shampoo-Conditioner/dp/B07XCJSYRT/ref=sr_1_7?keywords=Hair+Food+Avocado+%26+Argan+Oil+Sulfate-Free+Shampoo+and+Conditioner+Bundle+Pack&amp;qid=1695170248&amp;sr=8-7")</f>
        <v/>
      </c>
      <c r="F872" t="inlineStr">
        <is>
          <t>B07XCJSYRT</t>
        </is>
      </c>
      <c r="G872">
        <f>_xludf.IMAGE("https://www.shelhealth.com/cdn/shop/products/hair-food-avocado-argan-oil-sulfate-free-shampoo-and-conditioner-bundle-pack-shelhealth-684.jpg?v=1663350621&amp;width=1946")</f>
        <v/>
      </c>
      <c r="H872">
        <f>_xludf.IMAGE("https://m.media-amazon.com/images/I/81dDvfOLtKL._AC_UL320_.jpg")</f>
        <v/>
      </c>
      <c r="K872" t="inlineStr">
        <is>
          <t>32.99</t>
        </is>
      </c>
      <c r="L872" t="n">
        <v>24.48</v>
      </c>
      <c r="M872" s="1" t="inlineStr">
        <is>
          <t>-25.80%</t>
        </is>
      </c>
      <c r="N872" s="3" t="n">
        <v>-25.8</v>
      </c>
      <c r="O872" t="n">
        <v>4.3</v>
      </c>
      <c r="P872" t="n">
        <v>7555</v>
      </c>
      <c r="R872" t="inlineStr">
        <is>
          <t>OutOfStock</t>
        </is>
      </c>
      <c r="S872" t="inlineStr">
        <is>
          <t>32.99</t>
        </is>
      </c>
      <c r="T872" t="inlineStr">
        <is>
          <t>4091412676660</t>
        </is>
      </c>
    </row>
    <row r="873" hidden="1" ht="15.75" customHeight="1">
      <c r="A873" s="2">
        <f>HYPERLINK("https://www.shelhealth.com/products/revlon-perfect-heat-perfect-straight-1-flat-iron", "https://www.shelhealth.com/products/revlon-perfect-heat-perfect-straight-1-flat-iron")</f>
        <v/>
      </c>
      <c r="B873" s="2">
        <f>HYPERLINK("https://www.shelhealth.com/products/revlon-perfect-heat-perfect-straight-1-flat-iron", "https://www.shelhealth.com/products/revlon-perfect-heat-perfect-straight-1-flat-iron")</f>
        <v/>
      </c>
      <c r="C873" t="inlineStr">
        <is>
          <t>Revlon Perfect Heat Perfect Straight 1" Flat Iron</t>
        </is>
      </c>
      <c r="D873" t="inlineStr">
        <is>
          <t>REVLON Perfect Heat 1" Ceramic Hair Straightening/Flat Iron</t>
        </is>
      </c>
      <c r="E873" s="2">
        <f>HYPERLINK("https://www.amazon.com/REVLON-Perfect-Heat-Ceramic-Straightening/dp/B00J2MEZIA/ref=sr_1_4?keywords=Revlon+Perfect+Heat+Perfect+Straight+1%22+Flat+Iron&amp;qid=1695170238&amp;sr=8-4", "https://www.amazon.com/REVLON-Perfect-Heat-Ceramic-Straightening/dp/B00J2MEZIA/ref=sr_1_4?keywords=Revlon+Perfect+Heat+Perfect+Straight+1%22+Flat+Iron&amp;qid=1695170238&amp;sr=8-4")</f>
        <v/>
      </c>
      <c r="F873" t="inlineStr">
        <is>
          <t>B00J2MEZIA</t>
        </is>
      </c>
      <c r="G873">
        <f>_xludf.IMAGE("https://www.shelhealth.com/cdn/shop/products/revlon-perfect-heat-straight-1-flat-iron-shelhealth-843.jpg?v=1663350923&amp;width=1946")</f>
        <v/>
      </c>
      <c r="H873">
        <f>_xludf.IMAGE("https://m.media-amazon.com/images/I/611ZWOTE5KL._AC_UL320_.jpg")</f>
        <v/>
      </c>
      <c r="K873" t="inlineStr">
        <is>
          <t>43.99</t>
        </is>
      </c>
      <c r="L873" t="n">
        <v>32.46</v>
      </c>
      <c r="M873" s="1" t="inlineStr">
        <is>
          <t>-26.21%</t>
        </is>
      </c>
      <c r="N873" s="3" t="n">
        <v>-26.21</v>
      </c>
      <c r="O873" t="n">
        <v>3.6</v>
      </c>
      <c r="P873" t="n">
        <v>41</v>
      </c>
      <c r="R873" t="inlineStr">
        <is>
          <t>InStock</t>
        </is>
      </c>
      <c r="S873" t="inlineStr">
        <is>
          <t>43.99</t>
        </is>
      </c>
      <c r="T873" t="inlineStr">
        <is>
          <t>4099753476148</t>
        </is>
      </c>
    </row>
    <row r="874" hidden="1" ht="15.75" customHeight="1">
      <c r="A874" s="2">
        <f>HYPERLINK("https://www.shelhealth.com/products/carols-daughter-monoi-repairing-shampoo-and-conditioner-duo-23-fl-oz-each", "https://www.shelhealth.com/products/carols-daughter-monoi-repairing-shampoo-and-conditioner-duo-23-fl-oz-each")</f>
        <v/>
      </c>
      <c r="B874" s="2">
        <f>HYPERLINK("https://www.shelhealth.com/products/carols-daughter-monoi-repairing-shampoo-and-conditioner-duo-23-fl-oz-each", "https://www.shelhealth.com/products/carols-daughter-monoi-repairing-shampoo-and-conditioner-duo-23-fl-oz-each")</f>
        <v/>
      </c>
      <c r="C874" t="inlineStr">
        <is>
          <t>Carol's Daughter Monoi Repairing Shampoo and Conditioner Duo, 23 fl oz each</t>
        </is>
      </c>
      <c r="D874" t="inlineStr">
        <is>
          <t>Carol's Daughter Monoi Repairing Sulfate Free Shampoo, Gentle, Cleansing and Moisturizing Hair Care with Coconut Oil, 23 Fl Oz</t>
        </is>
      </c>
      <c r="E874" s="2">
        <f>HYPERLINK("https://www.amazon.com/Carols-Daughter-Repairing-Cleansing-Moisturizing/dp/B0BW1KJVDK/ref=sr_1_2?keywords=Carol%27s+Daughter+Monoi+Repairing+Shampoo+and+Conditioner+Duo%2C+23+fl+oz+each&amp;qid=1695170171&amp;sr=8-2", "https://www.amazon.com/Carols-Daughter-Repairing-Cleansing-Moisturizing/dp/B0BW1KJVDK/ref=sr_1_2?keywords=Carol%27s+Daughter+Monoi+Repairing+Shampoo+and+Conditioner+Duo%2C+23+fl+oz+each&amp;qid=1695170171&amp;sr=8-2")</f>
        <v/>
      </c>
      <c r="F874" t="inlineStr">
        <is>
          <t>B0BW1KJVDK</t>
        </is>
      </c>
      <c r="G874">
        <f>_xludf.IMAGE("https://www.shelhealth.com/cdn/shop/products/carols-daughter-monoi-repairing-shampoo-and-conditioner-duo-23-fl-oz-each-shelhealth-863.jpg?v=1663368995&amp;width=1946")</f>
        <v/>
      </c>
      <c r="H874">
        <f>_xludf.IMAGE("https://m.media-amazon.com/images/I/614kam0QHEL._AC_UL320_.jpg")</f>
        <v/>
      </c>
      <c r="K874" t="inlineStr">
        <is>
          <t>60.99</t>
        </is>
      </c>
      <c r="L874" t="n">
        <v>45</v>
      </c>
      <c r="M874" s="1" t="inlineStr">
        <is>
          <t>-26.22%</t>
        </is>
      </c>
      <c r="N874" s="3" t="n">
        <v>-26.22</v>
      </c>
      <c r="O874" t="n">
        <v>5</v>
      </c>
      <c r="P874" t="n">
        <v>2</v>
      </c>
      <c r="R874" t="inlineStr">
        <is>
          <t>OutOfStock</t>
        </is>
      </c>
      <c r="S874" t="inlineStr">
        <is>
          <t>60.99</t>
        </is>
      </c>
      <c r="T874" t="inlineStr">
        <is>
          <t>4604875538521</t>
        </is>
      </c>
    </row>
    <row r="875" hidden="1" ht="15.75" customHeight="1">
      <c r="A875" s="2">
        <f>HYPERLINK("https://www.shelhealth.com/products/654749351000-avalon-organics-shampoo-nourishing-lavender-11-oz", "https://www.shelhealth.com/products/654749351000-avalon-organics-shampoo-nourishing-lavender-11-oz")</f>
        <v/>
      </c>
      <c r="B875" s="2">
        <f>HYPERLINK("https://www.shelhealth.com/products/654749351000-avalon-organics-shampoo-nourishing-lavender-11-oz", "https://www.shelhealth.com/products/654749351000-avalon-organics-shampoo-nourishing-lavender-11-oz")</f>
        <v/>
      </c>
      <c r="C875" t="inlineStr">
        <is>
          <t>Avalon Organics Shampoo Nourishing Lavender, 11 Oz (Case of 2)</t>
        </is>
      </c>
      <c r="D875" t="inlineStr">
        <is>
          <t>Avalon Organics Nourishing Shampoo Lavender, 11 Oz (Pack of 2)</t>
        </is>
      </c>
      <c r="E875" s="2">
        <f>HYPERLINK("https://www.amazon.com/Avalon-Organics-Nourishing-Shampoo-Lavender/dp/B00JGQ53WY/ref=sr_1_4?keywords=Avalon+Organics+Shampoo+Nourishing+Lavender%2C+11+Oz+%28Case+of+2%29&amp;qid=1695170178&amp;sr=8-4", "https://www.amazon.com/Avalon-Organics-Nourishing-Shampoo-Lavender/dp/B00JGQ53WY/ref=sr_1_4?keywords=Avalon+Organics+Shampoo+Nourishing+Lavender%2C+11+Oz+%28Case+of+2%29&amp;qid=1695170178&amp;sr=8-4")</f>
        <v/>
      </c>
      <c r="F875" t="inlineStr">
        <is>
          <t>B00JGQ53WY</t>
        </is>
      </c>
      <c r="G875">
        <f>_xludf.IMAGE("https://www.shelhealth.com/cdn/shop/files/avalon-organics-shampoo-nourishing-lavender-11-oz-case-of-2-beauty-body-care-shelhealth-768.jpg?v=1686522188&amp;width=1946")</f>
        <v/>
      </c>
      <c r="H875">
        <f>_xludf.IMAGE("https://m.media-amazon.com/images/I/51-vjSCB5DL._AC_UL320_.jpg")</f>
        <v/>
      </c>
      <c r="K875" t="inlineStr">
        <is>
          <t>22.99</t>
        </is>
      </c>
      <c r="L875" t="n">
        <v>16.93</v>
      </c>
      <c r="M875" s="1" t="inlineStr">
        <is>
          <t>-26.36%</t>
        </is>
      </c>
      <c r="N875" s="3" t="n">
        <v>-26.36</v>
      </c>
      <c r="O875" t="n">
        <v>3.9</v>
      </c>
      <c r="P875" t="n">
        <v>16</v>
      </c>
      <c r="R875" t="inlineStr">
        <is>
          <t>InStock</t>
        </is>
      </c>
      <c r="S875" t="inlineStr">
        <is>
          <t>22.99</t>
        </is>
      </c>
      <c r="T875" t="inlineStr">
        <is>
          <t>7241471983804</t>
        </is>
      </c>
    </row>
    <row r="876" hidden="1" ht="15.75" customHeight="1">
      <c r="A876" s="2">
        <f>HYPERLINK("https://www.shelhealth.com/products/herbal-essences-hello-hydration-conditioner-40-fl-oz", "https://www.shelhealth.com/products/herbal-essences-hello-hydration-conditioner-40-fl-oz")</f>
        <v/>
      </c>
      <c r="B876" s="2">
        <f>HYPERLINK("https://www.shelhealth.com/products/herbal-essences-hello-hydration-conditioner-40-fl-oz", "https://www.shelhealth.com/products/herbal-essences-hello-hydration-conditioner-40-fl-oz")</f>
        <v/>
      </c>
      <c r="C876" t="inlineStr">
        <is>
          <t>Herbal Essences Hello Hydration Conditioner (40 Fl Oz),</t>
        </is>
      </c>
      <c r="D876" t="inlineStr">
        <is>
          <t>Herbal Essences Hello Hydration Moisturizing Conditioner 10.1 Fluid Ounce (Pack of 2)</t>
        </is>
      </c>
      <c r="E876" s="2">
        <f>HYPERLINK("https://www.amazon.com/Herbal-Essences-Hydration-Moisturizing-Conditioner/dp/B006L21OSS/ref=sr_1_4?keywords=Herbal+Essences+Hello+Hydration+Conditioner+%2840+Fl+Oz%29%2C&amp;qid=1695170163&amp;sr=8-4", "https://www.amazon.com/Herbal-Essences-Hydration-Moisturizing-Conditioner/dp/B006L21OSS/ref=sr_1_4?keywords=Herbal+Essences+Hello+Hydration+Conditioner+%2840+Fl+Oz%29%2C&amp;qid=1695170163&amp;sr=8-4")</f>
        <v/>
      </c>
      <c r="F876" t="inlineStr">
        <is>
          <t>B006L21OSS</t>
        </is>
      </c>
      <c r="G876">
        <f>_xludf.IMAGE("https://www.shelhealth.com/cdn/shop/products/herbal-essences-hello-hydration-conditioner-40-fl-oz-essence-shelhealth-917.jpg?v=1663349969&amp;width=1946")</f>
        <v/>
      </c>
      <c r="H876">
        <f>_xludf.IMAGE("https://m.media-amazon.com/images/I/81SGoVe5OzL._AC_UL320_.jpg")</f>
        <v/>
      </c>
      <c r="K876" t="inlineStr">
        <is>
          <t>15.99</t>
        </is>
      </c>
      <c r="L876" t="n">
        <v>11.77</v>
      </c>
      <c r="M876" s="1" t="inlineStr">
        <is>
          <t>-26.39%</t>
        </is>
      </c>
      <c r="N876" s="3" t="n">
        <v>-26.39</v>
      </c>
      <c r="O876" t="n">
        <v>4.5</v>
      </c>
      <c r="P876" t="n">
        <v>142</v>
      </c>
      <c r="R876" t="inlineStr">
        <is>
          <t>InStock</t>
        </is>
      </c>
      <c r="S876" t="inlineStr">
        <is>
          <t>15.99</t>
        </is>
      </c>
      <c r="T876" t="inlineStr">
        <is>
          <t>3853302104116</t>
        </is>
      </c>
    </row>
    <row r="877" hidden="1" ht="15.75" customHeight="1">
      <c r="A877" s="2">
        <f>HYPERLINK("https://www.shelhealth.com/products/pantene-essential-oils-volumizing-conditioner-38-2-fl-oz", "https://www.shelhealth.com/products/pantene-essential-oils-volumizing-conditioner-38-2-fl-oz")</f>
        <v/>
      </c>
      <c r="B877" s="2">
        <f>HYPERLINK("https://www.shelhealth.com/products/pantene-essential-oils-volumizing-conditioner-38-2-fl-oz", "https://www.shelhealth.com/products/pantene-essential-oils-volumizing-conditioner-38-2-fl-oz")</f>
        <v/>
      </c>
      <c r="C877" t="inlineStr">
        <is>
          <t>Pantene essential oils Volumizing Conditioner, 38.2 fl oz.</t>
        </is>
      </c>
      <c r="D877" t="inlineStr">
        <is>
          <t>Pantene Essential Botanicals Volumizing Conditioner White Tea and Cucumber, 38.2 fl oz, 1item</t>
        </is>
      </c>
      <c r="E877" s="2">
        <f>HYPERLINK("https://www.amazon.com/Pantene-Essential-Botanicals-Volumizing-Conditioner/dp/B0BJD9TQZ4/ref=sr_1_2?keywords=Pantene+essential+oils+Volumizing+Conditioner%2C+38.2+fl+oz.&amp;qid=1695170162&amp;sr=8-2", "https://www.amazon.com/Pantene-Essential-Botanicals-Volumizing-Conditioner/dp/B0BJD9TQZ4/ref=sr_1_2?keywords=Pantene+essential+oils+Volumizing+Conditioner%2C+38.2+fl+oz.&amp;qid=1695170162&amp;sr=8-2")</f>
        <v/>
      </c>
      <c r="F877" t="inlineStr">
        <is>
          <t>B0BJD9TQZ4</t>
        </is>
      </c>
      <c r="G877">
        <f>_xludf.IMAGE("https://www.shelhealth.com/cdn/shop/products/pantene-essential-oils-volumizing-conditioner-38-2-fl-oz-shelhealth-507.jpg?v=1663373283&amp;width=1946")</f>
        <v/>
      </c>
      <c r="H877">
        <f>_xludf.IMAGE("https://m.media-amazon.com/images/I/511NX0QvbSL._AC_UL320_.jpg")</f>
        <v/>
      </c>
      <c r="K877" t="inlineStr">
        <is>
          <t>17.99</t>
        </is>
      </c>
      <c r="L877" t="n">
        <v>13.24</v>
      </c>
      <c r="M877" s="1" t="inlineStr">
        <is>
          <t>-26.40%</t>
        </is>
      </c>
      <c r="N877" s="3" t="n">
        <v>-26.4</v>
      </c>
      <c r="O877" t="n">
        <v>4.7</v>
      </c>
      <c r="P877" t="n">
        <v>210</v>
      </c>
      <c r="R877" t="inlineStr">
        <is>
          <t>InStock</t>
        </is>
      </c>
      <c r="S877" t="inlineStr">
        <is>
          <t>17.99</t>
        </is>
      </c>
      <c r="T877" t="inlineStr">
        <is>
          <t>4704766427225</t>
        </is>
      </c>
    </row>
    <row r="878" hidden="1" ht="15.75" customHeight="1">
      <c r="A878" s="2">
        <f>HYPERLINK("https://www.shelhealth.com/products/conair-infiniti-pro-11in-flat-iron", "https://www.shelhealth.com/products/conair-infiniti-pro-11in-flat-iron")</f>
        <v/>
      </c>
      <c r="B878" s="2">
        <f>HYPERLINK("https://www.shelhealth.com/products/conair-infiniti-pro-11in-flat-iron", "https://www.shelhealth.com/products/conair-infiniti-pro-11in-flat-iron")</f>
        <v/>
      </c>
      <c r="C878" t="inlineStr">
        <is>
          <t>Conair Infiniti Pro 11in. Flat Iron</t>
        </is>
      </c>
      <c r="D878" t="inlineStr">
        <is>
          <t>INFINITIPRO BY CONAIR Ultra-High Heat Tourmaline Ceramic 1-inch Flat Iron</t>
        </is>
      </c>
      <c r="E878" s="2">
        <f>HYPERLINK("https://www.amazon.com/INFINITIPRO-Conair-Ultra-High-Tourmaline-CS3011N/dp/B088CLQ59W/ref=sr_1_9?keywords=Conair+Infiniti+Pro+11in.+Flat+Iron&amp;qid=1695170251&amp;sr=8-9", "https://www.amazon.com/INFINITIPRO-Conair-Ultra-High-Tourmaline-CS3011N/dp/B088CLQ59W/ref=sr_1_9?keywords=Conair+Infiniti+Pro+11in.+Flat+Iron&amp;qid=1695170251&amp;sr=8-9")</f>
        <v/>
      </c>
      <c r="F878" t="inlineStr">
        <is>
          <t>B088CLQ59W</t>
        </is>
      </c>
      <c r="G878">
        <f>_xludf.IMAGE("https://www.shelhealth.com/cdn/shop/products/conair-infiniti-pro-11in-flat-iron-shelhealth-337.jpg?v=1663343304&amp;width=1946")</f>
        <v/>
      </c>
      <c r="H878">
        <f>_xludf.IMAGE("https://m.media-amazon.com/images/I/51SbjzIsljL._AC_UL320_.jpg")</f>
        <v/>
      </c>
      <c r="K878" t="inlineStr">
        <is>
          <t>43.99</t>
        </is>
      </c>
      <c r="L878" t="n">
        <v>31.99</v>
      </c>
      <c r="M878" s="1" t="inlineStr">
        <is>
          <t>-27.28%</t>
        </is>
      </c>
      <c r="N878" s="3" t="n">
        <v>-27.28</v>
      </c>
      <c r="O878" t="n">
        <v>4.2</v>
      </c>
      <c r="P878" t="n">
        <v>633</v>
      </c>
      <c r="R878" t="inlineStr">
        <is>
          <t>OutOfStock</t>
        </is>
      </c>
      <c r="S878" t="inlineStr">
        <is>
          <t>43.99</t>
        </is>
      </c>
      <c r="T878" t="inlineStr">
        <is>
          <t>3820080267316</t>
        </is>
      </c>
    </row>
    <row r="879" hidden="1" ht="15.75" customHeight="1">
      <c r="A879" s="2">
        <f>HYPERLINK("https://www.shelhealth.com/products/pantene-detangling-milk-hair-treatment-sulfate-free-pro-v-gold-series-for-natural-and-curly-textured-hair-7-6-fl-oz", "https://www.shelhealth.com/products/pantene-detangling-milk-hair-treatment-sulfate-free-pro-v-gold-series-for-natural-and-curly-textured-hair-7-6-fl-oz")</f>
        <v/>
      </c>
      <c r="B879" s="2">
        <f>HYPERLINK("https://www.shelhealth.com/products/pantene-detangling-milk-hair-treatment-sulfate-free-pro-v-gold-series-for-natural-and-curly-textured-hair-7-6-fl-oz", "https://www.shelhealth.com/products/pantene-detangling-milk-hair-treatment-sulfate-free-pro-v-gold-series-for-natural-and-curly-textured-hair-7-6-fl-oz")</f>
        <v/>
      </c>
      <c r="C879" t="inlineStr">
        <is>
          <t>Pantene, Detangling Milk Hair Treatment, Sulfate Free, Pro-V Gold Series, for Natural and Curly Textured Hair, 7.6 fl oz</t>
        </is>
      </c>
      <c r="D879" t="inlineStr">
        <is>
          <t>Pantene, Hair Cream Treatment, Sulfate Free Curl Defining Pudding, Pro-V Gold Series, for Natural and Curly Textured Hair, 7.6 fl oz</t>
        </is>
      </c>
      <c r="E879" s="2">
        <f>HYPERLINK("https://www.amazon.com/Pantene-Sulfate-Defining-Pudding-Textured/dp/B01N058HUW/ref=sr_1_2?keywords=Pantene%2C+Detangling+Milk+Hair+Treatment%2C+Sulfate+Free%2C+Pro-V+Gold+Series%2C+for+Natural+and+Curly+Textured+Hair%2C+7.6+fl+oz&amp;qid=1695170264&amp;sr=8-2", "https://www.amazon.com/Pantene-Sulfate-Defining-Pudding-Textured/dp/B01N058HUW/ref=sr_1_2?keywords=Pantene%2C+Detangling+Milk+Hair+Treatment%2C+Sulfate+Free%2C+Pro-V+Gold+Series%2C+for+Natural+and+Curly+Textured+Hair%2C+7.6+fl+oz&amp;qid=1695170264&amp;sr=8-2")</f>
        <v/>
      </c>
      <c r="F879" t="inlineStr">
        <is>
          <t>B01N058HUW</t>
        </is>
      </c>
      <c r="G879">
        <f>_xludf.IMAGE("https://www.shelhealth.com/cdn/shop/products/pantene-detangling-milk-hair-treatment-sulfate-free-pro-v-gold-series-for-natural-and-curly-textured-7-6-fl-oz-shelhealth-371.jpg?v=1663350076&amp;width=1946")</f>
        <v/>
      </c>
      <c r="H879">
        <f>_xludf.IMAGE("https://m.media-amazon.com/images/I/71P4PRaJRvL._AC_UL320_.jpg")</f>
        <v/>
      </c>
      <c r="K879" t="inlineStr">
        <is>
          <t>10.99</t>
        </is>
      </c>
      <c r="L879" t="n">
        <v>7.99</v>
      </c>
      <c r="M879" s="1" t="inlineStr">
        <is>
          <t>-27.30%</t>
        </is>
      </c>
      <c r="N879" s="3" t="n">
        <v>-27.3</v>
      </c>
      <c r="O879" t="n">
        <v>4.3</v>
      </c>
      <c r="P879" t="n">
        <v>2590</v>
      </c>
      <c r="R879" t="inlineStr">
        <is>
          <t>InStock</t>
        </is>
      </c>
      <c r="S879" t="inlineStr">
        <is>
          <t>10.99</t>
        </is>
      </c>
      <c r="T879" t="inlineStr">
        <is>
          <t>4045921321012</t>
        </is>
      </c>
    </row>
    <row r="880" hidden="1" ht="15.75" customHeight="1">
      <c r="A880" s="2">
        <f>HYPERLINK("https://www.shelhealth.com/products/pantene-detangling-milk-hair-treatment-sulfate-free-pro-v-gold-series-for-natural-and-curly-textured-hair-7-6-fl-oz", "https://www.shelhealth.com/products/pantene-detangling-milk-hair-treatment-sulfate-free-pro-v-gold-series-for-natural-and-curly-textured-hair-7-6-fl-oz")</f>
        <v/>
      </c>
      <c r="B880" s="2">
        <f>HYPERLINK("https://www.shelhealth.com/products/pantene-detangling-milk-hair-treatment-sulfate-free-pro-v-gold-series-for-natural-and-curly-textured-hair-7-6-fl-oz", "https://www.shelhealth.com/products/pantene-detangling-milk-hair-treatment-sulfate-free-pro-v-gold-series-for-natural-and-curly-textured-hair-7-6-fl-oz")</f>
        <v/>
      </c>
      <c r="C880" t="inlineStr">
        <is>
          <t>Pantene, Detangling Milk Hair Treatment, Sulfate Free, Pro-V Gold Series, for Natural and Curly Textured Hair, 7.6 fl oz</t>
        </is>
      </c>
      <c r="D880" t="inlineStr">
        <is>
          <t>Gold Series, Butter Crème Hair Treatment, Sulfate Free, with Argan Oil, Intense Hydrating, from Pantene Pro-V, for Natural and Curly Textured Hair, 6.8 fl oz</t>
        </is>
      </c>
      <c r="E880" s="2" t="n"/>
      <c r="F880" t="inlineStr">
        <is>
          <t>B06X9JGB5W</t>
        </is>
      </c>
      <c r="G880">
        <f>_xludf.IMAGE("https://www.shelhealth.com/cdn/shop/products/pantene-detangling-milk-hair-treatment-sulfate-free-pro-v-gold-series-for-natural-and-curly-textured-7-6-fl-oz-shelhealth-371.jpg?v=1663350076&amp;width=1946")</f>
        <v/>
      </c>
      <c r="H880">
        <f>_xludf.IMAGE("https://m.media-amazon.com/images/I/61xuwtF54pL._AC_UL320_.jpg")</f>
        <v/>
      </c>
      <c r="K880" t="inlineStr">
        <is>
          <t>10.99</t>
        </is>
      </c>
      <c r="L880" t="n">
        <v>7.99</v>
      </c>
      <c r="M880" s="1" t="inlineStr">
        <is>
          <t>-27.30%</t>
        </is>
      </c>
      <c r="N880" s="3" t="n">
        <v>-27.3</v>
      </c>
      <c r="O880" t="n">
        <v>4.6</v>
      </c>
      <c r="P880" t="n">
        <v>3784</v>
      </c>
      <c r="R880" t="inlineStr">
        <is>
          <t>InStock</t>
        </is>
      </c>
      <c r="S880" t="inlineStr">
        <is>
          <t>10.99</t>
        </is>
      </c>
      <c r="T880" t="inlineStr">
        <is>
          <t>4045921321012</t>
        </is>
      </c>
    </row>
    <row r="881" hidden="1" ht="15.75" customHeight="1">
      <c r="A881" s="2">
        <f>HYPERLINK("https://www.shelhealth.com/products/tigi-bed-head-urban-anti-dote-recovery-shampoo-conditioner-duo-damage-level-2-25-36oz-pack-of-2", "https://www.shelhealth.com/products/tigi-bed-head-urban-anti-dote-recovery-shampoo-conditioner-duo-damage-level-2-25-36oz-pack-of-2")</f>
        <v/>
      </c>
      <c r="B881" s="2">
        <f>HYPERLINK("https://www.shelhealth.com/products/tigi-bed-head-urban-anti-dote-recovery-shampoo-conditioner-duo-damage-level-2-25-36oz-pack-of-2", "https://www.shelhealth.com/products/tigi-bed-head-urban-anti-dote-recovery-shampoo-conditioner-duo-damage-level-2-25-36oz-pack-of-2")</f>
        <v/>
      </c>
      <c r="C881" t="inlineStr">
        <is>
          <t>TIGI Bed Head Urban Anti-dote Recovery Shampoo &amp; Conditioner Duo Damage Level 2 (25.36oz) (Pack of 2)</t>
        </is>
      </c>
      <c r="D881" t="inlineStr">
        <is>
          <t>Tigi Bed Head Urban Anti+dotes Resurrection Shampoo &amp; Conditioner Damage Level 3, 25.36 Ounce(Pack of 2)</t>
        </is>
      </c>
      <c r="E881" s="2">
        <f>HYPERLINK("https://www.amazon.com/TIGI-Antidotes-Resurrection-Shampoo-Conditioner/dp/B01AC34TS8/ref=sr_1_8?keywords=TIGI+Bed+Head+Urban+Anti-dote+Recovery+Shampoo&amp;qid=1695170238&amp;sr=8-8", "https://www.amazon.com/TIGI-Antidotes-Resurrection-Shampoo-Conditioner/dp/B01AC34TS8/ref=sr_1_8?keywords=TIGI+Bed+Head+Urban+Anti-dote+Recovery+Shampoo&amp;qid=1695170238&amp;sr=8-8")</f>
        <v/>
      </c>
      <c r="F881" t="inlineStr">
        <is>
          <t>B01AC34TS8</t>
        </is>
      </c>
      <c r="G881">
        <f>_xludf.IMAGE("https://www.shelhealth.com/cdn/shop/products/tigi-bed-head-urban-anti-dote-recovery-shampoo-conditioner-duo-damage-level-2-25-36oz-pack-of-shelhealth-208.jpg?v=1663356041&amp;width=1946")</f>
        <v/>
      </c>
      <c r="H881">
        <f>_xludf.IMAGE("https://m.media-amazon.com/images/I/71FY-B3LtlL._AC_UL320_.jpg")</f>
        <v/>
      </c>
      <c r="K881" t="inlineStr">
        <is>
          <t>31.99</t>
        </is>
      </c>
      <c r="L881" t="n">
        <v>23.25</v>
      </c>
      <c r="M881" s="1" t="inlineStr">
        <is>
          <t>-27.32%</t>
        </is>
      </c>
      <c r="N881" s="3" t="n">
        <v>-27.32</v>
      </c>
      <c r="O881" t="n">
        <v>4.6</v>
      </c>
      <c r="P881" t="n">
        <v>18701</v>
      </c>
      <c r="R881" t="inlineStr">
        <is>
          <t>OutOfStock</t>
        </is>
      </c>
      <c r="S881" t="inlineStr">
        <is>
          <t>31.99</t>
        </is>
      </c>
      <c r="T881" t="inlineStr">
        <is>
          <t>4172666175540</t>
        </is>
      </c>
    </row>
    <row r="882" hidden="1" ht="15.75" customHeight="1">
      <c r="A882" s="2">
        <f>HYPERLINK("https://www.shelhealth.com/products/654749351680-avalon-organics-conditioner-lavender-vsize-32-oz", "https://www.shelhealth.com/products/654749351680-avalon-organics-conditioner-lavender-vsize-32-oz")</f>
        <v/>
      </c>
      <c r="B882" s="2">
        <f>HYPERLINK("https://www.shelhealth.com/products/654749351680-avalon-organics-conditioner-lavender-vsize-32-oz", "https://www.shelhealth.com/products/654749351680-avalon-organics-conditioner-lavender-vsize-32-oz")</f>
        <v/>
      </c>
      <c r="C882" t="inlineStr">
        <is>
          <t>Avalon Organics Conditioner Lavender Vsize, 32 Oz</t>
        </is>
      </c>
      <c r="D882" t="inlineStr">
        <is>
          <t>Avalon Organics Therapy Thickening Conditioner, Biotin B-Complex, 32 Oz</t>
        </is>
      </c>
      <c r="E882" s="2">
        <f>HYPERLINK("https://www.amazon.com/Avalon-Organics-B-Complex-Thickening-Conditioner/dp/B008OL3VW6/ref=sr_1_8?keywords=avalon+organics+conditioner+lavender+size%2C+32+oz&amp;qid=1695170216&amp;sr=8-8", "https://www.amazon.com/Avalon-Organics-B-Complex-Thickening-Conditioner/dp/B008OL3VW6/ref=sr_1_8?keywords=avalon+organics+conditioner+lavender+size%2C+32+oz&amp;qid=1695170216&amp;sr=8-8")</f>
        <v/>
      </c>
      <c r="F882" t="inlineStr">
        <is>
          <t>B008OL3VW6</t>
        </is>
      </c>
      <c r="G882">
        <f>_xludf.IMAGE("https://www.shelhealth.com/cdn/shop/files/avalon-organics-conditioner-lavender-vsize-32-oz-beauty-body-care-shelhealth-367.jpg?v=1687409190&amp;width=1946")</f>
        <v/>
      </c>
      <c r="H882">
        <f>_xludf.IMAGE("https://m.media-amazon.com/images/I/61i2A3BKDHL._AC_UL320_.jpg")</f>
        <v/>
      </c>
      <c r="K882" t="inlineStr">
        <is>
          <t>21.99</t>
        </is>
      </c>
      <c r="L882" t="n">
        <v>15.94</v>
      </c>
      <c r="M882" s="1" t="inlineStr">
        <is>
          <t>-27.51%</t>
        </is>
      </c>
      <c r="N882" s="3" t="n">
        <v>-27.51</v>
      </c>
      <c r="O882" t="n">
        <v>4</v>
      </c>
      <c r="P882" t="n">
        <v>3535</v>
      </c>
      <c r="R882" t="inlineStr">
        <is>
          <t>InStock</t>
        </is>
      </c>
      <c r="S882" t="inlineStr">
        <is>
          <t>21.99</t>
        </is>
      </c>
      <c r="T882" t="inlineStr">
        <is>
          <t>7241470345404</t>
        </is>
      </c>
    </row>
    <row r="883" hidden="1" ht="15.75" customHeight="1">
      <c r="A883" s="2">
        <f>HYPERLINK("https://www.shelhealth.com/products/654749361276-avalon-organics-thickening-conditioner-biotin-b-complex-therapy-paraben-free-32-oz", "https://www.shelhealth.com/products/654749361276-avalon-organics-thickening-conditioner-biotin-b-complex-therapy-paraben-free-32-oz")</f>
        <v/>
      </c>
      <c r="B883" s="2">
        <f>HYPERLINK("https://www.shelhealth.com/products/654749361276-avalon-organics-thickening-conditioner-biotin-b-complex-therapy-paraben-free-32-oz", "https://www.shelhealth.com/products/654749361276-avalon-organics-thickening-conditioner-biotin-b-complex-therapy-paraben-free-32-oz")</f>
        <v/>
      </c>
      <c r="C883" t="inlineStr">
        <is>
          <t>Avalon Organics Thickening Conditioner Biotin B-Complex Therapy, Paraben Free, 32 Oz</t>
        </is>
      </c>
      <c r="D883" t="inlineStr">
        <is>
          <t>Avalon Organics Therapy Thickening Conditioner, Biotin B-Complex, 32 Oz</t>
        </is>
      </c>
      <c r="E883" s="2">
        <f>HYPERLINK("https://www.amazon.com/Avalon-Organics-B-Complex-Thickening-Conditioner/dp/B008OL3VW6/ref=sr_1_1?keywords=Avalon+Organics+Thickening+Conditioner+Biotin+B-Complex+Therapy%2C+Paraben+Free%2C+32+Oz&amp;qid=1695170215&amp;sr=8-1", "https://www.amazon.com/Avalon-Organics-B-Complex-Thickening-Conditioner/dp/B008OL3VW6/ref=sr_1_1?keywords=Avalon+Organics+Thickening+Conditioner+Biotin+B-Complex+Therapy%2C+Paraben+Free%2C+32+Oz&amp;qid=1695170215&amp;sr=8-1")</f>
        <v/>
      </c>
      <c r="F883" t="inlineStr">
        <is>
          <t>B008OL3VW6</t>
        </is>
      </c>
      <c r="G883">
        <f>_xludf.IMAGE("https://www.shelhealth.com/cdn/shop/files/avalon-organics-thickening-conditioner-biotin-b-complex-therapy-paraben-free-32-oz-beauty-body-care-shelhealth-125.jpg?v=1686522184&amp;width=1946")</f>
        <v/>
      </c>
      <c r="H883">
        <f>_xludf.IMAGE("https://m.media-amazon.com/images/I/61i2A3BKDHL._AC_UL320_.jpg")</f>
        <v/>
      </c>
      <c r="K883" t="inlineStr">
        <is>
          <t>21.99</t>
        </is>
      </c>
      <c r="L883" t="n">
        <v>15.94</v>
      </c>
      <c r="M883" s="1" t="inlineStr">
        <is>
          <t>-27.51%</t>
        </is>
      </c>
      <c r="N883" s="3" t="n">
        <v>-27.51</v>
      </c>
      <c r="O883" t="n">
        <v>4</v>
      </c>
      <c r="P883" t="n">
        <v>3535</v>
      </c>
      <c r="R883" t="inlineStr">
        <is>
          <t>InStock</t>
        </is>
      </c>
      <c r="S883" t="inlineStr">
        <is>
          <t>21.99</t>
        </is>
      </c>
      <c r="T883" t="inlineStr">
        <is>
          <t>7241472704700</t>
        </is>
      </c>
    </row>
    <row r="884" hidden="1" ht="15.75" customHeight="1">
      <c r="A884" s="2">
        <f>HYPERLINK("https://www.shelhealth.com/products/724742001216-alba-botanica-shampoo-smooth-gardenia-32-oz", "https://www.shelhealth.com/products/724742001216-alba-botanica-shampoo-smooth-gardenia-32-oz")</f>
        <v/>
      </c>
      <c r="B884" s="2">
        <f>HYPERLINK("https://www.shelhealth.com/products/724742001216-alba-botanica-shampoo-smooth-gardenia-32-oz", "https://www.shelhealth.com/products/724742001216-alba-botanica-shampoo-smooth-gardenia-32-oz")</f>
        <v/>
      </c>
      <c r="C884" t="inlineStr">
        <is>
          <t>Alba Botanica Shampoo Smooth Gardenia, 32 Oz</t>
        </is>
      </c>
      <c r="D884" t="inlineStr">
        <is>
          <t>Alba Botanica Body Builder Shampoo, Mango, 32 Oz</t>
        </is>
      </c>
      <c r="E884" s="2">
        <f>HYPERLINK("https://www.amazon.com/Alba-Botanica-Builder-Hawaiian-Shampoo/dp/B01LWPXT14/ref=sr_1_7?keywords=Alba+Botanica+Shampoo+Smooth+Gardenia%2C+32+Oz&amp;qid=1695170186&amp;sr=8-7", "https://www.amazon.com/Alba-Botanica-Builder-Hawaiian-Shampoo/dp/B01LWPXT14/ref=sr_1_7?keywords=Alba+Botanica+Shampoo+Smooth+Gardenia%2C+32+Oz&amp;qid=1695170186&amp;sr=8-7")</f>
        <v/>
      </c>
      <c r="F884" t="inlineStr">
        <is>
          <t>B01LWPXT14</t>
        </is>
      </c>
      <c r="G884">
        <f>_xludf.IMAGE("https://www.shelhealth.com/cdn/shop/files/alba-botanica-shampoo-smooth-gardenia-32-oz-beauty-body-care-shelhealth-782.jpg?v=1686191917&amp;width=1946")</f>
        <v/>
      </c>
      <c r="H884">
        <f>_xludf.IMAGE("https://m.media-amazon.com/images/I/51NOZOhWbNS._AC_UL320_.jpg")</f>
        <v/>
      </c>
      <c r="K884" t="inlineStr">
        <is>
          <t>19.99</t>
        </is>
      </c>
      <c r="L884" t="n">
        <v>14.49</v>
      </c>
      <c r="M884" s="1" t="inlineStr">
        <is>
          <t>-27.51%</t>
        </is>
      </c>
      <c r="N884" s="3" t="n">
        <v>-27.51</v>
      </c>
      <c r="O884" t="n">
        <v>4.4</v>
      </c>
      <c r="P884" t="n">
        <v>1352</v>
      </c>
      <c r="R884" t="inlineStr">
        <is>
          <t>OutOfStock</t>
        </is>
      </c>
      <c r="S884" t="inlineStr">
        <is>
          <t>19.99</t>
        </is>
      </c>
      <c r="T884" t="inlineStr">
        <is>
          <t>7241433841852</t>
        </is>
      </c>
    </row>
    <row r="885" hidden="1" ht="15.75" customHeight="1">
      <c r="A885" s="2">
        <f>HYPERLINK("https://www.shelhealth.com/products/724742001216-alba-botanica-shampoo-smooth-gardenia-32-oz", "https://www.shelhealth.com/products/724742001216-alba-botanica-shampoo-smooth-gardenia-32-oz")</f>
        <v/>
      </c>
      <c r="B885" s="2">
        <f>HYPERLINK("https://www.shelhealth.com/products/724742001216-alba-botanica-shampoo-smooth-gardenia-32-oz", "https://www.shelhealth.com/products/724742001216-alba-botanica-shampoo-smooth-gardenia-32-oz")</f>
        <v/>
      </c>
      <c r="C885" t="inlineStr">
        <is>
          <t>Alba Botanica Shampoo Smooth Gardenia, 32 Oz</t>
        </is>
      </c>
      <c r="D885" t="inlineStr">
        <is>
          <t>Alba Botanica Colorific Shampoo, Plumeria, 32 Oz</t>
        </is>
      </c>
      <c r="E885" s="2">
        <f>HYPERLINK("https://www.amazon.com/Alba-Botanica-Colorific-Plumeria-Hawaiian/dp/B01LYO9KB5/ref=sr_1_6?keywords=Alba+Botanica+Shampoo+Smooth+Gardenia%2C+32+Oz&amp;qid=1695170186&amp;sr=8-6", "https://www.amazon.com/Alba-Botanica-Colorific-Plumeria-Hawaiian/dp/B01LYO9KB5/ref=sr_1_6?keywords=Alba+Botanica+Shampoo+Smooth+Gardenia%2C+32+Oz&amp;qid=1695170186&amp;sr=8-6")</f>
        <v/>
      </c>
      <c r="F885" t="inlineStr">
        <is>
          <t>B01LYO9KB5</t>
        </is>
      </c>
      <c r="G885">
        <f>_xludf.IMAGE("https://www.shelhealth.com/cdn/shop/files/alba-botanica-shampoo-smooth-gardenia-32-oz-beauty-body-care-shelhealth-782.jpg?v=1686191917&amp;width=1946")</f>
        <v/>
      </c>
      <c r="H885">
        <f>_xludf.IMAGE("https://m.media-amazon.com/images/I/51w-3VL18rS._AC_UL320_.jpg")</f>
        <v/>
      </c>
      <c r="K885" t="inlineStr">
        <is>
          <t>19.99</t>
        </is>
      </c>
      <c r="L885" t="n">
        <v>14.49</v>
      </c>
      <c r="M885" s="1" t="inlineStr">
        <is>
          <t>-27.51%</t>
        </is>
      </c>
      <c r="N885" s="3" t="n">
        <v>-27.51</v>
      </c>
      <c r="O885" t="n">
        <v>4.4</v>
      </c>
      <c r="P885" t="n">
        <v>1263</v>
      </c>
      <c r="R885" t="inlineStr">
        <is>
          <t>OutOfStock</t>
        </is>
      </c>
      <c r="S885" t="inlineStr">
        <is>
          <t>19.99</t>
        </is>
      </c>
      <c r="T885" t="inlineStr">
        <is>
          <t>7241433841852</t>
        </is>
      </c>
    </row>
    <row r="886" hidden="1" ht="15.75" customHeight="1">
      <c r="A886" s="2">
        <f>HYPERLINK("https://www.shelhealth.com/products/724742001216-alba-botanica-shampoo-smooth-gardenia-32-oz", "https://www.shelhealth.com/products/724742001216-alba-botanica-shampoo-smooth-gardenia-32-oz")</f>
        <v/>
      </c>
      <c r="B886" s="2">
        <f>HYPERLINK("https://www.shelhealth.com/products/724742001216-alba-botanica-shampoo-smooth-gardenia-32-oz", "https://www.shelhealth.com/products/724742001216-alba-botanica-shampoo-smooth-gardenia-32-oz")</f>
        <v/>
      </c>
      <c r="C886" t="inlineStr">
        <is>
          <t>Alba Botanica Shampoo Smooth Gardenia, 32 Oz</t>
        </is>
      </c>
      <c r="D886" t="inlineStr">
        <is>
          <t>Alba Botanica More Moisture Shampoo, Coconut Milk, 32 Oz</t>
        </is>
      </c>
      <c r="E886" s="2">
        <f>HYPERLINK("https://www.amazon.com/Alba-Botanica-Coconut-Hawaiian-Shampoo/dp/B01LY0T8IN/ref=sr_1_5?keywords=Alba+Botanica+Shampoo+Smooth+Gardenia%2C+32+Oz&amp;qid=1695170186&amp;sr=8-5", "https://www.amazon.com/Alba-Botanica-Coconut-Hawaiian-Shampoo/dp/B01LY0T8IN/ref=sr_1_5?keywords=Alba+Botanica+Shampoo+Smooth+Gardenia%2C+32+Oz&amp;qid=1695170186&amp;sr=8-5")</f>
        <v/>
      </c>
      <c r="F886" t="inlineStr">
        <is>
          <t>B01LY0T8IN</t>
        </is>
      </c>
      <c r="G886">
        <f>_xludf.IMAGE("https://www.shelhealth.com/cdn/shop/files/alba-botanica-shampoo-smooth-gardenia-32-oz-beauty-body-care-shelhealth-782.jpg?v=1686191917&amp;width=1946")</f>
        <v/>
      </c>
      <c r="H886">
        <f>_xludf.IMAGE("https://m.media-amazon.com/images/I/51vRfXYwmqS._AC_UL320_.jpg")</f>
        <v/>
      </c>
      <c r="K886" t="inlineStr">
        <is>
          <t>19.99</t>
        </is>
      </c>
      <c r="L886" t="n">
        <v>14.49</v>
      </c>
      <c r="M886" s="1" t="inlineStr">
        <is>
          <t>-27.51%</t>
        </is>
      </c>
      <c r="N886" s="3" t="n">
        <v>-27.51</v>
      </c>
      <c r="O886" t="n">
        <v>4.6</v>
      </c>
      <c r="P886" t="n">
        <v>2815</v>
      </c>
      <c r="R886" t="inlineStr">
        <is>
          <t>OutOfStock</t>
        </is>
      </c>
      <c r="S886" t="inlineStr">
        <is>
          <t>19.99</t>
        </is>
      </c>
      <c r="T886" t="inlineStr">
        <is>
          <t>7241433841852</t>
        </is>
      </c>
    </row>
    <row r="887" hidden="1" ht="15.75" customHeight="1">
      <c r="A887" s="2">
        <f>HYPERLINK("https://www.shelhealth.com/products/shea-moisture-100-virgin-coconut-oil-daily-hydration-conditioner-34-fl-oz", "https://www.shelhealth.com/products/shea-moisture-100-virgin-coconut-oil-daily-hydration-conditioner-34-fl-oz")</f>
        <v/>
      </c>
      <c r="B887" s="2">
        <f>HYPERLINK("https://www.shelhealth.com/products/shea-moisture-100-virgin-coconut-oil-daily-hydration-conditioner-34-fl-oz", "https://www.shelhealth.com/products/shea-moisture-100-virgin-coconut-oil-daily-hydration-conditioner-34-fl-oz")</f>
        <v/>
      </c>
      <c r="C887" t="inlineStr">
        <is>
          <t>Shea Moisture 100% Virgin Coconut Oil Daily Hydration Conditioner (34 fl. oz.)</t>
        </is>
      </c>
      <c r="D887" t="inlineStr">
        <is>
          <t>SheaMoisture 100% Virgin Coconut Oil Daily Hydration Shampoo &amp; Conditioner | 13 fl. oz. Each</t>
        </is>
      </c>
      <c r="E887" s="2">
        <f>HYPERLINK("https://www.amazon.com/Moisture-Coconut-Hydration-Shampoo-Conditioner/dp/B075Y4KJ9F/ref=sr_1_5?keywords=Shea+Moisture+100%25+Virgin+Coconut+Oil+Daily+Hydration+Conditioner+%2834+fl.+oz.%29&amp;qid=1695170170&amp;sr=8-5", "https://www.amazon.com/Moisture-Coconut-Hydration-Shampoo-Conditioner/dp/B075Y4KJ9F/ref=sr_1_5?keywords=Shea+Moisture+100%25+Virgin+Coconut+Oil+Daily+Hydration+Conditioner+%2834+fl.+oz.%29&amp;qid=1695170170&amp;sr=8-5")</f>
        <v/>
      </c>
      <c r="F887" t="inlineStr">
        <is>
          <t>B075Y4KJ9F</t>
        </is>
      </c>
      <c r="G887">
        <f>_xludf.IMAGE("https://www.shelhealth.com/cdn/shop/products/shea-moisture-100-virgin-coconut-oil-daily-hydration-conditioner-34-fl-oz-shampoo-shelhealth-440.jpg?v=1675324944&amp;width=1946")</f>
        <v/>
      </c>
      <c r="H887">
        <f>_xludf.IMAGE("https://m.media-amazon.com/images/I/61bzB8Rs3jL._AC_UL320_.jpg")</f>
        <v/>
      </c>
      <c r="K887" t="inlineStr">
        <is>
          <t>29.67</t>
        </is>
      </c>
      <c r="L887" t="n">
        <v>21.42</v>
      </c>
      <c r="M887" s="1" t="inlineStr">
        <is>
          <t>-27.81%</t>
        </is>
      </c>
      <c r="N887" s="3" t="n">
        <v>-27.81</v>
      </c>
      <c r="O887" t="n">
        <v>4.4</v>
      </c>
      <c r="P887" t="n">
        <v>2987</v>
      </c>
      <c r="R887" t="inlineStr">
        <is>
          <t>InStock</t>
        </is>
      </c>
      <c r="S887" t="inlineStr">
        <is>
          <t>29.67</t>
        </is>
      </c>
      <c r="T887" t="inlineStr">
        <is>
          <t>4164054319156</t>
        </is>
      </c>
    </row>
    <row r="888" hidden="1" ht="15.75" customHeight="1">
      <c r="A888" s="2">
        <f>HYPERLINK("https://www.shelhealth.com/products/718334337852-desert-essence-coconut-conditioner-8-oz", "https://www.shelhealth.com/products/718334337852-desert-essence-coconut-conditioner-8-oz")</f>
        <v/>
      </c>
      <c r="B888" s="2">
        <f>HYPERLINK("https://www.shelhealth.com/products/718334337852-desert-essence-coconut-conditioner-8-oz", "https://www.shelhealth.com/products/718334337852-desert-essence-coconut-conditioner-8-oz")</f>
        <v/>
      </c>
      <c r="C888" t="inlineStr">
        <is>
          <t>Desert Essence Coconut Conditioner, 8 Oz (Case of 3)</t>
        </is>
      </c>
      <c r="D888" t="inlineStr">
        <is>
          <t>Desert Essence, Coconut Conditioner, 8 oz (Pack of 2) Gluten Free, Vegan, Paraben Free - Nourishing for Dry Hair with Organic Coconut Oil, Shea Butter &amp; Sunflower Oil - Moisturizes &amp; Smooths Frizz</t>
        </is>
      </c>
      <c r="E888" s="2">
        <f>HYPERLINK("https://www.amazon.com/Desert-Essence-Coconut-Conditioner-Paraben/dp/B0BXV4HB4K/ref=sr_1_2?keywords=Desert+Essence+Coconut+Conditioner%2C+8+Oz+%28Case+of+3%29&amp;qid=1695170218&amp;sr=8-2", "https://www.amazon.com/Desert-Essence-Coconut-Conditioner-Paraben/dp/B0BXV4HB4K/ref=sr_1_2?keywords=Desert+Essence+Coconut+Conditioner%2C+8+Oz+%28Case+of+3%29&amp;qid=1695170218&amp;sr=8-2")</f>
        <v/>
      </c>
      <c r="F888" t="inlineStr">
        <is>
          <t>B0BXV4HB4K</t>
        </is>
      </c>
      <c r="G888">
        <f>_xludf.IMAGE("https://www.shelhealth.com/cdn/shop/files/desert-essence-coconut-conditioner-8-oz-case-of-3-beauty-body-care-shelhealth-512.jpg?v=1686485085&amp;width=1946")</f>
        <v/>
      </c>
      <c r="H888">
        <f>_xludf.IMAGE("https://m.media-amazon.com/images/I/71HnRqELLEL._AC_UL320_.jpg")</f>
        <v/>
      </c>
      <c r="K888" t="inlineStr">
        <is>
          <t>26.99</t>
        </is>
      </c>
      <c r="L888" t="n">
        <v>19.38</v>
      </c>
      <c r="M888" s="1" t="inlineStr">
        <is>
          <t>-28.20%</t>
        </is>
      </c>
      <c r="N888" s="3" t="n">
        <v>-28.2</v>
      </c>
      <c r="O888" t="n">
        <v>5</v>
      </c>
      <c r="P888" t="n">
        <v>1</v>
      </c>
      <c r="R888" t="inlineStr">
        <is>
          <t>InStock</t>
        </is>
      </c>
      <c r="S888" t="inlineStr">
        <is>
          <t>26.99</t>
        </is>
      </c>
      <c r="T888" t="inlineStr">
        <is>
          <t>7241587196092</t>
        </is>
      </c>
    </row>
    <row r="889" hidden="1" ht="15.75" customHeight="1">
      <c r="A889" s="2">
        <f>HYPERLINK("https://www.shelhealth.com/products/pantene-detangling-milk-hair-treatment-sulfate-free-pro-v-gold-series-for-natural-and-curly-textured-hair-7-6-fl-oz", "https://www.shelhealth.com/products/pantene-detangling-milk-hair-treatment-sulfate-free-pro-v-gold-series-for-natural-and-curly-textured-hair-7-6-fl-oz")</f>
        <v/>
      </c>
      <c r="B889" s="2">
        <f>HYPERLINK("https://www.shelhealth.com/products/pantene-detangling-milk-hair-treatment-sulfate-free-pro-v-gold-series-for-natural-and-curly-textured-hair-7-6-fl-oz", "https://www.shelhealth.com/products/pantene-detangling-milk-hair-treatment-sulfate-free-pro-v-gold-series-for-natural-and-curly-textured-hair-7-6-fl-oz")</f>
        <v/>
      </c>
      <c r="C889" t="inlineStr">
        <is>
          <t>Pantene, Detangling Milk Hair Treatment, Sulfate Free, Pro-V Gold Series, for Natural and Curly Textured Hair, 7.6 fl oz</t>
        </is>
      </c>
      <c r="D889" t="inlineStr">
        <is>
          <t>Pantene Gold Series Detangling Milk Hair Treatment for Curly Hair, Natural and Textured Hair, 7.6 Fl Oz Leave-On Hair Detangler Infused with Rich Argan Oil, Dye and Sulfate Free Formula</t>
        </is>
      </c>
      <c r="E889" s="2">
        <f>HYPERLINK("https://www.amazon.com/Pantene-Sulfate-Defining-Pudding-Textured/dp/B01MQERD2H/ref=sr_1_1?keywords=Pantene%2C+Detangling+Milk+Hair+Treatment%2C+Sulfate+Free%2C+Pro-V+Gold+Series%2C+for+Natural+and+Curly+Textured+Hair%2C+7.6+fl+oz&amp;qid=1695170264&amp;sr=8-1", "https://www.amazon.com/Pantene-Sulfate-Defining-Pudding-Textured/dp/B01MQERD2H/ref=sr_1_1?keywords=Pantene%2C+Detangling+Milk+Hair+Treatment%2C+Sulfate+Free%2C+Pro-V+Gold+Series%2C+for+Natural+and+Curly+Textured+Hair%2C+7.6+fl+oz&amp;qid=1695170264&amp;sr=8-1")</f>
        <v/>
      </c>
      <c r="F889" t="inlineStr">
        <is>
          <t>B01MQERD2H</t>
        </is>
      </c>
      <c r="G889">
        <f>_xludf.IMAGE("https://www.shelhealth.com/cdn/shop/products/pantene-detangling-milk-hair-treatment-sulfate-free-pro-v-gold-series-for-natural-and-curly-textured-7-6-fl-oz-shelhealth-371.jpg?v=1663350076&amp;width=1946")</f>
        <v/>
      </c>
      <c r="H889">
        <f>_xludf.IMAGE("https://m.media-amazon.com/images/I/51JPA48JBKL._AC_UL320_.jpg")</f>
        <v/>
      </c>
      <c r="K889" t="inlineStr">
        <is>
          <t>10.99</t>
        </is>
      </c>
      <c r="L889" t="n">
        <v>7.88</v>
      </c>
      <c r="M889" s="1" t="inlineStr">
        <is>
          <t>-28.30%</t>
        </is>
      </c>
      <c r="N889" s="3" t="n">
        <v>-28.3</v>
      </c>
      <c r="O889" t="n">
        <v>4.6</v>
      </c>
      <c r="P889" t="n">
        <v>5934</v>
      </c>
      <c r="R889" t="inlineStr">
        <is>
          <t>InStock</t>
        </is>
      </c>
      <c r="S889" t="inlineStr">
        <is>
          <t>10.99</t>
        </is>
      </c>
      <c r="T889" t="inlineStr">
        <is>
          <t>4045921321012</t>
        </is>
      </c>
    </row>
    <row r="890" hidden="1" ht="15.75" customHeight="1">
      <c r="A890" s="2">
        <f>HYPERLINK("https://www.shelhealth.com/products/pantene-detangling-milk-hair-treatment-sulfate-free-pro-v-gold-series-for-natural-and-curly-textured-hair-7-6-fl-oz", "https://www.shelhealth.com/products/pantene-detangling-milk-hair-treatment-sulfate-free-pro-v-gold-series-for-natural-and-curly-textured-hair-7-6-fl-oz")</f>
        <v/>
      </c>
      <c r="B890" s="2">
        <f>HYPERLINK("https://www.shelhealth.com/products/pantene-detangling-milk-hair-treatment-sulfate-free-pro-v-gold-series-for-natural-and-curly-textured-hair-7-6-fl-oz", "https://www.shelhealth.com/products/pantene-detangling-milk-hair-treatment-sulfate-free-pro-v-gold-series-for-natural-and-curly-textured-hair-7-6-fl-oz")</f>
        <v/>
      </c>
      <c r="C890" t="inlineStr">
        <is>
          <t>Pantene, Detangling Milk Hair Treatment, Sulfate Free, Pro-V Gold Series, for Natural and Curly Textured Hair, 7.6 fl oz</t>
        </is>
      </c>
      <c r="D890" t="inlineStr">
        <is>
          <t>Pantene, Hair Oil Treatment, Sulfate Free, Intense Hydrating, Pro-V Gold Series, for Natural and Curly Textured Hair, 3.2 fl oz</t>
        </is>
      </c>
      <c r="E890" s="2">
        <f>HYPERLINK("https://www.amazon.com/Pantene-Sulfate-Intense-Hydrating-Textured/dp/B06WWP6JCT/ref=sr_1_5?keywords=Pantene%2C+Detangling+Milk+Hair+Treatment%2C+Sulfate+Free%2C+Pro-V+Gold+Series%2C+for+Natural+and+Curly+Textured+Hair%2C+7.6+fl+oz&amp;qid=1695170264&amp;sr=8-5", "https://www.amazon.com/Pantene-Sulfate-Intense-Hydrating-Textured/dp/B06WWP6JCT/ref=sr_1_5?keywords=Pantene%2C+Detangling+Milk+Hair+Treatment%2C+Sulfate+Free%2C+Pro-V+Gold+Series%2C+for+Natural+and+Curly+Textured+Hair%2C+7.6+fl+oz&amp;qid=1695170264&amp;sr=8-5")</f>
        <v/>
      </c>
      <c r="F890" t="inlineStr">
        <is>
          <t>B06WWP6JCT</t>
        </is>
      </c>
      <c r="G890">
        <f>_xludf.IMAGE("https://www.shelhealth.com/cdn/shop/products/pantene-detangling-milk-hair-treatment-sulfate-free-pro-v-gold-series-for-natural-and-curly-textured-7-6-fl-oz-shelhealth-371.jpg?v=1663350076&amp;width=1946")</f>
        <v/>
      </c>
      <c r="H890">
        <f>_xludf.IMAGE("https://m.media-amazon.com/images/I/71CZtQ5H0NL._AC_UL320_.jpg")</f>
        <v/>
      </c>
      <c r="K890" t="inlineStr">
        <is>
          <t>10.99</t>
        </is>
      </c>
      <c r="L890" t="n">
        <v>7.88</v>
      </c>
      <c r="M890" s="1" t="inlineStr">
        <is>
          <t>-28.30%</t>
        </is>
      </c>
      <c r="N890" s="3" t="n">
        <v>-28.3</v>
      </c>
      <c r="O890" t="n">
        <v>4.5</v>
      </c>
      <c r="P890" t="n">
        <v>4209</v>
      </c>
      <c r="R890" t="inlineStr">
        <is>
          <t>InStock</t>
        </is>
      </c>
      <c r="S890" t="inlineStr">
        <is>
          <t>10.99</t>
        </is>
      </c>
      <c r="T890" t="inlineStr">
        <is>
          <t>4045921321012</t>
        </is>
      </c>
    </row>
    <row r="891" hidden="1" ht="15.75" customHeight="1">
      <c r="A891" s="2">
        <f>HYPERLINK("https://www.shelhealth.com/products/716237185570-giovanni-cosmetics-2chic-frizz-be-gone-shampoo-shea-butter-sweet-almond-oil-8-5-oz", "https://www.shelhealth.com/products/716237185570-giovanni-cosmetics-2chic-frizz-be-gone-shampoo-shea-butter-sweet-almond-oil-8-5-oz")</f>
        <v/>
      </c>
      <c r="B891" s="2">
        <f>HYPERLINK("https://www.shelhealth.com/products/716237185570-giovanni-cosmetics-2chic-frizz-be-gone-shampoo-shea-butter-sweet-almond-oil-8-5-oz", "https://www.shelhealth.com/products/716237185570-giovanni-cosmetics-2chic-frizz-be-gone-shampoo-shea-butter-sweet-almond-oil-8-5-oz")</f>
        <v/>
      </c>
      <c r="C891" t="inlineStr">
        <is>
          <t>Giovanni Cosmetics 2Chic Frizz Be Gone Shampoo Shea Butter &amp; Sweet Almond Oil, 8.5 Oz (Case of 3)</t>
        </is>
      </c>
      <c r="D891" t="inlineStr">
        <is>
          <t>GIOVANNI 2chic Frizz Be Gone Shampoo - Anti Frizz Natural Hair Smoothing Formula with Shea Butter &amp; Sweet Almond Oil, Macadamia, Coconut, Sulfate &amp; Paraben Free, Color Safe - 24 oz</t>
        </is>
      </c>
      <c r="E891" s="2">
        <f>HYPERLINK("https://www.amazon.com/Giovanni-2chic-Butter-Almond-Shampoo/dp/B073P6Y9D2/ref=sr_1_1?keywords=Giovanni+Cosmetics+2Chic+Frizz+Be+Gone+Shampoo+Shea+Butter+%26+Sweet+Almond+Oil%2C+8.5+Oz+%28Case+of+3%29&amp;qid=1695170239&amp;sr=8-1", "https://www.amazon.com/Giovanni-2chic-Butter-Almond-Shampoo/dp/B073P6Y9D2/ref=sr_1_1?keywords=Giovanni+Cosmetics+2Chic+Frizz+Be+Gone+Shampoo+Shea+Butter+%26+Sweet+Almond+Oil%2C+8.5+Oz+%28Case+of+3%29&amp;qid=1695170239&amp;sr=8-1")</f>
        <v/>
      </c>
      <c r="F891" t="inlineStr">
        <is>
          <t>B073P6Y9D2</t>
        </is>
      </c>
      <c r="G891">
        <f>_xludf.IMAGE("https://www.shelhealth.com/cdn/shop/files/giovanni-cosmetics-2chic-frizz-be-gone-shampoo-shea-butter-sweet-almond-oil-8-5-oz-case-of-3-bath-body-shelhealth-317.jpg?v=1686527213&amp;width=1946")</f>
        <v/>
      </c>
      <c r="H891">
        <f>_xludf.IMAGE("https://m.media-amazon.com/images/I/61+PrarkGLL._AC_UL320_.jpg")</f>
        <v/>
      </c>
      <c r="K891" t="inlineStr">
        <is>
          <t>27.99</t>
        </is>
      </c>
      <c r="L891" t="n">
        <v>19.99</v>
      </c>
      <c r="M891" s="1" t="inlineStr">
        <is>
          <t>-28.58%</t>
        </is>
      </c>
      <c r="N891" s="3" t="n">
        <v>-28.58</v>
      </c>
      <c r="O891" t="n">
        <v>4.4</v>
      </c>
      <c r="P891" t="n">
        <v>532</v>
      </c>
      <c r="R891" t="inlineStr">
        <is>
          <t>InStock</t>
        </is>
      </c>
      <c r="S891" t="inlineStr">
        <is>
          <t>27.99</t>
        </is>
      </c>
      <c r="T891" t="inlineStr">
        <is>
          <t>7241657024700</t>
        </is>
      </c>
    </row>
    <row r="892" hidden="1" ht="15.75" customHeight="1">
      <c r="A892" s="2">
        <f>HYPERLINK("https://www.shelhealth.com/products/704326100108-tints-of-nature-permanent-hair-dye-natural-black-1n-4-4-fo", "https://www.shelhealth.com/products/704326100108-tints-of-nature-permanent-hair-dye-natural-black-1n-4-4-fo")</f>
        <v/>
      </c>
      <c r="B892" s="2">
        <f>HYPERLINK("https://www.shelhealth.com/products/704326100108-tints-of-nature-permanent-hair-dye-natural-black-1n-4-4-fo", "https://www.shelhealth.com/products/704326100108-tints-of-nature-permanent-hair-dye-natural-black-1n-4-4-fo")</f>
        <v/>
      </c>
      <c r="C892" t="inlineStr">
        <is>
          <t>TINTS OF NATURE Permanent Hair Dye Natural Black 1N, 4.4 fo</t>
        </is>
      </c>
      <c r="D892" t="inlineStr">
        <is>
          <t>Tints of Nature 1N Natural Black Permanent Hair Dye, Nourishes Hair and Covers Greys, Ammonia-Free, 130ml</t>
        </is>
      </c>
      <c r="E892" s="2">
        <f>HYPERLINK("https://www.amazon.com/Tints-Nature-Permanent-Nourishes-Ammonia-Free/dp/B000OZ31XE/ref=sr_1_1?keywords=TINTS+OF+NATURE+Permanent+Hair+Dye+Natural+Black+1N%2C+4.4+fo&amp;qid=1695170229&amp;sr=8-1", "https://www.amazon.com/Tints-Nature-Permanent-Nourishes-Ammonia-Free/dp/B000OZ31XE/ref=sr_1_1?keywords=TINTS+OF+NATURE+Permanent+Hair+Dye+Natural+Black+1N%2C+4.4+fo&amp;qid=1695170229&amp;sr=8-1")</f>
        <v/>
      </c>
      <c r="F892" t="inlineStr">
        <is>
          <t>B000OZ31XE</t>
        </is>
      </c>
      <c r="G892">
        <f>_xludf.IMAGE("https://www.shelhealth.com/cdn/shop/files/tints-of-nature-permanent-hair-dye-natural-black-1n-4-fo-bath-body-shelhealth-205.jpg?v=1686229659&amp;width=1946")</f>
        <v/>
      </c>
      <c r="H892">
        <f>_xludf.IMAGE("https://m.media-amazon.com/images/I/61pAPvmr2hL._AC_UL320_.jpg")</f>
        <v/>
      </c>
      <c r="K892" t="inlineStr">
        <is>
          <t>21.99</t>
        </is>
      </c>
      <c r="L892" t="n">
        <v>15.68</v>
      </c>
      <c r="M892" s="1" t="inlineStr">
        <is>
          <t>-28.69%</t>
        </is>
      </c>
      <c r="N892" s="3" t="n">
        <v>-28.69</v>
      </c>
      <c r="O892" t="n">
        <v>4.3</v>
      </c>
      <c r="P892" t="n">
        <v>2026</v>
      </c>
      <c r="R892" t="inlineStr">
        <is>
          <t>InStock</t>
        </is>
      </c>
      <c r="S892" t="inlineStr">
        <is>
          <t>21.99</t>
        </is>
      </c>
      <c r="T892" t="inlineStr">
        <is>
          <t>7574340960488</t>
        </is>
      </c>
    </row>
    <row r="893" hidden="1" ht="15.75" customHeight="1">
      <c r="A893" s="2">
        <f>HYPERLINK("https://www.shelhealth.com/products/ogx-renewing-argan-oil-of-morocco-shampoo-25-4-ounce-with-pump", "https://www.shelhealth.com/products/ogx-renewing-argan-oil-of-morocco-shampoo-25-4-ounce-with-pump")</f>
        <v/>
      </c>
      <c r="B893" s="2">
        <f>HYPERLINK("https://www.shelhealth.com/products/ogx-renewing-argan-oil-of-morocco-shampoo-25-4-ounce-with-pump", "https://www.shelhealth.com/products/ogx-renewing-argan-oil-of-morocco-shampoo-25-4-ounce-with-pump")</f>
        <v/>
      </c>
      <c r="C893" t="inlineStr">
        <is>
          <t>OGX Renewing + Argan Oil of Morocco Shampoo, 25.4 Ounce with Pump</t>
        </is>
      </c>
      <c r="D893" t="inlineStr">
        <is>
          <t>OGX Renewing + Argan Oil of Morocco Hydrating Hair Shampoo, Cold-Pressed Argan Oil to Help Moisturize, Soften &amp; Strengthen Hair, Paraben-Free with Sulfate-Free Surfactants, 25.4 fl oz</t>
        </is>
      </c>
      <c r="E893" s="2">
        <f>HYPERLINK("https://www.amazon.com/OGX-Renewing-Strengthens-Sulfate-Free-Surfactants/dp/B008J2GP9G/ref=sr_1_3?keywords=OGX+Renewing+%2B+Argan+Oil+of+Morocco+Shampoo%2C+25.4+Ounce+with+Pump&amp;qid=1695170176&amp;sr=8-3", "https://www.amazon.com/OGX-Renewing-Strengthens-Sulfate-Free-Surfactants/dp/B008J2GP9G/ref=sr_1_3?keywords=OGX+Renewing+%2B+Argan+Oil+of+Morocco+Shampoo%2C+25.4+Ounce+with+Pump&amp;qid=1695170176&amp;sr=8-3")</f>
        <v/>
      </c>
      <c r="F893" t="inlineStr">
        <is>
          <t>B008J2GP9G</t>
        </is>
      </c>
      <c r="G893">
        <f>_xludf.IMAGE("https://www.shelhealth.com/cdn/shop/products/ogx-renewing-argan-oil-of-morocco-shampoo-25-4-ounce-with-pump-shelhealth-796.jpg?v=1663350099&amp;width=1946")</f>
        <v/>
      </c>
      <c r="H893">
        <f>_xludf.IMAGE("https://m.media-amazon.com/images/I/711KwkGS6BL._AC_UL320_.jpg")</f>
        <v/>
      </c>
      <c r="K893" t="inlineStr">
        <is>
          <t>16.99</t>
        </is>
      </c>
      <c r="L893" t="n">
        <v>11.99</v>
      </c>
      <c r="M893" s="1" t="inlineStr">
        <is>
          <t>-29.43%</t>
        </is>
      </c>
      <c r="N893" s="3" t="n">
        <v>-29.43</v>
      </c>
      <c r="O893" t="n">
        <v>4.6</v>
      </c>
      <c r="P893" t="n">
        <v>7754</v>
      </c>
      <c r="R893" t="inlineStr">
        <is>
          <t>InStock</t>
        </is>
      </c>
      <c r="S893" t="inlineStr">
        <is>
          <t>16.99</t>
        </is>
      </c>
      <c r="T893" t="inlineStr">
        <is>
          <t>4045927383092</t>
        </is>
      </c>
    </row>
    <row r="894" hidden="1" ht="15.75" customHeight="1">
      <c r="A894" s="2">
        <f>HYPERLINK("https://www.shelhealth.com/products/ogx-renewing-argan-oil-of-morocco-conditioner-25-4-ounce-with-pump", "https://www.shelhealth.com/products/ogx-renewing-argan-oil-of-morocco-conditioner-25-4-ounce-with-pump")</f>
        <v/>
      </c>
      <c r="B894" s="2">
        <f>HYPERLINK("https://www.shelhealth.com/products/ogx-renewing-argan-oil-of-morocco-conditioner-25-4-ounce-with-pump", "https://www.shelhealth.com/products/ogx-renewing-argan-oil-of-morocco-conditioner-25-4-ounce-with-pump")</f>
        <v/>
      </c>
      <c r="C894" t="inlineStr">
        <is>
          <t>OGX Renewing + Argan Oil of Morocco Conditioner, 25.4 Ounce with Pump</t>
        </is>
      </c>
      <c r="D894" t="inlineStr">
        <is>
          <t>OGX Renewing + Argan Oil of Morocco Conditioner, 25.4 Ounce Salon Size, Blue</t>
        </is>
      </c>
      <c r="E894" s="2">
        <f>HYPERLINK("https://www.amazon.com/OGX-Renewing-Conditioner-Sulfate-Free-Surfactants/dp/B008G8G4KI/ref=sr_1_1?keywords=OGX+Renewing+Argan+Oil+of+Morocco+Conditioner%2C+25.4+Ounce+with+Pump&amp;qid=1695170176&amp;sr=8-1", "https://www.amazon.com/OGX-Renewing-Conditioner-Sulfate-Free-Surfactants/dp/B008G8G4KI/ref=sr_1_1?keywords=OGX+Renewing+Argan+Oil+of+Morocco+Conditioner%2C+25.4+Ounce+with+Pump&amp;qid=1695170176&amp;sr=8-1")</f>
        <v/>
      </c>
      <c r="F894" t="inlineStr">
        <is>
          <t>B008G8G4KI</t>
        </is>
      </c>
      <c r="G894">
        <f>_xludf.IMAGE("https://www.shelhealth.com/cdn/shop/products/ogx-renewing-argan-oil-of-morocco-conditioner-25-4-ounce-with-pump-shelhealth-230.jpg?v=1663350090&amp;width=1946")</f>
        <v/>
      </c>
      <c r="H894">
        <f>_xludf.IMAGE("https://m.media-amazon.com/images/I/71V0mFdW3fL._AC_UL320_.jpg")</f>
        <v/>
      </c>
      <c r="K894" t="inlineStr">
        <is>
          <t>16.99</t>
        </is>
      </c>
      <c r="L894" t="n">
        <v>11.99</v>
      </c>
      <c r="M894" s="1" t="inlineStr">
        <is>
          <t>-29.43%</t>
        </is>
      </c>
      <c r="N894" s="3" t="n">
        <v>-29.43</v>
      </c>
      <c r="O894" t="n">
        <v>4.7</v>
      </c>
      <c r="P894" t="n">
        <v>2435</v>
      </c>
      <c r="R894" t="inlineStr">
        <is>
          <t>InStock</t>
        </is>
      </c>
      <c r="S894" t="inlineStr">
        <is>
          <t>16.99</t>
        </is>
      </c>
      <c r="T894" t="inlineStr">
        <is>
          <t>4045926924340</t>
        </is>
      </c>
    </row>
    <row r="895" hidden="1" ht="15.75" customHeight="1">
      <c r="A895" s="2">
        <f>HYPERLINK("https://www.shelhealth.com/products/kirkland-signature-minoxidil-foam-for-men", "https://www.shelhealth.com/products/kirkland-signature-minoxidil-foam-for-men")</f>
        <v/>
      </c>
      <c r="B895" s="2">
        <f>HYPERLINK("https://www.shelhealth.com/products/kirkland-signature-minoxidil-foam-for-men", "https://www.shelhealth.com/products/kirkland-signature-minoxidil-foam-for-men")</f>
        <v/>
      </c>
      <c r="C895" t="inlineStr">
        <is>
          <t>Kirkland Signature Hair Regrowth Minoxidil 5 Percent Foam for Men, 6 Month Supply</t>
        </is>
      </c>
      <c r="D895" t="inlineStr">
        <is>
          <t>Kirkland Minoxidil 5 percentage Extra Strength Hair Loss Regrowth Treatment Men, 2 Pack (6 Months Supply)</t>
        </is>
      </c>
      <c r="E895" s="2">
        <f>HYPERLINK("https://www.amazon.com/Kirkland-Minoxidil-percentage-Strength-Treatment/dp/B07GTN58HW/ref=sr_1_1?keywords=Kirkland+Signature+Hair+Regrowth+Minoxidil+5+Percent+Foam+for+Men%2C+6+Month+Supply&amp;qid=1695170163&amp;sr=8-1", "https://www.amazon.com/Kirkland-Minoxidil-percentage-Strength-Treatment/dp/B07GTN58HW/ref=sr_1_1?keywords=Kirkland+Signature+Hair+Regrowth+Minoxidil+5+Percent+Foam+for+Men%2C+6+Month+Supply&amp;qid=1695170163&amp;sr=8-1")</f>
        <v/>
      </c>
      <c r="F895" t="inlineStr">
        <is>
          <t>B07GTN58HW</t>
        </is>
      </c>
      <c r="G895">
        <f>_xludf.IMAGE("https://www.shelhealth.com/cdn/shop/products/kirkland-signature-hair-regrowth-minoxidil-5-percent-foam-for-men-6-month-supply-shelhealth-651.jpg?v=1663336868&amp;width=1946")</f>
        <v/>
      </c>
      <c r="H895">
        <f>_xludf.IMAGE("https://m.media-amazon.com/images/I/81o+XpuFNmL._AC_UL320_.jpg")</f>
        <v/>
      </c>
      <c r="K895" t="inlineStr">
        <is>
          <t>69.99</t>
        </is>
      </c>
      <c r="L895" t="n">
        <v>49.31</v>
      </c>
      <c r="M895" s="1" t="inlineStr">
        <is>
          <t>-29.55%</t>
        </is>
      </c>
      <c r="N895" s="3" t="n">
        <v>-29.55</v>
      </c>
      <c r="O895" t="n">
        <v>4.5</v>
      </c>
      <c r="P895" t="n">
        <v>10</v>
      </c>
      <c r="R895" t="inlineStr">
        <is>
          <t>InStock</t>
        </is>
      </c>
      <c r="S895" t="inlineStr">
        <is>
          <t>69.99</t>
        </is>
      </c>
      <c r="T895" t="inlineStr">
        <is>
          <t>3725978927156</t>
        </is>
      </c>
    </row>
    <row r="896" hidden="1" ht="15.75" customHeight="1">
      <c r="A896" s="2">
        <f>HYPERLINK("https://www.shelhealth.com/products/kirkland-signature-minoxidil-foam-for-men", "https://www.shelhealth.com/products/kirkland-signature-minoxidil-foam-for-men")</f>
        <v/>
      </c>
      <c r="B896" s="2">
        <f>HYPERLINK("https://www.shelhealth.com/products/kirkland-signature-minoxidil-foam-for-men", "https://www.shelhealth.com/products/kirkland-signature-minoxidil-foam-for-men")</f>
        <v/>
      </c>
      <c r="C896" t="inlineStr">
        <is>
          <t>Kirkland Signature Hair Regrowth Minoxidil 5 Percent Foam for Men, 6 Month Supply</t>
        </is>
      </c>
      <c r="D896" t="inlineStr">
        <is>
          <t>Kirkland Minoxidil 5 percentage Extra Strength Hair Loss Regrowth Treatment Men, 2 Pack (6 Months Supply)</t>
        </is>
      </c>
      <c r="E896" s="2">
        <f>HYPERLINK("https://www.amazon.com/Kirkland-Minoxidil-percentage-Strength-Treatment/dp/B07DK3JQBN/ref=sr_1_10?keywords=Kirkland+Signature+Hair+Regrowth+Minoxidil+5+Percent+Foam+for+Men%2C+6+Month+Supply&amp;qid=1695170163&amp;sr=8-10", "https://www.amazon.com/Kirkland-Minoxidil-percentage-Strength-Treatment/dp/B07DK3JQBN/ref=sr_1_10?keywords=Kirkland+Signature+Hair+Regrowth+Minoxidil+5+Percent+Foam+for+Men%2C+6+Month+Supply&amp;qid=1695170163&amp;sr=8-10")</f>
        <v/>
      </c>
      <c r="F896" t="inlineStr">
        <is>
          <t>B07DK3JQBN</t>
        </is>
      </c>
      <c r="G896">
        <f>_xludf.IMAGE("https://www.shelhealth.com/cdn/shop/products/kirkland-signature-hair-regrowth-minoxidil-5-percent-foam-for-men-6-month-supply-shelhealth-651.jpg?v=1663336868&amp;width=1946")</f>
        <v/>
      </c>
      <c r="H896">
        <f>_xludf.IMAGE("https://m.media-amazon.com/images/I/81o+XpuFNmL._AC_UL320_.jpg")</f>
        <v/>
      </c>
      <c r="K896" t="inlineStr">
        <is>
          <t>69.99</t>
        </is>
      </c>
      <c r="L896" t="n">
        <v>49.31</v>
      </c>
      <c r="M896" s="1" t="inlineStr">
        <is>
          <t>-29.55%</t>
        </is>
      </c>
      <c r="N896" s="3" t="n">
        <v>-29.55</v>
      </c>
      <c r="O896" t="n">
        <v>4.4</v>
      </c>
      <c r="P896" t="n">
        <v>5</v>
      </c>
      <c r="R896" t="inlineStr">
        <is>
          <t>InStock</t>
        </is>
      </c>
      <c r="S896" t="inlineStr">
        <is>
          <t>69.99</t>
        </is>
      </c>
      <c r="T896" t="inlineStr">
        <is>
          <t>3725978927156</t>
        </is>
      </c>
    </row>
    <row r="897" hidden="1" ht="15.75" customHeight="1">
      <c r="A897" s="2">
        <f>HYPERLINK("https://www.shelhealth.com/products/aussie-miracle-moist-shampoo-and-conditioner-set-with-avocado-australian-jojoba-oil-30-4-fl-oz-each", "https://www.shelhealth.com/products/aussie-miracle-moist-shampoo-and-conditioner-set-with-avocado-australian-jojoba-oil-30-4-fl-oz-each")</f>
        <v/>
      </c>
      <c r="B897" s="2">
        <f>HYPERLINK("https://www.shelhealth.com/products/aussie-miracle-moist-shampoo-and-conditioner-set-with-avocado-australian-jojoba-oil-30-4-fl-oz-each", "https://www.shelhealth.com/products/aussie-miracle-moist-shampoo-and-conditioner-set-with-avocado-australian-jojoba-oil-30-4-fl-oz-each")</f>
        <v/>
      </c>
      <c r="C897" t="inlineStr">
        <is>
          <t>Aussie Miracle Moist Shampoo and Conditioner Set with Avocado &amp; Australian Jojoba Oil - 30.4 fl oz each</t>
        </is>
      </c>
      <c r="D897" t="inlineStr">
        <is>
          <t>Aussie Miracle Curls Shampoo and Conditioner Set with coconut &amp; australian jojoba oil-12.1 fl oz each</t>
        </is>
      </c>
      <c r="E897" s="2">
        <f>HYPERLINK("https://www.amazon.com/Miracle-Shampoo-Conditioner-australian-oil-12-1/dp/B07PBS9X5Z/ref=sr_1_8?keywords=Aussie+Miracle+Moist+Shampoo+and+Conditioner+Set+with+Avocado&amp;qid=1695170236&amp;sr=8-8", "https://www.amazon.com/Miracle-Shampoo-Conditioner-australian-oil-12-1/dp/B07PBS9X5Z/ref=sr_1_8?keywords=Aussie+Miracle+Moist+Shampoo+and+Conditioner+Set+with+Avocado&amp;qid=1695170236&amp;sr=8-8")</f>
        <v/>
      </c>
      <c r="F897" t="inlineStr">
        <is>
          <t>B07PBS9X5Z</t>
        </is>
      </c>
      <c r="G897">
        <f>_xludf.IMAGE("https://www.shelhealth.com/cdn/shop/products/aussie-miracle-moist-shampoo-and-conditioner-set-with-avocado-australian-jojoba-oil-30-4-fl-oz-each-shelhealth-123.jpg?v=1663372947&amp;width=1946")</f>
        <v/>
      </c>
      <c r="H897">
        <f>_xludf.IMAGE("https://m.media-amazon.com/images/I/71bMrwXYb4L._AC_UL320_.jpg")</f>
        <v/>
      </c>
      <c r="K897" t="inlineStr">
        <is>
          <t>19.99</t>
        </is>
      </c>
      <c r="L897" t="n">
        <v>14.04</v>
      </c>
      <c r="M897" s="1" t="inlineStr">
        <is>
          <t>-29.76%</t>
        </is>
      </c>
      <c r="N897" s="3" t="n">
        <v>-29.76</v>
      </c>
      <c r="O897" t="n">
        <v>4.6</v>
      </c>
      <c r="P897" t="n">
        <v>2362</v>
      </c>
      <c r="R897" t="inlineStr">
        <is>
          <t>InStock</t>
        </is>
      </c>
      <c r="S897" t="inlineStr">
        <is>
          <t>19.99</t>
        </is>
      </c>
      <c r="T897" t="inlineStr">
        <is>
          <t>4697907003481</t>
        </is>
      </c>
    </row>
    <row r="898" hidden="1" ht="15.75" customHeight="1">
      <c r="A898" s="2">
        <f>HYPERLINK("https://www.shelhealth.com/products/aussie-miracle-moist-shampoo-and-conditioner-set-with-avocado-australian-jojoba-oil-30-4-fl-oz-each", "https://www.shelhealth.com/products/aussie-miracle-moist-shampoo-and-conditioner-set-with-avocado-australian-jojoba-oil-30-4-fl-oz-each")</f>
        <v/>
      </c>
      <c r="B898" s="2">
        <f>HYPERLINK("https://www.shelhealth.com/products/aussie-miracle-moist-shampoo-and-conditioner-set-with-avocado-australian-jojoba-oil-30-4-fl-oz-each", "https://www.shelhealth.com/products/aussie-miracle-moist-shampoo-and-conditioner-set-with-avocado-australian-jojoba-oil-30-4-fl-oz-each")</f>
        <v/>
      </c>
      <c r="C898" t="inlineStr">
        <is>
          <t>Aussie Miracle Moist Shampoo and Conditioner Set with Avocado &amp; Australian Jojoba Oil - 30.4 fl oz each</t>
        </is>
      </c>
      <c r="D898" t="inlineStr">
        <is>
          <t>Aussie Miracle Moist Shampoo and Conditioner Set with avocado &amp; australian jojoba oil-12.1 fl oz each</t>
        </is>
      </c>
      <c r="E898" s="2">
        <f>HYPERLINK("https://www.amazon.com/Miracle-Shampoo-Conditioner-australian-oil-12-1/dp/B07PFGCMQ4/ref=sr_1_1?keywords=Aussie+Miracle+Moist+Shampoo+and+Conditioner+Set+with+Avocado&amp;qid=1695170236&amp;sr=8-1", "https://www.amazon.com/Miracle-Shampoo-Conditioner-australian-oil-12-1/dp/B07PFGCMQ4/ref=sr_1_1?keywords=Aussie+Miracle+Moist+Shampoo+and+Conditioner+Set+with+Avocado&amp;qid=1695170236&amp;sr=8-1")</f>
        <v/>
      </c>
      <c r="F898" t="inlineStr">
        <is>
          <t>B07PFGCMQ4</t>
        </is>
      </c>
      <c r="G898">
        <f>_xludf.IMAGE("https://www.shelhealth.com/cdn/shop/products/aussie-miracle-moist-shampoo-and-conditioner-set-with-avocado-australian-jojoba-oil-30-4-fl-oz-each-shelhealth-123.jpg?v=1663372947&amp;width=1946")</f>
        <v/>
      </c>
      <c r="H898">
        <f>_xludf.IMAGE("https://m.media-amazon.com/images/I/714H32fddDL._AC_UL320_.jpg")</f>
        <v/>
      </c>
      <c r="K898" t="inlineStr">
        <is>
          <t>19.99</t>
        </is>
      </c>
      <c r="L898" t="n">
        <v>13.93</v>
      </c>
      <c r="M898" s="1" t="inlineStr">
        <is>
          <t>-30.32%</t>
        </is>
      </c>
      <c r="N898" s="3" t="n">
        <v>-30.32</v>
      </c>
      <c r="O898" t="n">
        <v>4.6</v>
      </c>
      <c r="P898" t="n">
        <v>1194</v>
      </c>
      <c r="R898" t="inlineStr">
        <is>
          <t>InStock</t>
        </is>
      </c>
      <c r="S898" t="inlineStr">
        <is>
          <t>19.99</t>
        </is>
      </c>
      <c r="T898" t="inlineStr">
        <is>
          <t>4697907003481</t>
        </is>
      </c>
    </row>
    <row r="899" hidden="1" ht="15.75" customHeight="1">
      <c r="A899" s="2">
        <f>HYPERLINK("https://www.shelhealth.com/products/nexxus-comb-thru-finishing-spray-hair-spray-2-x-10-oz", "https://www.shelhealth.com/products/nexxus-comb-thru-finishing-spray-hair-spray-2-x-10-oz")</f>
        <v/>
      </c>
      <c r="B899" s="2">
        <f>HYPERLINK("https://www.shelhealth.com/products/nexxus-comb-thru-finishing-spray-hair-spray-2-x-10-oz", "https://www.shelhealth.com/products/nexxus-comb-thru-finishing-spray-hair-spray-2-x-10-oz")</f>
        <v/>
      </c>
      <c r="C899" t="inlineStr">
        <is>
          <t>Nexxus Comb Thru Finishing Spray Hair Spray, 2 x 10 oz.</t>
        </is>
      </c>
      <c r="D899" t="inlineStr">
        <is>
          <t>Nexxus Comb Thru Finishing Spray, Medium Hold Hair Spray for Volume, 10 oz</t>
        </is>
      </c>
      <c r="E899" s="2">
        <f>HYPERLINK("https://www.amazon.com/Nexxus-Comb-Thru-Finishing-Spray/dp/B000GFWIOU/ref=sr_1_1?keywords=Nexxus+Comb+Thru+Finishing+Spray+Hair+Spray%2C+2+x+10+oz.&amp;qid=1695170237&amp;sr=8-1", "https://www.amazon.com/Nexxus-Comb-Thru-Finishing-Spray/dp/B000GFWIOU/ref=sr_1_1?keywords=Nexxus+Comb+Thru+Finishing+Spray+Hair+Spray%2C+2+x+10+oz.&amp;qid=1695170237&amp;sr=8-1")</f>
        <v/>
      </c>
      <c r="F899" t="inlineStr">
        <is>
          <t>B000GFWIOU</t>
        </is>
      </c>
      <c r="G899">
        <f>_xludf.IMAGE("https://www.shelhealth.com/cdn/shop/products/nexxus-comb-thru-finishing-spray-hair-2-x-10-oz-shelhealth-511.jpg?v=1663373772&amp;width=1946")</f>
        <v/>
      </c>
      <c r="H899">
        <f>_xludf.IMAGE("https://m.media-amazon.com/images/I/71VfJGTehCL._AC_UL320_.jpg")</f>
        <v/>
      </c>
      <c r="K899" t="inlineStr">
        <is>
          <t>22.99</t>
        </is>
      </c>
      <c r="L899" t="n">
        <v>15.98</v>
      </c>
      <c r="M899" s="1" t="inlineStr">
        <is>
          <t>-30.49%</t>
        </is>
      </c>
      <c r="N899" s="3" t="n">
        <v>-30.49</v>
      </c>
      <c r="O899" t="n">
        <v>4.5</v>
      </c>
      <c r="P899" t="n">
        <v>8172</v>
      </c>
      <c r="R899" t="inlineStr">
        <is>
          <t>OutOfStock</t>
        </is>
      </c>
      <c r="S899" t="inlineStr">
        <is>
          <t>22.99</t>
        </is>
      </c>
      <c r="T899" t="inlineStr">
        <is>
          <t>4710416908377</t>
        </is>
      </c>
    </row>
    <row r="900" hidden="1" ht="15.75" customHeight="1">
      <c r="A900" s="2">
        <f>HYPERLINK("https://www.shelhealth.com/products/724742001209-alba-botanica-conditioner-smooth-gardenia-32-oz", "https://www.shelhealth.com/products/724742001209-alba-botanica-conditioner-smooth-gardenia-32-oz")</f>
        <v/>
      </c>
      <c r="B900" s="2">
        <f>HYPERLINK("https://www.shelhealth.com/products/724742001209-alba-botanica-conditioner-smooth-gardenia-32-oz", "https://www.shelhealth.com/products/724742001209-alba-botanica-conditioner-smooth-gardenia-32-oz")</f>
        <v/>
      </c>
      <c r="C900" t="inlineStr">
        <is>
          <t>Alba Botanica Conditioner Smooth Gardenia, 32 Oz</t>
        </is>
      </c>
      <c r="D900" t="inlineStr">
        <is>
          <t>Alba Botanica More Moisture Conditioner, Coconut Milk, 32 Oz</t>
        </is>
      </c>
      <c r="E900" s="2">
        <f>HYPERLINK("https://www.amazon.com/Alba-Botanica-Coconut-Hawaiian-Conditioner/dp/B01LZBKSP6/ref=sr_1_3?keywords=Alba+Botanica+Conditioner+Smooth+Gardenia%2C+32+Oz&amp;qid=1695170209&amp;sr=8-3", "https://www.amazon.com/Alba-Botanica-Coconut-Hawaiian-Conditioner/dp/B01LZBKSP6/ref=sr_1_3?keywords=Alba+Botanica+Conditioner+Smooth+Gardenia%2C+32+Oz&amp;qid=1695170209&amp;sr=8-3")</f>
        <v/>
      </c>
      <c r="F900" t="inlineStr">
        <is>
          <t>B01LZBKSP6</t>
        </is>
      </c>
      <c r="G900">
        <f>_xludf.IMAGE("https://www.shelhealth.com/cdn/shop/files/alba-botanica-conditioner-smooth-gardenia-32-oz-beauty-body-care-shelhealth-819.jpg?v=1686191553&amp;width=1946")</f>
        <v/>
      </c>
      <c r="H900">
        <f>_xludf.IMAGE("https://m.media-amazon.com/images/I/51m7brh-DNS._AC_UL320_.jpg")</f>
        <v/>
      </c>
      <c r="K900" t="inlineStr">
        <is>
          <t>19.99</t>
        </is>
      </c>
      <c r="L900" t="n">
        <v>13.5</v>
      </c>
      <c r="M900" s="1" t="inlineStr">
        <is>
          <t>-32.47%</t>
        </is>
      </c>
      <c r="N900" s="3" t="n">
        <v>-32.47</v>
      </c>
      <c r="O900" t="n">
        <v>4.6</v>
      </c>
      <c r="P900" t="n">
        <v>4196</v>
      </c>
      <c r="R900" t="inlineStr">
        <is>
          <t>OutOfStock</t>
        </is>
      </c>
      <c r="S900" t="inlineStr">
        <is>
          <t>19.99</t>
        </is>
      </c>
      <c r="T900" t="inlineStr">
        <is>
          <t>7241428336828</t>
        </is>
      </c>
    </row>
    <row r="901" hidden="1" ht="15.75" customHeight="1">
      <c r="A901" s="2">
        <f>HYPERLINK("https://www.shelhealth.com/products/conair-infiniti-pro-hair-dyer-1875-watt", "https://www.shelhealth.com/products/conair-infiniti-pro-hair-dyer-1875-watt")</f>
        <v/>
      </c>
      <c r="B901" s="2">
        <f>HYPERLINK("https://www.shelhealth.com/products/conair-infiniti-pro-hair-dyer-1875-watt", "https://www.shelhealth.com/products/conair-infiniti-pro-hair-dyer-1875-watt")</f>
        <v/>
      </c>
      <c r="C901" t="inlineStr">
        <is>
          <t>Conair Infiniti Pro Hair Dyer 1875 WATT</t>
        </is>
      </c>
      <c r="D901" t="inlineStr">
        <is>
          <t>INFINITIPRO BY CONAIR Hair Dryer with Innovative Diffuser, 1875W, Enhances Curls and Waves while Reducing Frizz</t>
        </is>
      </c>
      <c r="E901" s="2">
        <f>HYPERLINK("https://www.amazon.com/INFINITIPRO-CONAIR-Dryer-Innovative-Diffuser/dp/B07VPNXN5J/ref=sr_1_7?keywords=Conair+Infiniti+Pro+Hair+Dyer+1875+WATT&amp;qid=1695170168&amp;sr=8-7", "https://www.amazon.com/INFINITIPRO-CONAIR-Dryer-Innovative-Diffuser/dp/B07VPNXN5J/ref=sr_1_7?keywords=Conair+Infiniti+Pro+Hair+Dyer+1875+WATT&amp;qid=1695170168&amp;sr=8-7")</f>
        <v/>
      </c>
      <c r="F901" t="inlineStr">
        <is>
          <t>B07VPNXN5J</t>
        </is>
      </c>
      <c r="G901">
        <f>_xludf.IMAGE("https://www.shelhealth.com/cdn/shop/products/conair-infiniti-pro-hair-dyer-1875-watt-shelhealth-502.jpg?v=1663343315&amp;width=1946")</f>
        <v/>
      </c>
      <c r="H901">
        <f>_xludf.IMAGE("https://m.media-amazon.com/images/I/61OeR54iAHL._AC_UL320_.jpg")</f>
        <v/>
      </c>
      <c r="K901" t="inlineStr">
        <is>
          <t>36.99</t>
        </is>
      </c>
      <c r="L901" t="n">
        <v>24.95</v>
      </c>
      <c r="M901" s="1" t="inlineStr">
        <is>
          <t>-32.55%</t>
        </is>
      </c>
      <c r="N901" s="3" t="n">
        <v>-32.55</v>
      </c>
      <c r="O901" t="n">
        <v>4.5</v>
      </c>
      <c r="P901" t="n">
        <v>5614</v>
      </c>
      <c r="R901" t="inlineStr">
        <is>
          <t>OutOfStock</t>
        </is>
      </c>
      <c r="S901" t="inlineStr">
        <is>
          <t>36.99</t>
        </is>
      </c>
      <c r="T901" t="inlineStr">
        <is>
          <t>3820082167860</t>
        </is>
      </c>
    </row>
    <row r="902" hidden="1" ht="15.75" customHeight="1">
      <c r="A902" s="2">
        <f>HYPERLINK("https://www.shelhealth.com/products/shea-moisture-100-virgin-coconut-oil-daily-hydration-conditioner-34-fl-oz", "https://www.shelhealth.com/products/shea-moisture-100-virgin-coconut-oil-daily-hydration-conditioner-34-fl-oz")</f>
        <v/>
      </c>
      <c r="B902" s="2">
        <f>HYPERLINK("https://www.shelhealth.com/products/shea-moisture-100-virgin-coconut-oil-daily-hydration-conditioner-34-fl-oz", "https://www.shelhealth.com/products/shea-moisture-100-virgin-coconut-oil-daily-hydration-conditioner-34-fl-oz")</f>
        <v/>
      </c>
      <c r="C902" t="inlineStr">
        <is>
          <t>Shea Moisture 100% Virgin Coconut Oil Daily Hydration Conditioner (34 fl. oz.)</t>
        </is>
      </c>
      <c r="D902" t="inlineStr">
        <is>
          <t>Shea Moisture Shampoo and Conditioner Set, 13 Fl Oz Ea with Leave In Treatment Spray 8 Fl Oz, Daily Hydration 100% Virgin Coconut Oil, Curly Hair Products Bundle, Shea Butter, Coconut Milk</t>
        </is>
      </c>
      <c r="E902" s="2">
        <f>HYPERLINK("https://www.amazon.com/Shea-Moisture-Hydration-Conditioner-Treatment/dp/B07BS38CSB/ref=sr_1_1?keywords=Shea+Moisture+100%25+Virgin+Coconut+Oil+Daily+Hydration+Conditioner+%2834+fl.+oz.%29&amp;qid=1695170170&amp;sr=8-1", "https://www.amazon.com/Shea-Moisture-Hydration-Conditioner-Treatment/dp/B07BS38CSB/ref=sr_1_1?keywords=Shea+Moisture+100%25+Virgin+Coconut+Oil+Daily+Hydration+Conditioner+%2834+fl.+oz.%29&amp;qid=1695170170&amp;sr=8-1")</f>
        <v/>
      </c>
      <c r="F902" t="inlineStr">
        <is>
          <t>B07BS38CSB</t>
        </is>
      </c>
      <c r="G902">
        <f>_xludf.IMAGE("https://www.shelhealth.com/cdn/shop/products/shea-moisture-100-virgin-coconut-oil-daily-hydration-conditioner-34-fl-oz-shampoo-shelhealth-440.jpg?v=1675324944&amp;width=1946")</f>
        <v/>
      </c>
      <c r="H902">
        <f>_xludf.IMAGE("https://m.media-amazon.com/images/I/71Hz8pJQW7L._AC_UL320_.jpg")</f>
        <v/>
      </c>
      <c r="K902" t="inlineStr">
        <is>
          <t>29.67</t>
        </is>
      </c>
      <c r="L902" t="n">
        <v>19.99</v>
      </c>
      <c r="M902" s="1" t="inlineStr">
        <is>
          <t>-32.63%</t>
        </is>
      </c>
      <c r="N902" s="3" t="n">
        <v>-32.63</v>
      </c>
      <c r="O902" t="n">
        <v>4.4</v>
      </c>
      <c r="P902" t="n">
        <v>718</v>
      </c>
      <c r="R902" t="inlineStr">
        <is>
          <t>InStock</t>
        </is>
      </c>
      <c r="S902" t="inlineStr">
        <is>
          <t>29.67</t>
        </is>
      </c>
      <c r="T902" t="inlineStr">
        <is>
          <t>4164054319156</t>
        </is>
      </c>
    </row>
    <row r="903" hidden="1" ht="15.75" customHeight="1">
      <c r="A903" s="2">
        <f>HYPERLINK("https://www.shelhealth.com/products/716237184115-giovanni-cosmetics-2chic-ultra-sleek-shampoo-brazilian-keratin-argan-oil-24-oz", "https://www.shelhealth.com/products/716237184115-giovanni-cosmetics-2chic-ultra-sleek-shampoo-brazilian-keratin-argan-oil-24-oz")</f>
        <v/>
      </c>
      <c r="B903" s="2">
        <f>HYPERLINK("https://www.shelhealth.com/products/716237184115-giovanni-cosmetics-2chic-ultra-sleek-shampoo-brazilian-keratin-argan-oil-24-oz", "https://www.shelhealth.com/products/716237184115-giovanni-cosmetics-2chic-ultra-sleek-shampoo-brazilian-keratin-argan-oil-24-oz")</f>
        <v/>
      </c>
      <c r="C903" t="inlineStr">
        <is>
          <t>Giovanni Cosmetics 2Chic Ultra-Sleek Shampoo Brazilian Keratin &amp; Argan Oil, 24 Oz</t>
        </is>
      </c>
      <c r="D903" t="inlineStr">
        <is>
          <t>GIOVANNI 2chic Ultra-Sleek Conditioner - Brazilian Phyto-Keratin &amp; Moroccan Argan Oil, Anti-Frizz Formula, Coconut, Shea Butter, Pro-Vitamin B5, Color Safe, Paraben Free - 8.5 oz</t>
        </is>
      </c>
      <c r="E903" s="2">
        <f>HYPERLINK("https://www.amazon.com/GIOVANNI-Brazilian-Keratin-Ultra-Sleek-Conditioner/dp/B006TAHLWU/ref=sr_1_7?keywords=Giovanni+Cosmetics+2Chic+Ultra-Sleek+Shampoo+Brazilian+Keratin&amp;qid=1695170184&amp;sr=8-7", "https://www.amazon.com/GIOVANNI-Brazilian-Keratin-Ultra-Sleek-Conditioner/dp/B006TAHLWU/ref=sr_1_7?keywords=Giovanni+Cosmetics+2Chic+Ultra-Sleek+Shampoo+Brazilian+Keratin&amp;qid=1695170184&amp;sr=8-7")</f>
        <v/>
      </c>
      <c r="F903" t="inlineStr">
        <is>
          <t>B006TAHLWU</t>
        </is>
      </c>
      <c r="G903">
        <f>_xludf.IMAGE("https://www.shelhealth.com/cdn/shop/files/giovanni-cosmetics-2chic-ultra-sleek-shampoo-brazilian-keratin-argan-oil-24-oz-beauty-body-care-shelhealth-161.jpg?v=1690659053&amp;width=1946")</f>
        <v/>
      </c>
      <c r="H903">
        <f>_xludf.IMAGE("https://m.media-amazon.com/images/I/61W8yVpCVvL._AC_UL320_.jpg")</f>
        <v/>
      </c>
      <c r="K903" t="inlineStr">
        <is>
          <t>17.99</t>
        </is>
      </c>
      <c r="L903" t="n">
        <v>11.99</v>
      </c>
      <c r="M903" s="1" t="inlineStr">
        <is>
          <t>-33.35%</t>
        </is>
      </c>
      <c r="N903" s="3" t="n">
        <v>-33.35</v>
      </c>
      <c r="O903" t="n">
        <v>4.3</v>
      </c>
      <c r="P903" t="n">
        <v>315</v>
      </c>
      <c r="R903" t="inlineStr">
        <is>
          <t>InStock</t>
        </is>
      </c>
      <c r="S903" t="inlineStr">
        <is>
          <t>17.99</t>
        </is>
      </c>
      <c r="T903" t="inlineStr">
        <is>
          <t>7241658335420</t>
        </is>
      </c>
    </row>
    <row r="904" hidden="1" ht="15.75" customHeight="1">
      <c r="A904" s="2">
        <f>HYPERLINK("https://www.shelhealth.com/products/pantene-butter-creme-hair-treatment-with-argan-oil-6-8-fl-oz", "https://www.shelhealth.com/products/pantene-butter-creme-hair-treatment-with-argan-oil-6-8-fl-oz")</f>
        <v/>
      </c>
      <c r="B904" s="2">
        <f>HYPERLINK("https://www.shelhealth.com/products/pantene-butter-creme-hair-treatment-with-argan-oil-6-8-fl-oz", "https://www.shelhealth.com/products/pantene-butter-creme-hair-treatment-with-argan-oil-6-8-fl-oz")</f>
        <v/>
      </c>
      <c r="C904" t="inlineStr">
        <is>
          <t>Pantene Butter Crème Hair Treatment, with Argan Oil, 6.8 fl oz</t>
        </is>
      </c>
      <c r="D904" t="inlineStr">
        <is>
          <t>Gold Series, Butter Crème Hair Treatment, Sulfate Free, with Argan Oil, Intense Hydrating, from Pantene Pro-V, for Natural and Curly Textured Hair, 6.8 fl oz</t>
        </is>
      </c>
      <c r="E904" s="2">
        <f>HYPERLINK("https://www.amazon.com/Pantene-Pro-V-Hydrating-Butter-Cr%C3%A8me-Treatment/dp/B06X9JGB5W/ref=sr_1_1?keywords=Pantene+Butter+Cr%C3%A8me+Hair+Treatment%2C+with+Argan+Oil%2C+6.8+fl+oz&amp;qid=1695170268&amp;sr=8-1", "https://www.amazon.com/Pantene-Pro-V-Hydrating-Butter-Cr%C3%A8me-Treatment/dp/B06X9JGB5W/ref=sr_1_1?keywords=Pantene+Butter+Cr%C3%A8me+Hair+Treatment%2C+with+Argan+Oil%2C+6.8+fl+oz&amp;qid=1695170268&amp;sr=8-1")</f>
        <v/>
      </c>
      <c r="F904" t="inlineStr">
        <is>
          <t>B06X9JGB5W</t>
        </is>
      </c>
      <c r="G904">
        <f>_xludf.IMAGE("https://www.shelhealth.com/cdn/shop/products/pantene-butter-creme-hair-treatment-with-argan-oil-6-8-fl-oz-shelhealth-209.jpg?v=1663350070&amp;width=1946")</f>
        <v/>
      </c>
      <c r="H904">
        <f>_xludf.IMAGE("https://m.media-amazon.com/images/I/61xuwtF54pL._AC_UL320_.jpg")</f>
        <v/>
      </c>
      <c r="K904" t="inlineStr">
        <is>
          <t>11.99</t>
        </is>
      </c>
      <c r="L904" t="n">
        <v>7.99</v>
      </c>
      <c r="M904" s="1" t="inlineStr">
        <is>
          <t>-33.36%</t>
        </is>
      </c>
      <c r="N904" s="3" t="n">
        <v>-33.36</v>
      </c>
      <c r="O904" t="n">
        <v>4.6</v>
      </c>
      <c r="P904" t="n">
        <v>3784</v>
      </c>
      <c r="R904" t="inlineStr">
        <is>
          <t>InStock</t>
        </is>
      </c>
      <c r="S904" t="inlineStr">
        <is>
          <t>11.99</t>
        </is>
      </c>
      <c r="T904" t="inlineStr">
        <is>
          <t>4045859815476</t>
        </is>
      </c>
    </row>
    <row r="905" hidden="1" ht="15.75" customHeight="1">
      <c r="A905" s="2">
        <f>HYPERLINK("https://www.shelhealth.com/products/alba-botanica-more-moisture-shampoo-conditioner-coconut-milk-2-ct", "https://www.shelhealth.com/products/alba-botanica-more-moisture-shampoo-conditioner-coconut-milk-2-ct")</f>
        <v/>
      </c>
      <c r="B905" s="2">
        <f>HYPERLINK("https://www.shelhealth.com/products/alba-botanica-more-moisture-shampoo-conditioner-coconut-milk-2-ct", "https://www.shelhealth.com/products/alba-botanica-more-moisture-shampoo-conditioner-coconut-milk-2-ct")</f>
        <v/>
      </c>
      <c r="C905" t="inlineStr">
        <is>
          <t>Alba Botanica More Moisture Shampoo &amp; Conditioner Coconut Milk, 2 ct.</t>
        </is>
      </c>
      <c r="D905" t="inlineStr">
        <is>
          <t>Alba Botanica More Moisture Conditioner, Coconut Milk, 32 Oz</t>
        </is>
      </c>
      <c r="E905" s="2">
        <f>HYPERLINK("https://www.amazon.com/Alba-Botanica-Coconut-Hawaiian-Conditioner/dp/B01LZBKSP6/ref=sr_1_3?keywords=Alba+Botanica+More+Moisture+Shampoo&amp;qid=1695170237&amp;sr=8-3", "https://www.amazon.com/Alba-Botanica-Coconut-Hawaiian-Conditioner/dp/B01LZBKSP6/ref=sr_1_3?keywords=Alba+Botanica+More+Moisture+Shampoo&amp;qid=1695170237&amp;sr=8-3")</f>
        <v/>
      </c>
      <c r="F905" t="inlineStr">
        <is>
          <t>B01LZBKSP6</t>
        </is>
      </c>
      <c r="G905">
        <f>_xludf.IMAGE("https://www.shelhealth.com/cdn/shop/products/alba-botanica-more-moisture-shampoo-conditioner-coconut-milk-2-ct-shelhealth-132.jpg?v=1663659436&amp;width=1946")</f>
        <v/>
      </c>
      <c r="H905">
        <f>_xludf.IMAGE("https://m.media-amazon.com/images/I/51m7brh-DNS._AC_UL320_.jpg")</f>
        <v/>
      </c>
      <c r="K905" t="inlineStr">
        <is>
          <t>21.99</t>
        </is>
      </c>
      <c r="L905" t="n">
        <v>14.49</v>
      </c>
      <c r="M905" s="1" t="inlineStr">
        <is>
          <t>-34.11%</t>
        </is>
      </c>
      <c r="N905" s="3" t="n">
        <v>-34.11</v>
      </c>
      <c r="O905" t="n">
        <v>4.6</v>
      </c>
      <c r="P905" t="n">
        <v>4196</v>
      </c>
      <c r="R905" t="inlineStr">
        <is>
          <t>InStock</t>
        </is>
      </c>
      <c r="S905" t="inlineStr">
        <is>
          <t>21.99</t>
        </is>
      </c>
      <c r="T905" t="inlineStr">
        <is>
          <t>7196354379964</t>
        </is>
      </c>
    </row>
    <row r="906" hidden="1" ht="15.75" customHeight="1">
      <c r="A906" s="2">
        <f>HYPERLINK("https://www.shelhealth.com/products/alba-botanica-more-moisture-shampoo-conditioner-coconut-milk-2-ct", "https://www.shelhealth.com/products/alba-botanica-more-moisture-shampoo-conditioner-coconut-milk-2-ct")</f>
        <v/>
      </c>
      <c r="B906" s="2">
        <f>HYPERLINK("https://www.shelhealth.com/products/alba-botanica-more-moisture-shampoo-conditioner-coconut-milk-2-ct", "https://www.shelhealth.com/products/alba-botanica-more-moisture-shampoo-conditioner-coconut-milk-2-ct")</f>
        <v/>
      </c>
      <c r="C906" t="inlineStr">
        <is>
          <t>Alba Botanica More Moisture Shampoo &amp; Conditioner Coconut Milk, 2 ct.</t>
        </is>
      </c>
      <c r="D906" t="inlineStr">
        <is>
          <t>Alba Botanica More Moisture Shampoo, Coconut Milk, 32 Oz</t>
        </is>
      </c>
      <c r="E906" s="2">
        <f>HYPERLINK("https://www.amazon.com/Alba-Botanica-Coconut-Hawaiian-Shampoo/dp/B01LY0T8IN/ref=sr_1_1?keywords=Alba+Botanica+More+Moisture+Shampoo&amp;qid=1695170237&amp;sr=8-1", "https://www.amazon.com/Alba-Botanica-Coconut-Hawaiian-Shampoo/dp/B01LY0T8IN/ref=sr_1_1?keywords=Alba+Botanica+More+Moisture+Shampoo&amp;qid=1695170237&amp;sr=8-1")</f>
        <v/>
      </c>
      <c r="F906" t="inlineStr">
        <is>
          <t>B01LY0T8IN</t>
        </is>
      </c>
      <c r="G906">
        <f>_xludf.IMAGE("https://www.shelhealth.com/cdn/shop/products/alba-botanica-more-moisture-shampoo-conditioner-coconut-milk-2-ct-shelhealth-132.jpg?v=1663659436&amp;width=1946")</f>
        <v/>
      </c>
      <c r="H906">
        <f>_xludf.IMAGE("https://m.media-amazon.com/images/I/51vRfXYwmqS._AC_UL320_.jpg")</f>
        <v/>
      </c>
      <c r="K906" t="inlineStr">
        <is>
          <t>21.99</t>
        </is>
      </c>
      <c r="L906" t="n">
        <v>14.49</v>
      </c>
      <c r="M906" s="1" t="inlineStr">
        <is>
          <t>-34.11%</t>
        </is>
      </c>
      <c r="N906" s="3" t="n">
        <v>-34.11</v>
      </c>
      <c r="O906" t="n">
        <v>4.6</v>
      </c>
      <c r="P906" t="n">
        <v>2815</v>
      </c>
      <c r="R906" t="inlineStr">
        <is>
          <t>InStock</t>
        </is>
      </c>
      <c r="S906" t="inlineStr">
        <is>
          <t>21.99</t>
        </is>
      </c>
      <c r="T906" t="inlineStr">
        <is>
          <t>7196354379964</t>
        </is>
      </c>
    </row>
    <row r="907" hidden="1" ht="15.75" customHeight="1">
      <c r="A907" s="2">
        <f>HYPERLINK("https://www.shelhealth.com/products/pantene-pro-v-gold-series-leave-on-detangling-milk-treatment-7-6-fl-oz", "https://www.shelhealth.com/products/pantene-pro-v-gold-series-leave-on-detangling-milk-treatment-7-6-fl-oz")</f>
        <v/>
      </c>
      <c r="B907" s="2">
        <f>HYPERLINK("https://www.shelhealth.com/products/pantene-pro-v-gold-series-leave-on-detangling-milk-treatment-7-6-fl-oz", "https://www.shelhealth.com/products/pantene-pro-v-gold-series-leave-on-detangling-milk-treatment-7-6-fl-oz")</f>
        <v/>
      </c>
      <c r="C907" t="inlineStr">
        <is>
          <t>Pantene Pro-V Gold Series Leave-On Detangling Milk Treatment, 7.6 fl. oz.</t>
        </is>
      </c>
      <c r="D907" t="inlineStr">
        <is>
          <t>Pantene Gold Series Detangling Milk Hair Treatment for Curly Hair, Natural and Textured Hair, 7.6 Fl Oz Leave-On Hair Detangler Infused with Rich Argan Oil, Dye and Sulfate Free Formula</t>
        </is>
      </c>
      <c r="E907" s="2">
        <f>HYPERLINK("https://www.amazon.com/Pantene-Sulfate-Defining-Pudding-Textured/dp/B01MQERD2H/ref=sr_1_1?keywords=Pantene+Pro-V+Gold+Series+Leave-On+Detangling+Milk+Treatment%2C+7.6+fl.+oz.&amp;qid=1695170171&amp;sr=8-1", "https://www.amazon.com/Pantene-Sulfate-Defining-Pudding-Textured/dp/B01MQERD2H/ref=sr_1_1?keywords=Pantene+Pro-V+Gold+Series+Leave-On+Detangling+Milk+Treatment%2C+7.6+fl.+oz.&amp;qid=1695170171&amp;sr=8-1")</f>
        <v/>
      </c>
      <c r="F907" t="inlineStr">
        <is>
          <t>B01MQERD2H</t>
        </is>
      </c>
      <c r="G907">
        <f>_xludf.IMAGE("https://www.shelhealth.com/cdn/shop/products/pantene-pro-v-gold-series-leave-on-detangling-milk-treatment-7-6-fl-oz-shelhealth-736.jpg?v=1663355858&amp;width=1946")</f>
        <v/>
      </c>
      <c r="H907">
        <f>_xludf.IMAGE("https://m.media-amazon.com/images/I/51JPA48JBKL._AC_UL320_.jpg")</f>
        <v/>
      </c>
      <c r="K907" t="inlineStr">
        <is>
          <t>11.99</t>
        </is>
      </c>
      <c r="L907" t="n">
        <v>7.88</v>
      </c>
      <c r="M907" s="1" t="inlineStr">
        <is>
          <t>-34.28%</t>
        </is>
      </c>
      <c r="N907" s="3" t="n">
        <v>-34.28</v>
      </c>
      <c r="O907" t="n">
        <v>4.6</v>
      </c>
      <c r="P907" t="n">
        <v>5934</v>
      </c>
      <c r="R907" t="inlineStr">
        <is>
          <t>InStock</t>
        </is>
      </c>
      <c r="S907" t="inlineStr">
        <is>
          <t>11.99</t>
        </is>
      </c>
      <c r="T907" t="inlineStr">
        <is>
          <t>4172500402228</t>
        </is>
      </c>
    </row>
    <row r="908" hidden="1" ht="15.75" customHeight="1">
      <c r="A908" s="2">
        <f>HYPERLINK("https://www.shelhealth.com/products/716237185990-giovanni-cosmetics-smooth-as-silk-deep-moisture-shampoo-24-oz", "https://www.shelhealth.com/products/716237185990-giovanni-cosmetics-smooth-as-silk-deep-moisture-shampoo-24-oz")</f>
        <v/>
      </c>
      <c r="B908" s="2">
        <f>HYPERLINK("https://www.shelhealth.com/products/716237185990-giovanni-cosmetics-smooth-as-silk-deep-moisture-shampoo-24-oz", "https://www.shelhealth.com/products/716237185990-giovanni-cosmetics-smooth-as-silk-deep-moisture-shampoo-24-oz")</f>
        <v/>
      </c>
      <c r="C908" t="inlineStr">
        <is>
          <t>Giovanni Cosmetics Smooth As Silk Deep Moisture Shampoo, 24 Oz</t>
        </is>
      </c>
      <c r="D908" t="inlineStr">
        <is>
          <t>GIOVANNI Eco Chic Smooth as Silk Deep Moisture Shampoo, 8.5 oz. - Apple + Aloe Extracts, Calms Frizz, Detangles, Wash &amp; Go, Lauryl &amp; Laureth Sulfate Free, Paraben Free, Color Safe</t>
        </is>
      </c>
      <c r="E908" s="2">
        <f>HYPERLINK("https://www.amazon.com/Giovanni-Smooth-Shampoo-Packaging-ounce/dp/B00066D1EU/ref=sr_1_3?keywords=Giovanni+Cosmetics+Smooth+As+Silk+Deep+Moisture+Shampoo%2C+24+Oz&amp;qid=1695170188&amp;sr=8-3", "https://www.amazon.com/Giovanni-Smooth-Shampoo-Packaging-ounce/dp/B00066D1EU/ref=sr_1_3?keywords=Giovanni+Cosmetics+Smooth+As+Silk+Deep+Moisture+Shampoo%2C+24+Oz&amp;qid=1695170188&amp;sr=8-3")</f>
        <v/>
      </c>
      <c r="F908" t="inlineStr">
        <is>
          <t>B00066D1EU</t>
        </is>
      </c>
      <c r="G908">
        <f>_xludf.IMAGE("https://www.shelhealth.com/cdn/shop/files/giovanni-cosmetics-smooth-as-silk-deep-moisture-shampoo-24-oz-beauty-body-care-shelhealth-965.jpg?v=1686142680&amp;width=1946")</f>
        <v/>
      </c>
      <c r="H908">
        <f>_xludf.IMAGE("https://m.media-amazon.com/images/I/61wqxmVbjxL._AC_UL320_.jpg")</f>
        <v/>
      </c>
      <c r="K908" t="inlineStr">
        <is>
          <t>18.99</t>
        </is>
      </c>
      <c r="L908" t="n">
        <v>12.44</v>
      </c>
      <c r="M908" s="1" t="inlineStr">
        <is>
          <t>-34.49%</t>
        </is>
      </c>
      <c r="N908" s="3" t="n">
        <v>-34.49</v>
      </c>
      <c r="O908" t="n">
        <v>4.3</v>
      </c>
      <c r="P908" t="n">
        <v>19</v>
      </c>
      <c r="R908" t="inlineStr">
        <is>
          <t>OutOfStock</t>
        </is>
      </c>
      <c r="S908" t="inlineStr">
        <is>
          <t>18.99</t>
        </is>
      </c>
      <c r="T908" t="inlineStr">
        <is>
          <t>7241661350076</t>
        </is>
      </c>
    </row>
    <row r="909" hidden="1" ht="15.75" customHeight="1">
      <c r="A909" s="2">
        <f>HYPERLINK("https://www.shelhealth.com/products/716237183613-giovanni-cosmetics-ultra-sleek-leave-in-conditioner-brazilian-keratin-argan-oil-4-oz", "https://www.shelhealth.com/products/716237183613-giovanni-cosmetics-ultra-sleek-leave-in-conditioner-brazilian-keratin-argan-oil-4-oz")</f>
        <v/>
      </c>
      <c r="B909" s="2">
        <f>HYPERLINK("https://www.shelhealth.com/products/716237183613-giovanni-cosmetics-ultra-sleek-leave-in-conditioner-brazilian-keratin-argan-oil-4-oz", "https://www.shelhealth.com/products/716237183613-giovanni-cosmetics-ultra-sleek-leave-in-conditioner-brazilian-keratin-argan-oil-4-oz")</f>
        <v/>
      </c>
      <c r="C909" t="inlineStr">
        <is>
          <t>Giovanni Cosmetics Ultra-Sleek Leave-In Conditioner Brazilian Keratin &amp; Argan Oil, 4 Oz (Case of 3)</t>
        </is>
      </c>
      <c r="D909" t="inlineStr">
        <is>
          <t>GIOVANNI 2chic Ultra-Sleek Conditioner - Brazilian Phyto-Keratin &amp; Moroccan Argan Oil, Anti-Frizz Formula, Coconut, Shea Butter, Pro-Vitamin B5, Color Safe, Paraben Free - 24 oz</t>
        </is>
      </c>
      <c r="E909" s="2">
        <f>HYPERLINK("https://www.amazon.com/GIOVANNI-Brazilian-Keratin-Ultra-Sleek-Conditioner/dp/B009V0Z4HY/ref=sr_1_4?keywords=Giovanni+Cosmetics+Ultra-Sleek+Leave-In+Conditioner+Brazilian+Keratin&amp;qid=1695170224&amp;sr=8-4", "https://www.amazon.com/GIOVANNI-Brazilian-Keratin-Ultra-Sleek-Conditioner/dp/B009V0Z4HY/ref=sr_1_4?keywords=Giovanni+Cosmetics+Ultra-Sleek+Leave-In+Conditioner+Brazilian+Keratin&amp;qid=1695170224&amp;sr=8-4")</f>
        <v/>
      </c>
      <c r="F909" t="inlineStr">
        <is>
          <t>B009V0Z4HY</t>
        </is>
      </c>
      <c r="G909">
        <f>_xludf.IMAGE("https://www.shelhealth.com/cdn/shop/files/giovanni-cosmetics-ultra-sleek-leave-in-conditioner-brazilian-keratin-argan-oil-4-oz-case-of-3-beauty-body-care-shelhealth-623.jpg?v=1686527432&amp;width=1946")</f>
        <v/>
      </c>
      <c r="H909">
        <f>_xludf.IMAGE("https://m.media-amazon.com/images/I/61jlOLSjPyL._AC_UL320_.jpg")</f>
        <v/>
      </c>
      <c r="K909" t="inlineStr">
        <is>
          <t>26.99</t>
        </is>
      </c>
      <c r="L909" t="n">
        <v>17.58</v>
      </c>
      <c r="M909" s="1" t="inlineStr">
        <is>
          <t>-34.86%</t>
        </is>
      </c>
      <c r="N909" s="3" t="n">
        <v>-34.86</v>
      </c>
      <c r="O909" t="n">
        <v>4.4</v>
      </c>
      <c r="P909" t="n">
        <v>657</v>
      </c>
      <c r="R909" t="inlineStr">
        <is>
          <t>InStock</t>
        </is>
      </c>
      <c r="S909" t="inlineStr">
        <is>
          <t>26.99</t>
        </is>
      </c>
      <c r="T909" t="inlineStr">
        <is>
          <t>7241662136508</t>
        </is>
      </c>
    </row>
    <row r="910" hidden="1" ht="15.75" customHeight="1">
      <c r="A910" s="2">
        <f>HYPERLINK("https://www.shelhealth.com/products/718334337128-desert-essence-organics-conditioner-fragrance-free-8-oz", "https://www.shelhealth.com/products/718334337128-desert-essence-organics-conditioner-fragrance-free-8-oz")</f>
        <v/>
      </c>
      <c r="B910" s="2">
        <f>HYPERLINK("https://www.shelhealth.com/products/718334337128-desert-essence-organics-conditioner-fragrance-free-8-oz", "https://www.shelhealth.com/products/718334337128-desert-essence-organics-conditioner-fragrance-free-8-oz")</f>
        <v/>
      </c>
      <c r="C910" t="inlineStr">
        <is>
          <t>Desert Essence Organics Conditioner Fragrance Free, 8 Oz (Case of 3)</t>
        </is>
      </c>
      <c r="D910" t="inlineStr">
        <is>
          <t>Desert Essence Fragrance Free Conditioner, 8.0 fl. oz - Pack of 2 - Gluten Free, Vegan, Paraben Free - Daily Use Pure and Gentle Conditioner with Jojoba Oil, Sunflower Oil and Organic Green Tea</t>
        </is>
      </c>
      <c r="E910" s="2">
        <f>HYPERLINK("https://www.amazon.com/Fragrance-Free-Conditioner-Fl-Pack/dp/B002LM3VHY/ref=sr_1_6?keywords=Desert+Essence+Organics+Conditioner+Fragrance+Free%2C+8+Oz+%28Case+of+3%29&amp;qid=1695170214&amp;sr=8-6", "https://www.amazon.com/Fragrance-Free-Conditioner-Fl-Pack/dp/B002LM3VHY/ref=sr_1_6?keywords=Desert+Essence+Organics+Conditioner+Fragrance+Free%2C+8+Oz+%28Case+of+3%29&amp;qid=1695170214&amp;sr=8-6")</f>
        <v/>
      </c>
      <c r="F910" t="inlineStr">
        <is>
          <t>B002LM3VHY</t>
        </is>
      </c>
      <c r="G910">
        <f>_xludf.IMAGE("https://www.shelhealth.com/cdn/shop/files/desert-essence-organics-conditioner-fragrance-free-8-oz-case-of-3-beauty-body-care-shelhealth-713.jpg?v=1686485062&amp;width=1946")</f>
        <v/>
      </c>
      <c r="H910">
        <f>_xludf.IMAGE("https://m.media-amazon.com/images/I/71TM1aEArGL._AC_UL320_.jpg")</f>
        <v/>
      </c>
      <c r="K910" t="inlineStr">
        <is>
          <t>26.99</t>
        </is>
      </c>
      <c r="L910" t="n">
        <v>17.45</v>
      </c>
      <c r="M910" s="1" t="inlineStr">
        <is>
          <t>-35.35%</t>
        </is>
      </c>
      <c r="N910" s="3" t="n">
        <v>-35.35</v>
      </c>
      <c r="O910" t="n">
        <v>4.7</v>
      </c>
      <c r="P910" t="n">
        <v>333</v>
      </c>
      <c r="R910" t="inlineStr">
        <is>
          <t>InStock</t>
        </is>
      </c>
      <c r="S910" t="inlineStr">
        <is>
          <t>26.99</t>
        </is>
      </c>
      <c r="T910" t="inlineStr">
        <is>
          <t>7241585918140</t>
        </is>
      </c>
    </row>
    <row r="911" hidden="1" ht="15.75" customHeight="1">
      <c r="A911" s="2">
        <f>HYPERLINK("https://www.shelhealth.com/products/alba-botanica-drink-it-up-coconut-milk-hawaiian-conditioner-34-oz", "https://www.shelhealth.com/products/alba-botanica-drink-it-up-coconut-milk-hawaiian-conditioner-34-oz")</f>
        <v/>
      </c>
      <c r="B911" s="2">
        <f>HYPERLINK("https://www.shelhealth.com/products/alba-botanica-drink-it-up-coconut-milk-hawaiian-conditioner-34-oz", "https://www.shelhealth.com/products/alba-botanica-drink-it-up-coconut-milk-hawaiian-conditioner-34-oz")</f>
        <v/>
      </c>
      <c r="C911" t="inlineStr">
        <is>
          <t>Alba Botanica Drink It Up Coconut Milk Hawaiian Conditioner, 34 oz.</t>
        </is>
      </c>
      <c r="D911" t="inlineStr">
        <is>
          <t>Alba Botanica, Natural Hawaiian Conditioner, Drink It up Coconut Milk, 12 oz (340 g)</t>
        </is>
      </c>
      <c r="E911" s="2">
        <f>HYPERLINK("https://www.amazon.com/Botanica-Natural-Hawaiian-Conditioner-Coconut/dp/B00VRWR67U/ref=sr_1_3?keywords=Alba+Botanica+Drink+It+Up+Coconut+Milk+Hawaiian+Conditioner%2C+34+oz.&amp;qid=1695170239&amp;sr=8-3", "https://www.amazon.com/Botanica-Natural-Hawaiian-Conditioner-Coconut/dp/B00VRWR67U/ref=sr_1_3?keywords=Alba+Botanica+Drink+It+Up+Coconut+Milk+Hawaiian+Conditioner%2C+34+oz.&amp;qid=1695170239&amp;sr=8-3")</f>
        <v/>
      </c>
      <c r="F911" t="inlineStr">
        <is>
          <t>B00VRWR67U</t>
        </is>
      </c>
      <c r="G911">
        <f>_xludf.IMAGE("https://www.shelhealth.com/cdn/shop/products/alba-botanica-drink-it-up-coconut-milk-hawaiian-conditioner-34-oz-shelhealth-953.jpg?v=1663362279&amp;width=1946")</f>
        <v/>
      </c>
      <c r="H911">
        <f>_xludf.IMAGE("https://m.media-amazon.com/images/I/51YGnnN1UcL._AC_UL320_.jpg")</f>
        <v/>
      </c>
      <c r="K911" t="inlineStr">
        <is>
          <t>21.99</t>
        </is>
      </c>
      <c r="L911" t="n">
        <v>14.18</v>
      </c>
      <c r="M911" s="1" t="inlineStr">
        <is>
          <t>-35.52%</t>
        </is>
      </c>
      <c r="N911" s="3" t="n">
        <v>-35.52</v>
      </c>
      <c r="O911" t="n">
        <v>3.3</v>
      </c>
      <c r="P911" t="n">
        <v>4</v>
      </c>
      <c r="R911" t="inlineStr">
        <is>
          <t>InStock</t>
        </is>
      </c>
      <c r="S911" t="inlineStr">
        <is>
          <t>21.99</t>
        </is>
      </c>
      <c r="T911" t="inlineStr">
        <is>
          <t>4440158339161</t>
        </is>
      </c>
    </row>
    <row r="912" hidden="1" ht="15.75" customHeight="1">
      <c r="A912" s="2">
        <f>HYPERLINK("https://www.shelhealth.com/products/654749361290-avalon-organics-conditioner-tea-tree-32-oz", "https://www.shelhealth.com/products/654749361290-avalon-organics-conditioner-tea-tree-32-oz")</f>
        <v/>
      </c>
      <c r="B912" s="2">
        <f>HYPERLINK("https://www.shelhealth.com/products/654749361290-avalon-organics-conditioner-tea-tree-32-oz", "https://www.shelhealth.com/products/654749361290-avalon-organics-conditioner-tea-tree-32-oz")</f>
        <v/>
      </c>
      <c r="C912" t="inlineStr">
        <is>
          <t>Avalon Organics Conditioner Tea Tree, 32 Oz</t>
        </is>
      </c>
      <c r="D912" t="inlineStr">
        <is>
          <t>Avalon Organics Conditioner, Nourishing Lavender, 32 Oz</t>
        </is>
      </c>
      <c r="E912" s="2">
        <f>HYPERLINK("https://www.amazon.com/Avalon-Organics-Nourishing-Lavender-Conditioner/dp/B00BLH6D7A/ref=sr_1_8?keywords=Avalon+Organics+Conditioner+Tea+Tree%2C+32+Oz&amp;qid=1695170213&amp;sr=8-8", "https://www.amazon.com/Avalon-Organics-Nourishing-Lavender-Conditioner/dp/B00BLH6D7A/ref=sr_1_8?keywords=Avalon+Organics+Conditioner+Tea+Tree%2C+32+Oz&amp;qid=1695170213&amp;sr=8-8")</f>
        <v/>
      </c>
      <c r="F912" t="inlineStr">
        <is>
          <t>B00BLH6D7A</t>
        </is>
      </c>
      <c r="G912">
        <f>_xludf.IMAGE("https://www.shelhealth.com/cdn/shop/files/avalon-organics-conditioner-tea-tree-32-oz-beauty-body-care-shelhealth-540.jpg?v=1686522279&amp;width=1946")</f>
        <v/>
      </c>
      <c r="H912">
        <f>_xludf.IMAGE("https://m.media-amazon.com/images/I/617A5fGMYkL._AC_UL320_.jpg")</f>
        <v/>
      </c>
      <c r="K912" t="inlineStr">
        <is>
          <t>18.99</t>
        </is>
      </c>
      <c r="L912" t="n">
        <v>12.18</v>
      </c>
      <c r="M912" s="1" t="inlineStr">
        <is>
          <t>-35.86%</t>
        </is>
      </c>
      <c r="N912" s="3" t="n">
        <v>-35.86</v>
      </c>
      <c r="O912" t="n">
        <v>4</v>
      </c>
      <c r="P912" t="n">
        <v>2245</v>
      </c>
      <c r="R912" t="inlineStr">
        <is>
          <t>InStock</t>
        </is>
      </c>
      <c r="S912" t="inlineStr">
        <is>
          <t>18.99</t>
        </is>
      </c>
      <c r="T912" t="inlineStr">
        <is>
          <t>7241470476476</t>
        </is>
      </c>
    </row>
    <row r="913" hidden="1" ht="15.75" customHeight="1">
      <c r="A913" s="2">
        <f>HYPERLINK("https://www.shelhealth.com/products/813424021595-acure-detox-defy-color-wellness-shampoo-8-fo", "https://www.shelhealth.com/products/813424021595-acure-detox-defy-color-wellness-shampoo-8-fo")</f>
        <v/>
      </c>
      <c r="B913" s="2">
        <f>HYPERLINK("https://www.shelhealth.com/products/813424021595-acure-detox-defy-color-wellness-shampoo-8-fo", "https://www.shelhealth.com/products/813424021595-acure-detox-defy-color-wellness-shampoo-8-fo")</f>
        <v/>
      </c>
      <c r="C913" t="inlineStr">
        <is>
          <t>Acure Detox Defy Color Wellness Shampoo, 8 Fo (Case of 2)</t>
        </is>
      </c>
      <c r="D913" t="inlineStr">
        <is>
          <t>Acure Detox-Defy Color Wellness Shampoo, 100% Vegan, Activated Charcoal &amp; Sunflower Seed Extract - Protects Hair From Environmental Stress &amp; Prevents Color Fade, For Dark Hair, 8 Fl Oz</t>
        </is>
      </c>
      <c r="E913" s="2">
        <f>HYPERLINK("https://www.amazon.com/Acure-Shampoo-Detox-Defy-Activated-Charcoal/dp/B07PX3MQVM/ref=sr_1_1?keywords=Acure+Detox+Defy+Color+Wellness+Shampoo%2C+8+Fo+%28Case+of+2%29&amp;qid=1695170175&amp;sr=8-1", "https://www.amazon.com/Acure-Shampoo-Detox-Defy-Activated-Charcoal/dp/B07PX3MQVM/ref=sr_1_1?keywords=Acure+Detox+Defy+Color+Wellness+Shampoo%2C+8+Fo+%28Case+of+2%29&amp;qid=1695170175&amp;sr=8-1")</f>
        <v/>
      </c>
      <c r="F913" t="inlineStr">
        <is>
          <t>B07PX3MQVM</t>
        </is>
      </c>
      <c r="G913">
        <f>_xludf.IMAGE("https://www.shelhealth.com/cdn/shop/files/acure-detox-defy-color-wellness-shampoo-8-fo-case-of-2-beauty-body-care-shelhealth-559.jpg?v=1686191326&amp;width=1946")</f>
        <v/>
      </c>
      <c r="H913">
        <f>_xludf.IMAGE("https://m.media-amazon.com/images/I/51dxOvObl5L._AC_UL320_.jpg")</f>
        <v/>
      </c>
      <c r="K913" t="inlineStr">
        <is>
          <t>21.99</t>
        </is>
      </c>
      <c r="L913" t="n">
        <v>14</v>
      </c>
      <c r="M913" s="1" t="inlineStr">
        <is>
          <t>-36.33%</t>
        </is>
      </c>
      <c r="N913" s="3" t="n">
        <v>-36.33</v>
      </c>
      <c r="O913" t="n">
        <v>4</v>
      </c>
      <c r="P913" t="n">
        <v>88</v>
      </c>
      <c r="R913" t="inlineStr">
        <is>
          <t>OutOfStock</t>
        </is>
      </c>
      <c r="S913" t="inlineStr">
        <is>
          <t>21.99</t>
        </is>
      </c>
      <c r="T913" t="inlineStr">
        <is>
          <t>7241421914300</t>
        </is>
      </c>
    </row>
    <row r="914" hidden="1" ht="15.75" customHeight="1">
      <c r="A914" s="2">
        <f>HYPERLINK("https://www.shelhealth.com/products/alterna-caviar-anti-aging-moisture-shampoo-and-conditioner-duo-8-5-ounce", "https://www.shelhealth.com/products/alterna-caviar-anti-aging-moisture-shampoo-and-conditioner-duo-8-5-ounce")</f>
        <v/>
      </c>
      <c r="B914" s="2">
        <f>HYPERLINK("https://www.shelhealth.com/products/alterna-caviar-anti-aging-moisture-shampoo-and-conditioner-duo-8-5-ounce", "https://www.shelhealth.com/products/alterna-caviar-anti-aging-moisture-shampoo-and-conditioner-duo-8-5-ounce")</f>
        <v/>
      </c>
      <c r="C914" t="inlineStr">
        <is>
          <t>Alterna Caviar Anti-Aging Moisture Shampoo and Conditioner Duo 8.5 Ounce</t>
        </is>
      </c>
      <c r="D914" t="inlineStr">
        <is>
          <t>Alterna Caviar Anti-Aging Replenishing Moisture Shampoo and Conditioner Set, For Dry, Brittle Hair, Protects, Restores and Hydrates, Sulfate Free</t>
        </is>
      </c>
      <c r="E914" s="2">
        <f>HYPERLINK("https://www.amazon.com/Alterna-Anti-Aging-Replenishing-Conditioner-1-35-Ounce/dp/B08KV5H1C6/ref=sr_1_10?keywords=Alterna+Caviar+Anti-Aging+Moisture+Shampoo+and+Conditioner+Duo+8.5+Ounce&amp;qid=1695170244&amp;sr=8-10", "https://www.amazon.com/Alterna-Anti-Aging-Replenishing-Conditioner-1-35-Ounce/dp/B08KV5H1C6/ref=sr_1_10?keywords=Alterna+Caviar+Anti-Aging+Moisture+Shampoo+and+Conditioner+Duo+8.5+Ounce&amp;qid=1695170244&amp;sr=8-10")</f>
        <v/>
      </c>
      <c r="F914" t="inlineStr">
        <is>
          <t>B08KV5H1C6</t>
        </is>
      </c>
      <c r="G914">
        <f>_xludf.IMAGE("https://www.shelhealth.com/cdn/shop/products/alterna-caviar-anti-aging-moisture-shampoo-and-conditioner-duo-8-5-ounce-shelhealth-787.jpg?v=1663351409&amp;width=1946")</f>
        <v/>
      </c>
      <c r="H914">
        <f>_xludf.IMAGE("https://m.media-amazon.com/images/I/61W+INvQhDL._AC_UL320_.jpg")</f>
        <v/>
      </c>
      <c r="K914" t="inlineStr">
        <is>
          <t>32.99</t>
        </is>
      </c>
      <c r="L914" t="n">
        <v>20.99</v>
      </c>
      <c r="M914" s="1" t="inlineStr">
        <is>
          <t>-36.37%</t>
        </is>
      </c>
      <c r="N914" s="3" t="n">
        <v>-36.37</v>
      </c>
      <c r="O914" t="n">
        <v>4</v>
      </c>
      <c r="P914" t="n">
        <v>52</v>
      </c>
      <c r="R914" t="inlineStr">
        <is>
          <t>OutOfStock</t>
        </is>
      </c>
      <c r="S914" t="inlineStr">
        <is>
          <t>32.99</t>
        </is>
      </c>
      <c r="T914" t="inlineStr">
        <is>
          <t>4101749145652</t>
        </is>
      </c>
    </row>
    <row r="915" hidden="1" ht="15.75" customHeight="1">
      <c r="A915" s="2">
        <f>HYPERLINK("https://www.shelhealth.com/products/716237185990-giovanni-cosmetics-smooth-as-silk-deep-moisture-shampoo-24-oz", "https://www.shelhealth.com/products/716237185990-giovanni-cosmetics-smooth-as-silk-deep-moisture-shampoo-24-oz")</f>
        <v/>
      </c>
      <c r="B915" s="2">
        <f>HYPERLINK("https://www.shelhealth.com/products/716237185990-giovanni-cosmetics-smooth-as-silk-deep-moisture-shampoo-24-oz", "https://www.shelhealth.com/products/716237185990-giovanni-cosmetics-smooth-as-silk-deep-moisture-shampoo-24-oz")</f>
        <v/>
      </c>
      <c r="C915" t="inlineStr">
        <is>
          <t>Giovanni Cosmetics Smooth As Silk Deep Moisture Shampoo, 24 Oz</t>
        </is>
      </c>
      <c r="D915" t="inlineStr">
        <is>
          <t>Giovanni Smooth as Silk Deep Moisture Shampoo - 8.5 oz</t>
        </is>
      </c>
      <c r="E915" s="2">
        <f>HYPERLINK("https://www.amazon.com/Giovanni-Smooth-Silk-Moisture-Shampoo/dp/B0060AIE52/ref=sr_1_9?keywords=Giovanni+Cosmetics+Smooth+As+Silk+Deep+Moisture+Shampoo%2C+24+Oz&amp;qid=1695170188&amp;sr=8-9", "https://www.amazon.com/Giovanni-Smooth-Silk-Moisture-Shampoo/dp/B0060AIE52/ref=sr_1_9?keywords=Giovanni+Cosmetics+Smooth+As+Silk+Deep+Moisture+Shampoo%2C+24+Oz&amp;qid=1695170188&amp;sr=8-9")</f>
        <v/>
      </c>
      <c r="F915" t="inlineStr">
        <is>
          <t>B0060AIE52</t>
        </is>
      </c>
      <c r="G915">
        <f>_xludf.IMAGE("https://www.shelhealth.com/cdn/shop/files/giovanni-cosmetics-smooth-as-silk-deep-moisture-shampoo-24-oz-beauty-body-care-shelhealth-965.jpg?v=1686142680&amp;width=1946")</f>
        <v/>
      </c>
      <c r="H915">
        <f>_xludf.IMAGE("https://m.media-amazon.com/images/I/51KPzQSjcbL._AC_UL320_.jpg")</f>
        <v/>
      </c>
      <c r="K915" t="inlineStr">
        <is>
          <t>18.99</t>
        </is>
      </c>
      <c r="L915" t="n">
        <v>12.06</v>
      </c>
      <c r="M915" s="1" t="inlineStr">
        <is>
          <t>-36.49%</t>
        </is>
      </c>
      <c r="N915" s="3" t="n">
        <v>-36.49</v>
      </c>
      <c r="O915" t="n">
        <v>4.1</v>
      </c>
      <c r="P915" t="n">
        <v>41</v>
      </c>
      <c r="R915" t="inlineStr">
        <is>
          <t>OutOfStock</t>
        </is>
      </c>
      <c r="S915" t="inlineStr">
        <is>
          <t>18.99</t>
        </is>
      </c>
      <c r="T915" t="inlineStr">
        <is>
          <t>7241661350076</t>
        </is>
      </c>
    </row>
    <row r="916" hidden="1" ht="15.75" customHeight="1">
      <c r="A916" s="2">
        <f>HYPERLINK("https://www.shelhealth.com/products/724742001247-alba-botanica-conditioner-mango-body-builder-32-oz", "https://www.shelhealth.com/products/724742001247-alba-botanica-conditioner-mango-body-builder-32-oz")</f>
        <v/>
      </c>
      <c r="B916" s="2">
        <f>HYPERLINK("https://www.shelhealth.com/products/724742001247-alba-botanica-conditioner-mango-body-builder-32-oz", "https://www.shelhealth.com/products/724742001247-alba-botanica-conditioner-mango-body-builder-32-oz")</f>
        <v/>
      </c>
      <c r="C916" t="inlineStr">
        <is>
          <t>Alba Botanica Conditioner Mango Body Builder, 32 Oz</t>
        </is>
      </c>
      <c r="D916" t="inlineStr">
        <is>
          <t>Alba Botanica Hawaiian Volumizing Conditioner, Body Builder Mango 12 oz</t>
        </is>
      </c>
      <c r="E916" s="2">
        <f>HYPERLINK("https://www.amazon.com/Alba-Botanica-Hawaiian-Volumizing-Conditioner/dp/B004RRH0IC/ref=sr_1_3?keywords=Alba+Botanica+Conditioner+Mango+Body+Builder%2C+32+Oz&amp;qid=1695170210&amp;sr=8-3", "https://www.amazon.com/Alba-Botanica-Hawaiian-Volumizing-Conditioner/dp/B004RRH0IC/ref=sr_1_3?keywords=Alba+Botanica+Conditioner+Mango+Body+Builder%2C+32+Oz&amp;qid=1695170210&amp;sr=8-3")</f>
        <v/>
      </c>
      <c r="F916" t="inlineStr">
        <is>
          <t>B004RRH0IC</t>
        </is>
      </c>
      <c r="G916">
        <f>_xludf.IMAGE("https://www.shelhealth.com/cdn/shop/files/alba-botanica-conditioner-mango-body-builder-32-oz-beauty-care-shelhealth-884.jpg?v=1686191557&amp;width=1946")</f>
        <v/>
      </c>
      <c r="H916">
        <f>_xludf.IMAGE("https://m.media-amazon.com/images/I/6188mLJN-JL._AC_UL320_.jpg")</f>
        <v/>
      </c>
      <c r="K916" t="inlineStr">
        <is>
          <t>18.99</t>
        </is>
      </c>
      <c r="L916" t="n">
        <v>12.03</v>
      </c>
      <c r="M916" s="1" t="inlineStr">
        <is>
          <t>-36.65%</t>
        </is>
      </c>
      <c r="N916" s="3" t="n">
        <v>-36.65</v>
      </c>
      <c r="O916" t="n">
        <v>3.5</v>
      </c>
      <c r="P916" t="n">
        <v>9</v>
      </c>
      <c r="R916" t="inlineStr">
        <is>
          <t>OutOfStock</t>
        </is>
      </c>
      <c r="S916" t="inlineStr">
        <is>
          <t>18.99</t>
        </is>
      </c>
      <c r="T916" t="inlineStr">
        <is>
          <t>7241428074684</t>
        </is>
      </c>
    </row>
    <row r="917" hidden="1" ht="15.75" customHeight="1">
      <c r="A917" s="2">
        <f>HYPERLINK("https://www.shelhealth.com/products/old-spice-fiji-2-in-1-mens-shampoo-and-conditioner-38-2-fl-oz", "https://www.shelhealth.com/products/old-spice-fiji-2-in-1-mens-shampoo-and-conditioner-38-2-fl-oz")</f>
        <v/>
      </c>
      <c r="B917" s="2">
        <f>HYPERLINK("https://www.shelhealth.com/products/old-spice-fiji-2-in-1-mens-shampoo-and-conditioner-38-2-fl-oz", "https://www.shelhealth.com/products/old-spice-fiji-2-in-1-mens-shampoo-and-conditioner-38-2-fl-oz")</f>
        <v/>
      </c>
      <c r="C917" t="inlineStr">
        <is>
          <t>Old Spice Fiji 2 in 1 Mens Shampoo and Conditioner, 38.2 FL OZ</t>
        </is>
      </c>
      <c r="D917" t="inlineStr">
        <is>
          <t>Old Spice Fiji 2in1 Shampoo and Conditioner for Men, 13.5 fl oz, 5.449 Fl oz</t>
        </is>
      </c>
      <c r="E917" s="2">
        <f>HYPERLINK("https://www.amazon.com/Old-Spice-Shampoo-Conditioner-5-449/dp/B08T2WTTGV/ref=sr_1_5?keywords=Old+Spice+Fiji+2+in+1+Mens+Shampoo+and+Conditioner%2C+38.2+FL+OZ&amp;qid=1695170259&amp;sr=8-5", "https://www.amazon.com/Old-Spice-Shampoo-Conditioner-5-449/dp/B08T2WTTGV/ref=sr_1_5?keywords=Old+Spice+Fiji+2+in+1+Mens+Shampoo+and+Conditioner%2C+38.2+FL+OZ&amp;qid=1695170259&amp;sr=8-5")</f>
        <v/>
      </c>
      <c r="F917" t="inlineStr">
        <is>
          <t>B08T2WTTGV</t>
        </is>
      </c>
      <c r="G917">
        <f>_xludf.IMAGE("https://www.shelhealth.com/cdn/shop/products/old-spice-fiji-2-in-1-mens-shampoo-and-conditioner-38-fl-oz-shelhealth-596.jpg?v=1663350158&amp;width=1946")</f>
        <v/>
      </c>
      <c r="H917">
        <f>_xludf.IMAGE("https://m.media-amazon.com/images/I/71QVbpRqjiL._AC_UL320_.jpg")</f>
        <v/>
      </c>
      <c r="K917" t="inlineStr">
        <is>
          <t>15.99</t>
        </is>
      </c>
      <c r="L917" t="n">
        <v>9.99</v>
      </c>
      <c r="M917" s="1" t="inlineStr">
        <is>
          <t>-37.52%</t>
        </is>
      </c>
      <c r="N917" s="3" t="n">
        <v>-37.52</v>
      </c>
      <c r="O917" t="n">
        <v>4.3</v>
      </c>
      <c r="P917" t="n">
        <v>41</v>
      </c>
      <c r="R917" t="inlineStr">
        <is>
          <t>InStock</t>
        </is>
      </c>
      <c r="S917" t="inlineStr">
        <is>
          <t>15.99</t>
        </is>
      </c>
      <c r="T917" t="inlineStr">
        <is>
          <t>4045945503796</t>
        </is>
      </c>
    </row>
    <row r="918" hidden="1" ht="15.75" customHeight="1">
      <c r="A918" s="2">
        <f>HYPERLINK("https://www.shelhealth.com/products/pantene-butter-creme-hair-treatment-with-argan-oil-6-8-fl-oz", "https://www.shelhealth.com/products/pantene-butter-creme-hair-treatment-with-argan-oil-6-8-fl-oz")</f>
        <v/>
      </c>
      <c r="B918" s="2">
        <f>HYPERLINK("https://www.shelhealth.com/products/pantene-butter-creme-hair-treatment-with-argan-oil-6-8-fl-oz", "https://www.shelhealth.com/products/pantene-butter-creme-hair-treatment-with-argan-oil-6-8-fl-oz")</f>
        <v/>
      </c>
      <c r="C918" t="inlineStr">
        <is>
          <t>Pantene Butter Crème Hair Treatment, with Argan Oil, 6.8 fl oz</t>
        </is>
      </c>
      <c r="D918" t="inlineStr">
        <is>
          <t>Pantene Gold Series Split Ends Treatment, for Curly and Coily Hair, Infused with Argan Oil, 0.5 Fl Oz x 4 Count</t>
        </is>
      </c>
      <c r="E918" s="2">
        <f>HYPERLINK("https://www.amazon.com/Pantene-Split-Treatment-Curly-Infused/dp/B07YGK25GG/ref=sr_1_8?keywords=Pantene+Butter+Cr%C3%A8me+Hair+Treatment%2C+with+Argan+Oil%2C+6.8+fl+oz&amp;qid=1695170268&amp;sr=8-8", "https://www.amazon.com/Pantene-Split-Treatment-Curly-Infused/dp/B07YGK25GG/ref=sr_1_8?keywords=Pantene+Butter+Cr%C3%A8me+Hair+Treatment%2C+with+Argan+Oil%2C+6.8+fl+oz&amp;qid=1695170268&amp;sr=8-8")</f>
        <v/>
      </c>
      <c r="F918" t="inlineStr">
        <is>
          <t>B07YGK25GG</t>
        </is>
      </c>
      <c r="G918">
        <f>_xludf.IMAGE("https://www.shelhealth.com/cdn/shop/products/pantene-butter-creme-hair-treatment-with-argan-oil-6-8-fl-oz-shelhealth-209.jpg?v=1663350070&amp;width=1946")</f>
        <v/>
      </c>
      <c r="H918">
        <f>_xludf.IMAGE("https://m.media-amazon.com/images/I/81JZ80WVvcL._AC_UL320_.jpg")</f>
        <v/>
      </c>
      <c r="K918" t="inlineStr">
        <is>
          <t>11.99</t>
        </is>
      </c>
      <c r="L918" t="n">
        <v>7.48</v>
      </c>
      <c r="M918" s="1" t="inlineStr">
        <is>
          <t>-37.61%</t>
        </is>
      </c>
      <c r="N918" s="3" t="n">
        <v>-37.61</v>
      </c>
      <c r="O918" t="n">
        <v>4.5</v>
      </c>
      <c r="P918" t="n">
        <v>573</v>
      </c>
      <c r="R918" t="inlineStr">
        <is>
          <t>InStock</t>
        </is>
      </c>
      <c r="S918" t="inlineStr">
        <is>
          <t>11.99</t>
        </is>
      </c>
      <c r="T918" t="inlineStr">
        <is>
          <t>4045859815476</t>
        </is>
      </c>
    </row>
    <row r="919" hidden="1" ht="15.75" customHeight="1">
      <c r="A919" s="2">
        <f>HYPERLINK("https://www.shelhealth.com/products/724742008611-alba-botanica-natural-hawaiian-conditioner-drink-it-up-coconut-milk-12-oz", "https://www.shelhealth.com/products/724742008611-alba-botanica-natural-hawaiian-conditioner-drink-it-up-coconut-milk-12-oz")</f>
        <v/>
      </c>
      <c r="B919" s="2">
        <f>HYPERLINK("https://www.shelhealth.com/products/724742008611-alba-botanica-natural-hawaiian-conditioner-drink-it-up-coconut-milk-12-oz", "https://www.shelhealth.com/products/724742008611-alba-botanica-natural-hawaiian-conditioner-drink-it-up-coconut-milk-12-oz")</f>
        <v/>
      </c>
      <c r="C919" t="inlineStr">
        <is>
          <t>Alba Botanica Natural Hawaiian Conditioner Drink It Up Coconut Milk, 12 Oz (Case of 2)</t>
        </is>
      </c>
      <c r="D919" t="inlineStr">
        <is>
          <t>Alba Botanica, Natural Hawaiian Conditioner, Drink It up Coconut Milk, 12 oz (340 g)</t>
        </is>
      </c>
      <c r="E919" s="2">
        <f>HYPERLINK("https://www.amazon.com/Botanica-Natural-Hawaiian-Conditioner-Coconut/dp/B00VRWR67U/ref=sr_1_5?keywords=Alba+Botanica+Natural+Hawaiian+Conditioner+Drink+It+Up+Coconut+Milk%2C+12+Oz+%28Case+of+2%29&amp;qid=1695170210&amp;sr=8-5", "https://www.amazon.com/Botanica-Natural-Hawaiian-Conditioner-Coconut/dp/B00VRWR67U/ref=sr_1_5?keywords=Alba+Botanica+Natural+Hawaiian+Conditioner+Drink+It+Up+Coconut+Milk%2C+12+Oz+%28Case+of+2%29&amp;qid=1695170210&amp;sr=8-5")</f>
        <v/>
      </c>
      <c r="F919" t="inlineStr">
        <is>
          <t>B00VRWR67U</t>
        </is>
      </c>
      <c r="G919">
        <f>_xludf.IMAGE("https://www.shelhealth.com/cdn/shop/files/alba-botanica-natural-hawaiian-conditioner-drink-it-up-coconut-milk-12-oz-case-of-2-beauty-body-care-shelhealth-549.jpg?v=1686520897&amp;width=1946")</f>
        <v/>
      </c>
      <c r="H919">
        <f>_xludf.IMAGE("https://m.media-amazon.com/images/I/51YGnnN1UcL._AC_UL320_.jpg")</f>
        <v/>
      </c>
      <c r="K919" t="inlineStr">
        <is>
          <t>22.99</t>
        </is>
      </c>
      <c r="L919" t="n">
        <v>14.18</v>
      </c>
      <c r="M919" s="1" t="inlineStr">
        <is>
          <t>-38.32%</t>
        </is>
      </c>
      <c r="N919" s="3" t="n">
        <v>-38.32</v>
      </c>
      <c r="O919" t="n">
        <v>3.3</v>
      </c>
      <c r="P919" t="n">
        <v>4</v>
      </c>
      <c r="R919" t="inlineStr">
        <is>
          <t>InStock</t>
        </is>
      </c>
      <c r="S919" t="inlineStr">
        <is>
          <t>22.99</t>
        </is>
      </c>
      <c r="T919" t="inlineStr">
        <is>
          <t>7241431777468</t>
        </is>
      </c>
    </row>
    <row r="920" hidden="1" ht="15.75" customHeight="1">
      <c r="A920" s="2">
        <f>HYPERLINK("https://www.shelhealth.com/products/716237185631-giovanni-cosmetics-2chic-frizz-be-gone-hair-balm-shea-butter-sweet-almond-oil-5-oz", "https://www.shelhealth.com/products/716237185631-giovanni-cosmetics-2chic-frizz-be-gone-hair-balm-shea-butter-sweet-almond-oil-5-oz")</f>
        <v/>
      </c>
      <c r="B920" s="2">
        <f>HYPERLINK("https://www.shelhealth.com/products/716237185631-giovanni-cosmetics-2chic-frizz-be-gone-hair-balm-shea-butter-sweet-almond-oil-5-oz", "https://www.shelhealth.com/products/716237185631-giovanni-cosmetics-2chic-frizz-be-gone-hair-balm-shea-butter-sweet-almond-oil-5-oz")</f>
        <v/>
      </c>
      <c r="C920" t="inlineStr">
        <is>
          <t>Giovanni Cosmetics 2Chic Frizz Be Gone Hair Balm Shea Butter &amp; Sweet Almond Oil, 5 Oz (Case of 2)</t>
        </is>
      </c>
      <c r="D920" t="inlineStr">
        <is>
          <t>Giovanni Frizz Be Gone Taming Cream, Natural Hair Smoothing Formula with Shea Butter &amp; Sweet Almond Oil, Macadamia, Color Safe, Vegan, 2chic, 5.1 oz. (Pack of 1)</t>
        </is>
      </c>
      <c r="E920" s="2">
        <f>HYPERLINK("https://www.amazon.com/Giovanni-2chic-Butter-Almond-Taming/dp/B073P798JH/ref=sr_1_3?keywords=Giovanni+Cosmetics+2Chic+Frizz+Be+Gone+Hair+Balm+Shea+Butter+%26+Sweet+Almond+Oil%2C+5+Oz+%28Case+of+2%29&amp;qid=1695170210&amp;sr=8-3", "https://www.amazon.com/Giovanni-2chic-Butter-Almond-Taming/dp/B073P798JH/ref=sr_1_3?keywords=Giovanni+Cosmetics+2Chic+Frizz+Be+Gone+Hair+Balm+Shea+Butter+%26+Sweet+Almond+Oil%2C+5+Oz+%28Case+of+2%29&amp;qid=1695170210&amp;sr=8-3")</f>
        <v/>
      </c>
      <c r="F920" t="inlineStr">
        <is>
          <t>B073P798JH</t>
        </is>
      </c>
      <c r="G920">
        <f>_xludf.IMAGE("https://www.shelhealth.com/cdn/shop/files/giovanni-cosmetics-2chic-frizz-be-gone-hair-balm-shea-butter-sweet-almond-oil-5-oz-case-of-2-beauty-body-care-shelhealth-818.jpg?v=1686196334&amp;width=1946")</f>
        <v/>
      </c>
      <c r="H920">
        <f>_xludf.IMAGE("https://m.media-amazon.com/images/I/617r00-5tDL._AC_UL320_.jpg")</f>
        <v/>
      </c>
      <c r="K920" t="inlineStr">
        <is>
          <t>19.99</t>
        </is>
      </c>
      <c r="L920" t="n">
        <v>12</v>
      </c>
      <c r="M920" s="1" t="inlineStr">
        <is>
          <t>-39.97%</t>
        </is>
      </c>
      <c r="N920" s="3" t="n">
        <v>-39.97</v>
      </c>
      <c r="O920" t="n">
        <v>4.3</v>
      </c>
      <c r="P920" t="n">
        <v>119</v>
      </c>
      <c r="R920" t="inlineStr">
        <is>
          <t>OutOfStock</t>
        </is>
      </c>
      <c r="S920" t="inlineStr">
        <is>
          <t>19.99</t>
        </is>
      </c>
      <c r="T920" t="inlineStr">
        <is>
          <t>7241656500412</t>
        </is>
      </c>
    </row>
    <row r="921" hidden="1" ht="15.75" customHeight="1">
      <c r="A921" s="2">
        <f>HYPERLINK("https://www.shelhealth.com/products/alba-botanica-drink-it-up-coconut-milk-hawaiian-shampoo-34-oz", "https://www.shelhealth.com/products/alba-botanica-drink-it-up-coconut-milk-hawaiian-shampoo-34-oz")</f>
        <v/>
      </c>
      <c r="B921" s="2">
        <f>HYPERLINK("https://www.shelhealth.com/products/alba-botanica-drink-it-up-coconut-milk-hawaiian-shampoo-34-oz", "https://www.shelhealth.com/products/alba-botanica-drink-it-up-coconut-milk-hawaiian-shampoo-34-oz")</f>
        <v/>
      </c>
      <c r="C921" t="inlineStr">
        <is>
          <t>Alba Botanica Drink It Up Coconut Milk Hawaiian Shampoo, 34 oz.</t>
        </is>
      </c>
      <c r="D921" t="inlineStr">
        <is>
          <t>Alba Botanica Natural Hawaiian Shampoo Drink It Up Coconut Milk - 12 fl oz</t>
        </is>
      </c>
      <c r="E921" s="2">
        <f>HYPERLINK("https://www.amazon.com/Alba-Botanica-Natural-Hawaiian-Shampoo/dp/B072QVM51H/ref=sr_1_4?keywords=Alba+Botanica+Drink+It+Up+Coconut+Milk+Hawaiian+Shampoo%2C+34+oz.&amp;qid=1695170251&amp;sr=8-4", "https://www.amazon.com/Alba-Botanica-Natural-Hawaiian-Shampoo/dp/B072QVM51H/ref=sr_1_4?keywords=Alba+Botanica+Drink+It+Up+Coconut+Milk+Hawaiian+Shampoo%2C+34+oz.&amp;qid=1695170251&amp;sr=8-4")</f>
        <v/>
      </c>
      <c r="F921" t="inlineStr">
        <is>
          <t>B072QVM51H</t>
        </is>
      </c>
      <c r="G921">
        <f>_xludf.IMAGE("https://www.shelhealth.com/cdn/shop/products/alba-botanica-drink-it-up-coconut-milk-hawaiian-shampoo-34-oz-shelhealth-303.jpg?v=1663362289&amp;width=1946")</f>
        <v/>
      </c>
      <c r="H921">
        <f>_xludf.IMAGE("https://m.media-amazon.com/images/I/61HVScGmFiL._AC_UL320_.jpg")</f>
        <v/>
      </c>
      <c r="K921" t="inlineStr">
        <is>
          <t>18.99</t>
        </is>
      </c>
      <c r="L921" t="n">
        <v>11.31</v>
      </c>
      <c r="M921" s="1" t="inlineStr">
        <is>
          <t>-40.44%</t>
        </is>
      </c>
      <c r="N921" s="3" t="n">
        <v>-40.44</v>
      </c>
      <c r="O921" t="n">
        <v>5</v>
      </c>
      <c r="P921" t="n">
        <v>11</v>
      </c>
      <c r="R921" t="inlineStr">
        <is>
          <t>InStock</t>
        </is>
      </c>
      <c r="S921" t="inlineStr">
        <is>
          <t>18.99</t>
        </is>
      </c>
      <c r="T921" t="inlineStr">
        <is>
          <t>4440158896217</t>
        </is>
      </c>
    </row>
    <row r="922" hidden="1" ht="15.75" customHeight="1">
      <c r="A922" s="2">
        <f>HYPERLINK("https://www.shelhealth.com/products/alba-botanica-drink-it-up-coconut-milk-hawaiian-shampoo-34-oz", "https://www.shelhealth.com/products/alba-botanica-drink-it-up-coconut-milk-hawaiian-shampoo-34-oz")</f>
        <v/>
      </c>
      <c r="B922" s="2">
        <f>HYPERLINK("https://www.shelhealth.com/products/alba-botanica-drink-it-up-coconut-milk-hawaiian-shampoo-34-oz", "https://www.shelhealth.com/products/alba-botanica-drink-it-up-coconut-milk-hawaiian-shampoo-34-oz")</f>
        <v/>
      </c>
      <c r="C922" t="inlineStr">
        <is>
          <t>Alba Botanica Drink It Up Coconut Milk Hawaiian Shampoo, 34 oz.</t>
        </is>
      </c>
      <c r="D922" t="inlineStr">
        <is>
          <t>Alba Botanica Drink It Up Coconut Milk Hawaiian Conditioner, 12 oz. (Packaging May Vary)</t>
        </is>
      </c>
      <c r="E922" s="2">
        <f>HYPERLINK("https://www.amazon.com/Alba-Botanica-Coconut-Hawaiian-Conditioner/dp/B000ZZWAB2/ref=sr_1_8?keywords=Alba+Botanica+Drink+It+Up+Coconut+Milk+Hawaiian+Shampoo%2C+34+oz.&amp;qid=1695170251&amp;sr=8-8", "https://www.amazon.com/Alba-Botanica-Coconut-Hawaiian-Conditioner/dp/B000ZZWAB2/ref=sr_1_8?keywords=Alba+Botanica+Drink+It+Up+Coconut+Milk+Hawaiian+Shampoo%2C+34+oz.&amp;qid=1695170251&amp;sr=8-8")</f>
        <v/>
      </c>
      <c r="F922" t="inlineStr">
        <is>
          <t>B000ZZWAB2</t>
        </is>
      </c>
      <c r="G922">
        <f>_xludf.IMAGE("https://www.shelhealth.com/cdn/shop/products/alba-botanica-drink-it-up-coconut-milk-hawaiian-shampoo-34-oz-shelhealth-303.jpg?v=1663362289&amp;width=1946")</f>
        <v/>
      </c>
      <c r="H922">
        <f>_xludf.IMAGE("https://m.media-amazon.com/images/I/71xKW27ptxL._AC_UL320_.jpg")</f>
        <v/>
      </c>
      <c r="K922" t="inlineStr">
        <is>
          <t>18.99</t>
        </is>
      </c>
      <c r="L922" t="n">
        <v>11.3</v>
      </c>
      <c r="M922" s="1" t="inlineStr">
        <is>
          <t>-40.49%</t>
        </is>
      </c>
      <c r="N922" s="3" t="n">
        <v>-40.49</v>
      </c>
      <c r="O922" t="n">
        <v>4.6</v>
      </c>
      <c r="P922" t="n">
        <v>4196</v>
      </c>
      <c r="R922" t="inlineStr">
        <is>
          <t>InStock</t>
        </is>
      </c>
      <c r="S922" t="inlineStr">
        <is>
          <t>18.99</t>
        </is>
      </c>
      <c r="T922" t="inlineStr">
        <is>
          <t>4440158896217</t>
        </is>
      </c>
    </row>
    <row r="923" hidden="1" ht="15.75" customHeight="1">
      <c r="A923" s="2">
        <f>HYPERLINK("https://www.shelhealth.com/products/859975002010-andalou-naturals-full-volume-shampoo-lavender-and-biotin-11-5-oz", "https://www.shelhealth.com/products/859975002010-andalou-naturals-full-volume-shampoo-lavender-and-biotin-11-5-oz")</f>
        <v/>
      </c>
      <c r="B923" s="2">
        <f>HYPERLINK("https://www.shelhealth.com/products/859975002010-andalou-naturals-full-volume-shampoo-lavender-and-biotin-11-5-oz", "https://www.shelhealth.com/products/859975002010-andalou-naturals-full-volume-shampoo-lavender-and-biotin-11-5-oz")</f>
        <v/>
      </c>
      <c r="C923" t="inlineStr">
        <is>
          <t>Andalou Naturals Full Volume Shampoo Lavender And Biotin, 11.5 Oz (Case of 3)</t>
        </is>
      </c>
      <c r="D923" t="inlineStr">
        <is>
          <t>Andalou Naturals Full Volume Shampoo Lavender and Biotin - 11.5 fl oz Pack of 5</t>
        </is>
      </c>
      <c r="E923" s="2">
        <f>HYPERLINK("https://www.amazon.com/Andalou-Naturals-Shampoo-Lavender-Biotin/dp/B005GRCQAO/ref=sr_1_3?keywords=Andalou+Naturals+Full+Volume+Shampoo+Lavender+And+Biotin%2C+11.5+Oz+%28Case+of+3%29&amp;qid=1695170182&amp;sr=8-3", "https://www.amazon.com/Andalou-Naturals-Shampoo-Lavender-Biotin/dp/B005GRCQAO/ref=sr_1_3?keywords=Andalou+Naturals+Full+Volume+Shampoo+Lavender+And+Biotin%2C+11.5+Oz+%28Case+of+3%29&amp;qid=1695170182&amp;sr=8-3")</f>
        <v/>
      </c>
      <c r="F923" t="inlineStr">
        <is>
          <t>B005GRCQAO</t>
        </is>
      </c>
      <c r="G923">
        <f>_xludf.IMAGE("https://www.shelhealth.com/cdn/shop/files/andalou-naturals-full-volume-shampoo-lavender-and-biotin-11-5-oz-case-of-3-beauty-body-care-shelhealth-825.jpg?v=1686484591&amp;width=1946")</f>
        <v/>
      </c>
      <c r="H923">
        <f>_xludf.IMAGE("https://m.media-amazon.com/images/I/61lUsKbltFL._AC_UL320_.jpg")</f>
        <v/>
      </c>
      <c r="K923" t="inlineStr">
        <is>
          <t>26.99</t>
        </is>
      </c>
      <c r="L923" t="n">
        <v>16</v>
      </c>
      <c r="M923" s="1" t="inlineStr">
        <is>
          <t>-40.72%</t>
        </is>
      </c>
      <c r="N923" s="3" t="n">
        <v>-40.72</v>
      </c>
      <c r="O923" t="n">
        <v>5</v>
      </c>
      <c r="P923" t="n">
        <v>1</v>
      </c>
      <c r="R923" t="inlineStr">
        <is>
          <t>InStock</t>
        </is>
      </c>
      <c r="S923" t="inlineStr">
        <is>
          <t>26.99</t>
        </is>
      </c>
      <c r="T923" t="inlineStr">
        <is>
          <t>7241450651836</t>
        </is>
      </c>
    </row>
    <row r="924" hidden="1" ht="15.75" customHeight="1">
      <c r="A924" s="2">
        <f>HYPERLINK("https://www.shelhealth.com/products/mirta-de-perales-deep-conditioning-hair-masque-6-ounce-pack-of-2", "https://www.shelhealth.com/products/mirta-de-perales-deep-conditioning-hair-masque-6-ounce-pack-of-2")</f>
        <v/>
      </c>
      <c r="B924" s="2">
        <f>HYPERLINK("https://www.shelhealth.com/products/mirta-de-perales-deep-conditioning-hair-masque-6-ounce-pack-of-2", "https://www.shelhealth.com/products/mirta-de-perales-deep-conditioning-hair-masque-6-ounce-pack-of-2")</f>
        <v/>
      </c>
      <c r="C924" t="inlineStr">
        <is>
          <t>Mirta De Perales Deep Conditioning Hair Masque, 6 Ounce (Pack of 2)</t>
        </is>
      </c>
      <c r="D924" t="inlineStr">
        <is>
          <t>Mirta De Perales Deep Conditioning Hair Masque, 6 Ounce</t>
        </is>
      </c>
      <c r="E924" s="2">
        <f>HYPERLINK("https://www.amazon.com/Mirta-Perales-Conditioning-Masque-Ounce/dp/B001T8I3N8/ref=sr_1_2?keywords=Mirta+De+Perales+Deep+Conditioning+Hair+Masque%2C+6+Ounce+%28Pack+of+2%29&amp;qid=1695170252&amp;sr=8-2", "https://www.amazon.com/Mirta-Perales-Conditioning-Masque-Ounce/dp/B001T8I3N8/ref=sr_1_2?keywords=Mirta+De+Perales+Deep+Conditioning+Hair+Masque%2C+6+Ounce+%28Pack+of+2%29&amp;qid=1695170252&amp;sr=8-2")</f>
        <v/>
      </c>
      <c r="F924" t="inlineStr">
        <is>
          <t>B001T8I3N8</t>
        </is>
      </c>
      <c r="G924">
        <f>_xludf.IMAGE("https://www.shelhealth.com/cdn/shop/products/mirta-de-perales-deep-conditioning-hair-masque-6-ounce-pack-of-2-shelhealth-543.jpg?v=1663350063&amp;width=1946")</f>
        <v/>
      </c>
      <c r="H924">
        <f>_xludf.IMAGE("https://m.media-amazon.com/images/I/51QuZ7a6-EL._AC_UL320_.jpg")</f>
        <v/>
      </c>
      <c r="K924" t="inlineStr">
        <is>
          <t>19.99</t>
        </is>
      </c>
      <c r="L924" t="n">
        <v>11.79</v>
      </c>
      <c r="M924" s="1" t="inlineStr">
        <is>
          <t>-41.02%</t>
        </is>
      </c>
      <c r="N924" s="3" t="n">
        <v>-41.02</v>
      </c>
      <c r="O924" t="n">
        <v>4.5</v>
      </c>
      <c r="P924" t="n">
        <v>231</v>
      </c>
      <c r="R924" t="inlineStr">
        <is>
          <t>InStock</t>
        </is>
      </c>
      <c r="S924" t="inlineStr">
        <is>
          <t>19.99</t>
        </is>
      </c>
      <c r="T924" t="inlineStr">
        <is>
          <t>4045858439220</t>
        </is>
      </c>
    </row>
    <row r="925" hidden="1" ht="15.75" customHeight="1">
      <c r="A925" s="2">
        <f>HYPERLINK("https://www.shelhealth.com/products/love-beauty-and-planet-shampoo-for-unisex-murumuru-butter-and-rose-22-ounce", "https://www.shelhealth.com/products/love-beauty-and-planet-shampoo-for-unisex-murumuru-butter-and-rose-22-ounce")</f>
        <v/>
      </c>
      <c r="B925" s="2">
        <f>HYPERLINK("https://www.shelhealth.com/products/love-beauty-and-planet-shampoo-for-unisex-murumuru-butter-and-rose-22-ounce", "https://www.shelhealth.com/products/love-beauty-and-planet-shampoo-for-unisex-murumuru-butter-and-rose-22-ounce")</f>
        <v/>
      </c>
      <c r="C925" t="inlineStr">
        <is>
          <t>Love Beauty and Planet Shampoo for Unisex, Murumuru Butter and Rose, 22 Ounce</t>
        </is>
      </c>
      <c r="D925" t="inlineStr">
        <is>
          <t>Love Beauty and Planet Shampoo Blooming Color Murumuru Butter &amp; Rose, 22 FL OZ</t>
        </is>
      </c>
      <c r="E925" s="2">
        <f>HYPERLINK("https://www.amazon.com/Love-Beauty-Planet-Blooming-Murumuru/dp/B07Z8FQR9Q/ref=sr_1_4?keywords=Love+Beauty+and+Planet+Shampoo+for+Unisex%2C+Murumuru+Butter+and+Rose%2C+22+Ounce&amp;qid=1695170248&amp;sr=8-4", "https://www.amazon.com/Love-Beauty-Planet-Blooming-Murumuru/dp/B07Z8FQR9Q/ref=sr_1_4?keywords=Love+Beauty+and+Planet+Shampoo+for+Unisex%2C+Murumuru+Butter+and+Rose%2C+22+Ounce&amp;qid=1695170248&amp;sr=8-4")</f>
        <v/>
      </c>
      <c r="F925" t="inlineStr">
        <is>
          <t>B07Z8FQR9Q</t>
        </is>
      </c>
      <c r="G925">
        <f>_xludf.IMAGE("https://www.shelhealth.com/cdn/shop/products/love-beauty-and-planet-shampoo-for-unisex-murumuru-butter-rose-22-ounce-shelhealth-904.jpg?v=1663360351&amp;width=1946")</f>
        <v/>
      </c>
      <c r="H925">
        <f>_xludf.IMAGE("https://m.media-amazon.com/images/I/71WqWoutg5L._AC_UL320_.jpg")</f>
        <v/>
      </c>
      <c r="K925" t="inlineStr">
        <is>
          <t>16.99</t>
        </is>
      </c>
      <c r="L925" t="n">
        <v>9.94</v>
      </c>
      <c r="M925" s="1" t="inlineStr">
        <is>
          <t>-41.49%</t>
        </is>
      </c>
      <c r="N925" s="3" t="n">
        <v>-41.49</v>
      </c>
      <c r="O925" t="n">
        <v>4.5</v>
      </c>
      <c r="P925" t="n">
        <v>75</v>
      </c>
      <c r="R925" t="inlineStr">
        <is>
          <t>OutOfStock</t>
        </is>
      </c>
      <c r="S925" t="inlineStr">
        <is>
          <t>16.99</t>
        </is>
      </c>
      <c r="T925" t="inlineStr">
        <is>
          <t>4417500282969</t>
        </is>
      </c>
    </row>
    <row r="926" hidden="1" ht="15.75" customHeight="1">
      <c r="A926" s="2">
        <f>HYPERLINK("https://www.shelhealth.com/products/654749351260-avalon-organics-shampoo-nourishing-lavender-32-oz", "https://www.shelhealth.com/products/654749351260-avalon-organics-shampoo-nourishing-lavender-32-oz")</f>
        <v/>
      </c>
      <c r="B926" s="2">
        <f>HYPERLINK("https://www.shelhealth.com/products/654749351260-avalon-organics-shampoo-nourishing-lavender-32-oz", "https://www.shelhealth.com/products/654749351260-avalon-organics-shampoo-nourishing-lavender-32-oz")</f>
        <v/>
      </c>
      <c r="C926" t="inlineStr">
        <is>
          <t>Avalon Organics Shampoo Nourishing Lavender, 32 Oz</t>
        </is>
      </c>
      <c r="D926" t="inlineStr">
        <is>
          <t>Avalon Organics Nourishing Lavender Shampoo, 11 oz.</t>
        </is>
      </c>
      <c r="E926" s="2">
        <f>HYPERLINK("https://www.amazon.com/Avalon-Organics-Nourishing-Lavender-Shampoo/dp/B011R616BW/ref=sr_1_3?keywords=Avalon+Organics+Shampoo+Nourishing+Lavender%2C+32+Oz&amp;qid=1695170186&amp;sr=8-3", "https://www.amazon.com/Avalon-Organics-Nourishing-Lavender-Shampoo/dp/B011R616BW/ref=sr_1_3?keywords=Avalon+Organics+Shampoo+Nourishing+Lavender%2C+32+Oz&amp;qid=1695170186&amp;sr=8-3")</f>
        <v/>
      </c>
      <c r="F926" t="inlineStr">
        <is>
          <t>B011R616BW</t>
        </is>
      </c>
      <c r="G926">
        <f>_xludf.IMAGE("https://www.shelhealth.com/cdn/shop/files/avalon-organics-shampoo-nourishing-lavender-32-oz-beauty-body-care-shelhealth-457.jpg?v=1686522170&amp;width=1946")</f>
        <v/>
      </c>
      <c r="H926">
        <f>_xludf.IMAGE("https://m.media-amazon.com/images/I/71EDIdHwyKL._AC_UL320_.jpg")</f>
        <v/>
      </c>
      <c r="K926" t="inlineStr">
        <is>
          <t>21.99</t>
        </is>
      </c>
      <c r="L926" t="n">
        <v>12.85</v>
      </c>
      <c r="M926" s="1" t="inlineStr">
        <is>
          <t>-41.56%</t>
        </is>
      </c>
      <c r="N926" s="3" t="n">
        <v>-41.56</v>
      </c>
      <c r="O926" t="n">
        <v>4.3</v>
      </c>
      <c r="P926" t="n">
        <v>83</v>
      </c>
      <c r="R926" t="inlineStr">
        <is>
          <t>InStock</t>
        </is>
      </c>
      <c r="S926" t="inlineStr">
        <is>
          <t>21.99</t>
        </is>
      </c>
      <c r="T926" t="inlineStr">
        <is>
          <t>7241472377020</t>
        </is>
      </c>
    </row>
    <row r="927" hidden="1" ht="15.75" customHeight="1">
      <c r="A927" s="2">
        <f>HYPERLINK("https://www.shelhealth.com/products/conair-infiniti-pro-11in-flat-iron", "https://www.shelhealth.com/products/conair-infiniti-pro-11in-flat-iron")</f>
        <v/>
      </c>
      <c r="B927" s="2">
        <f>HYPERLINK("https://www.shelhealth.com/products/conair-infiniti-pro-11in-flat-iron", "https://www.shelhealth.com/products/conair-infiniti-pro-11in-flat-iron")</f>
        <v/>
      </c>
      <c r="C927" t="inlineStr">
        <is>
          <t>Conair Infiniti Pro 11in. Flat Iron</t>
        </is>
      </c>
      <c r="D927" t="inlineStr">
        <is>
          <t>INFINITIPRO BY CONAIR Frizz Free Titanium Ceramic Flat Iron, 1-inch</t>
        </is>
      </c>
      <c r="E927" s="2">
        <f>HYPERLINK("https://www.amazon.com/INFINITIPRO-CONAIR-Frizz-Titanium-Ceramic/dp/B0887SB83Y/ref=sr_1_5?keywords=Conair+Infiniti+Pro+11in.+Flat+Iron&amp;qid=1695170251&amp;sr=8-5", "https://www.amazon.com/INFINITIPRO-CONAIR-Frizz-Titanium-Ceramic/dp/B0887SB83Y/ref=sr_1_5?keywords=Conair+Infiniti+Pro+11in.+Flat+Iron&amp;qid=1695170251&amp;sr=8-5")</f>
        <v/>
      </c>
      <c r="F927" t="inlineStr">
        <is>
          <t>B0887SB83Y</t>
        </is>
      </c>
      <c r="G927">
        <f>_xludf.IMAGE("https://www.shelhealth.com/cdn/shop/products/conair-infiniti-pro-11in-flat-iron-shelhealth-337.jpg?v=1663343304&amp;width=1946")</f>
        <v/>
      </c>
      <c r="H927">
        <f>_xludf.IMAGE("https://m.media-amazon.com/images/I/610wcv8c6ML._AC_UL320_.jpg")</f>
        <v/>
      </c>
      <c r="K927" t="inlineStr">
        <is>
          <t>43.99</t>
        </is>
      </c>
      <c r="L927" t="n">
        <v>25.44</v>
      </c>
      <c r="M927" s="1" t="inlineStr">
        <is>
          <t>-42.17%</t>
        </is>
      </c>
      <c r="N927" s="3" t="n">
        <v>-42.17</v>
      </c>
      <c r="O927" t="n">
        <v>4.1</v>
      </c>
      <c r="P927" t="n">
        <v>1983</v>
      </c>
      <c r="R927" t="inlineStr">
        <is>
          <t>OutOfStock</t>
        </is>
      </c>
      <c r="S927" t="inlineStr">
        <is>
          <t>43.99</t>
        </is>
      </c>
      <c r="T927" t="inlineStr">
        <is>
          <t>3820080267316</t>
        </is>
      </c>
    </row>
    <row r="928" hidden="1" ht="15.75" customHeight="1">
      <c r="A928" s="2">
        <f>HYPERLINK("https://www.shelhealth.com/products/dove-anti-frizz-oil-therapy-shampoo-conditioner-40-oz", "https://www.shelhealth.com/products/dove-anti-frizz-oil-therapy-shampoo-conditioner-40-oz")</f>
        <v/>
      </c>
      <c r="B928" s="2">
        <f>HYPERLINK("https://www.shelhealth.com/products/dove-anti-frizz-oil-therapy-shampoo-conditioner-40-oz", "https://www.shelhealth.com/products/dove-anti-frizz-oil-therapy-shampoo-conditioner-40-oz")</f>
        <v/>
      </c>
      <c r="C928" t="inlineStr">
        <is>
          <t>Dove Anti-Frizz Oil Therapy Shampoo &amp; Conditioner - 40 oz</t>
        </is>
      </c>
      <c r="D928" t="inlineStr">
        <is>
          <t>Dove Shampoo and Conditioner Set - Anti-Frizz Oil Therapy with Sweet Almond Oil, Hair Care Products for Women, Dry Hair Treatment, 12 Oz (2 Piece Set)</t>
        </is>
      </c>
      <c r="E928" s="2">
        <f>HYPERLINK("https://www.amazon.com/Dove-Shampoo-Conditioner-Set-Anti-Frizz/dp/B0CB6RVG7G/ref=sr_1_3?keywords=Dove+Anti-Frizz+Oil+Therapy+Shampoo&amp;qid=1695170236&amp;sr=8-3", "https://www.amazon.com/Dove-Shampoo-Conditioner-Set-Anti-Frizz/dp/B0CB6RVG7G/ref=sr_1_3?keywords=Dove+Anti-Frizz+Oil+Therapy+Shampoo&amp;qid=1695170236&amp;sr=8-3")</f>
        <v/>
      </c>
      <c r="F928" t="inlineStr">
        <is>
          <t>B0CB6RVG7G</t>
        </is>
      </c>
      <c r="G928">
        <f>_xludf.IMAGE("https://www.shelhealth.com/cdn/shop/products/dove-anti-frizz-oil-therapy-shampoo-conditioner-40-oz-shelhealth-636.jpg?v=1663749796&amp;width=1946")</f>
        <v/>
      </c>
      <c r="H928">
        <f>_xludf.IMAGE("https://m.media-amazon.com/images/I/61pOx4DF0iL._AC_UL320_.jpg")</f>
        <v/>
      </c>
      <c r="K928" t="inlineStr">
        <is>
          <t>25.99</t>
        </is>
      </c>
      <c r="L928" t="n">
        <v>14.99</v>
      </c>
      <c r="M928" s="1" t="inlineStr">
        <is>
          <t>-42.32%</t>
        </is>
      </c>
      <c r="N928" s="3" t="n">
        <v>-42.32</v>
      </c>
      <c r="O928" t="n">
        <v>3.5</v>
      </c>
      <c r="P928" t="n">
        <v>4</v>
      </c>
      <c r="R928" t="inlineStr">
        <is>
          <t>InStock</t>
        </is>
      </c>
      <c r="S928" t="inlineStr">
        <is>
          <t>25.99</t>
        </is>
      </c>
      <c r="T928" t="inlineStr">
        <is>
          <t>7506504581352</t>
        </is>
      </c>
    </row>
    <row r="929" hidden="1" ht="15.75" customHeight="1">
      <c r="A929" s="2">
        <f>HYPERLINK("https://www.shelhealth.com/products/718334333526-desert-essence-conditioner-anti-breakage-10-fl-oz", "https://www.shelhealth.com/products/718334333526-desert-essence-conditioner-anti-breakage-10-fl-oz")</f>
        <v/>
      </c>
      <c r="B929" s="2">
        <f>HYPERLINK("https://www.shelhealth.com/products/718334333526-desert-essence-conditioner-anti-breakage-10-fl-oz", "https://www.shelhealth.com/products/718334333526-desert-essence-conditioner-anti-breakage-10-fl-oz")</f>
        <v/>
      </c>
      <c r="C929" t="inlineStr">
        <is>
          <t>Desert Essence Conditioner Anti Breakage, 10 Fl Oz (Case of 2)</t>
        </is>
      </c>
      <c r="D929" t="inlineStr">
        <is>
          <t>Desert Essence Anti-breakage Conditioner - 10 Fl Oz - Maxi Hair Plus Biotin - Essential Enriched Vitamins - Detangler - Salon Professional Formula - Jojoba &amp; Coconut Oils - Promotes Breakage Reduction</t>
        </is>
      </c>
      <c r="E929" s="2">
        <f>HYPERLINK("https://www.amazon.com/DESERT-ESSENCE-Anti-breakage-Conditioner-10/dp/B0768QNC5G/ref=sr_1_2?keywords=Desert+Essence+Conditioner+Anti+Breakage%2C+10+Fl+Oz+%28Case+of+2%29&amp;qid=1695170214&amp;sr=8-2", "https://www.amazon.com/DESERT-ESSENCE-Anti-breakage-Conditioner-10/dp/B0768QNC5G/ref=sr_1_2?keywords=Desert+Essence+Conditioner+Anti+Breakage%2C+10+Fl+Oz+%28Case+of+2%29&amp;qid=1695170214&amp;sr=8-2")</f>
        <v/>
      </c>
      <c r="F929" t="inlineStr">
        <is>
          <t>B0768QNC5G</t>
        </is>
      </c>
      <c r="G929">
        <f>_xludf.IMAGE("https://www.shelhealth.com/cdn/shop/files/desert-essence-conditioner-anti-breakage-10-fl-oz-case-of-2-beauty-body-care-shelhealth-845.jpg?v=1689654162&amp;width=1946")</f>
        <v/>
      </c>
      <c r="H929">
        <f>_xludf.IMAGE("https://m.media-amazon.com/images/I/71wETm7vqML._AC_UL320_.jpg")</f>
        <v/>
      </c>
      <c r="K929" t="inlineStr">
        <is>
          <t>20.99</t>
        </is>
      </c>
      <c r="L929" t="n">
        <v>12</v>
      </c>
      <c r="M929" s="1" t="inlineStr">
        <is>
          <t>-42.83%</t>
        </is>
      </c>
      <c r="N929" s="3" t="n">
        <v>-42.83</v>
      </c>
      <c r="O929" t="n">
        <v>4.2</v>
      </c>
      <c r="P929" t="n">
        <v>101</v>
      </c>
      <c r="R929" t="inlineStr">
        <is>
          <t>InStock</t>
        </is>
      </c>
      <c r="S929" t="inlineStr">
        <is>
          <t>20.99</t>
        </is>
      </c>
      <c r="T929" t="inlineStr">
        <is>
          <t>7241587228860</t>
        </is>
      </c>
    </row>
    <row r="930" hidden="1" ht="15.75" customHeight="1">
      <c r="A930" s="2">
        <f>HYPERLINK("https://www.shelhealth.com/products/718334333274-desert-essence-conditioner-smoothing-10-fl-oz", "https://www.shelhealth.com/products/718334333274-desert-essence-conditioner-smoothing-10-fl-oz")</f>
        <v/>
      </c>
      <c r="B930" s="2">
        <f>HYPERLINK("https://www.shelhealth.com/products/718334333274-desert-essence-conditioner-smoothing-10-fl-oz", "https://www.shelhealth.com/products/718334333274-desert-essence-conditioner-smoothing-10-fl-oz")</f>
        <v/>
      </c>
      <c r="C930" t="inlineStr">
        <is>
          <t>Desert Essence Conditioner Smoothing, 10 Fl Oz (Case of 2)</t>
        </is>
      </c>
      <c r="D930" t="inlineStr">
        <is>
          <t>Desert Essence Anti-breakage Conditioner - 10 Fl Oz - Maxi Hair Plus Biotin - Essential Enriched Vitamins - Detangler - Salon Professional Formula - Jojoba &amp; Coconut Oils - Promotes Breakage Reduction</t>
        </is>
      </c>
      <c r="E930" s="2">
        <f>HYPERLINK("https://www.amazon.com/DESERT-ESSENCE-Anti-breakage-Conditioner-10/dp/B0768QNC5G/ref=sr_1_3?keywords=Desert+Essence+Conditioner+Smoothing%2C+10+Fl+Oz+%28Case+of+2%29&amp;qid=1695170218&amp;sr=8-3", "https://www.amazon.com/DESERT-ESSENCE-Anti-breakage-Conditioner-10/dp/B0768QNC5G/ref=sr_1_3?keywords=Desert+Essence+Conditioner+Smoothing%2C+10+Fl+Oz+%28Case+of+2%29&amp;qid=1695170218&amp;sr=8-3")</f>
        <v/>
      </c>
      <c r="F930" t="inlineStr">
        <is>
          <t>B0768QNC5G</t>
        </is>
      </c>
      <c r="G930">
        <f>_xludf.IMAGE("https://www.shelhealth.com/cdn/shop/files/desert-essence-conditioner-smoothing-10-fl-oz-case-of-2-beauty-body-care-shelhealth-630.jpg?v=1686194927&amp;width=1946")</f>
        <v/>
      </c>
      <c r="H930">
        <f>_xludf.IMAGE("https://m.media-amazon.com/images/I/71wETm7vqML._AC_UL320_.jpg")</f>
        <v/>
      </c>
      <c r="K930" t="inlineStr">
        <is>
          <t>20.99</t>
        </is>
      </c>
      <c r="L930" t="n">
        <v>12</v>
      </c>
      <c r="M930" s="1" t="inlineStr">
        <is>
          <t>-42.83%</t>
        </is>
      </c>
      <c r="N930" s="3" t="n">
        <v>-42.83</v>
      </c>
      <c r="O930" t="n">
        <v>4.2</v>
      </c>
      <c r="P930" t="n">
        <v>101</v>
      </c>
      <c r="R930" t="inlineStr">
        <is>
          <t>OutOfStock</t>
        </is>
      </c>
      <c r="S930" t="inlineStr">
        <is>
          <t>20.99</t>
        </is>
      </c>
      <c r="T930" t="inlineStr">
        <is>
          <t>7241587392700</t>
        </is>
      </c>
    </row>
    <row r="931" hidden="1" ht="15.75" customHeight="1">
      <c r="A931" s="2">
        <f>HYPERLINK("https://www.shelhealth.com/products/conair-infiniti-pro-11in-flat-iron", "https://www.shelhealth.com/products/conair-infiniti-pro-11in-flat-iron")</f>
        <v/>
      </c>
      <c r="B931" s="2">
        <f>HYPERLINK("https://www.shelhealth.com/products/conair-infiniti-pro-11in-flat-iron", "https://www.shelhealth.com/products/conair-infiniti-pro-11in-flat-iron")</f>
        <v/>
      </c>
      <c r="C931" t="inlineStr">
        <is>
          <t>Conair Infiniti Pro 11in. Flat Iron</t>
        </is>
      </c>
      <c r="D931" t="inlineStr">
        <is>
          <t>INFINITIPRO BY CONAIR Tourmaline Ceramic Flat Iron, 1-inch</t>
        </is>
      </c>
      <c r="E931" s="2">
        <f>HYPERLINK("https://www.amazon.com/INFINITIPRO-CONAIR-Tourmaline-Ceramic-1-inch/dp/B004INQ65S/ref=sr_1_3?keywords=Conair+Infiniti+Pro+11in.+Flat+Iron&amp;qid=1695170251&amp;sr=8-3", "https://www.amazon.com/INFINITIPRO-CONAIR-Tourmaline-Ceramic-1-inch/dp/B004INQ65S/ref=sr_1_3?keywords=Conair+Infiniti+Pro+11in.+Flat+Iron&amp;qid=1695170251&amp;sr=8-3")</f>
        <v/>
      </c>
      <c r="F931" t="inlineStr">
        <is>
          <t>B004INQ65S</t>
        </is>
      </c>
      <c r="G931">
        <f>_xludf.IMAGE("https://www.shelhealth.com/cdn/shop/products/conair-infiniti-pro-11in-flat-iron-shelhealth-337.jpg?v=1663343304&amp;width=1946")</f>
        <v/>
      </c>
      <c r="H931">
        <f>_xludf.IMAGE("https://m.media-amazon.com/images/I/61A3QDIE3CL._AC_UL320_.jpg")</f>
        <v/>
      </c>
      <c r="K931" t="inlineStr">
        <is>
          <t>43.99</t>
        </is>
      </c>
      <c r="L931" t="n">
        <v>24.97</v>
      </c>
      <c r="M931" s="1" t="inlineStr">
        <is>
          <t>-43.24%</t>
        </is>
      </c>
      <c r="N931" s="3" t="n">
        <v>-43.24</v>
      </c>
      <c r="O931" t="n">
        <v>4.5</v>
      </c>
      <c r="P931" t="n">
        <v>7644</v>
      </c>
      <c r="R931" t="inlineStr">
        <is>
          <t>OutOfStock</t>
        </is>
      </c>
      <c r="S931" t="inlineStr">
        <is>
          <t>43.99</t>
        </is>
      </c>
      <c r="T931" t="inlineStr">
        <is>
          <t>3820080267316</t>
        </is>
      </c>
    </row>
    <row r="932" hidden="1" ht="15.75" customHeight="1">
      <c r="A932" s="2">
        <f>HYPERLINK("https://www.shelhealth.com/products/724742001278-alba-botanica-shampoo-coconut-drink-it-up-32-oz", "https://www.shelhealth.com/products/724742001278-alba-botanica-shampoo-coconut-drink-it-up-32-oz")</f>
        <v/>
      </c>
      <c r="B932" s="2">
        <f>HYPERLINK("https://www.shelhealth.com/products/724742001278-alba-botanica-shampoo-coconut-drink-it-up-32-oz", "https://www.shelhealth.com/products/724742001278-alba-botanica-shampoo-coconut-drink-it-up-32-oz")</f>
        <v/>
      </c>
      <c r="C932" t="inlineStr">
        <is>
          <t>Alba Botanica Shampoo Coconut Drink It Up, 32 Oz</t>
        </is>
      </c>
      <c r="D932" t="inlineStr">
        <is>
          <t>Alba Botanica Natural Hawaiian Shampoo Drink It Up Coconut Milk - 12 fl oz</t>
        </is>
      </c>
      <c r="E932" s="2">
        <f>HYPERLINK("https://www.amazon.com/Alba-Botanica-Natural-Hawaiian-Shampoo/dp/B072QVM51H/ref=sr_1_2?keywords=Alba+Botanica+Shampoo+Coconut+Drink+It+Up%2C+32+Oz&amp;qid=1695170184&amp;sr=8-2", "https://www.amazon.com/Alba-Botanica-Natural-Hawaiian-Shampoo/dp/B072QVM51H/ref=sr_1_2?keywords=Alba+Botanica+Shampoo+Coconut+Drink+It+Up%2C+32+Oz&amp;qid=1695170184&amp;sr=8-2")</f>
        <v/>
      </c>
      <c r="F932" t="inlineStr">
        <is>
          <t>B072QVM51H</t>
        </is>
      </c>
      <c r="G932">
        <f>_xludf.IMAGE("https://www.shelhealth.com/cdn/shop/files/alba-botanica-shampoo-coconut-drink-it-up-32-oz-beauty-body-care-shelhealth-495.jpg?v=1686520988&amp;width=1946")</f>
        <v/>
      </c>
      <c r="H932">
        <f>_xludf.IMAGE("https://m.media-amazon.com/images/I/61HVScGmFiL._AC_UL320_.jpg")</f>
        <v/>
      </c>
      <c r="K932" t="inlineStr">
        <is>
          <t>19.99</t>
        </is>
      </c>
      <c r="L932" t="n">
        <v>11.31</v>
      </c>
      <c r="M932" s="1" t="inlineStr">
        <is>
          <t>-43.42%</t>
        </is>
      </c>
      <c r="N932" s="3" t="n">
        <v>-43.42</v>
      </c>
      <c r="O932" t="n">
        <v>5</v>
      </c>
      <c r="P932" t="n">
        <v>11</v>
      </c>
      <c r="R932" t="inlineStr">
        <is>
          <t>InStock</t>
        </is>
      </c>
      <c r="S932" t="inlineStr">
        <is>
          <t>19.99</t>
        </is>
      </c>
      <c r="T932" t="inlineStr">
        <is>
          <t>7241433612476</t>
        </is>
      </c>
    </row>
    <row r="933" hidden="1" ht="15.75" customHeight="1">
      <c r="A933" s="2">
        <f>HYPERLINK("https://www.shelhealth.com/products/herbal-essences-hello-hydration-conditioner-40-fl-oz", "https://www.shelhealth.com/products/herbal-essences-hello-hydration-conditioner-40-fl-oz")</f>
        <v/>
      </c>
      <c r="B933" s="2">
        <f>HYPERLINK("https://www.shelhealth.com/products/herbal-essences-hello-hydration-conditioner-40-fl-oz", "https://www.shelhealth.com/products/herbal-essences-hello-hydration-conditioner-40-fl-oz")</f>
        <v/>
      </c>
      <c r="C933" t="inlineStr">
        <is>
          <t>Herbal Essences Hello Hydration Conditioner (40 Fl Oz),</t>
        </is>
      </c>
      <c r="D933" t="inlineStr">
        <is>
          <t>Herbal Essences Hello Hydration Moisturizing Hair Conditioner 10.1 Fl Oz</t>
        </is>
      </c>
      <c r="E933" s="2">
        <f>HYPERLINK("https://www.amazon.com/Herbal-Essences-Hydration-Moisturizing-Conditioner/dp/B000Q68XG6/ref=sr_1_6?keywords=Herbal+Essences+Hello+Hydration+Conditioner+%2840+Fl+Oz%29%2C&amp;qid=1695170163&amp;sr=8-6", "https://www.amazon.com/Herbal-Essences-Hydration-Moisturizing-Conditioner/dp/B000Q68XG6/ref=sr_1_6?keywords=Herbal+Essences+Hello+Hydration+Conditioner+%2840+Fl+Oz%29%2C&amp;qid=1695170163&amp;sr=8-6")</f>
        <v/>
      </c>
      <c r="F933" t="inlineStr">
        <is>
          <t>B000Q68XG6</t>
        </is>
      </c>
      <c r="G933">
        <f>_xludf.IMAGE("https://www.shelhealth.com/cdn/shop/products/herbal-essences-hello-hydration-conditioner-40-fl-oz-essence-shelhealth-917.jpg?v=1663349969&amp;width=1946")</f>
        <v/>
      </c>
      <c r="H933">
        <f>_xludf.IMAGE("https://m.media-amazon.com/images/I/81SGoVe5OzL._AC_UL320_.jpg")</f>
        <v/>
      </c>
      <c r="K933" t="inlineStr">
        <is>
          <t>15.99</t>
        </is>
      </c>
      <c r="L933" t="n">
        <v>9</v>
      </c>
      <c r="M933" s="1" t="inlineStr">
        <is>
          <t>-43.71%</t>
        </is>
      </c>
      <c r="N933" s="3" t="n">
        <v>-43.71</v>
      </c>
      <c r="O933" t="n">
        <v>4.6</v>
      </c>
      <c r="P933" t="n">
        <v>148</v>
      </c>
      <c r="R933" t="inlineStr">
        <is>
          <t>InStock</t>
        </is>
      </c>
      <c r="S933" t="inlineStr">
        <is>
          <t>15.99</t>
        </is>
      </c>
      <c r="T933" t="inlineStr">
        <is>
          <t>3853302104116</t>
        </is>
      </c>
    </row>
    <row r="934" hidden="1" ht="15.75" customHeight="1">
      <c r="A934" s="2">
        <f>HYPERLINK("https://www.shelhealth.com/products/orlando-pita-play-smoothing-shampoo-conditioner-set-2-x-27-fl-oz", "https://www.shelhealth.com/products/orlando-pita-play-smoothing-shampoo-conditioner-set-2-x-27-fl-oz")</f>
        <v/>
      </c>
      <c r="B934" s="2">
        <f>HYPERLINK("https://www.shelhealth.com/products/orlando-pita-play-smoothing-shampoo-conditioner-set-2-x-27-fl-oz", "https://www.shelhealth.com/products/orlando-pita-play-smoothing-shampoo-conditioner-set-2-x-27-fl-oz")</f>
        <v/>
      </c>
      <c r="C934" t="inlineStr">
        <is>
          <t>Orlando Pita play Smoothing Shampoo &amp; Conditioner Set , 2 x 27 fl. oz.</t>
        </is>
      </c>
      <c r="D934" t="inlineStr">
        <is>
          <t>ORLANDO PITA PLAY Salon Size Smoothing Pearl Foam Shampoo &amp; Silk Slip Conditioner Set for Textured, Damaged or Color-Treated Hair, Maintains Moisture, Amplifies Shine &amp; Enhances Softness, 27 Fl. Oz. Each</t>
        </is>
      </c>
      <c r="E934" s="2">
        <f>HYPERLINK("https://www.amazon.com/ORLANDO-PITA-PLAY-Smoothing-Conditioner/dp/B08TM83ZCG/ref=sr_1_1?keywords=Orlando+Pita+play+Smoothing+Shampoo+%26+Conditioner+Set+%2C+2+x+27+fl.+oz.&amp;qid=1695170188&amp;sr=8-1", "https://www.amazon.com/ORLANDO-PITA-PLAY-Smoothing-Conditioner/dp/B08TM83ZCG/ref=sr_1_1?keywords=Orlando+Pita+play+Smoothing+Shampoo+%26+Conditioner+Set+%2C+2+x+27+fl.+oz.&amp;qid=1695170188&amp;sr=8-1")</f>
        <v/>
      </c>
      <c r="F934" t="inlineStr">
        <is>
          <t>B08TM83ZCG</t>
        </is>
      </c>
      <c r="G934">
        <f>_xludf.IMAGE("https://www.shelhealth.com/cdn/shop/products/orlando-pita-play-smoothing-shampoo-conditioner-set-2-x-27-fl-oz-shelhealth-996.jpg?v=1663371328&amp;width=1946")</f>
        <v/>
      </c>
      <c r="H934">
        <f>_xludf.IMAGE("https://m.media-amazon.com/images/I/61ZMM3FmrXL._AC_UL320_.jpg")</f>
        <v/>
      </c>
      <c r="K934" t="inlineStr">
        <is>
          <t>38.99</t>
        </is>
      </c>
      <c r="L934" t="n">
        <v>21.68</v>
      </c>
      <c r="M934" s="1" t="inlineStr">
        <is>
          <t>-44.40%</t>
        </is>
      </c>
      <c r="N934" s="3" t="n">
        <v>-44.4</v>
      </c>
      <c r="O934" t="n">
        <v>4.4</v>
      </c>
      <c r="P934" t="n">
        <v>168</v>
      </c>
      <c r="R934" t="inlineStr">
        <is>
          <t>OutOfStock</t>
        </is>
      </c>
      <c r="S934" t="inlineStr">
        <is>
          <t>38.99</t>
        </is>
      </c>
      <c r="T934" t="inlineStr">
        <is>
          <t>4674032009305</t>
        </is>
      </c>
    </row>
    <row r="935" hidden="1" ht="15.75" customHeight="1">
      <c r="A935" s="2">
        <f>HYPERLINK("https://www.shelhealth.com/products/shea-moisture-boosting-conditioner-34-fl-oz", "https://www.shelhealth.com/products/shea-moisture-boosting-conditioner-34-fl-oz")</f>
        <v/>
      </c>
      <c r="B935" s="2">
        <f>HYPERLINK("https://www.shelhealth.com/products/shea-moisture-boosting-conditioner-34-fl-oz", "https://www.shelhealth.com/products/shea-moisture-boosting-conditioner-34-fl-oz")</f>
        <v/>
      </c>
      <c r="C935" t="inlineStr">
        <is>
          <t>Shea Moisture Boosting Conditioner, 34 fl oz.</t>
        </is>
      </c>
      <c r="D935" t="inlineStr">
        <is>
          <t>Shea Moisture Hair Conditioner Curly Hair Products, Coconut &amp; Hibiscus Curl &amp; Shine Conditioner, Shea Butter, Coconut Oil, Vitamin E &amp; Neem Oil, Frizz Control, Family Size, 16 Fl Oz Ea</t>
        </is>
      </c>
      <c r="E935" s="2">
        <f>HYPERLINK("https://www.amazon.com/SheaMoisture-Coconut-Hibiscus-Shine-Conditioner/dp/B0118PVYPK/ref=sr_1_10?keywords=Shea+Moisture+Boosting+Conditioner%2C+34+fl+oz.&amp;qid=1695170206&amp;sr=8-10", "https://www.amazon.com/SheaMoisture-Coconut-Hibiscus-Shine-Conditioner/dp/B0118PVYPK/ref=sr_1_10?keywords=Shea+Moisture+Boosting+Conditioner%2C+34+fl+oz.&amp;qid=1695170206&amp;sr=8-10")</f>
        <v/>
      </c>
      <c r="F935" t="inlineStr">
        <is>
          <t>B0118PVYPK</t>
        </is>
      </c>
      <c r="G935">
        <f>_xludf.IMAGE("https://www.shelhealth.com/cdn/shop/products/shea-moisture-boosting-conditioner-34-fl-oz-shelhealth-540.jpg?v=1665519157&amp;width=1946")</f>
        <v/>
      </c>
      <c r="H935">
        <f>_xludf.IMAGE("https://m.media-amazon.com/images/I/51iszoOKxuL._AC_UL320_.jpg")</f>
        <v/>
      </c>
      <c r="K935" t="inlineStr">
        <is>
          <t>26.99</t>
        </is>
      </c>
      <c r="L935" t="n">
        <v>14.99</v>
      </c>
      <c r="M935" s="1" t="inlineStr">
        <is>
          <t>-44.46%</t>
        </is>
      </c>
      <c r="N935" s="3" t="n">
        <v>-44.46</v>
      </c>
      <c r="O935" t="n">
        <v>4.6</v>
      </c>
      <c r="P935" t="n">
        <v>1371</v>
      </c>
      <c r="R935" t="inlineStr">
        <is>
          <t>InStock</t>
        </is>
      </c>
      <c r="S935" t="inlineStr">
        <is>
          <t>26.99</t>
        </is>
      </c>
      <c r="T935" t="inlineStr">
        <is>
          <t>8007319257320</t>
        </is>
      </c>
    </row>
    <row r="936" hidden="1" ht="15.75" customHeight="1">
      <c r="A936" s="2">
        <f>HYPERLINK("https://www.shelhealth.com/products/organic-root-stimulator-olive-oil-hair-lotion-8-5-oz", "https://www.shelhealth.com/products/organic-root-stimulator-olive-oil-hair-lotion-8-5-oz")</f>
        <v/>
      </c>
      <c r="B936" s="2">
        <f>HYPERLINK("https://www.shelhealth.com/products/organic-root-stimulator-olive-oil-hair-lotion-8-5-oz", "https://www.shelhealth.com/products/organic-root-stimulator-olive-oil-hair-lotion-8-5-oz")</f>
        <v/>
      </c>
      <c r="C936" t="inlineStr">
        <is>
          <t>Organic Root Stimulator Olive Oil Hair Lotion 8.5 oz.</t>
        </is>
      </c>
      <c r="D936" t="inlineStr">
        <is>
          <t>Organic Root Stimulator Olive Oil Moisturizing Hair Lotion, 8.5 Fl Oz (11079)</t>
        </is>
      </c>
      <c r="E936" s="2">
        <f>HYPERLINK("https://www.amazon.com/Organic-Root-Stimulator-Moisturizing-Lotion/dp/B0040QHF3U/ref=sr_1_1?keywords=Organic+Root+Stimulator+Olive+Oil+Hair+Lotion+8.5+oz.&amp;qid=1695170249&amp;sr=8-1", "https://www.amazon.com/Organic-Root-Stimulator-Moisturizing-Lotion/dp/B0040QHF3U/ref=sr_1_1?keywords=Organic+Root+Stimulator+Olive+Oil+Hair+Lotion+8.5+oz.&amp;qid=1695170249&amp;sr=8-1")</f>
        <v/>
      </c>
      <c r="F936" t="inlineStr">
        <is>
          <t>B0040QHF3U</t>
        </is>
      </c>
      <c r="G936">
        <f>_xludf.IMAGE("https://www.shelhealth.com/cdn/shop/products/organic-root-stimulator-olive-oil-hair-lotion-8-5-oz-ors-shelhealth-781.jpg?v=1663350057&amp;width=1946")</f>
        <v/>
      </c>
      <c r="H936">
        <f>_xludf.IMAGE("https://m.media-amazon.com/images/I/51zUcf4Lv7L._AC_UL320_.jpg")</f>
        <v/>
      </c>
      <c r="K936" t="inlineStr">
        <is>
          <t>8.99</t>
        </is>
      </c>
      <c r="L936" t="n">
        <v>4.99</v>
      </c>
      <c r="M936" s="1" t="inlineStr">
        <is>
          <t>-44.49%</t>
        </is>
      </c>
      <c r="N936" s="3" t="n">
        <v>-44.49</v>
      </c>
      <c r="O936" t="n">
        <v>4.5</v>
      </c>
      <c r="P936" t="n">
        <v>217</v>
      </c>
      <c r="R936" t="inlineStr">
        <is>
          <t>InStock</t>
        </is>
      </c>
      <c r="S936" t="inlineStr">
        <is>
          <t>8.99</t>
        </is>
      </c>
      <c r="T936" t="inlineStr">
        <is>
          <t>4045856571444</t>
        </is>
      </c>
    </row>
    <row r="937" hidden="1" ht="15.75" customHeight="1">
      <c r="A937" s="2">
        <f>HYPERLINK("https://www.shelhealth.com/products/654749351680-avalon-organics-conditioner-lavender-vsize-32-oz", "https://www.shelhealth.com/products/654749351680-avalon-organics-conditioner-lavender-vsize-32-oz")</f>
        <v/>
      </c>
      <c r="B937" s="2">
        <f>HYPERLINK("https://www.shelhealth.com/products/654749351680-avalon-organics-conditioner-lavender-vsize-32-oz", "https://www.shelhealth.com/products/654749351680-avalon-organics-conditioner-lavender-vsize-32-oz")</f>
        <v/>
      </c>
      <c r="C937" t="inlineStr">
        <is>
          <t>Avalon Organics Conditioner Lavender Vsize, 32 Oz</t>
        </is>
      </c>
      <c r="D937" t="inlineStr">
        <is>
          <t>Avalon Organics Conditioner, Nourishing Lavender, 32 Oz</t>
        </is>
      </c>
      <c r="E937" s="2">
        <f>HYPERLINK("https://www.amazon.com/Avalon-Organics-Nourishing-Lavender-Conditioner/dp/B00BLH6D7A/ref=sr_1_5?keywords=avalon+organics+conditioner+lavender+size%2C+32+oz&amp;qid=1695170216&amp;sr=8-5", "https://www.amazon.com/Avalon-Organics-Nourishing-Lavender-Conditioner/dp/B00BLH6D7A/ref=sr_1_5?keywords=avalon+organics+conditioner+lavender+size%2C+32+oz&amp;qid=1695170216&amp;sr=8-5")</f>
        <v/>
      </c>
      <c r="F937" t="inlineStr">
        <is>
          <t>B00BLH6D7A</t>
        </is>
      </c>
      <c r="G937">
        <f>_xludf.IMAGE("https://www.shelhealth.com/cdn/shop/files/avalon-organics-conditioner-lavender-vsize-32-oz-beauty-body-care-shelhealth-367.jpg?v=1687409190&amp;width=1946")</f>
        <v/>
      </c>
      <c r="H937">
        <f>_xludf.IMAGE("https://m.media-amazon.com/images/I/617A5fGMYkL._AC_UL320_.jpg")</f>
        <v/>
      </c>
      <c r="K937" t="inlineStr">
        <is>
          <t>21.99</t>
        </is>
      </c>
      <c r="L937" t="n">
        <v>12.18</v>
      </c>
      <c r="M937" s="1" t="inlineStr">
        <is>
          <t>-44.61%</t>
        </is>
      </c>
      <c r="N937" s="3" t="n">
        <v>-44.61</v>
      </c>
      <c r="O937" t="n">
        <v>4</v>
      </c>
      <c r="P937" t="n">
        <v>2245</v>
      </c>
      <c r="R937" t="inlineStr">
        <is>
          <t>InStock</t>
        </is>
      </c>
      <c r="S937" t="inlineStr">
        <is>
          <t>21.99</t>
        </is>
      </c>
      <c r="T937" t="inlineStr">
        <is>
          <t>7241470345404</t>
        </is>
      </c>
    </row>
    <row r="938" hidden="1" ht="15.75" customHeight="1">
      <c r="A938" s="2">
        <f>HYPERLINK("https://www.shelhealth.com/products/654749351260-avalon-organics-shampoo-nourishing-lavender-32-oz", "https://www.shelhealth.com/products/654749351260-avalon-organics-shampoo-nourishing-lavender-32-oz")</f>
        <v/>
      </c>
      <c r="B938" s="2">
        <f>HYPERLINK("https://www.shelhealth.com/products/654749351260-avalon-organics-shampoo-nourishing-lavender-32-oz", "https://www.shelhealth.com/products/654749351260-avalon-organics-shampoo-nourishing-lavender-32-oz")</f>
        <v/>
      </c>
      <c r="C938" t="inlineStr">
        <is>
          <t>Avalon Organics Shampoo Nourishing Lavender, 32 Oz</t>
        </is>
      </c>
      <c r="D938" t="inlineStr">
        <is>
          <t>Avalon Organics Conditioner, Nourishing Lavender, 32 Oz</t>
        </is>
      </c>
      <c r="E938" s="2">
        <f>HYPERLINK("https://www.amazon.com/Avalon-Organics-Nourishing-Lavender-Conditioner/dp/B00BLH6D7A/ref=sr_1_2?keywords=Avalon+Organics+Shampoo+Nourishing+Lavender%2C+32+Oz&amp;qid=1695170186&amp;sr=8-2", "https://www.amazon.com/Avalon-Organics-Nourishing-Lavender-Conditioner/dp/B00BLH6D7A/ref=sr_1_2?keywords=Avalon+Organics+Shampoo+Nourishing+Lavender%2C+32+Oz&amp;qid=1695170186&amp;sr=8-2")</f>
        <v/>
      </c>
      <c r="F938" t="inlineStr">
        <is>
          <t>B00BLH6D7A</t>
        </is>
      </c>
      <c r="G938">
        <f>_xludf.IMAGE("https://www.shelhealth.com/cdn/shop/files/avalon-organics-shampoo-nourishing-lavender-32-oz-beauty-body-care-shelhealth-457.jpg?v=1686522170&amp;width=1946")</f>
        <v/>
      </c>
      <c r="H938">
        <f>_xludf.IMAGE("https://m.media-amazon.com/images/I/617A5fGMYkL._AC_UL320_.jpg")</f>
        <v/>
      </c>
      <c r="K938" t="inlineStr">
        <is>
          <t>21.99</t>
        </is>
      </c>
      <c r="L938" t="n">
        <v>12.18</v>
      </c>
      <c r="M938" s="1" t="inlineStr">
        <is>
          <t>-44.61%</t>
        </is>
      </c>
      <c r="N938" s="3" t="n">
        <v>-44.61</v>
      </c>
      <c r="O938" t="n">
        <v>4</v>
      </c>
      <c r="P938" t="n">
        <v>2245</v>
      </c>
      <c r="R938" t="inlineStr">
        <is>
          <t>InStock</t>
        </is>
      </c>
      <c r="S938" t="inlineStr">
        <is>
          <t>21.99</t>
        </is>
      </c>
      <c r="T938" t="inlineStr">
        <is>
          <t>7241472377020</t>
        </is>
      </c>
    </row>
    <row r="939" hidden="1" ht="15.75" customHeight="1">
      <c r="A939" s="2">
        <f>HYPERLINK("https://www.shelhealth.com/products/654749361290-avalon-organics-conditioner-tea-tree-32-oz", "https://www.shelhealth.com/products/654749361290-avalon-organics-conditioner-tea-tree-32-oz")</f>
        <v/>
      </c>
      <c r="B939" s="2">
        <f>HYPERLINK("https://www.shelhealth.com/products/654749361290-avalon-organics-conditioner-tea-tree-32-oz", "https://www.shelhealth.com/products/654749361290-avalon-organics-conditioner-tea-tree-32-oz")</f>
        <v/>
      </c>
      <c r="C939" t="inlineStr">
        <is>
          <t>Avalon Organics Conditioner Tea Tree, 32 Oz</t>
        </is>
      </c>
      <c r="D939" t="inlineStr">
        <is>
          <t>Avalon Organics Treatment Conditioner Tea Tree Mint - 14 fl oz</t>
        </is>
      </c>
      <c r="E939" s="2">
        <f>HYPERLINK("https://www.amazon.com/Avalon-Organics-Treatment-Conditioner-Tree/dp/B005P0GCMA/ref=sr_1_5?keywords=Avalon+Organics+Conditioner+Tea+Tree%2C+32+Oz&amp;qid=1695170213&amp;sr=8-5", "https://www.amazon.com/Avalon-Organics-Treatment-Conditioner-Tree/dp/B005P0GCMA/ref=sr_1_5?keywords=Avalon+Organics+Conditioner+Tea+Tree%2C+32+Oz&amp;qid=1695170213&amp;sr=8-5")</f>
        <v/>
      </c>
      <c r="F939" t="inlineStr">
        <is>
          <t>B005P0GCMA</t>
        </is>
      </c>
      <c r="G939">
        <f>_xludf.IMAGE("https://www.shelhealth.com/cdn/shop/files/avalon-organics-conditioner-tea-tree-32-oz-beauty-body-care-shelhealth-540.jpg?v=1686522279&amp;width=1946")</f>
        <v/>
      </c>
      <c r="H939">
        <f>_xludf.IMAGE("https://m.media-amazon.com/images/I/71KdqzruiAL._AC_UL320_.jpg")</f>
        <v/>
      </c>
      <c r="K939" t="inlineStr">
        <is>
          <t>18.99</t>
        </is>
      </c>
      <c r="L939" t="n">
        <v>10.5</v>
      </c>
      <c r="M939" s="1" t="inlineStr">
        <is>
          <t>-44.71%</t>
        </is>
      </c>
      <c r="N939" s="3" t="n">
        <v>-44.71</v>
      </c>
      <c r="O939" t="n">
        <v>3.7</v>
      </c>
      <c r="P939" t="n">
        <v>26</v>
      </c>
      <c r="R939" t="inlineStr">
        <is>
          <t>InStock</t>
        </is>
      </c>
      <c r="S939" t="inlineStr">
        <is>
          <t>18.99</t>
        </is>
      </c>
      <c r="T939" t="inlineStr">
        <is>
          <t>7241470476476</t>
        </is>
      </c>
    </row>
    <row r="940" hidden="1" ht="15.75" customHeight="1">
      <c r="A940" s="2">
        <f>HYPERLINK("https://www.shelhealth.com/products/love-beauty-and-planet-murumuru-butter-rose-blooming-color-shampoo-22-oz", "https://www.shelhealth.com/products/love-beauty-and-planet-murumuru-butter-rose-blooming-color-shampoo-22-oz")</f>
        <v/>
      </c>
      <c r="B940" s="2">
        <f>HYPERLINK("https://www.shelhealth.com/products/love-beauty-and-planet-murumuru-butter-rose-blooming-color-shampoo-22-oz", "https://www.shelhealth.com/products/love-beauty-and-planet-murumuru-butter-rose-blooming-color-shampoo-22-oz")</f>
        <v/>
      </c>
      <c r="C940" t="inlineStr">
        <is>
          <t>Love Beauty And Planet Murumuru Butter &amp; Rose Blooming Color Shampoo, 22 oz.</t>
        </is>
      </c>
      <c r="D940" t="inlineStr">
        <is>
          <t>Love Beauty and Planet Shampoo Blooming Color Murumuru Butter &amp; Rose, 22 FL OZ</t>
        </is>
      </c>
      <c r="E940" s="2">
        <f>HYPERLINK("https://www.amazon.com/Love-Beauty-Planet-Blooming-Murumuru/dp/B07Z8FQR9Q/ref=sr_1_3?keywords=Love+Beauty+And+Planet+Murumuru+Butter&amp;qid=1695170247&amp;sr=8-3", "https://www.amazon.com/Love-Beauty-Planet-Blooming-Murumuru/dp/B07Z8FQR9Q/ref=sr_1_3?keywords=Love+Beauty+And+Planet+Murumuru+Butter&amp;qid=1695170247&amp;sr=8-3")</f>
        <v/>
      </c>
      <c r="F940" t="inlineStr">
        <is>
          <t>B07Z8FQR9Q</t>
        </is>
      </c>
      <c r="G940">
        <f>_xludf.IMAGE("https://www.shelhealth.com/cdn/shop/products/love-beauty-and-planet-murumuru-butter-rose-blooming-color-shampoo-22-oz-shelhealth-314.jpg?v=1663355846&amp;width=1946")</f>
        <v/>
      </c>
      <c r="H940">
        <f>_xludf.IMAGE("https://m.media-amazon.com/images/I/71WqWoutg5L._AC_UL320_.jpg")</f>
        <v/>
      </c>
      <c r="K940" t="inlineStr">
        <is>
          <t>17.99</t>
        </is>
      </c>
      <c r="L940" t="n">
        <v>9.94</v>
      </c>
      <c r="M940" s="1" t="inlineStr">
        <is>
          <t>-44.75%</t>
        </is>
      </c>
      <c r="N940" s="3" t="n">
        <v>-44.75</v>
      </c>
      <c r="O940" t="n">
        <v>4.5</v>
      </c>
      <c r="P940" t="n">
        <v>75</v>
      </c>
      <c r="R940" t="inlineStr">
        <is>
          <t>InStock</t>
        </is>
      </c>
      <c r="S940" t="inlineStr">
        <is>
          <t>17.99</t>
        </is>
      </c>
      <c r="T940" t="inlineStr">
        <is>
          <t>4172497518644</t>
        </is>
      </c>
    </row>
    <row r="941" hidden="1" ht="15.75" customHeight="1">
      <c r="A941" s="2">
        <f>HYPERLINK("https://www.shelhealth.com/products/finishing-touch-flawless-facial-hair-remover", "https://www.shelhealth.com/products/finishing-touch-flawless-facial-hair-remover")</f>
        <v/>
      </c>
      <c r="B941" s="2">
        <f>HYPERLINK("https://www.shelhealth.com/products/finishing-touch-flawless-facial-hair-remover", "https://www.shelhealth.com/products/finishing-touch-flawless-facial-hair-remover")</f>
        <v/>
      </c>
      <c r="C941" t="inlineStr">
        <is>
          <t>Finishing Touch Flawless Facial Hair Remover</t>
        </is>
      </c>
      <c r="D941" t="inlineStr">
        <is>
          <t>Finishing Touch Flawless Brows Remover, Electric Eyebrow Razor for Women with LED Light for Instant and Painless Hair Removal</t>
        </is>
      </c>
      <c r="E941" s="2">
        <f>HYPERLINK("https://www.amazon.com/Finishing-Touch-Flawless-Eyebrow-Lavender/dp/B07M9Z5FD8/ref=sr_1_3?keywords=Finishing+Touch+Flawless+Facial+Hair+Remover&amp;qid=1695170242&amp;sr=8-3", "https://www.amazon.com/Finishing-Touch-Flawless-Eyebrow-Lavender/dp/B07M9Z5FD8/ref=sr_1_3?keywords=Finishing+Touch+Flawless+Facial+Hair+Remover&amp;qid=1695170242&amp;sr=8-3")</f>
        <v/>
      </c>
      <c r="F941" t="inlineStr">
        <is>
          <t>B07M9Z5FD8</t>
        </is>
      </c>
      <c r="G941">
        <f>_xludf.IMAGE("https://www.shelhealth.com/cdn/shop/products/finishing-touch-flawless-facial-hair-remover-shelhealth-241.jpg?v=1663620023&amp;width=1946")</f>
        <v/>
      </c>
      <c r="H941">
        <f>_xludf.IMAGE("https://m.media-amazon.com/images/I/61OOthWk-eL._AC_UL320_.jpg")</f>
        <v/>
      </c>
      <c r="K941" t="inlineStr">
        <is>
          <t>24.99</t>
        </is>
      </c>
      <c r="L941" t="n">
        <v>13.8</v>
      </c>
      <c r="M941" s="1" t="inlineStr">
        <is>
          <t>-44.78%</t>
        </is>
      </c>
      <c r="N941" s="3" t="n">
        <v>-44.78</v>
      </c>
      <c r="O941" t="n">
        <v>4.2</v>
      </c>
      <c r="P941" t="n">
        <v>7614</v>
      </c>
      <c r="R941" t="inlineStr">
        <is>
          <t>InStock</t>
        </is>
      </c>
      <c r="S941" t="inlineStr">
        <is>
          <t>24.99</t>
        </is>
      </c>
      <c r="T941" t="inlineStr">
        <is>
          <t>4727992909913</t>
        </is>
      </c>
    </row>
    <row r="942" hidden="1" ht="15.75" customHeight="1">
      <c r="A942" s="2">
        <f>HYPERLINK("https://www.shelhealth.com/products/716237184115-giovanni-cosmetics-2chic-ultra-sleek-shampoo-brazilian-keratin-argan-oil-24-oz", "https://www.shelhealth.com/products/716237184115-giovanni-cosmetics-2chic-ultra-sleek-shampoo-brazilian-keratin-argan-oil-24-oz")</f>
        <v/>
      </c>
      <c r="B942" s="2">
        <f>HYPERLINK("https://www.shelhealth.com/products/716237184115-giovanni-cosmetics-2chic-ultra-sleek-shampoo-brazilian-keratin-argan-oil-24-oz", "https://www.shelhealth.com/products/716237184115-giovanni-cosmetics-2chic-ultra-sleek-shampoo-brazilian-keratin-argan-oil-24-oz")</f>
        <v/>
      </c>
      <c r="C942" t="inlineStr">
        <is>
          <t>Giovanni Cosmetics 2Chic Ultra-Sleek Shampoo Brazilian Keratin &amp; Argan Oil, 24 Oz</t>
        </is>
      </c>
      <c r="D942" t="inlineStr">
        <is>
          <t>GIOVANNI 2chic Ultra-Sleek Shampoo, 8.5 oz. - Brazilian Phyto-Keratin &amp; Moroccan Argan Oil, Anti-Frizz Formula, Coconut, Shea Butter, Pro-Vitamin B5, Color Safe, Paraben Free</t>
        </is>
      </c>
      <c r="E942" s="2">
        <f>HYPERLINK("https://www.amazon.com/GIOVANNI-2chic-Ultra-Sleek-Shampoo-Phyto-Keratin/dp/B0078DXKLI/ref=sr_1_2?keywords=Giovanni+Cosmetics+2Chic+Ultra-Sleek+Shampoo+Brazilian+Keratin&amp;qid=1695170184&amp;sr=8-2", "https://www.amazon.com/GIOVANNI-2chic-Ultra-Sleek-Shampoo-Phyto-Keratin/dp/B0078DXKLI/ref=sr_1_2?keywords=Giovanni+Cosmetics+2Chic+Ultra-Sleek+Shampoo+Brazilian+Keratin&amp;qid=1695170184&amp;sr=8-2")</f>
        <v/>
      </c>
      <c r="F942" t="inlineStr">
        <is>
          <t>B0078DXKLI</t>
        </is>
      </c>
      <c r="G942">
        <f>_xludf.IMAGE("https://www.shelhealth.com/cdn/shop/files/giovanni-cosmetics-2chic-ultra-sleek-shampoo-brazilian-keratin-argan-oil-24-oz-beauty-body-care-shelhealth-161.jpg?v=1690659053&amp;width=1946")</f>
        <v/>
      </c>
      <c r="H942">
        <f>_xludf.IMAGE("https://m.media-amazon.com/images/I/61xIUHk2I6L._AC_UL320_.jpg")</f>
        <v/>
      </c>
      <c r="K942" t="inlineStr">
        <is>
          <t>17.99</t>
        </is>
      </c>
      <c r="L942" t="n">
        <v>9.92</v>
      </c>
      <c r="M942" s="1" t="inlineStr">
        <is>
          <t>-44.86%</t>
        </is>
      </c>
      <c r="N942" s="3" t="n">
        <v>-44.86</v>
      </c>
      <c r="O942" t="n">
        <v>4.4</v>
      </c>
      <c r="P942" t="n">
        <v>254</v>
      </c>
      <c r="R942" t="inlineStr">
        <is>
          <t>InStock</t>
        </is>
      </c>
      <c r="S942" t="inlineStr">
        <is>
          <t>17.99</t>
        </is>
      </c>
      <c r="T942" t="inlineStr">
        <is>
          <t>7241658335420</t>
        </is>
      </c>
    </row>
    <row r="943" hidden="1" ht="15.75" customHeight="1">
      <c r="A943" s="2">
        <f>HYPERLINK("https://www.shelhealth.com/products/654749361269-avalon-organics-thickening-shampoo-biotin-b-complex-therapy-paraben-free-32-oz", "https://www.shelhealth.com/products/654749361269-avalon-organics-thickening-shampoo-biotin-b-complex-therapy-paraben-free-32-oz")</f>
        <v/>
      </c>
      <c r="B943" s="2">
        <f>HYPERLINK("https://www.shelhealth.com/products/654749361269-avalon-organics-thickening-shampoo-biotin-b-complex-therapy-paraben-free-32-oz", "https://www.shelhealth.com/products/654749361269-avalon-organics-thickening-shampoo-biotin-b-complex-therapy-paraben-free-32-oz")</f>
        <v/>
      </c>
      <c r="C943" t="inlineStr">
        <is>
          <t>Avalon Organics Thickening Shampoo Biotin B-Complex Therapy, Paraben Free, 32 Oz</t>
        </is>
      </c>
      <c r="D943" t="inlineStr">
        <is>
          <t>Avalon Organics, Thickening Shampoo, Biotin B-Complex Therapy, 14 fl oz (414 ml)</t>
        </is>
      </c>
      <c r="E943" s="2">
        <f>HYPERLINK("https://www.amazon.com/Avalon-Organics-Thickening-Shampoo-B-Complex/dp/B077MC9T4K/ref=sr_1_6?keywords=Avalon+Organics+Thickening+Shampoo+Biotin+B-Complex+Therapy%2C+Paraben+Free%2C+32+Oz&amp;qid=1695170184&amp;sr=8-6", "https://www.amazon.com/Avalon-Organics-Thickening-Shampoo-B-Complex/dp/B077MC9T4K/ref=sr_1_6?keywords=Avalon+Organics+Thickening+Shampoo+Biotin+B-Complex+Therapy%2C+Paraben+Free%2C+32+Oz&amp;qid=1695170184&amp;sr=8-6")</f>
        <v/>
      </c>
      <c r="F943" t="inlineStr">
        <is>
          <t>B077MC9T4K</t>
        </is>
      </c>
      <c r="G943">
        <f>_xludf.IMAGE("https://www.shelhealth.com/cdn/shop/files/avalon-organics-thickening-shampoo-biotin-b-complex-therapy-paraben-free-32-oz-beauty-body-care-shelhealth-519.jpg?v=1686522173&amp;width=1946")</f>
        <v/>
      </c>
      <c r="H943">
        <f>_xludf.IMAGE("https://m.media-amazon.com/images/I/71TOGqYX+PL._AC_UL320_.jpg")</f>
        <v/>
      </c>
      <c r="K943" t="inlineStr">
        <is>
          <t>21.99</t>
        </is>
      </c>
      <c r="L943" t="n">
        <v>12.06</v>
      </c>
      <c r="M943" s="1" t="inlineStr">
        <is>
          <t>-45.16%</t>
        </is>
      </c>
      <c r="N943" s="3" t="n">
        <v>-45.16</v>
      </c>
      <c r="O943" t="n">
        <v>3.5</v>
      </c>
      <c r="P943" t="n">
        <v>4</v>
      </c>
      <c r="R943" t="inlineStr">
        <is>
          <t>InStock</t>
        </is>
      </c>
      <c r="S943" t="inlineStr">
        <is>
          <t>21.99</t>
        </is>
      </c>
      <c r="T943" t="inlineStr">
        <is>
          <t>7241472868540</t>
        </is>
      </c>
    </row>
    <row r="944" hidden="1" ht="15.75" customHeight="1">
      <c r="A944" s="2">
        <f>HYPERLINK("https://www.shelhealth.com/products/716237185624-giovanni-cosmetics-2chic-frizz-be-gone-polishing-serum-shea-butter-sweet-almond-oil-2-75-oz", "https://www.shelhealth.com/products/716237185624-giovanni-cosmetics-2chic-frizz-be-gone-polishing-serum-shea-butter-sweet-almond-oil-2-75-oz")</f>
        <v/>
      </c>
      <c r="B944" s="2">
        <f>HYPERLINK("https://www.shelhealth.com/products/716237185624-giovanni-cosmetics-2chic-frizz-be-gone-polishing-serum-shea-butter-sweet-almond-oil-2-75-oz", "https://www.shelhealth.com/products/716237185624-giovanni-cosmetics-2chic-frizz-be-gone-polishing-serum-shea-butter-sweet-almond-oil-2-75-oz")</f>
        <v/>
      </c>
      <c r="C944" t="inlineStr">
        <is>
          <t>Giovanni Cosmetics 2Chic Frizz Be Gone Polishing Serum Shea Butter &amp; Sweet Almond Oil, 2.75 Oz (Case of 2)</t>
        </is>
      </c>
      <c r="D944" t="inlineStr">
        <is>
          <t>GIOVANNI 2chic Frizz Be Gone Anti-Frizz Polishing Serum - Anti Frizz Natural Hair Smoothing Formula with Shea Butter &amp; Sweet Almond Oil, No Parabens, Color Safe Hair Oil Serum - 2.75 oz</t>
        </is>
      </c>
      <c r="E944" s="2">
        <f>HYPERLINK("https://www.amazon.com/GIOVANNI-Anti-Frizz-Polishing-Smoothing-Parabens/dp/B073P7NVWL/ref=sr_1_1?keywords=Giovanni+Cosmetics+2Chic+Frizz+Be+Gone+Polishing+Serum+Shea+Butter&amp;qid=1695170195&amp;sr=8-1", "https://www.amazon.com/GIOVANNI-Anti-Frizz-Polishing-Smoothing-Parabens/dp/B073P7NVWL/ref=sr_1_1?keywords=Giovanni+Cosmetics+2Chic+Frizz+Be+Gone+Polishing+Serum+Shea+Butter&amp;qid=1695170195&amp;sr=8-1")</f>
        <v/>
      </c>
      <c r="F944" t="inlineStr">
        <is>
          <t>B073P7NVWL</t>
        </is>
      </c>
      <c r="G944">
        <f>_xludf.IMAGE("https://www.shelhealth.com/cdn/shop/files/giovanni-cosmetics-2chic-frizz-be-gone-polishing-serum-shea-butter-sweet-almond-oil-2-75-oz-case-of-beauty-body-care-shelhealth-418.jpg?v=1686527077&amp;width=1946")</f>
        <v/>
      </c>
      <c r="H944">
        <f>_xludf.IMAGE("https://m.media-amazon.com/images/I/61rCeiAS86L._AC_UL320_.jpg")</f>
        <v/>
      </c>
      <c r="K944" t="inlineStr">
        <is>
          <t>19.99</t>
        </is>
      </c>
      <c r="L944" t="n">
        <v>10.83</v>
      </c>
      <c r="M944" s="1" t="inlineStr">
        <is>
          <t>-45.82%</t>
        </is>
      </c>
      <c r="N944" s="3" t="n">
        <v>-45.82</v>
      </c>
      <c r="O944" t="n">
        <v>4.5</v>
      </c>
      <c r="P944" t="n">
        <v>791</v>
      </c>
      <c r="R944" t="inlineStr">
        <is>
          <t>InStock</t>
        </is>
      </c>
      <c r="S944" t="inlineStr">
        <is>
          <t>19.99</t>
        </is>
      </c>
      <c r="T944" t="inlineStr">
        <is>
          <t>7241656828092</t>
        </is>
      </c>
    </row>
    <row r="945" hidden="1" ht="15.75" customHeight="1">
      <c r="A945" s="2">
        <f>HYPERLINK("https://www.shelhealth.com/products/716237185631-giovanni-cosmetics-2chic-frizz-be-gone-hair-balm-shea-butter-sweet-almond-oil-5-oz", "https://www.shelhealth.com/products/716237185631-giovanni-cosmetics-2chic-frizz-be-gone-hair-balm-shea-butter-sweet-almond-oil-5-oz")</f>
        <v/>
      </c>
      <c r="B945" s="2">
        <f>HYPERLINK("https://www.shelhealth.com/products/716237185631-giovanni-cosmetics-2chic-frizz-be-gone-hair-balm-shea-butter-sweet-almond-oil-5-oz", "https://www.shelhealth.com/products/716237185631-giovanni-cosmetics-2chic-frizz-be-gone-hair-balm-shea-butter-sweet-almond-oil-5-oz")</f>
        <v/>
      </c>
      <c r="C945" t="inlineStr">
        <is>
          <t>Giovanni Cosmetics 2Chic Frizz Be Gone Hair Balm Shea Butter &amp; Sweet Almond Oil, 5 Oz (Case of 2)</t>
        </is>
      </c>
      <c r="D945" t="inlineStr">
        <is>
          <t>GIOVANNI 2chic Frizz Be Gone Anti-Frizz Polishing Serum - Anti Frizz Natural Hair Smoothing Formula with Shea Butter &amp; Sweet Almond Oil, No Parabens, Color Safe Hair Oil Serum - 2.75 oz</t>
        </is>
      </c>
      <c r="E945" s="2">
        <f>HYPERLINK("https://www.amazon.com/GIOVANNI-Anti-Frizz-Polishing-Smoothing-Parabens/dp/B073P7NVWL/ref=sr_1_1?keywords=Giovanni+Cosmetics+2Chic+Frizz+Be+Gone+Hair+Balm+Shea+Butter+%26+Sweet+Almond+Oil%2C+5+Oz+%28Case+of+2%29&amp;qid=1695170210&amp;sr=8-1", "https://www.amazon.com/GIOVANNI-Anti-Frizz-Polishing-Smoothing-Parabens/dp/B073P7NVWL/ref=sr_1_1?keywords=Giovanni+Cosmetics+2Chic+Frizz+Be+Gone+Hair+Balm+Shea+Butter+%26+Sweet+Almond+Oil%2C+5+Oz+%28Case+of+2%29&amp;qid=1695170210&amp;sr=8-1")</f>
        <v/>
      </c>
      <c r="F945" t="inlineStr">
        <is>
          <t>B073P7NVWL</t>
        </is>
      </c>
      <c r="G945">
        <f>_xludf.IMAGE("https://www.shelhealth.com/cdn/shop/files/giovanni-cosmetics-2chic-frizz-be-gone-hair-balm-shea-butter-sweet-almond-oil-5-oz-case-of-2-beauty-body-care-shelhealth-818.jpg?v=1686196334&amp;width=1946")</f>
        <v/>
      </c>
      <c r="H945">
        <f>_xludf.IMAGE("https://m.media-amazon.com/images/I/61rCeiAS86L._AC_UL320_.jpg")</f>
        <v/>
      </c>
      <c r="K945" t="inlineStr">
        <is>
          <t>19.99</t>
        </is>
      </c>
      <c r="L945" t="n">
        <v>10.83</v>
      </c>
      <c r="M945" s="1" t="inlineStr">
        <is>
          <t>-45.82%</t>
        </is>
      </c>
      <c r="N945" s="3" t="n">
        <v>-45.82</v>
      </c>
      <c r="O945" t="n">
        <v>4.5</v>
      </c>
      <c r="P945" t="n">
        <v>791</v>
      </c>
      <c r="R945" t="inlineStr">
        <is>
          <t>OutOfStock</t>
        </is>
      </c>
      <c r="S945" t="inlineStr">
        <is>
          <t>19.99</t>
        </is>
      </c>
      <c r="T945" t="inlineStr">
        <is>
          <t>7241656500412</t>
        </is>
      </c>
    </row>
    <row r="946" hidden="1" ht="15.75" customHeight="1">
      <c r="A946" s="2">
        <f>HYPERLINK("https://www.shelhealth.com/products/finishing-touch-flawless-facial-hair-remover", "https://www.shelhealth.com/products/finishing-touch-flawless-facial-hair-remover")</f>
        <v/>
      </c>
      <c r="B946" s="2">
        <f>HYPERLINK("https://www.shelhealth.com/products/finishing-touch-flawless-facial-hair-remover", "https://www.shelhealth.com/products/finishing-touch-flawless-facial-hair-remover")</f>
        <v/>
      </c>
      <c r="C946" t="inlineStr">
        <is>
          <t>Finishing Touch Flawless Facial Hair Remover</t>
        </is>
      </c>
      <c r="D946" t="inlineStr">
        <is>
          <t>Gen 1 Flawless-Replacement Heads, Facial Hair Remover Replacement Heads, Compatible with Finishing Touch Flawless Facial Hair Removal Tool As Seen On TV, with Cleaning Brush &amp; Case Storage(6 Pack)</t>
        </is>
      </c>
      <c r="E946" s="2">
        <f>HYPERLINK("https://www.amazon.com/Flawless-Replacement-Replacement-Compatible-Finishing-Flawless/dp/B09LHDDNZN/ref=sr_1_10?keywords=Finishing+Touch+Flawless+Facial+Hair+Remover&amp;qid=1695170242&amp;sr=8-10", "https://www.amazon.com/Flawless-Replacement-Replacement-Compatible-Finishing-Flawless/dp/B09LHDDNZN/ref=sr_1_10?keywords=Finishing+Touch+Flawless+Facial+Hair+Remover&amp;qid=1695170242&amp;sr=8-10")</f>
        <v/>
      </c>
      <c r="F946" t="inlineStr">
        <is>
          <t>B09LHDDNZN</t>
        </is>
      </c>
      <c r="G946">
        <f>_xludf.IMAGE("https://www.shelhealth.com/cdn/shop/products/finishing-touch-flawless-facial-hair-remover-shelhealth-241.jpg?v=1663620023&amp;width=1946")</f>
        <v/>
      </c>
      <c r="H946">
        <f>_xludf.IMAGE("https://m.media-amazon.com/images/I/71XTfq70afL._AC_UL320_.jpg")</f>
        <v/>
      </c>
      <c r="K946" t="inlineStr">
        <is>
          <t>24.99</t>
        </is>
      </c>
      <c r="L946" t="n">
        <v>12.99</v>
      </c>
      <c r="M946" s="1" t="inlineStr">
        <is>
          <t>-48.02%</t>
        </is>
      </c>
      <c r="N946" s="3" t="n">
        <v>-48.02</v>
      </c>
      <c r="O946" t="n">
        <v>2.9</v>
      </c>
      <c r="P946" t="n">
        <v>381</v>
      </c>
      <c r="R946" t="inlineStr">
        <is>
          <t>InStock</t>
        </is>
      </c>
      <c r="S946" t="inlineStr">
        <is>
          <t>24.99</t>
        </is>
      </c>
      <c r="T946" t="inlineStr">
        <is>
          <t>4727992909913</t>
        </is>
      </c>
    </row>
    <row r="947" hidden="1" ht="15.75" customHeight="1">
      <c r="A947" s="2">
        <f>HYPERLINK("https://www.shelhealth.com/products/716237181718-giovanni-root-66-max-volume-shampoo-8-5-oz", "https://www.shelhealth.com/products/716237181718-giovanni-root-66-max-volume-shampoo-8-5-oz")</f>
        <v/>
      </c>
      <c r="B947" s="2">
        <f>HYPERLINK("https://www.shelhealth.com/products/716237181718-giovanni-root-66-max-volume-shampoo-8-5-oz", "https://www.shelhealth.com/products/716237181718-giovanni-root-66-max-volume-shampoo-8-5-oz")</f>
        <v/>
      </c>
      <c r="C947" t="inlineStr">
        <is>
          <t>Giovanni Root 66 Max Volume Shampoo, 8.5 Oz (Case of 3)</t>
        </is>
      </c>
      <c r="D947" t="inlineStr">
        <is>
          <t>GIOVANNI Root 66 Max Volume Shampoo-for Fine Lifeless Hair, Color Safe, 8.5 Fl Oz (Pack of 1), 8</t>
        </is>
      </c>
      <c r="E947" s="2">
        <f>HYPERLINK("https://www.amazon.com/GIOVANNI-Root-Shampoo-Lifeless-Color/dp/B002LMIVOM/ref=sr_1_7?keywords=Giovanni+Root+66+Max+Volume+Shampoo%2C+8.5+Oz+%28Case+of+3%29&amp;qid=1695170187&amp;sr=8-7", "https://www.amazon.com/GIOVANNI-Root-Shampoo-Lifeless-Color/dp/B002LMIVOM/ref=sr_1_7?keywords=Giovanni+Root+66+Max+Volume+Shampoo%2C+8.5+Oz+%28Case+of+3%29&amp;qid=1695170187&amp;sr=8-7")</f>
        <v/>
      </c>
      <c r="F947" t="inlineStr">
        <is>
          <t>B002LMIVOM</t>
        </is>
      </c>
      <c r="G947">
        <f>_xludf.IMAGE("https://www.shelhealth.com/cdn/shop/files/giovanni-root-66-max-volume-shampoo-8-5-oz-case-of-3-beauty-body-care-shelhealth-880.jpg?v=1686527324&amp;width=1946")</f>
        <v/>
      </c>
      <c r="H947">
        <f>_xludf.IMAGE("https://m.media-amazon.com/images/I/41h-+t6vWGL._AC_UL320_.jpg")</f>
        <v/>
      </c>
      <c r="K947" t="inlineStr">
        <is>
          <t>27.99</t>
        </is>
      </c>
      <c r="L947" t="n">
        <v>14.53</v>
      </c>
      <c r="M947" s="1" t="inlineStr">
        <is>
          <t>-48.09%</t>
        </is>
      </c>
      <c r="N947" s="3" t="n">
        <v>-48.09</v>
      </c>
      <c r="O947" t="n">
        <v>3.6</v>
      </c>
      <c r="P947" t="n">
        <v>4</v>
      </c>
      <c r="R947" t="inlineStr">
        <is>
          <t>OutOfStock</t>
        </is>
      </c>
      <c r="S947" t="inlineStr">
        <is>
          <t>27.99</t>
        </is>
      </c>
      <c r="T947" t="inlineStr">
        <is>
          <t>7241663545532</t>
        </is>
      </c>
    </row>
    <row r="948" hidden="1" ht="15.75" customHeight="1">
      <c r="A948" s="2">
        <f>HYPERLINK("https://www.shelhealth.com/products/654749361290-avalon-organics-conditioner-tea-tree-32-oz", "https://www.shelhealth.com/products/654749361290-avalon-organics-conditioner-tea-tree-32-oz")</f>
        <v/>
      </c>
      <c r="B948" s="2">
        <f>HYPERLINK("https://www.shelhealth.com/products/654749361290-avalon-organics-conditioner-tea-tree-32-oz", "https://www.shelhealth.com/products/654749361290-avalon-organics-conditioner-tea-tree-32-oz")</f>
        <v/>
      </c>
      <c r="C948" t="inlineStr">
        <is>
          <t>Avalon Organics Conditioner Tea Tree, 32 Oz</t>
        </is>
      </c>
      <c r="D948" t="inlineStr">
        <is>
          <t>Avalon Organics Therapy Scalp Normalizing Conditioner, Tea Tree Mint, 14 Oz</t>
        </is>
      </c>
      <c r="E948" s="2">
        <f>HYPERLINK("https://www.amazon.com/Avalon-Organics-Scalp-Normalizing-Conditioner/dp/B000WCZR90/ref=sr_1_4?keywords=Avalon+Organics+Conditioner+Tea+Tree%2C+32+Oz&amp;qid=1695170213&amp;sr=8-4", "https://www.amazon.com/Avalon-Organics-Scalp-Normalizing-Conditioner/dp/B000WCZR90/ref=sr_1_4?keywords=Avalon+Organics+Conditioner+Tea+Tree%2C+32+Oz&amp;qid=1695170213&amp;sr=8-4")</f>
        <v/>
      </c>
      <c r="F948" t="inlineStr">
        <is>
          <t>B000WCZR90</t>
        </is>
      </c>
      <c r="G948">
        <f>_xludf.IMAGE("https://www.shelhealth.com/cdn/shop/files/avalon-organics-conditioner-tea-tree-32-oz-beauty-body-care-shelhealth-540.jpg?v=1686522279&amp;width=1946")</f>
        <v/>
      </c>
      <c r="H948">
        <f>_xludf.IMAGE("https://m.media-amazon.com/images/I/61rgFXCqB8L._AC_UL320_.jpg")</f>
        <v/>
      </c>
      <c r="K948" t="inlineStr">
        <is>
          <t>18.99</t>
        </is>
      </c>
      <c r="L948" t="n">
        <v>9.85</v>
      </c>
      <c r="M948" s="1" t="inlineStr">
        <is>
          <t>-48.13%</t>
        </is>
      </c>
      <c r="N948" s="3" t="n">
        <v>-48.13</v>
      </c>
      <c r="O948" t="n">
        <v>4</v>
      </c>
      <c r="P948" t="n">
        <v>489</v>
      </c>
      <c r="R948" t="inlineStr">
        <is>
          <t>InStock</t>
        </is>
      </c>
      <c r="S948" t="inlineStr">
        <is>
          <t>18.99</t>
        </is>
      </c>
      <c r="T948" t="inlineStr">
        <is>
          <t>7241470476476</t>
        </is>
      </c>
    </row>
    <row r="949" hidden="1" ht="15.75" customHeight="1">
      <c r="A949" s="2">
        <f>HYPERLINK("https://www.shelhealth.com/products/alba-botanica-drink-it-up-coconut-milk-hawaiian-conditioner-34-oz", "https://www.shelhealth.com/products/alba-botanica-drink-it-up-coconut-milk-hawaiian-conditioner-34-oz")</f>
        <v/>
      </c>
      <c r="B949" s="2">
        <f>HYPERLINK("https://www.shelhealth.com/products/alba-botanica-drink-it-up-coconut-milk-hawaiian-conditioner-34-oz", "https://www.shelhealth.com/products/alba-botanica-drink-it-up-coconut-milk-hawaiian-conditioner-34-oz")</f>
        <v/>
      </c>
      <c r="C949" t="inlineStr">
        <is>
          <t>Alba Botanica Drink It Up Coconut Milk Hawaiian Conditioner, 34 oz.</t>
        </is>
      </c>
      <c r="D949" t="inlineStr">
        <is>
          <t>Alba Botanica Drink It Up Coconut Milk Hawaiian Conditioner, 12 oz. (Packaging May Vary)</t>
        </is>
      </c>
      <c r="E949" s="2">
        <f>HYPERLINK("https://www.amazon.com/Alba-Botanica-Coconut-Hawaiian-Conditioner/dp/B000ZZWAB2/ref=sr_1_1?keywords=Alba+Botanica+Drink+It+Up+Coconut+Milk+Hawaiian+Conditioner%2C+34+oz.&amp;qid=1695170239&amp;sr=8-1", "https://www.amazon.com/Alba-Botanica-Coconut-Hawaiian-Conditioner/dp/B000ZZWAB2/ref=sr_1_1?keywords=Alba+Botanica+Drink+It+Up+Coconut+Milk+Hawaiian+Conditioner%2C+34+oz.&amp;qid=1695170239&amp;sr=8-1")</f>
        <v/>
      </c>
      <c r="F949" t="inlineStr">
        <is>
          <t>B000ZZWAB2</t>
        </is>
      </c>
      <c r="G949">
        <f>_xludf.IMAGE("https://www.shelhealth.com/cdn/shop/products/alba-botanica-drink-it-up-coconut-milk-hawaiian-conditioner-34-oz-shelhealth-953.jpg?v=1663362279&amp;width=1946")</f>
        <v/>
      </c>
      <c r="H949">
        <f>_xludf.IMAGE("https://m.media-amazon.com/images/I/71xKW27ptxL._AC_UL320_.jpg")</f>
        <v/>
      </c>
      <c r="K949" t="inlineStr">
        <is>
          <t>21.99</t>
        </is>
      </c>
      <c r="L949" t="n">
        <v>11.17</v>
      </c>
      <c r="M949" s="1" t="inlineStr">
        <is>
          <t>-49.20%</t>
        </is>
      </c>
      <c r="N949" s="3" t="n">
        <v>-49.2</v>
      </c>
      <c r="O949" t="n">
        <v>4.6</v>
      </c>
      <c r="P949" t="n">
        <v>4196</v>
      </c>
      <c r="R949" t="inlineStr">
        <is>
          <t>InStock</t>
        </is>
      </c>
      <c r="S949" t="inlineStr">
        <is>
          <t>21.99</t>
        </is>
      </c>
      <c r="T949" t="inlineStr">
        <is>
          <t>4440158339161</t>
        </is>
      </c>
    </row>
    <row r="950" hidden="1" ht="15.75" customHeight="1">
      <c r="A950" s="2">
        <f>HYPERLINK("https://www.shelhealth.com/products/orlando-pita-play-smoothing-shampoo-conditioner-set-2-x-27-fl-oz", "https://www.shelhealth.com/products/orlando-pita-play-smoothing-shampoo-conditioner-set-2-x-27-fl-oz")</f>
        <v/>
      </c>
      <c r="B950" s="2">
        <f>HYPERLINK("https://www.shelhealth.com/products/orlando-pita-play-smoothing-shampoo-conditioner-set-2-x-27-fl-oz", "https://www.shelhealth.com/products/orlando-pita-play-smoothing-shampoo-conditioner-set-2-x-27-fl-oz")</f>
        <v/>
      </c>
      <c r="C950" t="inlineStr">
        <is>
          <t>Orlando Pita play Smoothing Shampoo &amp; Conditioner Set , 2 x 27 fl. oz.</t>
        </is>
      </c>
      <c r="D950" t="inlineStr">
        <is>
          <t>ORLANDO PITA PLAY Salon Size Pearl Foam Smoothing Shampoo for Textured, Damaged or Color-Treated Hair, Maintains Moisture, Enhances Shine, &amp; Removes Buildup, 27 Fl. Oz.</t>
        </is>
      </c>
      <c r="E950" s="2">
        <f>HYPERLINK("https://www.amazon.com/ORLANDO-PITA-PLAY-Smoothing-Maintains/dp/B08YJV22B6/ref=sr_1_10?keywords=Orlando+Pita+play+Smoothing+Shampoo+%26+Conditioner+Set+%2C+2+x+27+fl.+oz.&amp;qid=1695170188&amp;sr=8-10", "https://www.amazon.com/ORLANDO-PITA-PLAY-Smoothing-Maintains/dp/B08YJV22B6/ref=sr_1_10?keywords=Orlando+Pita+play+Smoothing+Shampoo+%26+Conditioner+Set+%2C+2+x+27+fl.+oz.&amp;qid=1695170188&amp;sr=8-10")</f>
        <v/>
      </c>
      <c r="F950" t="inlineStr">
        <is>
          <t>B08YJV22B6</t>
        </is>
      </c>
      <c r="G950">
        <f>_xludf.IMAGE("https://www.shelhealth.com/cdn/shop/products/orlando-pita-play-smoothing-shampoo-conditioner-set-2-x-27-fl-oz-shelhealth-996.jpg?v=1663371328&amp;width=1946")</f>
        <v/>
      </c>
      <c r="H950">
        <f>_xludf.IMAGE("https://m.media-amazon.com/images/I/61itXUQF3tL._AC_UL320_.jpg")</f>
        <v/>
      </c>
      <c r="K950" t="inlineStr">
        <is>
          <t>38.99</t>
        </is>
      </c>
      <c r="L950" t="n">
        <v>19.49</v>
      </c>
      <c r="M950" s="1" t="inlineStr">
        <is>
          <t>-50.01%</t>
        </is>
      </c>
      <c r="N950" s="3" t="n">
        <v>-50.01</v>
      </c>
      <c r="O950" t="n">
        <v>4.5</v>
      </c>
      <c r="P950" t="n">
        <v>21</v>
      </c>
      <c r="R950" t="inlineStr">
        <is>
          <t>OutOfStock</t>
        </is>
      </c>
      <c r="S950" t="inlineStr">
        <is>
          <t>38.99</t>
        </is>
      </c>
      <c r="T950" t="inlineStr">
        <is>
          <t>4674032009305</t>
        </is>
      </c>
    </row>
    <row r="951" hidden="1" ht="15.75" customHeight="1">
      <c r="A951" s="2">
        <f>HYPERLINK("https://www.shelhealth.com/products/716237183705-giovanni-cosmetics-ultra-sleek-hair-body-super-potion-brazilian-keratin-argan-oil-1-8-oz", "https://www.shelhealth.com/products/716237183705-giovanni-cosmetics-ultra-sleek-hair-body-super-potion-brazilian-keratin-argan-oil-1-8-oz")</f>
        <v/>
      </c>
      <c r="B951" s="2">
        <f>HYPERLINK("https://www.shelhealth.com/products/716237183705-giovanni-cosmetics-ultra-sleek-hair-body-super-potion-brazilian-keratin-argan-oil-1-8-oz", "https://www.shelhealth.com/products/716237183705-giovanni-cosmetics-ultra-sleek-hair-body-super-potion-brazilian-keratin-argan-oil-1-8-oz")</f>
        <v/>
      </c>
      <c r="C951" t="inlineStr">
        <is>
          <t>Giovanni Cosmetics Ultra-Sleek Hair &amp; Body Super Potion Brazilian Keratin &amp; Argan Oil, 1.8 Oz (Case of 3)</t>
        </is>
      </c>
      <c r="D951" t="inlineStr">
        <is>
          <t>GIOVANNI 2chic Ultra-Sleek Hair Super Body Potion - Brazilian Phyto-Keratin, Moroccan Argan Oil for Hair, Smoothing &amp; Nourishing Formula, Hair Oil Serum, Helps Reduce Frizz - 1.8 oz</t>
        </is>
      </c>
      <c r="E951" s="2">
        <f>HYPERLINK("https://www.amazon.com/GIOVANNI-2chic-Ultra-Sleek-Super-Potion/dp/B0078DV1XW/ref=sr_1_2?keywords=Giovanni+Cosmetics+Ultra-Sleek+Hair&amp;qid=1695170207&amp;sr=8-2", "https://www.amazon.com/GIOVANNI-2chic-Ultra-Sleek-Super-Potion/dp/B0078DV1XW/ref=sr_1_2?keywords=Giovanni+Cosmetics+Ultra-Sleek+Hair&amp;qid=1695170207&amp;sr=8-2")</f>
        <v/>
      </c>
      <c r="F951" t="inlineStr">
        <is>
          <t>B0078DV1XW</t>
        </is>
      </c>
      <c r="G951">
        <f>_xludf.IMAGE("https://www.shelhealth.com/cdn/shop/files/giovanni-cosmetics-ultra-sleek-hair-body-super-potion-brazilian-keratin-argan-oil-1-8-oz-case-of-3-beauty-care-shelhealth-785.jpg?v=1686142663&amp;width=1946")</f>
        <v/>
      </c>
      <c r="H951">
        <f>_xludf.IMAGE("https://m.media-amazon.com/images/I/61Guz0SOtmL._AC_UL320_.jpg")</f>
        <v/>
      </c>
      <c r="K951" t="inlineStr">
        <is>
          <t>21.99</t>
        </is>
      </c>
      <c r="L951" t="n">
        <v>10.99</v>
      </c>
      <c r="M951" s="1" t="inlineStr">
        <is>
          <t>-50.02%</t>
        </is>
      </c>
      <c r="N951" s="3" t="n">
        <v>-50.02</v>
      </c>
      <c r="O951" t="n">
        <v>4.2</v>
      </c>
      <c r="P951" t="n">
        <v>226</v>
      </c>
      <c r="R951" t="inlineStr">
        <is>
          <t>OutOfStock</t>
        </is>
      </c>
      <c r="S951" t="inlineStr">
        <is>
          <t>21.99</t>
        </is>
      </c>
      <c r="T951" t="inlineStr">
        <is>
          <t>7241662038204</t>
        </is>
      </c>
    </row>
    <row r="952" hidden="1" ht="15.75" customHeight="1">
      <c r="A952" s="2">
        <f>HYPERLINK("https://www.shelhealth.com/products/herbal-essences-hello-hydration-conditioner-40-fl-oz", "https://www.shelhealth.com/products/herbal-essences-hello-hydration-conditioner-40-fl-oz")</f>
        <v/>
      </c>
      <c r="B952" s="2">
        <f>HYPERLINK("https://www.shelhealth.com/products/herbal-essences-hello-hydration-conditioner-40-fl-oz", "https://www.shelhealth.com/products/herbal-essences-hello-hydration-conditioner-40-fl-oz")</f>
        <v/>
      </c>
      <c r="C952" t="inlineStr">
        <is>
          <t>Herbal Essences Hello Hydration Conditioner (40 Fl Oz),</t>
        </is>
      </c>
      <c r="D952" t="inlineStr">
        <is>
          <t>Herbal Essences Hello Hydration Conditioner Deep Moisture for Hair, 29.2 fl oz</t>
        </is>
      </c>
      <c r="E952" s="2">
        <f>HYPERLINK("https://www.amazon.com/Herbal-Essences-essences-hydration-conditioner/dp/B083JD3NT7/ref=sr_1_1?keywords=Herbal+Essences+Hello+Hydration+Conditioner+%2840+Fl+Oz%29%2C&amp;qid=1695170163&amp;sr=8-1", "https://www.amazon.com/Herbal-Essences-essences-hydration-conditioner/dp/B083JD3NT7/ref=sr_1_1?keywords=Herbal+Essences+Hello+Hydration+Conditioner+%2840+Fl+Oz%29%2C&amp;qid=1695170163&amp;sr=8-1")</f>
        <v/>
      </c>
      <c r="F952" t="inlineStr">
        <is>
          <t>B083JD3NT7</t>
        </is>
      </c>
      <c r="G952">
        <f>_xludf.IMAGE("https://www.shelhealth.com/cdn/shop/products/herbal-essences-hello-hydration-conditioner-40-fl-oz-essence-shelhealth-917.jpg?v=1663349969&amp;width=1946")</f>
        <v/>
      </c>
      <c r="H952">
        <f>_xludf.IMAGE("https://m.media-amazon.com/images/I/714o5QBn1PL._AC_UL320_.jpg")</f>
        <v/>
      </c>
      <c r="K952" t="inlineStr">
        <is>
          <t>15.99</t>
        </is>
      </c>
      <c r="L952" t="n">
        <v>7.97</v>
      </c>
      <c r="M952" s="1" t="inlineStr">
        <is>
          <t>-50.16%</t>
        </is>
      </c>
      <c r="N952" s="3" t="n">
        <v>-50.16</v>
      </c>
      <c r="O952" t="n">
        <v>4.6</v>
      </c>
      <c r="P952" t="n">
        <v>2801</v>
      </c>
      <c r="R952" t="inlineStr">
        <is>
          <t>InStock</t>
        </is>
      </c>
      <c r="S952" t="inlineStr">
        <is>
          <t>15.99</t>
        </is>
      </c>
      <c r="T952" t="inlineStr">
        <is>
          <t>3853302104116</t>
        </is>
      </c>
    </row>
    <row r="953" hidden="1" ht="15.75" customHeight="1">
      <c r="A953" s="2">
        <f>HYPERLINK("https://www.shelhealth.com/products/716237184030-giovanni-cosmetics-2chic-ultra-moist-super-potion-anti-frizz-binding-serum-avocado-olive-oil-1-8-oz", "https://www.shelhealth.com/products/716237184030-giovanni-cosmetics-2chic-ultra-moist-super-potion-anti-frizz-binding-serum-avocado-olive-oil-1-8-oz")</f>
        <v/>
      </c>
      <c r="B953" s="2">
        <f>HYPERLINK("https://www.shelhealth.com/products/716237184030-giovanni-cosmetics-2chic-ultra-moist-super-potion-anti-frizz-binding-serum-avocado-olive-oil-1-8-oz", "https://www.shelhealth.com/products/716237184030-giovanni-cosmetics-2chic-ultra-moist-super-potion-anti-frizz-binding-serum-avocado-olive-oil-1-8-oz")</f>
        <v/>
      </c>
      <c r="C953" t="inlineStr">
        <is>
          <t>Giovanni Cosmetics 2Chic Ultra-Moist Super Potion Anti-Frizz Binding Serum Avocado &amp; Olive Oil, 1.8 Oz (Case of 2)</t>
        </is>
      </c>
      <c r="D953" t="inlineStr">
        <is>
          <t>GIOVANNI 2chic Ultra-Moist Super Potion - Anti Frizz Binding Serum, Prevents Split Ends, Avocado &amp; Olive Oil, Aloe Vera, Shea Butter, Botanical Extracts, No Parabens, Color Safe - 2.75 oz</t>
        </is>
      </c>
      <c r="E953" s="2">
        <f>HYPERLINK("https://www.amazon.com/GIOVANNI-COSMETICS-Ultra-Moist-Potion-Binding/dp/B009V0Z942/ref=sr_1_1?keywords=Giovanni+Cosmetics+2Chic+Ultra-Moist+Super+Potion+Anti-Frizz+Binding+Serum+Avocado&amp;qid=1695170249&amp;sr=8-1", "https://www.amazon.com/GIOVANNI-COSMETICS-Ultra-Moist-Potion-Binding/dp/B009V0Z942/ref=sr_1_1?keywords=Giovanni+Cosmetics+2Chic+Ultra-Moist+Super+Potion+Anti-Frizz+Binding+Serum+Avocado&amp;qid=1695170249&amp;sr=8-1")</f>
        <v/>
      </c>
      <c r="F953" t="inlineStr">
        <is>
          <t>B009V0Z942</t>
        </is>
      </c>
      <c r="G953">
        <f>_xludf.IMAGE("https://www.shelhealth.com/cdn/shop/files/giovanni-cosmetics-2chic-ultra-moist-super-potion-anti-frizz-binding-serum-avocado-olive-oil-1-8-oz-case-of-2-beauty-body-care-shelhealth-370.jpg?v=1687411732&amp;width=1946")</f>
        <v/>
      </c>
      <c r="H953">
        <f>_xludf.IMAGE("https://m.media-amazon.com/images/I/616EGnJkpBL._AC_UL320_.jpg")</f>
        <v/>
      </c>
      <c r="K953" t="inlineStr">
        <is>
          <t>19.99</t>
        </is>
      </c>
      <c r="L953" t="n">
        <v>9.93</v>
      </c>
      <c r="M953" s="1" t="inlineStr">
        <is>
          <t>-50.33%</t>
        </is>
      </c>
      <c r="N953" s="3" t="n">
        <v>-50.33</v>
      </c>
      <c r="O953" t="n">
        <v>4.5</v>
      </c>
      <c r="P953" t="n">
        <v>874</v>
      </c>
      <c r="R953" t="inlineStr">
        <is>
          <t>InStock</t>
        </is>
      </c>
      <c r="S953" t="inlineStr">
        <is>
          <t>19.99</t>
        </is>
      </c>
      <c r="T953" t="inlineStr">
        <is>
          <t>7241657942204</t>
        </is>
      </c>
    </row>
    <row r="954" hidden="1" ht="15.75" customHeight="1">
      <c r="A954" s="2">
        <f>HYPERLINK("https://www.shelhealth.com/products/love-beauty-and-planet-blooming-color-conditioner-for-color-treated-hair-murumuru-butter-rose-22-oz", "https://www.shelhealth.com/products/love-beauty-and-planet-blooming-color-conditioner-for-color-treated-hair-murumuru-butter-rose-22-oz")</f>
        <v/>
      </c>
      <c r="B954" s="2">
        <f>HYPERLINK("https://www.shelhealth.com/products/love-beauty-and-planet-blooming-color-conditioner-for-color-treated-hair-murumuru-butter-rose-22-oz", "https://www.shelhealth.com/products/love-beauty-and-planet-blooming-color-conditioner-for-color-treated-hair-murumuru-butter-rose-22-oz")</f>
        <v/>
      </c>
      <c r="C954" t="inlineStr">
        <is>
          <t>Love Beauty and Planet Conditioner Blooming Color Murumuru Butter &amp; Rose, 22 FL OZ</t>
        </is>
      </c>
      <c r="D954" t="inlineStr">
        <is>
          <t>Love Beauty and Planet Conditioner Blooming Color Murumuru Butter &amp; Rose, 22 FL OZ</t>
        </is>
      </c>
      <c r="E954" s="2">
        <f>HYPERLINK("https://www.amazon.com/Love-Beauty-Planet-Conditioner-Blooming/dp/B07Z8GQW1C/ref=sr_1_1?keywords=Love+Beauty+and+Planet+Conditioner+Blooming+Color+Murumuru+Butter&amp;qid=1695170238&amp;sr=8-1", "https://www.amazon.com/Love-Beauty-Planet-Conditioner-Blooming/dp/B07Z8GQW1C/ref=sr_1_1?keywords=Love+Beauty+and+Planet+Conditioner+Blooming+Color+Murumuru+Butter&amp;qid=1695170238&amp;sr=8-1")</f>
        <v/>
      </c>
      <c r="F954" t="inlineStr">
        <is>
          <t>B07Z8GQW1C</t>
        </is>
      </c>
      <c r="G954">
        <f>_xludf.IMAGE("https://www.shelhealth.com/cdn/shop/products/love-beauty-and-planet-conditioner-blooming-color-murumuru-butter-rose-22-fl-oz-shelhealth-412.jpg?v=1663360343&amp;width=1946")</f>
        <v/>
      </c>
      <c r="H954">
        <f>_xludf.IMAGE("https://m.media-amazon.com/images/I/71FNXSUjnLL._AC_UL320_.jpg")</f>
        <v/>
      </c>
      <c r="K954" t="inlineStr">
        <is>
          <t>16.99</t>
        </is>
      </c>
      <c r="L954" t="n">
        <v>8.41</v>
      </c>
      <c r="M954" s="1" t="inlineStr">
        <is>
          <t>-50.50%</t>
        </is>
      </c>
      <c r="N954" s="3" t="n">
        <v>-50.5</v>
      </c>
      <c r="O954" t="n">
        <v>4.6</v>
      </c>
      <c r="P954" t="n">
        <v>94</v>
      </c>
      <c r="R954" t="inlineStr">
        <is>
          <t>OutOfStock</t>
        </is>
      </c>
      <c r="S954" t="inlineStr">
        <is>
          <t>16.99</t>
        </is>
      </c>
      <c r="T954" t="inlineStr">
        <is>
          <t>4417498546265</t>
        </is>
      </c>
    </row>
    <row r="955" hidden="1" ht="15.75" customHeight="1">
      <c r="A955" s="2">
        <f>HYPERLINK("https://www.shelhealth.com/products/716237185990-giovanni-cosmetics-smooth-as-silk-deep-moisture-shampoo-24-oz", "https://www.shelhealth.com/products/716237185990-giovanni-cosmetics-smooth-as-silk-deep-moisture-shampoo-24-oz")</f>
        <v/>
      </c>
      <c r="B955" s="2">
        <f>HYPERLINK("https://www.shelhealth.com/products/716237185990-giovanni-cosmetics-smooth-as-silk-deep-moisture-shampoo-24-oz", "https://www.shelhealth.com/products/716237185990-giovanni-cosmetics-smooth-as-silk-deep-moisture-shampoo-24-oz")</f>
        <v/>
      </c>
      <c r="C955" t="inlineStr">
        <is>
          <t>Giovanni Cosmetics Smooth As Silk Deep Moisture Shampoo, 24 Oz</t>
        </is>
      </c>
      <c r="D955" t="inlineStr">
        <is>
          <t>Giovanni Cosmetics Eco Chic Smooth as Silk Shampoo Deep Moisture for Damaged Hair, 8.5 Ounce</t>
        </is>
      </c>
      <c r="E955" s="2">
        <f>HYPERLINK("https://www.amazon.com/Giovanni-Cosmetics-Shampoo-Moisture-Damaged/dp/B0011V0QH4/ref=sr_1_5?keywords=Giovanni+Cosmetics+Smooth+As+Silk+Deep+Moisture+Shampoo%2C+24+Oz&amp;qid=1695170188&amp;sr=8-5", "https://www.amazon.com/Giovanni-Cosmetics-Shampoo-Moisture-Damaged/dp/B0011V0QH4/ref=sr_1_5?keywords=Giovanni+Cosmetics+Smooth+As+Silk+Deep+Moisture+Shampoo%2C+24+Oz&amp;qid=1695170188&amp;sr=8-5")</f>
        <v/>
      </c>
      <c r="F955" t="inlineStr">
        <is>
          <t>B0011V0QH4</t>
        </is>
      </c>
      <c r="G955">
        <f>_xludf.IMAGE("https://www.shelhealth.com/cdn/shop/files/giovanni-cosmetics-smooth-as-silk-deep-moisture-shampoo-24-oz-beauty-body-care-shelhealth-965.jpg?v=1686142680&amp;width=1946")</f>
        <v/>
      </c>
      <c r="H955">
        <f>_xludf.IMAGE("https://m.media-amazon.com/images/I/61cC3-uEfSL._AC_UL320_.jpg")</f>
        <v/>
      </c>
      <c r="K955" t="inlineStr">
        <is>
          <t>18.99</t>
        </is>
      </c>
      <c r="L955" t="n">
        <v>9.390000000000001</v>
      </c>
      <c r="M955" s="1" t="inlineStr">
        <is>
          <t>-50.55%</t>
        </is>
      </c>
      <c r="N955" s="3" t="n">
        <v>-50.55</v>
      </c>
      <c r="O955" t="n">
        <v>4.4</v>
      </c>
      <c r="P955" t="n">
        <v>432</v>
      </c>
      <c r="R955" t="inlineStr">
        <is>
          <t>OutOfStock</t>
        </is>
      </c>
      <c r="S955" t="inlineStr">
        <is>
          <t>18.99</t>
        </is>
      </c>
      <c r="T955" t="inlineStr">
        <is>
          <t>7241661350076</t>
        </is>
      </c>
    </row>
    <row r="956" hidden="1" ht="15.75" customHeight="1">
      <c r="A956" s="2">
        <f>HYPERLINK("https://www.shelhealth.com/products/654749361290-avalon-organics-conditioner-tea-tree-32-oz", "https://www.shelhealth.com/products/654749361290-avalon-organics-conditioner-tea-tree-32-oz")</f>
        <v/>
      </c>
      <c r="B956" s="2">
        <f>HYPERLINK("https://www.shelhealth.com/products/654749361290-avalon-organics-conditioner-tea-tree-32-oz", "https://www.shelhealth.com/products/654749361290-avalon-organics-conditioner-tea-tree-32-oz")</f>
        <v/>
      </c>
      <c r="C956" t="inlineStr">
        <is>
          <t>Avalon Organics Conditioner Tea Tree, 32 Oz</t>
        </is>
      </c>
      <c r="D956" t="inlineStr">
        <is>
          <t>Avalon Organics Scalp Treatment Tea Tree Conditioner, 11 oz</t>
        </is>
      </c>
      <c r="E956" s="2">
        <f>HYPERLINK("https://www.amazon.com/Avalon-Organics-Scalp-Treatment-Conditioner/dp/B00JKEECPQ/ref=sr_1_10?keywords=Avalon+Organics+Conditioner+Tea+Tree%2C+32+Oz&amp;qid=1695170213&amp;sr=8-10", "https://www.amazon.com/Avalon-Organics-Scalp-Treatment-Conditioner/dp/B00JKEECPQ/ref=sr_1_10?keywords=Avalon+Organics+Conditioner+Tea+Tree%2C+32+Oz&amp;qid=1695170213&amp;sr=8-10")</f>
        <v/>
      </c>
      <c r="F956" t="inlineStr">
        <is>
          <t>B00JKEECPQ</t>
        </is>
      </c>
      <c r="G956">
        <f>_xludf.IMAGE("https://www.shelhealth.com/cdn/shop/files/avalon-organics-conditioner-tea-tree-32-oz-beauty-body-care-shelhealth-540.jpg?v=1686522279&amp;width=1946")</f>
        <v/>
      </c>
      <c r="H956">
        <f>_xludf.IMAGE("https://m.media-amazon.com/images/I/71JVmfk-2XL._AC_UL320_.jpg")</f>
        <v/>
      </c>
      <c r="K956" t="inlineStr">
        <is>
          <t>18.99</t>
        </is>
      </c>
      <c r="L956" t="n">
        <v>9.18</v>
      </c>
      <c r="M956" s="1" t="inlineStr">
        <is>
          <t>-51.66%</t>
        </is>
      </c>
      <c r="N956" s="3" t="n">
        <v>-51.66</v>
      </c>
      <c r="O956" t="n">
        <v>3.8</v>
      </c>
      <c r="P956" t="n">
        <v>36</v>
      </c>
      <c r="R956" t="inlineStr">
        <is>
          <t>InStock</t>
        </is>
      </c>
      <c r="S956" t="inlineStr">
        <is>
          <t>18.99</t>
        </is>
      </c>
      <c r="T956" t="inlineStr">
        <is>
          <t>7241470476476</t>
        </is>
      </c>
    </row>
    <row r="957" hidden="1" ht="15.75" customHeight="1">
      <c r="A957" s="2">
        <f>HYPERLINK("https://www.shelhealth.com/products/hair-food-avocado-argan-oil-sulfate-free-shampoo-and-conditioner-bundle-pack", "https://www.shelhealth.com/products/hair-food-avocado-argan-oil-sulfate-free-shampoo-and-conditioner-bundle-pack")</f>
        <v/>
      </c>
      <c r="B957" s="2">
        <f>HYPERLINK("https://www.shelhealth.com/products/hair-food-avocado-argan-oil-sulfate-free-shampoo-and-conditioner-bundle-pack", "https://www.shelhealth.com/products/hair-food-avocado-argan-oil-sulfate-free-shampoo-and-conditioner-bundle-pack")</f>
        <v/>
      </c>
      <c r="C957" t="inlineStr">
        <is>
          <t>Hair Food Avocado &amp; Argan Oil Sulfate-Free Shampoo and Conditioner Bundle Pack</t>
        </is>
      </c>
      <c r="D957" t="inlineStr">
        <is>
          <t>Hair Food Sulfate Free Shampoo, Dye Free Smoothing Treatment, Argan Oil and Avocado, 17.9 Fl Oz (Packaging May Vary)</t>
        </is>
      </c>
      <c r="E957" s="2">
        <f>HYPERLINK("https://www.amazon.com/Hair-Food-Shampoo-Smoothing-Treatment/dp/B00WDR9SZQ/ref=sr_1_1?keywords=Hair+Food+Avocado+%26+Argan+Oil+Sulfate-Free+Shampoo+and+Conditioner+Bundle+Pack&amp;qid=1695170248&amp;sr=8-1", "https://www.amazon.com/Hair-Food-Shampoo-Smoothing-Treatment/dp/B00WDR9SZQ/ref=sr_1_1?keywords=Hair+Food+Avocado+%26+Argan+Oil+Sulfate-Free+Shampoo+and+Conditioner+Bundle+Pack&amp;qid=1695170248&amp;sr=8-1")</f>
        <v/>
      </c>
      <c r="F957" t="inlineStr">
        <is>
          <t>B00WDR9SZQ</t>
        </is>
      </c>
      <c r="G957">
        <f>_xludf.IMAGE("https://www.shelhealth.com/cdn/shop/products/hair-food-avocado-argan-oil-sulfate-free-shampoo-and-conditioner-bundle-pack-shelhealth-684.jpg?v=1663350621&amp;width=1946")</f>
        <v/>
      </c>
      <c r="H957">
        <f>_xludf.IMAGE("https://m.media-amazon.com/images/I/71FXozT3HYL._AC_UL320_.jpg")</f>
        <v/>
      </c>
      <c r="K957" t="inlineStr">
        <is>
          <t>32.99</t>
        </is>
      </c>
      <c r="L957" t="n">
        <v>15.9</v>
      </c>
      <c r="M957" s="1" t="inlineStr">
        <is>
          <t>-51.80%</t>
        </is>
      </c>
      <c r="N957" s="3" t="n">
        <v>-51.8</v>
      </c>
      <c r="O957" t="n">
        <v>4.5</v>
      </c>
      <c r="P957" t="n">
        <v>6339</v>
      </c>
      <c r="R957" t="inlineStr">
        <is>
          <t>OutOfStock</t>
        </is>
      </c>
      <c r="S957" t="inlineStr">
        <is>
          <t>32.99</t>
        </is>
      </c>
      <c r="T957" t="inlineStr">
        <is>
          <t>4091412676660</t>
        </is>
      </c>
    </row>
    <row r="958" hidden="1" ht="15.75" customHeight="1">
      <c r="A958" s="2">
        <f>HYPERLINK("https://www.shelhealth.com/products/716237185587-giovanni-cosmetics-2chic-frizz-be-gone-conditioner-shea-butter-sweet-almond-oil-8-5-oz", "https://www.shelhealth.com/products/716237185587-giovanni-cosmetics-2chic-frizz-be-gone-conditioner-shea-butter-sweet-almond-oil-8-5-oz")</f>
        <v/>
      </c>
      <c r="B958" s="2">
        <f>HYPERLINK("https://www.shelhealth.com/products/716237185587-giovanni-cosmetics-2chic-frizz-be-gone-conditioner-shea-butter-sweet-almond-oil-8-5-oz", "https://www.shelhealth.com/products/716237185587-giovanni-cosmetics-2chic-frizz-be-gone-conditioner-shea-butter-sweet-almond-oil-8-5-oz")</f>
        <v/>
      </c>
      <c r="C958" t="inlineStr">
        <is>
          <t>Giovanni Cosmetics 2Chic Frizz Be Gone Conditioner Shea Butter &amp; Sweet Almond Oil, 8.5 Oz (Case of 3)</t>
        </is>
      </c>
      <c r="D958" t="inlineStr">
        <is>
          <t>Giovanni Frizz Be Gone Taming Cream, Natural Hair Smoothing Formula with Shea Butter &amp; Sweet Almond Oil, Macadamia, Color Safe, Vegan, 2chic, 5.1 oz. (Pack of 1)</t>
        </is>
      </c>
      <c r="E958" s="2">
        <f>HYPERLINK("https://www.amazon.com/Giovanni-2chic-Butter-Almond-Taming/dp/B073P798JH/ref=sr_1_8?keywords=Giovanni+Cosmetics+2Chic+Frizz+Be+Gone+Conditioner+Shea+Butter&amp;qid=1695170252&amp;sr=8-8", "https://www.amazon.com/Giovanni-2chic-Butter-Almond-Taming/dp/B073P798JH/ref=sr_1_8?keywords=Giovanni+Cosmetics+2Chic+Frizz+Be+Gone+Conditioner+Shea+Butter&amp;qid=1695170252&amp;sr=8-8")</f>
        <v/>
      </c>
      <c r="F958" t="inlineStr">
        <is>
          <t>B073P798JH</t>
        </is>
      </c>
      <c r="G958">
        <f>_xludf.IMAGE("https://www.shelhealth.com/cdn/shop/files/giovanni-cosmetics-2chic-frizz-be-gone-conditioner-shea-butter-sweet-almond-oil-8-5-oz-case-of-3-beauty-body-care-shelhealth-832.jpg?v=1686196336&amp;width=1946")</f>
        <v/>
      </c>
      <c r="H958">
        <f>_xludf.IMAGE("https://m.media-amazon.com/images/I/617r00-5tDL._AC_UL320_.jpg")</f>
        <v/>
      </c>
      <c r="K958" t="inlineStr">
        <is>
          <t>24.99</t>
        </is>
      </c>
      <c r="L958" t="n">
        <v>12</v>
      </c>
      <c r="M958" s="1" t="inlineStr">
        <is>
          <t>-51.98%</t>
        </is>
      </c>
      <c r="N958" s="3" t="n">
        <v>-51.98</v>
      </c>
      <c r="O958" t="n">
        <v>4.3</v>
      </c>
      <c r="P958" t="n">
        <v>119</v>
      </c>
      <c r="R958" t="inlineStr">
        <is>
          <t>InStock</t>
        </is>
      </c>
      <c r="S958" t="inlineStr">
        <is>
          <t>24.99</t>
        </is>
      </c>
      <c r="T958" t="inlineStr">
        <is>
          <t>7241656336572</t>
        </is>
      </c>
    </row>
    <row r="959" hidden="1" ht="15.75" customHeight="1">
      <c r="A959" s="2">
        <f>HYPERLINK("https://www.shelhealth.com/products/finishing-touch-flawless-facial-hair-remover", "https://www.shelhealth.com/products/finishing-touch-flawless-facial-hair-remover")</f>
        <v/>
      </c>
      <c r="B959" s="2">
        <f>HYPERLINK("https://www.shelhealth.com/products/finishing-touch-flawless-facial-hair-remover", "https://www.shelhealth.com/products/finishing-touch-flawless-facial-hair-remover")</f>
        <v/>
      </c>
      <c r="C959" t="inlineStr">
        <is>
          <t>Finishing Touch Flawless Facial Hair Remover</t>
        </is>
      </c>
      <c r="D959" t="inlineStr">
        <is>
          <t>Women's Facial Hair Remover Replacment Heads Compatible with Flawless Finishing Touch Facial Hair Removal Tool for Face</t>
        </is>
      </c>
      <c r="E959" s="2">
        <f>HYPERLINK("https://www.amazon.com/Remover-Replacment-Compatible-Flawless-Finishing/dp/B097XPKL4Q/ref=sr_1_7?keywords=Finishing+Touch+Flawless+Facial+Hair+Remover&amp;qid=1695170242&amp;sr=8-7", "https://www.amazon.com/Remover-Replacment-Compatible-Flawless-Finishing/dp/B097XPKL4Q/ref=sr_1_7?keywords=Finishing+Touch+Flawless+Facial+Hair+Remover&amp;qid=1695170242&amp;sr=8-7")</f>
        <v/>
      </c>
      <c r="F959" t="inlineStr">
        <is>
          <t>B097XPKL4Q</t>
        </is>
      </c>
      <c r="G959">
        <f>_xludf.IMAGE("https://www.shelhealth.com/cdn/shop/products/finishing-touch-flawless-facial-hair-remover-shelhealth-241.jpg?v=1663620023&amp;width=1946")</f>
        <v/>
      </c>
      <c r="H959">
        <f>_xludf.IMAGE("https://m.media-amazon.com/images/I/71blHulO0kL._AC_UL320_.jpg")</f>
        <v/>
      </c>
      <c r="K959" t="inlineStr">
        <is>
          <t>24.99</t>
        </is>
      </c>
      <c r="L959" t="n">
        <v>11.99</v>
      </c>
      <c r="M959" s="1" t="inlineStr">
        <is>
          <t>-52.02%</t>
        </is>
      </c>
      <c r="N959" s="3" t="n">
        <v>-52.02</v>
      </c>
      <c r="O959" t="n">
        <v>4</v>
      </c>
      <c r="P959" t="n">
        <v>435</v>
      </c>
      <c r="R959" t="inlineStr">
        <is>
          <t>InStock</t>
        </is>
      </c>
      <c r="S959" t="inlineStr">
        <is>
          <t>24.99</t>
        </is>
      </c>
      <c r="T959" t="inlineStr">
        <is>
          <t>4727992909913</t>
        </is>
      </c>
    </row>
    <row r="960" hidden="1" ht="15.75" customHeight="1">
      <c r="A960" s="2">
        <f>HYPERLINK("https://www.shelhealth.com/products/love-beauty-and-planet-blooming-color-conditioner-for-color-treated-hair-murumuru-butter-rose-22-oz", "https://www.shelhealth.com/products/love-beauty-and-planet-blooming-color-conditioner-for-color-treated-hair-murumuru-butter-rose-22-oz")</f>
        <v/>
      </c>
      <c r="B960" s="2">
        <f>HYPERLINK("https://www.shelhealth.com/products/love-beauty-and-planet-blooming-color-conditioner-for-color-treated-hair-murumuru-butter-rose-22-oz", "https://www.shelhealth.com/products/love-beauty-and-planet-blooming-color-conditioner-for-color-treated-hair-murumuru-butter-rose-22-oz")</f>
        <v/>
      </c>
      <c r="C960" t="inlineStr">
        <is>
          <t>Love Beauty and Planet Conditioner Blooming Color Murumuru Butter &amp; Rose, 22 FL OZ</t>
        </is>
      </c>
      <c r="D960" t="inlineStr">
        <is>
          <t>Love Beauty And Planet, Blooming Color Sulfate Free Shampoo for Color Treated Hair 13.5, Murumuru Butter and Rose, rose, 13.5 Fl Oz (Pack of 2)</t>
        </is>
      </c>
      <c r="E960" s="2">
        <f>HYPERLINK("https://www.amazon.com/Love-Beauty-Planet-Blooming-Conditioner/dp/B07C6L7KYF/ref=sr_1_6?keywords=Love+Beauty+and+Planet+Conditioner+Blooming+Color+Murumuru+Butter&amp;qid=1695170238&amp;sr=8-6", "https://www.amazon.com/Love-Beauty-Planet-Blooming-Conditioner/dp/B07C6L7KYF/ref=sr_1_6?keywords=Love+Beauty+and+Planet+Conditioner+Blooming+Color+Murumuru+Butter&amp;qid=1695170238&amp;sr=8-6")</f>
        <v/>
      </c>
      <c r="F960" t="inlineStr">
        <is>
          <t>B07C6L7KYF</t>
        </is>
      </c>
      <c r="G960">
        <f>_xludf.IMAGE("https://www.shelhealth.com/cdn/shop/products/love-beauty-and-planet-conditioner-blooming-color-murumuru-butter-rose-22-fl-oz-shelhealth-412.jpg?v=1663360343&amp;width=1946")</f>
        <v/>
      </c>
      <c r="H960">
        <f>_xludf.IMAGE("https://m.media-amazon.com/images/I/61FBEsVyE0L._AC_UL320_.jpg")</f>
        <v/>
      </c>
      <c r="K960" t="inlineStr">
        <is>
          <t>16.99</t>
        </is>
      </c>
      <c r="L960" t="n">
        <v>8.06</v>
      </c>
      <c r="M960" s="1" t="inlineStr">
        <is>
          <t>-52.56%</t>
        </is>
      </c>
      <c r="N960" s="3" t="n">
        <v>-52.56</v>
      </c>
      <c r="O960" t="n">
        <v>5</v>
      </c>
      <c r="P960" t="n">
        <v>1</v>
      </c>
      <c r="R960" t="inlineStr">
        <is>
          <t>OutOfStock</t>
        </is>
      </c>
      <c r="S960" t="inlineStr">
        <is>
          <t>16.99</t>
        </is>
      </c>
      <c r="T960" t="inlineStr">
        <is>
          <t>4417498546265</t>
        </is>
      </c>
    </row>
    <row r="961" hidden="1" ht="15.75" customHeight="1">
      <c r="A961" s="2">
        <f>HYPERLINK("https://www.shelhealth.com/products/copy-of-herbal-essences-repair-shampoo-argan-oil-of-morocco-29-2-fl-oz", "https://www.shelhealth.com/products/copy-of-herbal-essences-repair-shampoo-argan-oil-of-morocco-29-2-fl-oz")</f>
        <v/>
      </c>
      <c r="B961" s="2">
        <f>HYPERLINK("https://www.shelhealth.com/products/copy-of-herbal-essences-repair-shampoo-argan-oil-of-morocco-29-2-fl-oz", "https://www.shelhealth.com/products/copy-of-herbal-essences-repair-shampoo-argan-oil-of-morocco-29-2-fl-oz")</f>
        <v/>
      </c>
      <c r="C961" t="inlineStr">
        <is>
          <t>Herbal Essences Repair Shampoo, Argan Oil of Morocco (29.2 fl. oz.)</t>
        </is>
      </c>
      <c r="D961" t="inlineStr">
        <is>
          <t>Herbal Essences Repair Argan Oil Of Morocco Conditioner, 3.38 Fl Oz, 3.38 Oz</t>
        </is>
      </c>
      <c r="E961" s="2">
        <f>HYPERLINK("https://www.amazon.com/Herbal-Essences-Bio-Morocco-Conditioner/dp/B07FXWT2XF/ref=sr_1_5?keywords=Herbal+Essences+Repair+Shampoo%2C+Argan+Oil+of+Morocco+%2829.2+fl.+oz.%29&amp;qid=1695170182&amp;sr=8-5", "https://www.amazon.com/Herbal-Essences-Bio-Morocco-Conditioner/dp/B07FXWT2XF/ref=sr_1_5?keywords=Herbal+Essences+Repair+Shampoo%2C+Argan+Oil+of+Morocco+%2829.2+fl.+oz.%29&amp;qid=1695170182&amp;sr=8-5")</f>
        <v/>
      </c>
      <c r="F961" t="inlineStr">
        <is>
          <t>B07FXWT2XF</t>
        </is>
      </c>
      <c r="G961">
        <f>_xludf.IMAGE("https://www.shelhealth.com/cdn/shop/products/herbal-essences-repair-shampoo-argan-oil-of-morocco-29-2-fl-oz-essence-shelhealth-255.jpg?v=1663349993&amp;width=1946")</f>
        <v/>
      </c>
      <c r="H961">
        <f>_xludf.IMAGE("https://m.media-amazon.com/images/I/71GJRmrXS6L._AC_UL320_.jpg")</f>
        <v/>
      </c>
      <c r="K961" t="inlineStr">
        <is>
          <t>16.99</t>
        </is>
      </c>
      <c r="L961" t="n">
        <v>8</v>
      </c>
      <c r="M961" s="1" t="inlineStr">
        <is>
          <t>-52.91%</t>
        </is>
      </c>
      <c r="N961" s="3" t="n">
        <v>-52.91</v>
      </c>
      <c r="O961" t="n">
        <v>3.5</v>
      </c>
      <c r="P961" t="n">
        <v>52</v>
      </c>
      <c r="R961" t="inlineStr">
        <is>
          <t>InStock</t>
        </is>
      </c>
      <c r="S961" t="inlineStr">
        <is>
          <t>16.99</t>
        </is>
      </c>
      <c r="T961" t="inlineStr">
        <is>
          <t>3853317931060</t>
        </is>
      </c>
    </row>
    <row r="962" hidden="1" ht="15.75" customHeight="1">
      <c r="A962" s="2">
        <f>HYPERLINK("https://www.shelhealth.com/products/love-beauty-and-planet-argan-oil-lavender-shampoo-22-fl-oz", "https://www.shelhealth.com/products/love-beauty-and-planet-argan-oil-lavender-shampoo-22-fl-oz")</f>
        <v/>
      </c>
      <c r="B962" s="2">
        <f>HYPERLINK("https://www.shelhealth.com/products/love-beauty-and-planet-argan-oil-lavender-shampoo-22-fl-oz", "https://www.shelhealth.com/products/love-beauty-and-planet-argan-oil-lavender-shampoo-22-fl-oz")</f>
        <v/>
      </c>
      <c r="C962" t="inlineStr">
        <is>
          <t>LOVE Beauty and Planet Argan Oil &amp; Lavender Shampoo, 22 FL OZ</t>
        </is>
      </c>
      <c r="D962" t="inlineStr">
        <is>
          <t>Love Beauty and Planet Argan Oil &amp; Lavender Smooth and Serene Shampoo 3 oz</t>
        </is>
      </c>
      <c r="E962" s="2">
        <f>HYPERLINK("https://www.amazon.com/Love-Beauty-Planet-Smooth-Lavender/dp/B07CTBGN2H/ref=sr_1_3?keywords=LOVE+Beauty+and+Planet+Argan+Oil+%26+Lavender+Shampoo%2C+22+FL+OZ&amp;qid=1695170174&amp;sr=8-3", "https://www.amazon.com/Love-Beauty-Planet-Smooth-Lavender/dp/B07CTBGN2H/ref=sr_1_3?keywords=LOVE+Beauty+and+Planet+Argan+Oil+%26+Lavender+Shampoo%2C+22+FL+OZ&amp;qid=1695170174&amp;sr=8-3")</f>
        <v/>
      </c>
      <c r="F962" t="inlineStr">
        <is>
          <t>B07CTBGN2H</t>
        </is>
      </c>
      <c r="G962">
        <f>_xludf.IMAGE("https://www.shelhealth.com/cdn/shop/products/love-beauty-and-planet-argan-oil-lavender-shampoo-22-fl-oz-shelhealth-145.jpg?v=1663350165&amp;width=1946")</f>
        <v/>
      </c>
      <c r="H962">
        <f>_xludf.IMAGE("https://m.media-amazon.com/images/I/71nm5WMYmWS._AC_UL320_.jpg")</f>
        <v/>
      </c>
      <c r="K962" t="inlineStr">
        <is>
          <t>16.99</t>
        </is>
      </c>
      <c r="L962" t="n">
        <v>7.99</v>
      </c>
      <c r="M962" s="1" t="inlineStr">
        <is>
          <t>-52.97%</t>
        </is>
      </c>
      <c r="N962" s="3" t="n">
        <v>-52.97</v>
      </c>
      <c r="O962" t="n">
        <v>4.2</v>
      </c>
      <c r="P962" t="n">
        <v>96</v>
      </c>
      <c r="R962" t="inlineStr">
        <is>
          <t>OutOfStock</t>
        </is>
      </c>
      <c r="S962" t="inlineStr">
        <is>
          <t>16.99</t>
        </is>
      </c>
      <c r="T962" t="inlineStr">
        <is>
          <t>4045946060852</t>
        </is>
      </c>
    </row>
    <row r="963" hidden="1" ht="15.75" customHeight="1">
      <c r="A963" s="2">
        <f>HYPERLINK("https://www.shelhealth.com/products/love-beauty-and-planet-murumuru-butter-rose-blooming-color-shampoo-22-oz", "https://www.shelhealth.com/products/love-beauty-and-planet-murumuru-butter-rose-blooming-color-shampoo-22-oz")</f>
        <v/>
      </c>
      <c r="B963" s="2">
        <f>HYPERLINK("https://www.shelhealth.com/products/love-beauty-and-planet-murumuru-butter-rose-blooming-color-shampoo-22-oz", "https://www.shelhealth.com/products/love-beauty-and-planet-murumuru-butter-rose-blooming-color-shampoo-22-oz")</f>
        <v/>
      </c>
      <c r="C963" t="inlineStr">
        <is>
          <t>Love Beauty And Planet Murumuru Butter &amp; Rose Blooming Color Shampoo, 22 oz.</t>
        </is>
      </c>
      <c r="D963" t="inlineStr">
        <is>
          <t>Love Beauty and Planet Conditioner Blooming Color Murumuru Butter &amp; Rose, 22 FL OZ</t>
        </is>
      </c>
      <c r="E963" s="2">
        <f>HYPERLINK("https://www.amazon.com/Love-Beauty-Planet-Conditioner-Blooming/dp/B07Z8GQW1C/ref=sr_1_8?keywords=Love+Beauty+And+Planet+Murumuru+Butter&amp;qid=1695170247&amp;sr=8-8", "https://www.amazon.com/Love-Beauty-Planet-Conditioner-Blooming/dp/B07Z8GQW1C/ref=sr_1_8?keywords=Love+Beauty+And+Planet+Murumuru+Butter&amp;qid=1695170247&amp;sr=8-8")</f>
        <v/>
      </c>
      <c r="F963" t="inlineStr">
        <is>
          <t>B07Z8GQW1C</t>
        </is>
      </c>
      <c r="G963">
        <f>_xludf.IMAGE("https://www.shelhealth.com/cdn/shop/products/love-beauty-and-planet-murumuru-butter-rose-blooming-color-shampoo-22-oz-shelhealth-314.jpg?v=1663355846&amp;width=1946")</f>
        <v/>
      </c>
      <c r="H963">
        <f>_xludf.IMAGE("https://m.media-amazon.com/images/I/71FNXSUjnLL._AC_UL320_.jpg")</f>
        <v/>
      </c>
      <c r="K963" t="inlineStr">
        <is>
          <t>17.99</t>
        </is>
      </c>
      <c r="L963" t="n">
        <v>8.41</v>
      </c>
      <c r="M963" s="1" t="inlineStr">
        <is>
          <t>-53.25%</t>
        </is>
      </c>
      <c r="N963" s="3" t="n">
        <v>-53.25</v>
      </c>
      <c r="O963" t="n">
        <v>4.6</v>
      </c>
      <c r="P963" t="n">
        <v>94</v>
      </c>
      <c r="R963" t="inlineStr">
        <is>
          <t>InStock</t>
        </is>
      </c>
      <c r="S963" t="inlineStr">
        <is>
          <t>17.99</t>
        </is>
      </c>
      <c r="T963" t="inlineStr">
        <is>
          <t>4172497518644</t>
        </is>
      </c>
    </row>
    <row r="964" hidden="1" ht="15.75" customHeight="1">
      <c r="A964" s="2">
        <f>HYPERLINK("https://www.shelhealth.com/products/716237185631-giovanni-cosmetics-2chic-frizz-be-gone-hair-balm-shea-butter-sweet-almond-oil-5-oz", "https://www.shelhealth.com/products/716237185631-giovanni-cosmetics-2chic-frizz-be-gone-hair-balm-shea-butter-sweet-almond-oil-5-oz")</f>
        <v/>
      </c>
      <c r="B964" s="2">
        <f>HYPERLINK("https://www.shelhealth.com/products/716237185631-giovanni-cosmetics-2chic-frizz-be-gone-hair-balm-shea-butter-sweet-almond-oil-5-oz", "https://www.shelhealth.com/products/716237185631-giovanni-cosmetics-2chic-frizz-be-gone-hair-balm-shea-butter-sweet-almond-oil-5-oz")</f>
        <v/>
      </c>
      <c r="C964" t="inlineStr">
        <is>
          <t>Giovanni Cosmetics 2Chic Frizz Be Gone Hair Balm Shea Butter &amp; Sweet Almond Oil, 5 Oz (Case of 2)</t>
        </is>
      </c>
      <c r="D964" t="inlineStr">
        <is>
          <t>GIOVANNI Frizz Be Gone Smoothing Hair Mask - Natural Hair Smoothing Formula with Shea Butter &amp; Sweet Almond Oil, Macadamia, Color Safe, Vegan, 2chic - 5.1 oz</t>
        </is>
      </c>
      <c r="E964" s="2">
        <f>HYPERLINK("https://www.amazon.com/Giovanni-2chic-Butter-Almond-Smoothing/dp/B073P88HMF/ref=sr_1_6?keywords=Giovanni+Cosmetics+2Chic+Frizz+Be+Gone+Hair+Balm+Shea+Butter+%26+Sweet+Almond+Oil%2C+5+Oz+%28Case+of+2%29&amp;qid=1695170210&amp;sr=8-6", "https://www.amazon.com/Giovanni-2chic-Butter-Almond-Smoothing/dp/B073P88HMF/ref=sr_1_6?keywords=Giovanni+Cosmetics+2Chic+Frizz+Be+Gone+Hair+Balm+Shea+Butter+%26+Sweet+Almond+Oil%2C+5+Oz+%28Case+of+2%29&amp;qid=1695170210&amp;sr=8-6")</f>
        <v/>
      </c>
      <c r="F964" t="inlineStr">
        <is>
          <t>B073P88HMF</t>
        </is>
      </c>
      <c r="G964">
        <f>_xludf.IMAGE("https://www.shelhealth.com/cdn/shop/files/giovanni-cosmetics-2chic-frizz-be-gone-hair-balm-shea-butter-sweet-almond-oil-5-oz-case-of-2-beauty-body-care-shelhealth-818.jpg?v=1686196334&amp;width=1946")</f>
        <v/>
      </c>
      <c r="H964">
        <f>_xludf.IMAGE("https://m.media-amazon.com/images/I/614FG-HEQaL._AC_UL320_.jpg")</f>
        <v/>
      </c>
      <c r="K964" t="inlineStr">
        <is>
          <t>19.99</t>
        </is>
      </c>
      <c r="L964" t="n">
        <v>8.99</v>
      </c>
      <c r="M964" s="1" t="inlineStr">
        <is>
          <t>-55.03%</t>
        </is>
      </c>
      <c r="N964" s="3" t="n">
        <v>-55.03</v>
      </c>
      <c r="O964" t="n">
        <v>4.3</v>
      </c>
      <c r="P964" t="n">
        <v>32</v>
      </c>
      <c r="R964" t="inlineStr">
        <is>
          <t>OutOfStock</t>
        </is>
      </c>
      <c r="S964" t="inlineStr">
        <is>
          <t>19.99</t>
        </is>
      </c>
      <c r="T964" t="inlineStr">
        <is>
          <t>7241656500412</t>
        </is>
      </c>
    </row>
    <row r="965" hidden="1" ht="15.75" customHeight="1">
      <c r="A965" s="2">
        <f>HYPERLINK("https://www.shelhealth.com/products/pantene-hairspray-extra-strong-hold-8-5-fl-oz", "https://www.shelhealth.com/products/pantene-hairspray-extra-strong-hold-8-5-fl-oz")</f>
        <v/>
      </c>
      <c r="B965" s="2">
        <f>HYPERLINK("https://www.shelhealth.com/products/pantene-hairspray-extra-strong-hold-8-5-fl-oz", "https://www.shelhealth.com/products/pantene-hairspray-extra-strong-hold-8-5-fl-oz")</f>
        <v/>
      </c>
      <c r="C965" t="inlineStr">
        <is>
          <t>Pantene Hairspray Extra Strong Hold, 8.5 fl oz (Case of 4)</t>
        </is>
      </c>
      <c r="D965" t="inlineStr">
        <is>
          <t>Pantene Pro-V Style Series - Non-Aerosol Hairspray - Extra Strong Hold (4) - Net Wt. 8.5 FL OZ (252 mL) Per Bottle - Pack of 2 Bottles</t>
        </is>
      </c>
      <c r="E965" s="2">
        <f>HYPERLINK("https://www.amazon.com/Pantene-Pro-V-Style-Non-Aerosol-Hairspray/dp/B074W49NLT/ref=sr_1_4?keywords=Pantene+Hairspray+Extra+Strong+Hold%2C+8.5+fl+oz+%28Case+of+4%29&amp;qid=1695170163&amp;sr=8-4", "https://www.amazon.com/Pantene-Pro-V-Style-Non-Aerosol-Hairspray/dp/B074W49NLT/ref=sr_1_4?keywords=Pantene+Hairspray+Extra+Strong+Hold%2C+8.5+fl+oz+%28Case+of+4%29&amp;qid=1695170163&amp;sr=8-4")</f>
        <v/>
      </c>
      <c r="F965" t="inlineStr">
        <is>
          <t>B074W49NLT</t>
        </is>
      </c>
      <c r="G965">
        <f>_xludf.IMAGE("https://www.shelhealth.com/cdn/shop/products/pantene-hairspray-extra-strong-hold-8-5-fl-oz-case-of-4-shelhealth-326.jpg?v=1675328111&amp;width=1946")</f>
        <v/>
      </c>
      <c r="H965">
        <f>_xludf.IMAGE("https://m.media-amazon.com/images/I/61OXFMPQQZL._AC_UL320_.jpg")</f>
        <v/>
      </c>
      <c r="K965" t="inlineStr">
        <is>
          <t>39.99</t>
        </is>
      </c>
      <c r="L965" t="n">
        <v>17.98</v>
      </c>
      <c r="M965" s="1" t="inlineStr">
        <is>
          <t>-55.04%</t>
        </is>
      </c>
      <c r="N965" s="3" t="n">
        <v>-55.04</v>
      </c>
      <c r="O965" t="n">
        <v>4.5</v>
      </c>
      <c r="P965" t="n">
        <v>179</v>
      </c>
      <c r="R965" t="inlineStr">
        <is>
          <t>InStock</t>
        </is>
      </c>
      <c r="S965" t="inlineStr">
        <is>
          <t>39.99</t>
        </is>
      </c>
      <c r="T965" t="inlineStr">
        <is>
          <t>4429459292249</t>
        </is>
      </c>
    </row>
    <row r="966" hidden="1" ht="15.75" customHeight="1">
      <c r="A966" s="2">
        <f>HYPERLINK("https://www.shelhealth.com/products/716237185631-giovanni-cosmetics-2chic-frizz-be-gone-hair-balm-shea-butter-sweet-almond-oil-5-oz", "https://www.shelhealth.com/products/716237185631-giovanni-cosmetics-2chic-frizz-be-gone-hair-balm-shea-butter-sweet-almond-oil-5-oz")</f>
        <v/>
      </c>
      <c r="B966" s="2">
        <f>HYPERLINK("https://www.shelhealth.com/products/716237185631-giovanni-cosmetics-2chic-frizz-be-gone-hair-balm-shea-butter-sweet-almond-oil-5-oz", "https://www.shelhealth.com/products/716237185631-giovanni-cosmetics-2chic-frizz-be-gone-hair-balm-shea-butter-sweet-almond-oil-5-oz")</f>
        <v/>
      </c>
      <c r="C966" t="inlineStr">
        <is>
          <t>Giovanni Cosmetics 2Chic Frizz Be Gone Hair Balm Shea Butter &amp; Sweet Almond Oil, 5 Oz (Case of 2)</t>
        </is>
      </c>
      <c r="D966" t="inlineStr">
        <is>
          <t>GIOVANNI 2chic Frizz Be Gone Shampoo - Anti Frizz Natural Hair Smoothing Formula with Shea Butter &amp; Sweet Almond Oil, Macadamia, Coconut, Sulfate &amp; Paraben Free, Color Safe - 8.5 oz</t>
        </is>
      </c>
      <c r="E966" s="2">
        <f>HYPERLINK("https://www.amazon.com/Giovanni-2chic-Butter-Almond-Shampoo/dp/B073P798JJ/ref=sr_1_4?keywords=Giovanni+Cosmetics+2Chic+Frizz+Be+Gone+Hair+Balm+Shea+Butter+%26+Sweet+Almond+Oil%2C+5+Oz+%28Case+of+2%29&amp;qid=1695170210&amp;sr=8-4", "https://www.amazon.com/Giovanni-2chic-Butter-Almond-Shampoo/dp/B073P798JJ/ref=sr_1_4?keywords=Giovanni+Cosmetics+2Chic+Frizz+Be+Gone+Hair+Balm+Shea+Butter+%26+Sweet+Almond+Oil%2C+5+Oz+%28Case+of+2%29&amp;qid=1695170210&amp;sr=8-4")</f>
        <v/>
      </c>
      <c r="F966" t="inlineStr">
        <is>
          <t>B073P798JJ</t>
        </is>
      </c>
      <c r="G966">
        <f>_xludf.IMAGE("https://www.shelhealth.com/cdn/shop/files/giovanni-cosmetics-2chic-frizz-be-gone-hair-balm-shea-butter-sweet-almond-oil-5-oz-case-of-2-beauty-body-care-shelhealth-818.jpg?v=1686196334&amp;width=1946")</f>
        <v/>
      </c>
      <c r="H966">
        <f>_xludf.IMAGE("https://m.media-amazon.com/images/I/61oMHcx3GqL._AC_UL320_.jpg")</f>
        <v/>
      </c>
      <c r="K966" t="inlineStr">
        <is>
          <t>19.99</t>
        </is>
      </c>
      <c r="L966" t="n">
        <v>8.970000000000001</v>
      </c>
      <c r="M966" s="1" t="inlineStr">
        <is>
          <t>-55.13%</t>
        </is>
      </c>
      <c r="N966" s="3" t="n">
        <v>-55.13</v>
      </c>
      <c r="O966" t="n">
        <v>4.4</v>
      </c>
      <c r="P966" t="n">
        <v>532</v>
      </c>
      <c r="R966" t="inlineStr">
        <is>
          <t>OutOfStock</t>
        </is>
      </c>
      <c r="S966" t="inlineStr">
        <is>
          <t>19.99</t>
        </is>
      </c>
      <c r="T966" t="inlineStr">
        <is>
          <t>7241656500412</t>
        </is>
      </c>
    </row>
    <row r="967" hidden="1" ht="15.75" customHeight="1">
      <c r="A967" s="2">
        <f>HYPERLINK("https://www.shelhealth.com/products/716237183606-giovanni-cosmetics-ultra-sleek-conditioner-brazilian-keratin-argan-oil-8-5-oz", "https://www.shelhealth.com/products/716237183606-giovanni-cosmetics-ultra-sleek-conditioner-brazilian-keratin-argan-oil-8-5-oz")</f>
        <v/>
      </c>
      <c r="B967" s="2">
        <f>HYPERLINK("https://www.shelhealth.com/products/716237183606-giovanni-cosmetics-ultra-sleek-conditioner-brazilian-keratin-argan-oil-8-5-oz", "https://www.shelhealth.com/products/716237183606-giovanni-cosmetics-ultra-sleek-conditioner-brazilian-keratin-argan-oil-8-5-oz")</f>
        <v/>
      </c>
      <c r="C967" t="inlineStr">
        <is>
          <t>Giovanni Cosmetics Ultra-Sleek Conditioner Brazilian Keratin &amp; Argan Oil, 8.5 Oz (Case of 3)</t>
        </is>
      </c>
      <c r="D967" t="inlineStr">
        <is>
          <t>GIOVANNI 2chic Ultra-Sleek Conditioner - Brazilian Phyto-Keratin &amp; Moroccan Argan Oil, Anti-Frizz Formula, Coconut, Shea Butter, Pro-Vitamin B5, Color Safe, Paraben Free - 8.5 oz</t>
        </is>
      </c>
      <c r="E967" s="2">
        <f>HYPERLINK("https://www.amazon.com/GIOVANNI-Brazilian-Keratin-Ultra-Sleek-Conditioner/dp/B006TAHLWU/ref=sr_1_1?keywords=Giovanni+Cosmetics+Ultra-Sleek+Conditioner+Brazilian+Keratin+%26+Argan+Oil%2C+8.5+Oz+%28Case+of+3%29&amp;qid=1695170225&amp;sr=8-1", "https://www.amazon.com/GIOVANNI-Brazilian-Keratin-Ultra-Sleek-Conditioner/dp/B006TAHLWU/ref=sr_1_1?keywords=Giovanni+Cosmetics+Ultra-Sleek+Conditioner+Brazilian+Keratin+%26+Argan+Oil%2C+8.5+Oz+%28Case+of+3%29&amp;qid=1695170225&amp;sr=8-1")</f>
        <v/>
      </c>
      <c r="F967" t="inlineStr">
        <is>
          <t>B006TAHLWU</t>
        </is>
      </c>
      <c r="G967">
        <f>_xludf.IMAGE("https://www.shelhealth.com/cdn/shop/files/giovanni-cosmetics-ultra-sleek-conditioner-brazilian-keratin-argan-oil-8-5-oz-case-of-3-beauty-body-care-shelhealth-135.jpg?v=1686527306&amp;width=1946")</f>
        <v/>
      </c>
      <c r="H967">
        <f>_xludf.IMAGE("https://m.media-amazon.com/images/I/61W8yVpCVvL._AC_UL320_.jpg")</f>
        <v/>
      </c>
      <c r="K967" t="inlineStr">
        <is>
          <t>26.99</t>
        </is>
      </c>
      <c r="L967" t="n">
        <v>11.99</v>
      </c>
      <c r="M967" s="1" t="inlineStr">
        <is>
          <t>-55.58%</t>
        </is>
      </c>
      <c r="N967" s="3" t="n">
        <v>-55.58</v>
      </c>
      <c r="O967" t="n">
        <v>4.3</v>
      </c>
      <c r="P967" t="n">
        <v>315</v>
      </c>
      <c r="R967" t="inlineStr">
        <is>
          <t>InStock</t>
        </is>
      </c>
      <c r="S967" t="inlineStr">
        <is>
          <t>26.99</t>
        </is>
      </c>
      <c r="T967" t="inlineStr">
        <is>
          <t>7241661972668</t>
        </is>
      </c>
    </row>
    <row r="968" hidden="1" ht="15.75" customHeight="1">
      <c r="A968" s="2">
        <f>HYPERLINK("https://www.shelhealth.com/products/716237184009-giovanni-cosmetics-2chic-ultra-moist-shampoo-avocado-olive-oil-8-5-oz", "https://www.shelhealth.com/products/716237184009-giovanni-cosmetics-2chic-ultra-moist-shampoo-avocado-olive-oil-8-5-oz")</f>
        <v/>
      </c>
      <c r="B968" s="2">
        <f>HYPERLINK("https://www.shelhealth.com/products/716237184009-giovanni-cosmetics-2chic-ultra-moist-shampoo-avocado-olive-oil-8-5-oz", "https://www.shelhealth.com/products/716237184009-giovanni-cosmetics-2chic-ultra-moist-shampoo-avocado-olive-oil-8-5-oz")</f>
        <v/>
      </c>
      <c r="C968" t="inlineStr">
        <is>
          <t>Giovanni Cosmetics 2Chic Ultra-Moist Shampoo Avocado &amp; Olive Oil, 8.5 Oz (Case of 3)</t>
        </is>
      </c>
      <c r="D968" t="inlineStr">
        <is>
          <t>GIOVANNI Cosmetics 2chic Shampoo Avcdo &amp; OLV, 8.5 Fl Oz (Pack of 1), Ultra-Moist (Avocado + Olive Oil), 8</t>
        </is>
      </c>
      <c r="E968" s="2">
        <f>HYPERLINK("https://www.amazon.com/GIOVANNI-Cosmetics-2chic-Shampoo-Avcdo/dp/B00EZLAUZA/ref=sr_1_5?keywords=Giovanni+Cosmetics+2Chic+Ultra-Moist+Shampoo+Avocado+%26+Olive+Oil%2C+8.5+Oz+%28Case+of+3%29&amp;qid=1695170182&amp;sr=8-5", "https://www.amazon.com/GIOVANNI-Cosmetics-2chic-Shampoo-Avcdo/dp/B00EZLAUZA/ref=sr_1_5?keywords=Giovanni+Cosmetics+2Chic+Ultra-Moist+Shampoo+Avocado+%26+Olive+Oil%2C+8.5+Oz+%28Case+of+3%29&amp;qid=1695170182&amp;sr=8-5")</f>
        <v/>
      </c>
      <c r="F968" t="inlineStr">
        <is>
          <t>B00EZLAUZA</t>
        </is>
      </c>
      <c r="G968">
        <f>_xludf.IMAGE("https://www.shelhealth.com/cdn/shop/files/giovanni-cosmetics-2chic-ultra-moist-shampoo-avocado-olive-oil-8-5-oz-case-of-3-beauty-body-care-shelhealth-802.jpg?v=1686526966&amp;width=1946")</f>
        <v/>
      </c>
      <c r="H968">
        <f>_xludf.IMAGE("https://m.media-amazon.com/images/I/51GTMwGxfUL._AC_UL320_.jpg")</f>
        <v/>
      </c>
      <c r="K968" t="inlineStr">
        <is>
          <t>27.99</t>
        </is>
      </c>
      <c r="L968" t="n">
        <v>12.06</v>
      </c>
      <c r="M968" s="1" t="inlineStr">
        <is>
          <t>-56.91%</t>
        </is>
      </c>
      <c r="N968" s="3" t="n">
        <v>-56.91</v>
      </c>
      <c r="O968" t="n">
        <v>4.3</v>
      </c>
      <c r="P968" t="n">
        <v>153</v>
      </c>
      <c r="R968" t="inlineStr">
        <is>
          <t>InStock</t>
        </is>
      </c>
      <c r="S968" t="inlineStr">
        <is>
          <t>27.99</t>
        </is>
      </c>
      <c r="T968" t="inlineStr">
        <is>
          <t>7241657811132</t>
        </is>
      </c>
    </row>
    <row r="969" hidden="1" ht="15.75" customHeight="1">
      <c r="A969" s="2">
        <f>HYPERLINK("https://www.shelhealth.com/products/716237184016-giovanni-cosmetics-2chic-ultra-moist-conditioner-avocado-olive-oil-8-5-oz", "https://www.shelhealth.com/products/716237184016-giovanni-cosmetics-2chic-ultra-moist-conditioner-avocado-olive-oil-8-5-oz")</f>
        <v/>
      </c>
      <c r="B969" s="2">
        <f>HYPERLINK("https://www.shelhealth.com/products/716237184016-giovanni-cosmetics-2chic-ultra-moist-conditioner-avocado-olive-oil-8-5-oz", "https://www.shelhealth.com/products/716237184016-giovanni-cosmetics-2chic-ultra-moist-conditioner-avocado-olive-oil-8-5-oz")</f>
        <v/>
      </c>
      <c r="C969" t="inlineStr">
        <is>
          <t>Giovanni Cosmetics 2Chic Ultra-Moist Conditioner Avocado &amp; Olive Oil, 8.5 Oz (Case of 3)</t>
        </is>
      </c>
      <c r="D969" t="inlineStr">
        <is>
          <t>GIOVANNI Cosmetics 2chic Shampoo Avcdo &amp; OLV, 8.5 Fl Oz (Pack of 1), Ultra-Moist (Avocado + Olive Oil), 8</t>
        </is>
      </c>
      <c r="E969" s="2">
        <f>HYPERLINK("https://www.amazon.com/GIOVANNI-Cosmetics-2chic-Shampoo-Avcdo/dp/B00EZLAUZA/ref=sr_1_2?keywords=Giovanni+Cosmetics+2Chic+Ultra-Moist+Conditioner+Avocado&amp;qid=1695170219&amp;sr=8-2", "https://www.amazon.com/GIOVANNI-Cosmetics-2chic-Shampoo-Avcdo/dp/B00EZLAUZA/ref=sr_1_2?keywords=Giovanni+Cosmetics+2Chic+Ultra-Moist+Conditioner+Avocado&amp;qid=1695170219&amp;sr=8-2")</f>
        <v/>
      </c>
      <c r="F969" t="inlineStr">
        <is>
          <t>B00EZLAUZA</t>
        </is>
      </c>
      <c r="G969">
        <f>_xludf.IMAGE("https://www.shelhealth.com/cdn/shop/files/giovanni-cosmetics-2chic-ultra-moist-conditioner-avocado-olive-oil-8-5-oz-case-of-3-beauty-body-care-shelhealth-278.jpg?v=1686527079&amp;width=1946")</f>
        <v/>
      </c>
      <c r="H969">
        <f>_xludf.IMAGE("https://m.media-amazon.com/images/I/51GTMwGxfUL._AC_UL320_.jpg")</f>
        <v/>
      </c>
      <c r="K969" t="inlineStr">
        <is>
          <t>27.99</t>
        </is>
      </c>
      <c r="L969" t="n">
        <v>12.06</v>
      </c>
      <c r="M969" s="1" t="inlineStr">
        <is>
          <t>-56.91%</t>
        </is>
      </c>
      <c r="N969" s="3" t="n">
        <v>-56.91</v>
      </c>
      <c r="O969" t="n">
        <v>4.3</v>
      </c>
      <c r="P969" t="n">
        <v>153</v>
      </c>
      <c r="R969" t="inlineStr">
        <is>
          <t>InStock</t>
        </is>
      </c>
      <c r="S969" t="inlineStr">
        <is>
          <t>27.99</t>
        </is>
      </c>
      <c r="T969" t="inlineStr">
        <is>
          <t>7241657614524</t>
        </is>
      </c>
    </row>
    <row r="970" hidden="1" ht="15.75" customHeight="1">
      <c r="A970" s="2">
        <f>HYPERLINK("https://www.shelhealth.com/products/716237184016-giovanni-cosmetics-2chic-ultra-moist-conditioner-avocado-olive-oil-8-5-oz", "https://www.shelhealth.com/products/716237184016-giovanni-cosmetics-2chic-ultra-moist-conditioner-avocado-olive-oil-8-5-oz")</f>
        <v/>
      </c>
      <c r="B970" s="2">
        <f>HYPERLINK("https://www.shelhealth.com/products/716237184016-giovanni-cosmetics-2chic-ultra-moist-conditioner-avocado-olive-oil-8-5-oz", "https://www.shelhealth.com/products/716237184016-giovanni-cosmetics-2chic-ultra-moist-conditioner-avocado-olive-oil-8-5-oz")</f>
        <v/>
      </c>
      <c r="C970" t="inlineStr">
        <is>
          <t>Giovanni Cosmetics 2Chic Ultra-Moist Conditioner Avocado &amp; Olive Oil, 8.5 Oz (Case of 3)</t>
        </is>
      </c>
      <c r="D970" t="inlineStr">
        <is>
          <t>GIOVANNI 2chic Ultra-Moist Conditioner, 8.5 oz. - Avocado &amp; Olive Oil, Creamy Hydration Formula, Enriched with Aloe Vera, Shea Butter, Botanical Extracts, No Parabens, Color Safe</t>
        </is>
      </c>
      <c r="E970" s="2">
        <f>HYPERLINK("https://www.amazon.com/Giovanni-2chic-Avocado-Ultra-Moist-Conditioner/dp/B009XXO9HK/ref=sr_1_3?keywords=Giovanni+Cosmetics+2Chic+Ultra-Moist+Conditioner+Avocado&amp;qid=1695170219&amp;sr=8-3", "https://www.amazon.com/Giovanni-2chic-Avocado-Ultra-Moist-Conditioner/dp/B009XXO9HK/ref=sr_1_3?keywords=Giovanni+Cosmetics+2Chic+Ultra-Moist+Conditioner+Avocado&amp;qid=1695170219&amp;sr=8-3")</f>
        <v/>
      </c>
      <c r="F970" t="inlineStr">
        <is>
          <t>B009XXO9HK</t>
        </is>
      </c>
      <c r="G970">
        <f>_xludf.IMAGE("https://www.shelhealth.com/cdn/shop/files/giovanni-cosmetics-2chic-ultra-moist-conditioner-avocado-olive-oil-8-5-oz-case-of-3-beauty-body-care-shelhealth-278.jpg?v=1686527079&amp;width=1946")</f>
        <v/>
      </c>
      <c r="H970">
        <f>_xludf.IMAGE("https://m.media-amazon.com/images/I/61FUjpsSgHL._AC_UL320_.jpg")</f>
        <v/>
      </c>
      <c r="K970" t="inlineStr">
        <is>
          <t>27.99</t>
        </is>
      </c>
      <c r="L970" t="n">
        <v>11.99</v>
      </c>
      <c r="M970" s="1" t="inlineStr">
        <is>
          <t>-57.16%</t>
        </is>
      </c>
      <c r="N970" s="3" t="n">
        <v>-57.16</v>
      </c>
      <c r="O970" t="n">
        <v>4.3</v>
      </c>
      <c r="P970" t="n">
        <v>407</v>
      </c>
      <c r="R970" t="inlineStr">
        <is>
          <t>InStock</t>
        </is>
      </c>
      <c r="S970" t="inlineStr">
        <is>
          <t>27.99</t>
        </is>
      </c>
      <c r="T970" t="inlineStr">
        <is>
          <t>7241657614524</t>
        </is>
      </c>
    </row>
    <row r="971" hidden="1" ht="15.75" customHeight="1">
      <c r="A971" s="2">
        <f>HYPERLINK("https://www.shelhealth.com/products/716237185037-giovanni-cosmetics-2chic-ultra-luxurious-leave-in-conditioning-styling-elixir-cherry-blossom-4-oz", "https://www.shelhealth.com/products/716237185037-giovanni-cosmetics-2chic-ultra-luxurious-leave-in-conditioning-styling-elixir-cherry-blossom-4-oz")</f>
        <v/>
      </c>
      <c r="B971" s="2">
        <f>HYPERLINK("https://www.shelhealth.com/products/716237185037-giovanni-cosmetics-2chic-ultra-luxurious-leave-in-conditioning-styling-elixir-cherry-blossom-4-oz", "https://www.shelhealth.com/products/716237185037-giovanni-cosmetics-2chic-ultra-luxurious-leave-in-conditioning-styling-elixir-cherry-blossom-4-oz")</f>
        <v/>
      </c>
      <c r="C971" t="inlineStr">
        <is>
          <t>Giovanni Cosmetics 2Chic Ultra-Luxurious Leave-In Conditioning &amp; Styling Elixir Cherry Blossom, 4 Oz (Case of 3)</t>
        </is>
      </c>
      <c r="D971" t="inlineStr">
        <is>
          <t>GIOVANNI 2chic Ultra-Luxurious Leave-In Conditioning &amp; Styling Elixir - Smoothing Hair Cream for Curly &amp; Wavy Hair, Aloe Vera, Paraben Free, Color Safe, Cherry Blossom &amp; Rose Petal - 4 oz</t>
        </is>
      </c>
      <c r="E971" s="2">
        <f>HYPERLINK("https://www.amazon.com/GIOVANNI-Ultra-Luxurious-Conditioning-Styling-Blossom/dp/B01CWYES1I/ref=sr_1_1?keywords=Giovanni+Cosmetics+2Chic+Ultra-Luxurious+Leave-In+Conditioning&amp;qid=1695170234&amp;sr=8-1", "https://www.amazon.com/GIOVANNI-Ultra-Luxurious-Conditioning-Styling-Blossom/dp/B01CWYES1I/ref=sr_1_1?keywords=Giovanni+Cosmetics+2Chic+Ultra-Luxurious+Leave-In+Conditioning&amp;qid=1695170234&amp;sr=8-1")</f>
        <v/>
      </c>
      <c r="F971" t="inlineStr">
        <is>
          <t>B01CWYES1I</t>
        </is>
      </c>
      <c r="G971">
        <f>_xludf.IMAGE("https://www.shelhealth.com/cdn/shop/files/giovanni-cosmetics-2chic-ultra-luxurious-leave-in-conditioning-styling-elixir-cherry-blossom-4-oz-case-of-3-bath-body-shelhealth-248.jpg?v=1693354452&amp;width=1946")</f>
        <v/>
      </c>
      <c r="H971">
        <f>_xludf.IMAGE("https://m.media-amazon.com/images/I/71VG-beyAYL._AC_UL320_.jpg")</f>
        <v/>
      </c>
      <c r="K971" t="inlineStr">
        <is>
          <t>27.99</t>
        </is>
      </c>
      <c r="L971" t="n">
        <v>11.93</v>
      </c>
      <c r="M971" s="1" t="inlineStr">
        <is>
          <t>-57.38%</t>
        </is>
      </c>
      <c r="N971" s="3" t="n">
        <v>-57.38</v>
      </c>
      <c r="O971" t="n">
        <v>4.5</v>
      </c>
      <c r="P971" t="n">
        <v>521</v>
      </c>
      <c r="R971" t="inlineStr">
        <is>
          <t>OutOfStock</t>
        </is>
      </c>
      <c r="S971" t="inlineStr">
        <is>
          <t>27.99</t>
        </is>
      </c>
      <c r="T971" t="inlineStr">
        <is>
          <t>7241657385148</t>
        </is>
      </c>
    </row>
    <row r="972" hidden="1" ht="15.75" customHeight="1">
      <c r="A972" s="2">
        <f>HYPERLINK("https://www.shelhealth.com/products/724742001209-alba-botanica-conditioner-smooth-gardenia-32-oz", "https://www.shelhealth.com/products/724742001209-alba-botanica-conditioner-smooth-gardenia-32-oz")</f>
        <v/>
      </c>
      <c r="B972" s="2">
        <f>HYPERLINK("https://www.shelhealth.com/products/724742001209-alba-botanica-conditioner-smooth-gardenia-32-oz", "https://www.shelhealth.com/products/724742001209-alba-botanica-conditioner-smooth-gardenia-32-oz")</f>
        <v/>
      </c>
      <c r="C972" t="inlineStr">
        <is>
          <t>Alba Botanica Conditioner Smooth Gardenia, 32 Oz</t>
        </is>
      </c>
      <c r="D972" t="inlineStr">
        <is>
          <t>Alba Botanica Smooth &amp; Soothe Conditioner, Cannabis Sativa Seed Oil, 12 Oz</t>
        </is>
      </c>
      <c r="E972" s="2">
        <f>HYPERLINK("https://www.amazon.com/Alba-Botanica-Conditioner-Smooth-Cannabis/dp/B07XYQ5GD8/ref=sr_1_fkmr0_2?keywords=Alba+Botanica+Conditioner+Smooth+Gardenia%2C+32+Oz&amp;qid=1695170209&amp;sr=8-2-fkmr0", "https://www.amazon.com/Alba-Botanica-Conditioner-Smooth-Cannabis/dp/B07XYQ5GD8/ref=sr_1_fkmr0_2?keywords=Alba+Botanica+Conditioner+Smooth+Gardenia%2C+32+Oz&amp;qid=1695170209&amp;sr=8-2-fkmr0")</f>
        <v/>
      </c>
      <c r="F972" t="inlineStr">
        <is>
          <t>B07XYQ5GD8</t>
        </is>
      </c>
      <c r="G972">
        <f>_xludf.IMAGE("https://www.shelhealth.com/cdn/shop/files/alba-botanica-conditioner-smooth-gardenia-32-oz-beauty-body-care-shelhealth-819.jpg?v=1686191553&amp;width=1946")</f>
        <v/>
      </c>
      <c r="H972">
        <f>_xludf.IMAGE("https://m.media-amazon.com/images/I/5100MTv0SIS._AC_UL320_.jpg")</f>
        <v/>
      </c>
      <c r="K972" t="inlineStr">
        <is>
          <t>19.99</t>
        </is>
      </c>
      <c r="L972" t="n">
        <v>8.49</v>
      </c>
      <c r="M972" s="1" t="inlineStr">
        <is>
          <t>-57.53%</t>
        </is>
      </c>
      <c r="N972" s="3" t="n">
        <v>-57.53</v>
      </c>
      <c r="O972" t="n">
        <v>4.3</v>
      </c>
      <c r="P972" t="n">
        <v>71</v>
      </c>
      <c r="R972" t="inlineStr">
        <is>
          <t>OutOfStock</t>
        </is>
      </c>
      <c r="S972" t="inlineStr">
        <is>
          <t>19.99</t>
        </is>
      </c>
      <c r="T972" t="inlineStr">
        <is>
          <t>7241428336828</t>
        </is>
      </c>
    </row>
    <row r="973" hidden="1" ht="15.75" customHeight="1">
      <c r="A973" s="2">
        <f>HYPERLINK("https://www.shelhealth.com/products/30985087307-derma-e-scalp-relief-shampoo-10-oz", "https://www.shelhealth.com/products/30985087307-derma-e-scalp-relief-shampoo-10-oz")</f>
        <v/>
      </c>
      <c r="B973" s="2">
        <f>HYPERLINK("https://www.shelhealth.com/products/30985087307-derma-e-scalp-relief-shampoo-10-oz", "https://www.shelhealth.com/products/30985087307-derma-e-scalp-relief-shampoo-10-oz")</f>
        <v/>
      </c>
      <c r="C973" t="inlineStr">
        <is>
          <t>Derma E Scalp Relief Shampoo, 10 Oz (Case of 2)</t>
        </is>
      </c>
      <c r="D973" t="inlineStr">
        <is>
          <t>DERMA-E Scalp Relief Conditioner with Psorzema Herbal Blend – All Natural Scalp Treatment &amp; Dandruff Conditioner – Soothes Itchy Scalp and Promotes Scalp Health, 10 Fl Oz (Pack of 1)</t>
        </is>
      </c>
      <c r="E973" s="2">
        <f>HYPERLINK("https://www.amazon.com/Derma-Scalp-Relief-Conditioner-Fluid/dp/B00VU6D1QS/ref=sr_1_3?keywords=Derma+E+Scalp+Relief+Shampoo%2C+10+Oz+%28Case+of+2%29&amp;qid=1695170181&amp;sr=8-3", "https://www.amazon.com/Derma-Scalp-Relief-Conditioner-Fluid/dp/B00VU6D1QS/ref=sr_1_3?keywords=Derma+E+Scalp+Relief+Shampoo%2C+10+Oz+%28Case+of+2%29&amp;qid=1695170181&amp;sr=8-3")</f>
        <v/>
      </c>
      <c r="F973" t="inlineStr">
        <is>
          <t>B00VU6D1QS</t>
        </is>
      </c>
      <c r="G973">
        <f>_xludf.IMAGE("https://www.shelhealth.com/cdn/shop/files/derma-e-scalp-relief-shampoo-10-oz-case-of-2-beauty-body-care-shelhealth-928.jpg?v=1687410996&amp;width=1946")</f>
        <v/>
      </c>
      <c r="H973">
        <f>_xludf.IMAGE("https://m.media-amazon.com/images/I/51bv1NcqGDL._AC_UL320_.jpg")</f>
        <v/>
      </c>
      <c r="K973" t="inlineStr">
        <is>
          <t>22.99</t>
        </is>
      </c>
      <c r="L973" t="n">
        <v>9.49</v>
      </c>
      <c r="M973" s="1" t="inlineStr">
        <is>
          <t>-58.72%</t>
        </is>
      </c>
      <c r="N973" s="3" t="n">
        <v>-58.72</v>
      </c>
      <c r="O973" t="n">
        <v>4.1</v>
      </c>
      <c r="P973" t="n">
        <v>1575</v>
      </c>
      <c r="R973" t="inlineStr">
        <is>
          <t>InStock</t>
        </is>
      </c>
      <c r="S973" t="inlineStr">
        <is>
          <t>22.99</t>
        </is>
      </c>
      <c r="T973" t="inlineStr">
        <is>
          <t>7241585655996</t>
        </is>
      </c>
    </row>
    <row r="974" hidden="1" ht="15.75" customHeight="1">
      <c r="A974" s="2">
        <f>HYPERLINK("https://www.shelhealth.com/products/herbal-essences-hello-hydration-shampoo-40-fl-oz", "https://www.shelhealth.com/products/herbal-essences-hello-hydration-shampoo-40-fl-oz")</f>
        <v/>
      </c>
      <c r="B974" s="2">
        <f>HYPERLINK("https://www.shelhealth.com/products/herbal-essences-hello-hydration-shampoo-40-fl-oz", "https://www.shelhealth.com/products/herbal-essences-hello-hydration-shampoo-40-fl-oz")</f>
        <v/>
      </c>
      <c r="C974" t="inlineStr">
        <is>
          <t>Herbal Essences Repair Conditioner, Argan Oil of Morocco (29.2 fl. oz.)</t>
        </is>
      </c>
      <c r="D974" t="inlineStr">
        <is>
          <t>Herbal Essences bio:renew Argan Oil Of Morocco Repairing Color-Safe Shampoo, 13.5 fl oz</t>
        </is>
      </c>
      <c r="E974" s="2">
        <f>HYPERLINK("https://www.amazon.com/Herbal-Essences-Argan-Morocco-Shampoo/dp/B01MEEW291/ref=sr_1_4?keywords=Herbal+Essences+Repair+Conditioner%2C+Argan+Oil+of+Morocco+%2829.2+fl.+oz.%29&amp;qid=1695170247&amp;sr=8-4", "https://www.amazon.com/Herbal-Essences-Argan-Morocco-Shampoo/dp/B01MEEW291/ref=sr_1_4?keywords=Herbal+Essences+Repair+Conditioner%2C+Argan+Oil+of+Morocco+%2829.2+fl.+oz.%29&amp;qid=1695170247&amp;sr=8-4")</f>
        <v/>
      </c>
      <c r="F974" t="inlineStr">
        <is>
          <t>B01MEEW291</t>
        </is>
      </c>
      <c r="G974">
        <f>_xludf.IMAGE("https://www.shelhealth.com/cdn/shop/products/herbal-essences-repair-conditioner-argan-oil-of-morocco-29-2-fl-oz-essence-shelhealth-683.jpg?v=1663349980&amp;width=1946")</f>
        <v/>
      </c>
      <c r="H974">
        <f>_xludf.IMAGE("https://m.media-amazon.com/images/I/81sZ4qvMZPL._AC_UL320_.jpg")</f>
        <v/>
      </c>
      <c r="K974" t="inlineStr">
        <is>
          <t>16.99</t>
        </is>
      </c>
      <c r="L974" t="n">
        <v>6.97</v>
      </c>
      <c r="M974" s="1" t="inlineStr">
        <is>
          <t>-58.98%</t>
        </is>
      </c>
      <c r="N974" s="3" t="n">
        <v>-58.98</v>
      </c>
      <c r="O974" t="n">
        <v>4.6</v>
      </c>
      <c r="P974" t="n">
        <v>1666</v>
      </c>
      <c r="R974" t="inlineStr">
        <is>
          <t>InStock</t>
        </is>
      </c>
      <c r="S974" t="inlineStr">
        <is>
          <t>16.99</t>
        </is>
      </c>
      <c r="T974" t="inlineStr">
        <is>
          <t>3853303087156</t>
        </is>
      </c>
    </row>
    <row r="975" hidden="1" ht="15.75" customHeight="1">
      <c r="A975" s="2">
        <f>HYPERLINK("https://www.shelhealth.com/products/copy-of-herbal-essences-repair-shampoo-argan-oil-of-morocco-29-2-fl-oz", "https://www.shelhealth.com/products/copy-of-herbal-essences-repair-shampoo-argan-oil-of-morocco-29-2-fl-oz")</f>
        <v/>
      </c>
      <c r="B975" s="2">
        <f>HYPERLINK("https://www.shelhealth.com/products/copy-of-herbal-essences-repair-shampoo-argan-oil-of-morocco-29-2-fl-oz", "https://www.shelhealth.com/products/copy-of-herbal-essences-repair-shampoo-argan-oil-of-morocco-29-2-fl-oz")</f>
        <v/>
      </c>
      <c r="C975" t="inlineStr">
        <is>
          <t>Herbal Essences Repair Shampoo, Argan Oil of Morocco (29.2 fl. oz.)</t>
        </is>
      </c>
      <c r="D975" t="inlineStr">
        <is>
          <t>Herbal Essences bio:renew Argan Oil Of Morocco Repairing Color-Safe Shampoo, 13.5 fl oz</t>
        </is>
      </c>
      <c r="E975" s="2">
        <f>HYPERLINK("https://www.amazon.com/Herbal-Essences-Argan-Morocco-Shampoo/dp/B01MEEW291/ref=sr_1_1?keywords=Herbal+Essences+Repair+Shampoo%2C+Argan+Oil+of+Morocco+%2829.2+fl.+oz.%29&amp;qid=1695170182&amp;sr=8-1", "https://www.amazon.com/Herbal-Essences-Argan-Morocco-Shampoo/dp/B01MEEW291/ref=sr_1_1?keywords=Herbal+Essences+Repair+Shampoo%2C+Argan+Oil+of+Morocco+%2829.2+fl.+oz.%29&amp;qid=1695170182&amp;sr=8-1")</f>
        <v/>
      </c>
      <c r="F975" t="inlineStr">
        <is>
          <t>B01MEEW291</t>
        </is>
      </c>
      <c r="G975">
        <f>_xludf.IMAGE("https://www.shelhealth.com/cdn/shop/products/herbal-essences-repair-shampoo-argan-oil-of-morocco-29-2-fl-oz-essence-shelhealth-255.jpg?v=1663349993&amp;width=1946")</f>
        <v/>
      </c>
      <c r="H975">
        <f>_xludf.IMAGE("https://m.media-amazon.com/images/I/81sZ4qvMZPL._AC_UL320_.jpg")</f>
        <v/>
      </c>
      <c r="K975" t="inlineStr">
        <is>
          <t>16.99</t>
        </is>
      </c>
      <c r="L975" t="n">
        <v>6.97</v>
      </c>
      <c r="M975" s="1" t="inlineStr">
        <is>
          <t>-58.98%</t>
        </is>
      </c>
      <c r="N975" s="3" t="n">
        <v>-58.98</v>
      </c>
      <c r="O975" t="n">
        <v>4.6</v>
      </c>
      <c r="P975" t="n">
        <v>1666</v>
      </c>
      <c r="R975" t="inlineStr">
        <is>
          <t>InStock</t>
        </is>
      </c>
      <c r="S975" t="inlineStr">
        <is>
          <t>16.99</t>
        </is>
      </c>
      <c r="T975" t="inlineStr">
        <is>
          <t>3853317931060</t>
        </is>
      </c>
    </row>
    <row r="976" hidden="1" ht="15.75" customHeight="1">
      <c r="A976" s="2">
        <f>HYPERLINK("https://www.shelhealth.com/products/revlon-perfect-heat-perfect-straight-1-flat-iron", "https://www.shelhealth.com/products/revlon-perfect-heat-perfect-straight-1-flat-iron")</f>
        <v/>
      </c>
      <c r="B976" s="2">
        <f>HYPERLINK("https://www.shelhealth.com/products/revlon-perfect-heat-perfect-straight-1-flat-iron", "https://www.shelhealth.com/products/revlon-perfect-heat-perfect-straight-1-flat-iron")</f>
        <v/>
      </c>
      <c r="C976" t="inlineStr">
        <is>
          <t>Revlon Perfect Heat Perfect Straight 1" Flat Iron</t>
        </is>
      </c>
      <c r="D976" t="inlineStr">
        <is>
          <t>Revlon Perfect Heat Triple Ceramic Flat Iron | For Ultra Straight Styles (1 in)</t>
        </is>
      </c>
      <c r="E976" s="2">
        <f>HYPERLINK("https://www.amazon.com/Revlon-High-Heat-Ceramic-Flat/dp/B005260BEC/ref=sr_1_1?keywords=Revlon+Perfect+Heat+Perfect+Straight+1%22+Flat+Iron&amp;qid=1695170238&amp;sr=8-1", "https://www.amazon.com/Revlon-High-Heat-Ceramic-Flat/dp/B005260BEC/ref=sr_1_1?keywords=Revlon+Perfect+Heat+Perfect+Straight+1%22+Flat+Iron&amp;qid=1695170238&amp;sr=8-1")</f>
        <v/>
      </c>
      <c r="F976" t="inlineStr">
        <is>
          <t>B005260BEC</t>
        </is>
      </c>
      <c r="G976">
        <f>_xludf.IMAGE("https://www.shelhealth.com/cdn/shop/products/revlon-perfect-heat-straight-1-flat-iron-shelhealth-843.jpg?v=1663350923&amp;width=1946")</f>
        <v/>
      </c>
      <c r="H976">
        <f>_xludf.IMAGE("https://m.media-amazon.com/images/I/61wfzrE+LYL._AC_UL320_.jpg")</f>
        <v/>
      </c>
      <c r="K976" t="inlineStr">
        <is>
          <t>43.99</t>
        </is>
      </c>
      <c r="L976" t="n">
        <v>17.99</v>
      </c>
      <c r="M976" s="1" t="inlineStr">
        <is>
          <t>-59.10%</t>
        </is>
      </c>
      <c r="N976" s="3" t="n">
        <v>-59.1</v>
      </c>
      <c r="O976" t="n">
        <v>4.3</v>
      </c>
      <c r="P976" t="n">
        <v>371</v>
      </c>
      <c r="R976" t="inlineStr">
        <is>
          <t>InStock</t>
        </is>
      </c>
      <c r="S976" t="inlineStr">
        <is>
          <t>43.99</t>
        </is>
      </c>
      <c r="T976" t="inlineStr">
        <is>
          <t>4099753476148</t>
        </is>
      </c>
    </row>
    <row r="977" hidden="1" ht="15.75" customHeight="1">
      <c r="A977" s="2">
        <f>HYPERLINK("https://www.shelhealth.com/products/716237181718-giovanni-root-66-max-volume-shampoo-8-5-oz", "https://www.shelhealth.com/products/716237181718-giovanni-root-66-max-volume-shampoo-8-5-oz")</f>
        <v/>
      </c>
      <c r="B977" s="2">
        <f>HYPERLINK("https://www.shelhealth.com/products/716237181718-giovanni-root-66-max-volume-shampoo-8-5-oz", "https://www.shelhealth.com/products/716237181718-giovanni-root-66-max-volume-shampoo-8-5-oz")</f>
        <v/>
      </c>
      <c r="C977" t="inlineStr">
        <is>
          <t>Giovanni Root 66 Max Volume Shampoo, 8.5 Oz (Case of 3)</t>
        </is>
      </c>
      <c r="D977" t="inlineStr">
        <is>
          <t>Giovanni Cosmetics Root 66 Max Volume Shampoo, 8.5 oz</t>
        </is>
      </c>
      <c r="E977" s="2">
        <f>HYPERLINK("https://www.amazon.com/Giovanni-Cosmetics-Root-Max-Shampoo/dp/B00DGDJZYA/ref=sr_1_4?keywords=Giovanni+Root+66+Max+Volume+Shampoo%2C+8.5+Oz+%28Case+of+3%29&amp;qid=1695170187&amp;sr=8-4", "https://www.amazon.com/Giovanni-Cosmetics-Root-Max-Shampoo/dp/B00DGDJZYA/ref=sr_1_4?keywords=Giovanni+Root+66+Max+Volume+Shampoo%2C+8.5+Oz+%28Case+of+3%29&amp;qid=1695170187&amp;sr=8-4")</f>
        <v/>
      </c>
      <c r="F977" t="inlineStr">
        <is>
          <t>B00DGDJZYA</t>
        </is>
      </c>
      <c r="G977">
        <f>_xludf.IMAGE("https://www.shelhealth.com/cdn/shop/files/giovanni-root-66-max-volume-shampoo-8-5-oz-case-of-3-beauty-body-care-shelhealth-880.jpg?v=1686527324&amp;width=1946")</f>
        <v/>
      </c>
      <c r="H977">
        <f>_xludf.IMAGE("https://m.media-amazon.com/images/I/51EZrAPtYXL._AC_UL320_.jpg")</f>
        <v/>
      </c>
      <c r="K977" t="inlineStr">
        <is>
          <t>27.99</t>
        </is>
      </c>
      <c r="L977" t="n">
        <v>11.2</v>
      </c>
      <c r="M977" s="1" t="inlineStr">
        <is>
          <t>-59.99%</t>
        </is>
      </c>
      <c r="N977" s="3" t="n">
        <v>-59.99</v>
      </c>
      <c r="O977" t="n">
        <v>4.5</v>
      </c>
      <c r="P977" t="n">
        <v>42</v>
      </c>
      <c r="R977" t="inlineStr">
        <is>
          <t>OutOfStock</t>
        </is>
      </c>
      <c r="S977" t="inlineStr">
        <is>
          <t>27.99</t>
        </is>
      </c>
      <c r="T977" t="inlineStr">
        <is>
          <t>7241663545532</t>
        </is>
      </c>
    </row>
    <row r="978" hidden="1" ht="15.75" customHeight="1">
      <c r="A978" s="2">
        <f>HYPERLINK("https://www.shelhealth.com/products/finishing-touch-flawless-facial-hair-remover", "https://www.shelhealth.com/products/finishing-touch-flawless-facial-hair-remover")</f>
        <v/>
      </c>
      <c r="B978" s="2">
        <f>HYPERLINK("https://www.shelhealth.com/products/finishing-touch-flawless-facial-hair-remover", "https://www.shelhealth.com/products/finishing-touch-flawless-facial-hair-remover")</f>
        <v/>
      </c>
      <c r="C978" t="inlineStr">
        <is>
          <t>Finishing Touch Flawless Facial Hair Remover</t>
        </is>
      </c>
      <c r="D978" t="inlineStr">
        <is>
          <t>Finishing Touch Flawless Dermaplane Facial Exfoliator and Hair Remover, 4 Count</t>
        </is>
      </c>
      <c r="E978" s="2">
        <f>HYPERLINK("https://www.amazon.com/Finishing-Touch-Flawless-Dermaplane-Exfoliator/dp/B07KY9HVYN/ref=sr_1_9?keywords=Finishing+Touch+Flawless+Facial+Hair+Remover&amp;qid=1695170242&amp;sr=8-9", "https://www.amazon.com/Finishing-Touch-Flawless-Dermaplane-Exfoliator/dp/B07KY9HVYN/ref=sr_1_9?keywords=Finishing+Touch+Flawless+Facial+Hair+Remover&amp;qid=1695170242&amp;sr=8-9")</f>
        <v/>
      </c>
      <c r="F978" t="inlineStr">
        <is>
          <t>B07KY9HVYN</t>
        </is>
      </c>
      <c r="G978">
        <f>_xludf.IMAGE("https://www.shelhealth.com/cdn/shop/products/finishing-touch-flawless-facial-hair-remover-shelhealth-241.jpg?v=1663620023&amp;width=1946")</f>
        <v/>
      </c>
      <c r="H978">
        <f>_xludf.IMAGE("https://m.media-amazon.com/images/I/71IK1SFQB7L._AC_UL320_.jpg")</f>
        <v/>
      </c>
      <c r="K978" t="inlineStr">
        <is>
          <t>24.99</t>
        </is>
      </c>
      <c r="L978" t="n">
        <v>9.99</v>
      </c>
      <c r="M978" s="1" t="inlineStr">
        <is>
          <t>-60.02%</t>
        </is>
      </c>
      <c r="N978" s="3" t="n">
        <v>-60.02</v>
      </c>
      <c r="O978" t="n">
        <v>4.1</v>
      </c>
      <c r="P978" t="n">
        <v>4336</v>
      </c>
      <c r="R978" t="inlineStr">
        <is>
          <t>InStock</t>
        </is>
      </c>
      <c r="S978" t="inlineStr">
        <is>
          <t>24.99</t>
        </is>
      </c>
      <c r="T978" t="inlineStr">
        <is>
          <t>4727992909913</t>
        </is>
      </c>
    </row>
    <row r="979" hidden="1" ht="15.75" customHeight="1">
      <c r="A979" s="2">
        <f>HYPERLINK("https://www.shelhealth.com/products/654749351000-avalon-organics-shampoo-nourishing-lavender-11-oz", "https://www.shelhealth.com/products/654749351000-avalon-organics-shampoo-nourishing-lavender-11-oz")</f>
        <v/>
      </c>
      <c r="B979" s="2">
        <f>HYPERLINK("https://www.shelhealth.com/products/654749351000-avalon-organics-shampoo-nourishing-lavender-11-oz", "https://www.shelhealth.com/products/654749351000-avalon-organics-shampoo-nourishing-lavender-11-oz")</f>
        <v/>
      </c>
      <c r="C979" t="inlineStr">
        <is>
          <t>Avalon Organics Shampoo Nourishing Lavender, 11 Oz (Case of 2)</t>
        </is>
      </c>
      <c r="D979" t="inlineStr">
        <is>
          <t>Avalon Organics Shampoo, Nourishing Lavender, 11 Oz</t>
        </is>
      </c>
      <c r="E979" s="2">
        <f>HYPERLINK("https://www.amazon.com/Avalon-Organics-Nourishing-Lavender-Shampoo/dp/B00014FE0G/ref=sr_1_2?keywords=Avalon+Organics+Shampoo+Nourishing+Lavender%2C+11+Oz+%28Case+of+2%29&amp;qid=1695170178&amp;sr=8-2", "https://www.amazon.com/Avalon-Organics-Nourishing-Lavender-Shampoo/dp/B00014FE0G/ref=sr_1_2?keywords=Avalon+Organics+Shampoo+Nourishing+Lavender%2C+11+Oz+%28Case+of+2%29&amp;qid=1695170178&amp;sr=8-2")</f>
        <v/>
      </c>
      <c r="F979" t="inlineStr">
        <is>
          <t>B00014FE0G</t>
        </is>
      </c>
      <c r="G979">
        <f>_xludf.IMAGE("https://www.shelhealth.com/cdn/shop/files/avalon-organics-shampoo-nourishing-lavender-11-oz-case-of-2-beauty-body-care-shelhealth-768.jpg?v=1686522188&amp;width=1946")</f>
        <v/>
      </c>
      <c r="H979">
        <f>_xludf.IMAGE("https://m.media-amazon.com/images/I/51oCfAPN91L._AC_UL320_.jpg")</f>
        <v/>
      </c>
      <c r="K979" t="inlineStr">
        <is>
          <t>22.99</t>
        </is>
      </c>
      <c r="L979" t="n">
        <v>8.99</v>
      </c>
      <c r="M979" s="1" t="inlineStr">
        <is>
          <t>-60.90%</t>
        </is>
      </c>
      <c r="N979" s="3" t="n">
        <v>-60.9</v>
      </c>
      <c r="O979" t="n">
        <v>4.3</v>
      </c>
      <c r="P979" t="n">
        <v>4772</v>
      </c>
      <c r="R979" t="inlineStr">
        <is>
          <t>InStock</t>
        </is>
      </c>
      <c r="S979" t="inlineStr">
        <is>
          <t>22.99</t>
        </is>
      </c>
      <c r="T979" t="inlineStr">
        <is>
          <t>7241471983804</t>
        </is>
      </c>
    </row>
    <row r="980" hidden="1" ht="15.75" customHeight="1">
      <c r="A980" s="2">
        <f>HYPERLINK("https://www.shelhealth.com/products/dove-anti-frizz-oil-therapy-shampoo-conditioner-40-oz", "https://www.shelhealth.com/products/dove-anti-frizz-oil-therapy-shampoo-conditioner-40-oz")</f>
        <v/>
      </c>
      <c r="B980" s="2">
        <f>HYPERLINK("https://www.shelhealth.com/products/dove-anti-frizz-oil-therapy-shampoo-conditioner-40-oz", "https://www.shelhealth.com/products/dove-anti-frizz-oil-therapy-shampoo-conditioner-40-oz")</f>
        <v/>
      </c>
      <c r="C980" t="inlineStr">
        <is>
          <t>Dove Anti-Frizz Oil Therapy Shampoo &amp; Conditioner - 40 oz</t>
        </is>
      </c>
      <c r="D980" t="inlineStr">
        <is>
          <t>Dove Anti-Frizz Oil Therapy Shampoo With Almond Oil 12 oz</t>
        </is>
      </c>
      <c r="E980" s="2">
        <f>HYPERLINK("https://www.amazon.com/Dove-Anti-Frizz-Therapy-Shampoo-Almond/dp/B0098RB7BM/ref=sr_1_5?keywords=Dove+Anti-Frizz+Oil+Therapy+Shampoo&amp;qid=1695170236&amp;sr=8-5", "https://www.amazon.com/Dove-Anti-Frizz-Therapy-Shampoo-Almond/dp/B0098RB7BM/ref=sr_1_5?keywords=Dove+Anti-Frizz+Oil+Therapy+Shampoo&amp;qid=1695170236&amp;sr=8-5")</f>
        <v/>
      </c>
      <c r="F980" t="inlineStr">
        <is>
          <t>B0098RB7BM</t>
        </is>
      </c>
      <c r="G980">
        <f>_xludf.IMAGE("https://www.shelhealth.com/cdn/shop/products/dove-anti-frizz-oil-therapy-shampoo-conditioner-40-oz-shelhealth-636.jpg?v=1663749796&amp;width=1946")</f>
        <v/>
      </c>
      <c r="H980">
        <f>_xludf.IMAGE("https://m.media-amazon.com/images/I/51lnePrOowL._AC_UL320_.jpg")</f>
        <v/>
      </c>
      <c r="K980" t="inlineStr">
        <is>
          <t>25.99</t>
        </is>
      </c>
      <c r="L980" t="n">
        <v>9.99</v>
      </c>
      <c r="M980" s="1" t="inlineStr">
        <is>
          <t>-61.56%</t>
        </is>
      </c>
      <c r="N980" s="3" t="n">
        <v>-61.56</v>
      </c>
      <c r="O980" t="n">
        <v>4.1</v>
      </c>
      <c r="P980" t="n">
        <v>101</v>
      </c>
      <c r="R980" t="inlineStr">
        <is>
          <t>InStock</t>
        </is>
      </c>
      <c r="S980" t="inlineStr">
        <is>
          <t>25.99</t>
        </is>
      </c>
      <c r="T980" t="inlineStr">
        <is>
          <t>7506504581352</t>
        </is>
      </c>
    </row>
    <row r="981" hidden="1" ht="15.75" customHeight="1">
      <c r="A981" s="2">
        <f>HYPERLINK("https://www.shelhealth.com/products/axe-clean-cut-look-classic-hair-pomade-2-64-oz-3-count", "https://www.shelhealth.com/products/axe-clean-cut-look-classic-hair-pomade-2-64-oz-3-count")</f>
        <v/>
      </c>
      <c r="B981" s="2">
        <f>HYPERLINK("https://www.shelhealth.com/products/axe-clean-cut-look-classic-hair-pomade-2-64-oz-3-count", "https://www.shelhealth.com/products/axe-clean-cut-look-classic-hair-pomade-2-64-oz-3-count")</f>
        <v/>
      </c>
      <c r="C981" t="inlineStr">
        <is>
          <t>AXE Clean Cut Look Classic Hair Pomade 2.64 oz, 3 Count</t>
        </is>
      </c>
      <c r="D981" t="inlineStr">
        <is>
          <t>AXE Hair Pomade for Men For a Clean Cut Look Classic Easy to Use Styling Hair Product 2.64 oz</t>
        </is>
      </c>
      <c r="E981" s="2">
        <f>HYPERLINK("https://www.amazon.com/AXE-Clean-Look-Pomade-Classic/dp/B00SD8JWJQ/ref=sr_1_3?keywords=AXE+Clean+Cut+Look+Classic+Hair+Pomade+2.64+oz%2C+3+Count&amp;qid=1695170243&amp;sr=8-3", "https://www.amazon.com/AXE-Clean-Look-Pomade-Classic/dp/B00SD8JWJQ/ref=sr_1_3?keywords=AXE+Clean+Cut+Look+Classic+Hair+Pomade+2.64+oz%2C+3+Count&amp;qid=1695170243&amp;sr=8-3")</f>
        <v/>
      </c>
      <c r="F981" t="inlineStr">
        <is>
          <t>B00SD8JWJQ</t>
        </is>
      </c>
      <c r="G981">
        <f>_xludf.IMAGE("https://www.shelhealth.com/cdn/shop/products/axe-clean-cut-look-classic-hair-pomade-2-64-oz-3-count-shelhealth-674.jpg?v=1663371224&amp;width=1946")</f>
        <v/>
      </c>
      <c r="H981">
        <f>_xludf.IMAGE("https://m.media-amazon.com/images/I/712c-EIaLKL._AC_UL320_.jpg")</f>
        <v/>
      </c>
      <c r="K981" t="inlineStr">
        <is>
          <t>20.99</t>
        </is>
      </c>
      <c r="L981" t="n">
        <v>7.98</v>
      </c>
      <c r="M981" s="1" t="inlineStr">
        <is>
          <t>-61.98%</t>
        </is>
      </c>
      <c r="N981" s="3" t="n">
        <v>-61.98</v>
      </c>
      <c r="O981" t="n">
        <v>4.6</v>
      </c>
      <c r="P981" t="n">
        <v>200</v>
      </c>
      <c r="R981" t="inlineStr">
        <is>
          <t>OutOfStock</t>
        </is>
      </c>
      <c r="S981" t="inlineStr">
        <is>
          <t>20.99</t>
        </is>
      </c>
      <c r="T981" t="inlineStr">
        <is>
          <t>4668931965017</t>
        </is>
      </c>
    </row>
    <row r="982" hidden="1" ht="15.75" customHeight="1">
      <c r="A982" s="2">
        <f>HYPERLINK("https://www.shelhealth.com/products/cantu-shea-butter-for-natural-hair-coconut-curling-cream-25-ounce", "https://www.shelhealth.com/products/cantu-shea-butter-for-natural-hair-coconut-curling-cream-25-ounce")</f>
        <v/>
      </c>
      <c r="B982" s="2">
        <f>HYPERLINK("https://www.shelhealth.com/products/cantu-shea-butter-for-natural-hair-coconut-curling-cream-25-ounce", "https://www.shelhealth.com/products/cantu-shea-butter-for-natural-hair-coconut-curling-cream-25-ounce")</f>
        <v/>
      </c>
      <c r="C982" t="inlineStr">
        <is>
          <t>Cantu Shea Butter for Natural Hair Coconut Curling Cream, 25 Ounce</t>
        </is>
      </c>
      <c r="D982" t="inlineStr">
        <is>
          <t>Cantu Coconut Curling Cream with Shea Butter for Natural Hair, 12 oz (Packaging May Vary)</t>
        </is>
      </c>
      <c r="E982" s="2">
        <f>HYPERLINK("https://www.amazon.com/Cantu-Coconut-Curling-Cream-Ounce/dp/B01LTIAU6A/ref=sr_1_1?keywords=Cantu+Shea+Butter+for+Natural+Hair+Coconut+Curling+Cream%2C+25+Ounce&amp;qid=1695170207&amp;sr=8-1", "https://www.amazon.com/Cantu-Coconut-Curling-Cream-Ounce/dp/B01LTIAU6A/ref=sr_1_1?keywords=Cantu+Shea+Butter+for+Natural+Hair+Coconut+Curling+Cream%2C+25+Ounce&amp;qid=1695170207&amp;sr=8-1")</f>
        <v/>
      </c>
      <c r="F982" t="inlineStr">
        <is>
          <t>B01LTIAU6A</t>
        </is>
      </c>
      <c r="G982">
        <f>_xludf.IMAGE("https://www.shelhealth.com/cdn/shop/products/cantu-shea-butter-for-natural-hair-coconut-curling-cream-25-ounce-shelhealth-142.jpg?v=1663350043&amp;width=1946")</f>
        <v/>
      </c>
      <c r="H982">
        <f>_xludf.IMAGE("https://m.media-amazon.com/images/I/81z56yYQDzL._AC_UL320_.jpg")</f>
        <v/>
      </c>
      <c r="K982" t="inlineStr">
        <is>
          <t>16.99</t>
        </is>
      </c>
      <c r="L982" t="n">
        <v>6.29</v>
      </c>
      <c r="M982" s="1" t="inlineStr">
        <is>
          <t>-62.98%</t>
        </is>
      </c>
      <c r="N982" s="3" t="n">
        <v>-62.98</v>
      </c>
      <c r="O982" t="n">
        <v>4.5</v>
      </c>
      <c r="P982" t="n">
        <v>52087</v>
      </c>
      <c r="R982" t="inlineStr">
        <is>
          <t>InStock</t>
        </is>
      </c>
      <c r="S982" t="inlineStr">
        <is>
          <t>16.99</t>
        </is>
      </c>
      <c r="T982" t="inlineStr">
        <is>
          <t>4045854670900</t>
        </is>
      </c>
    </row>
    <row r="983" hidden="1" ht="15.75" customHeight="1">
      <c r="A983" s="2">
        <f>HYPERLINK("https://www.shelhealth.com/products/859975020663-andalou-naturals-1000-roses-complex-color-care-leave-in-conditioner-6-8-oz", "https://www.shelhealth.com/products/859975020663-andalou-naturals-1000-roses-complex-color-care-leave-in-conditioner-6-8-oz")</f>
        <v/>
      </c>
      <c r="B983" s="2">
        <f>HYPERLINK("https://www.shelhealth.com/products/859975020663-andalou-naturals-1000-roses-complex-color-care-leave-in-conditioner-6-8-oz", "https://www.shelhealth.com/products/859975020663-andalou-naturals-1000-roses-complex-color-care-leave-in-conditioner-6-8-oz")</f>
        <v/>
      </c>
      <c r="C983" t="inlineStr">
        <is>
          <t>Andalou Naturals 1000 Roses Complex Color Care Leave-In Conditioner, 6.8 Oz (Case of 3)</t>
        </is>
      </c>
      <c r="D983" t="inlineStr">
        <is>
          <t>Andalou Naturals Leave In Hair Conditioner 0.42, 1000 Roses Complex Color Care, 6.8 Fl Oz</t>
        </is>
      </c>
      <c r="E983" s="2">
        <f>HYPERLINK("https://www.amazon.com/Andalou-Naturals-Complex-Leave-Conditioner/dp/B01N9V6ITL/ref=sr_1_2?keywords=Andalou+Naturals+1000+Roses+Complex+Color+Care+Leave-In+Conditioner%2C+6.8+Oz+%28Case+of+3%29&amp;qid=1695170222&amp;sr=8-2", "https://www.amazon.com/Andalou-Naturals-Complex-Leave-Conditioner/dp/B01N9V6ITL/ref=sr_1_2?keywords=Andalou+Naturals+1000+Roses+Complex+Color+Care+Leave-In+Conditioner%2C+6.8+Oz+%28Case+of+3%29&amp;qid=1695170222&amp;sr=8-2")</f>
        <v/>
      </c>
      <c r="F983" t="inlineStr">
        <is>
          <t>B01N9V6ITL</t>
        </is>
      </c>
      <c r="G983">
        <f>_xludf.IMAGE("https://www.shelhealth.com/cdn/shop/products/andalou-naturals-1000-roses-complex-color-care-leave-in-conditioner-6-8-oz-case-of-3-shelhealth-345.jpg?v=1677035023&amp;width=1946")</f>
        <v/>
      </c>
      <c r="H983">
        <f>_xludf.IMAGE("https://m.media-amazon.com/images/I/61wrcwhlMML._AC_UL320_.jpg")</f>
        <v/>
      </c>
      <c r="K983" t="inlineStr">
        <is>
          <t>26.99</t>
        </is>
      </c>
      <c r="L983" t="n">
        <v>9.99</v>
      </c>
      <c r="M983" s="1" t="inlineStr">
        <is>
          <t>-62.99%</t>
        </is>
      </c>
      <c r="N983" s="3" t="n">
        <v>-62.99</v>
      </c>
      <c r="O983" t="n">
        <v>4.4</v>
      </c>
      <c r="P983" t="n">
        <v>210</v>
      </c>
      <c r="R983" t="inlineStr">
        <is>
          <t>OutOfStock</t>
        </is>
      </c>
      <c r="S983" t="inlineStr">
        <is>
          <t>26.99</t>
        </is>
      </c>
      <c r="T983" t="inlineStr">
        <is>
          <t>7241443705020</t>
        </is>
      </c>
    </row>
    <row r="984" hidden="1" ht="15.75" customHeight="1">
      <c r="A984" s="2">
        <f>HYPERLINK("https://www.shelhealth.com/products/859975002010-andalou-naturals-full-volume-shampoo-lavender-and-biotin-11-5-oz", "https://www.shelhealth.com/products/859975002010-andalou-naturals-full-volume-shampoo-lavender-and-biotin-11-5-oz")</f>
        <v/>
      </c>
      <c r="B984" s="2">
        <f>HYPERLINK("https://www.shelhealth.com/products/859975002010-andalou-naturals-full-volume-shampoo-lavender-and-biotin-11-5-oz", "https://www.shelhealth.com/products/859975002010-andalou-naturals-full-volume-shampoo-lavender-and-biotin-11-5-oz")</f>
        <v/>
      </c>
      <c r="C984" t="inlineStr">
        <is>
          <t>Andalou Naturals Full Volume Shampoo Lavender And Biotin, 11.5 Oz (Case of 3)</t>
        </is>
      </c>
      <c r="D984" t="inlineStr">
        <is>
          <t>Andalou Naturals Lavender &amp; Biotin Full Volume Shampoo,Purple,11.5 Fl Oz (Pack of 1)</t>
        </is>
      </c>
      <c r="E984" s="2">
        <f>HYPERLINK("https://www.amazon.com/Andalou-Naturals-Lavender-Strengthen-Volumized/dp/B0052P1A8E/ref=sr_1_1?keywords=Andalou+Naturals+Full+Volume+Shampoo+Lavender+And+Biotin%2C+11.5+Oz+%28Case+of+3%29&amp;qid=1695170182&amp;sr=8-1", "https://www.amazon.com/Andalou-Naturals-Lavender-Strengthen-Volumized/dp/B0052P1A8E/ref=sr_1_1?keywords=Andalou+Naturals+Full+Volume+Shampoo+Lavender+And+Biotin%2C+11.5+Oz+%28Case+of+3%29&amp;qid=1695170182&amp;sr=8-1")</f>
        <v/>
      </c>
      <c r="F984" t="inlineStr">
        <is>
          <t>B0052P1A8E</t>
        </is>
      </c>
      <c r="G984">
        <f>_xludf.IMAGE("https://www.shelhealth.com/cdn/shop/files/andalou-naturals-full-volume-shampoo-lavender-and-biotin-11-5-oz-case-of-3-beauty-body-care-shelhealth-825.jpg?v=1686484591&amp;width=1946")</f>
        <v/>
      </c>
      <c r="H984">
        <f>_xludf.IMAGE("https://m.media-amazon.com/images/I/61R2O5fGcoL._AC_UL320_.jpg")</f>
        <v/>
      </c>
      <c r="K984" t="inlineStr">
        <is>
          <t>26.99</t>
        </is>
      </c>
      <c r="L984" t="n">
        <v>9.99</v>
      </c>
      <c r="M984" s="1" t="inlineStr">
        <is>
          <t>-62.99%</t>
        </is>
      </c>
      <c r="N984" s="3" t="n">
        <v>-62.99</v>
      </c>
      <c r="O984" t="n">
        <v>4.3</v>
      </c>
      <c r="P984" t="n">
        <v>556</v>
      </c>
      <c r="R984" t="inlineStr">
        <is>
          <t>InStock</t>
        </is>
      </c>
      <c r="S984" t="inlineStr">
        <is>
          <t>26.99</t>
        </is>
      </c>
      <c r="T984" t="inlineStr">
        <is>
          <t>7241450651836</t>
        </is>
      </c>
    </row>
    <row r="985" hidden="1" ht="15.75" customHeight="1">
      <c r="A985" s="2">
        <f>HYPERLINK("https://www.shelhealth.com/products/718334333540-desert-essence-mask-hair-anti-breaking-5-1-fl-oz", "https://www.shelhealth.com/products/718334333540-desert-essence-mask-hair-anti-breaking-5-1-fl-oz")</f>
        <v/>
      </c>
      <c r="B985" s="2">
        <f>HYPERLINK("https://www.shelhealth.com/products/718334333540-desert-essence-mask-hair-anti-breaking-5-1-fl-oz", "https://www.shelhealth.com/products/718334333540-desert-essence-mask-hair-anti-breaking-5-1-fl-oz")</f>
        <v/>
      </c>
      <c r="C985" t="inlineStr">
        <is>
          <t>Desert Essence Mask Hair Anti Breaking, 5.1 Fl Oz (Case of 3)</t>
        </is>
      </c>
      <c r="D985" t="inlineStr">
        <is>
          <t>Desert Essence Anti-breakage Hair Mask - 5.1 Fl Oz - Maxi Hair Plus Biotin - Hair Moisturizer - Essential Enriched Vitamins - Promotes Breakage Reduction - Salon Professional Formula</t>
        </is>
      </c>
      <c r="E985" s="2">
        <f>HYPERLINK("https://www.amazon.com/Desert-Essence-Anti-breakage-Hair-Mask/dp/B0768QCTPF/ref=sr_1_1?keywords=Desert+Essence+Mask+Hair+Anti+Breaking%2C+5.1+Fl+Oz+%28Case+of+3%29&amp;qid=1695170243&amp;sr=8-1", "https://www.amazon.com/Desert-Essence-Anti-breakage-Hair-Mask/dp/B0768QCTPF/ref=sr_1_1?keywords=Desert+Essence+Mask+Hair+Anti+Breaking%2C+5.1+Fl+Oz+%28Case+of+3%29&amp;qid=1695170243&amp;sr=8-1")</f>
        <v/>
      </c>
      <c r="F985" t="inlineStr">
        <is>
          <t>B0768QCTPF</t>
        </is>
      </c>
      <c r="G985">
        <f>_xludf.IMAGE("https://www.shelhealth.com/cdn/shop/files/desert-essence-mask-hair-anti-breaking-5-1-fl-oz-case-of-3-bath-body-shelhealth-632.jpg?v=1686194905&amp;width=1946")</f>
        <v/>
      </c>
      <c r="H985">
        <f>_xludf.IMAGE("https://m.media-amazon.com/images/I/81kh+9WcBAL._AC_UL320_.jpg")</f>
        <v/>
      </c>
      <c r="K985" t="inlineStr">
        <is>
          <t>27.99</t>
        </is>
      </c>
      <c r="L985" t="n">
        <v>10.29</v>
      </c>
      <c r="M985" s="1" t="inlineStr">
        <is>
          <t>-63.24%</t>
        </is>
      </c>
      <c r="N985" s="3" t="n">
        <v>-63.24</v>
      </c>
      <c r="O985" t="n">
        <v>4.4</v>
      </c>
      <c r="P985" t="n">
        <v>48</v>
      </c>
      <c r="R985" t="inlineStr">
        <is>
          <t>OutOfStock</t>
        </is>
      </c>
      <c r="S985" t="inlineStr">
        <is>
          <t>27.99</t>
        </is>
      </c>
      <c r="T985" t="inlineStr">
        <is>
          <t>7241588670652</t>
        </is>
      </c>
    </row>
    <row r="986" hidden="1" ht="15.75" customHeight="1">
      <c r="A986" s="2">
        <f>HYPERLINK("https://www.shelhealth.com/products/859975020687-andalou-naturals-exotic-marula-oil-silky-smooth-shampoo-11-5-oz", "https://www.shelhealth.com/products/859975020687-andalou-naturals-exotic-marula-oil-silky-smooth-shampoo-11-5-oz")</f>
        <v/>
      </c>
      <c r="B986" s="2">
        <f>HYPERLINK("https://www.shelhealth.com/products/859975020687-andalou-naturals-exotic-marula-oil-silky-smooth-shampoo-11-5-oz", "https://www.shelhealth.com/products/859975020687-andalou-naturals-exotic-marula-oil-silky-smooth-shampoo-11-5-oz")</f>
        <v/>
      </c>
      <c r="C986" t="inlineStr">
        <is>
          <t>Andalou Naturals Exotic Marula Oil Silky Smooth Shampoo, 11.5 Oz (Case of 3)</t>
        </is>
      </c>
      <c r="D986" t="inlineStr">
        <is>
          <t>Andalou Naturals Exotic Marula Oil Silky Smooth Shampoo, 11.5 Oz</t>
        </is>
      </c>
      <c r="E986" s="2">
        <f>HYPERLINK("https://www.amazon.com/Andalou-Naturals-Marula-Shampoo-Ounce/dp/B01N5SGWTN/ref=sr_1_1?keywords=Andalou+Naturals+Exotic+Marula+Oil+Silky+Smooth+Shampoo%2C+11.5+Oz+%28Case+of+3%29&amp;qid=1695170198&amp;sr=8-1", "https://www.amazon.com/Andalou-Naturals-Marula-Shampoo-Ounce/dp/B01N5SGWTN/ref=sr_1_1?keywords=Andalou+Naturals+Exotic+Marula+Oil+Silky+Smooth+Shampoo%2C+11.5+Oz+%28Case+of+3%29&amp;qid=1695170198&amp;sr=8-1")</f>
        <v/>
      </c>
      <c r="F986" t="inlineStr">
        <is>
          <t>B01N5SGWTN</t>
        </is>
      </c>
      <c r="G986">
        <f>_xludf.IMAGE("https://www.shelhealth.com/cdn/shop/files/andalou-naturals-exotic-marula-oil-silky-smooth-shampoo-11-5-oz-case-of-3-beauty-body-care-shelhealth-819.jpg?v=1686484587&amp;width=1946")</f>
        <v/>
      </c>
      <c r="H986">
        <f>_xludf.IMAGE("https://m.media-amazon.com/images/I/41ldJTgGsoL._AC_UL320_.jpg")</f>
        <v/>
      </c>
      <c r="K986" t="inlineStr">
        <is>
          <t>26.99</t>
        </is>
      </c>
      <c r="L986" t="n">
        <v>9.789999999999999</v>
      </c>
      <c r="M986" s="1" t="inlineStr">
        <is>
          <t>-63.73%</t>
        </is>
      </c>
      <c r="N986" s="3" t="n">
        <v>-63.73</v>
      </c>
      <c r="O986" t="n">
        <v>4.1</v>
      </c>
      <c r="P986" t="n">
        <v>117</v>
      </c>
      <c r="R986" t="inlineStr">
        <is>
          <t>InStock</t>
        </is>
      </c>
      <c r="S986" t="inlineStr">
        <is>
          <t>26.99</t>
        </is>
      </c>
      <c r="T986" t="inlineStr">
        <is>
          <t>7241450094780</t>
        </is>
      </c>
    </row>
    <row r="987" hidden="1" ht="15.75" customHeight="1">
      <c r="A987" s="2">
        <f>HYPERLINK("https://www.shelhealth.com/products/716237184054-giovanni-cosmetics-2chic-ultra-moist-leave-in-conditioning-styling-elixir-avocado-olive-oil-4-oz", "https://www.shelhealth.com/products/716237184054-giovanni-cosmetics-2chic-ultra-moist-leave-in-conditioning-styling-elixir-avocado-olive-oil-4-oz")</f>
        <v/>
      </c>
      <c r="B987" s="2">
        <f>HYPERLINK("https://www.shelhealth.com/products/716237184054-giovanni-cosmetics-2chic-ultra-moist-leave-in-conditioning-styling-elixir-avocado-olive-oil-4-oz", "https://www.shelhealth.com/products/716237184054-giovanni-cosmetics-2chic-ultra-moist-leave-in-conditioning-styling-elixir-avocado-olive-oil-4-oz")</f>
        <v/>
      </c>
      <c r="C987" t="inlineStr">
        <is>
          <t>Giovanni Cosmetics 2Chic Ultra-Moist Leave-In Conditioning &amp; Styling Elixir Avocado &amp; Olive Oil, 4 Oz (Case of 3)</t>
        </is>
      </c>
      <c r="D987" t="inlineStr">
        <is>
          <t>GIOVANNI 2chic Ultra-Moist Leave-In Conditioning Styling Elixir - Smoothes Frizz Prevents Breakage, For Dry &amp; Damaged Hair, Avocado &amp; Olive Oil, Enriched with Aloe Vera, Shea Butter - 4 oz</t>
        </is>
      </c>
      <c r="E987" s="2">
        <f>HYPERLINK("https://www.amazon.com/Giovanni-Avocado-Ultra-Moist-Conditioning-Styling/dp/B009V0Z8MA/ref=sr_1_2?keywords=Giovanni+Cosmetics+2Chic+Ultra-Moist+Leave-In+Conditioning&amp;qid=1695170217&amp;sr=8-2", "https://www.amazon.com/Giovanni-Avocado-Ultra-Moist-Conditioning-Styling/dp/B009V0Z8MA/ref=sr_1_2?keywords=Giovanni+Cosmetics+2Chic+Ultra-Moist+Leave-In+Conditioning&amp;qid=1695170217&amp;sr=8-2")</f>
        <v/>
      </c>
      <c r="F987" t="inlineStr">
        <is>
          <t>B009V0Z8MA</t>
        </is>
      </c>
      <c r="G987">
        <f>_xludf.IMAGE("https://www.shelhealth.com/cdn/shop/files/giovanni-cosmetics-2chic-ultra-moist-leave-in-conditioning-styling-elixir-avocado-olive-oil-4-oz-case-of-3-beauty-body-care-shelhealth-215.jpg?v=1687411846&amp;width=1946")</f>
        <v/>
      </c>
      <c r="H987">
        <f>_xludf.IMAGE("https://m.media-amazon.com/images/I/71miLIFdEAL._AC_UL320_.jpg")</f>
        <v/>
      </c>
      <c r="K987" t="inlineStr">
        <is>
          <t>27.99</t>
        </is>
      </c>
      <c r="L987" t="n">
        <v>9.99</v>
      </c>
      <c r="M987" s="1" t="inlineStr">
        <is>
          <t>-64.31%</t>
        </is>
      </c>
      <c r="N987" s="3" t="n">
        <v>-64.31</v>
      </c>
      <c r="O987" t="n">
        <v>4.5</v>
      </c>
      <c r="P987" t="n">
        <v>1686</v>
      </c>
      <c r="R987" t="inlineStr">
        <is>
          <t>InStock</t>
        </is>
      </c>
      <c r="S987" t="inlineStr">
        <is>
          <t>27.99</t>
        </is>
      </c>
      <c r="T987" t="inlineStr">
        <is>
          <t>7241657680060</t>
        </is>
      </c>
    </row>
    <row r="988" hidden="1" ht="15.75" customHeight="1">
      <c r="A988" s="2">
        <f>HYPERLINK("https://www.shelhealth.com/products/716237185600-giovanni-cosmetics-2chic-frizz-be-gone-leave-in-conditioner-styling-elixir-shea-butter-sweet-almond-oil-4-oz", "https://www.shelhealth.com/products/716237185600-giovanni-cosmetics-2chic-frizz-be-gone-leave-in-conditioner-styling-elixir-shea-butter-sweet-almond-oil-4-oz")</f>
        <v/>
      </c>
      <c r="B988" s="2">
        <f>HYPERLINK("https://www.shelhealth.com/products/716237185600-giovanni-cosmetics-2chic-frizz-be-gone-leave-in-conditioner-styling-elixir-shea-butter-sweet-almond-oil-4-oz", "https://www.shelhealth.com/products/716237185600-giovanni-cosmetics-2chic-frizz-be-gone-leave-in-conditioner-styling-elixir-shea-butter-sweet-almond-oil-4-oz")</f>
        <v/>
      </c>
      <c r="C988" t="inlineStr">
        <is>
          <t>Giovanni Cosmetics 2Chic Frizz Be Gone Leave-In Conditioner &amp; Styling Elixir Shea Butter &amp; Sweet Almond Oil, 4 Oz (Case of 3)</t>
        </is>
      </c>
      <c r="D988" t="inlineStr">
        <is>
          <t>GIOVANNI 2chic Leave-In Conditioning Styling Elixir - Anti-Frizz Natural Hair Smoothing Formula with Shea Butter &amp; Sweet Almond Oil, Macadamia, Detangler, Paraben Free, Color Safe - 4 oz</t>
        </is>
      </c>
      <c r="E988" s="2">
        <f>HYPERLINK("https://www.amazon.com/GIOVANNI-Conditioning-AntiFrizz-Smoothing-Macadamia/dp/B073P892ML/ref=sr_1_4?keywords=Giovanni+Cosmetics+2Chic+Frizz+Be+Gone+Leave-In+Conditioner&amp;qid=1695170219&amp;sr=8-4", "https://www.amazon.com/GIOVANNI-Conditioning-AntiFrizz-Smoothing-Macadamia/dp/B073P892ML/ref=sr_1_4?keywords=Giovanni+Cosmetics+2Chic+Frizz+Be+Gone+Leave-In+Conditioner&amp;qid=1695170219&amp;sr=8-4")</f>
        <v/>
      </c>
      <c r="F988" t="inlineStr">
        <is>
          <t>B073P892ML</t>
        </is>
      </c>
      <c r="G988">
        <f>_xludf.IMAGE("https://www.shelhealth.com/cdn/shop/files/giovanni-cosmetics-2chic-frizz-be-gone-leave-in-conditioner-styling-elixir-shea-butter-sweet-almond-oil-4-oz-case-of-3-beauty-body-care-shelhealth-744.jpg?v=1686527214&amp;width=1946")</f>
        <v/>
      </c>
      <c r="H988">
        <f>_xludf.IMAGE("https://m.media-amazon.com/images/I/61YFdWIrT4L._AC_UL320_.jpg")</f>
        <v/>
      </c>
      <c r="K988" t="inlineStr">
        <is>
          <t>27.99</t>
        </is>
      </c>
      <c r="L988" t="n">
        <v>9.99</v>
      </c>
      <c r="M988" s="1" t="inlineStr">
        <is>
          <t>-64.31%</t>
        </is>
      </c>
      <c r="N988" s="3" t="n">
        <v>-64.31</v>
      </c>
      <c r="O988" t="n">
        <v>4.6</v>
      </c>
      <c r="P988" t="n">
        <v>727</v>
      </c>
      <c r="R988" t="inlineStr">
        <is>
          <t>InStock</t>
        </is>
      </c>
      <c r="S988" t="inlineStr">
        <is>
          <t>27.99</t>
        </is>
      </c>
      <c r="T988" t="inlineStr">
        <is>
          <t>7241656729788</t>
        </is>
      </c>
    </row>
    <row r="989" hidden="1" ht="15.75" customHeight="1">
      <c r="A989" s="2">
        <f>HYPERLINK("https://www.shelhealth.com/products/716237183590-giovanni-cosmetics-ultra-sleek-shampoo-brazilian-keratin-argan-oil-8-5-oz", "https://www.shelhealth.com/products/716237183590-giovanni-cosmetics-ultra-sleek-shampoo-brazilian-keratin-argan-oil-8-5-oz")</f>
        <v/>
      </c>
      <c r="B989" s="2">
        <f>HYPERLINK("https://www.shelhealth.com/products/716237183590-giovanni-cosmetics-ultra-sleek-shampoo-brazilian-keratin-argan-oil-8-5-oz", "https://www.shelhealth.com/products/716237183590-giovanni-cosmetics-ultra-sleek-shampoo-brazilian-keratin-argan-oil-8-5-oz")</f>
        <v/>
      </c>
      <c r="C989" t="inlineStr">
        <is>
          <t>Giovanni Cosmetics Ultra-Sleek Shampoo Brazilian Keratin &amp; Argan Oil, 8.5 Oz (Case of 3)</t>
        </is>
      </c>
      <c r="D989" t="inlineStr">
        <is>
          <t>GIOVANNI 2chic Ultra-Sleek Shampoo, 8.5 oz. - Brazilian Phyto-Keratin &amp; Moroccan Argan Oil, Anti-Frizz Formula, Coconut, Shea Butter, Pro-Vitamin B5, Color Safe, Paraben Free</t>
        </is>
      </c>
      <c r="E989" s="2">
        <f>HYPERLINK("https://www.amazon.com/GIOVANNI-2chic-Ultra-Sleek-Shampoo-Phyto-Keratin/dp/B0078DXKLI/ref=sr_1_4?keywords=Giovanni+Cosmetics+Ultra-Sleek+Shampoo+Brazilian+Keratin&amp;qid=1695170185&amp;sr=8-4", "https://www.amazon.com/GIOVANNI-2chic-Ultra-Sleek-Shampoo-Phyto-Keratin/dp/B0078DXKLI/ref=sr_1_4?keywords=Giovanni+Cosmetics+Ultra-Sleek+Shampoo+Brazilian+Keratin&amp;qid=1695170185&amp;sr=8-4")</f>
        <v/>
      </c>
      <c r="F989" t="inlineStr">
        <is>
          <t>B0078DXKLI</t>
        </is>
      </c>
      <c r="G989">
        <f>_xludf.IMAGE("https://www.shelhealth.com/cdn/shop/files/giovanni-cosmetics-ultra-sleek-shampoo-brazilian-keratin-argan-oil-8-5-oz-case-of-3-beauty-body-care-shelhealth-269.jpg?v=1687412079&amp;width=1946")</f>
        <v/>
      </c>
      <c r="H989">
        <f>_xludf.IMAGE("https://m.media-amazon.com/images/I/61xIUHk2I6L._AC_UL320_.jpg")</f>
        <v/>
      </c>
      <c r="K989" t="inlineStr">
        <is>
          <t>27.99</t>
        </is>
      </c>
      <c r="L989" t="n">
        <v>9.92</v>
      </c>
      <c r="M989" s="1" t="inlineStr">
        <is>
          <t>-64.56%</t>
        </is>
      </c>
      <c r="N989" s="3" t="n">
        <v>-64.56</v>
      </c>
      <c r="O989" t="n">
        <v>4.4</v>
      </c>
      <c r="P989" t="n">
        <v>254</v>
      </c>
      <c r="R989" t="inlineStr">
        <is>
          <t>InStock</t>
        </is>
      </c>
      <c r="S989" t="inlineStr">
        <is>
          <t>27.99</t>
        </is>
      </c>
      <c r="T989" t="inlineStr">
        <is>
          <t>7241662202044</t>
        </is>
      </c>
    </row>
    <row r="990" hidden="1" ht="15.75" customHeight="1">
      <c r="A990" s="2">
        <f>HYPERLINK("https://www.shelhealth.com/products/revlon-perfect-heat-perfect-straight-1-flat-iron", "https://www.shelhealth.com/products/revlon-perfect-heat-perfect-straight-1-flat-iron")</f>
        <v/>
      </c>
      <c r="B990" s="2">
        <f>HYPERLINK("https://www.shelhealth.com/products/revlon-perfect-heat-perfect-straight-1-flat-iron", "https://www.shelhealth.com/products/revlon-perfect-heat-perfect-straight-1-flat-iron")</f>
        <v/>
      </c>
      <c r="C990" t="inlineStr">
        <is>
          <t>Revlon Perfect Heat Perfect Straight 1" Flat Iron</t>
        </is>
      </c>
      <c r="D990" t="inlineStr">
        <is>
          <t>REVLON Perfect Heat Ceramic Digital Flat Iron, 1 inch</t>
        </is>
      </c>
      <c r="E990" s="2">
        <f>HYPERLINK("https://www.amazon.com/Revlon-Ceramic-Digital-Flat-Iron/dp/B007RX2W3G/ref=sr_1_2?keywords=Revlon+Perfect+Heat+Perfect+Straight+1%22+Flat+Iron&amp;qid=1695170238&amp;sr=8-2", "https://www.amazon.com/Revlon-Ceramic-Digital-Flat-Iron/dp/B007RX2W3G/ref=sr_1_2?keywords=Revlon+Perfect+Heat+Perfect+Straight+1%22+Flat+Iron&amp;qid=1695170238&amp;sr=8-2")</f>
        <v/>
      </c>
      <c r="F990" t="inlineStr">
        <is>
          <t>B007RX2W3G</t>
        </is>
      </c>
      <c r="G990">
        <f>_xludf.IMAGE("https://www.shelhealth.com/cdn/shop/products/revlon-perfect-heat-straight-1-flat-iron-shelhealth-843.jpg?v=1663350923&amp;width=1946")</f>
        <v/>
      </c>
      <c r="H990">
        <f>_xludf.IMAGE("https://m.media-amazon.com/images/I/61iRLPZJhNL._AC_UL320_.jpg")</f>
        <v/>
      </c>
      <c r="K990" t="inlineStr">
        <is>
          <t>43.99</t>
        </is>
      </c>
      <c r="L990" t="n">
        <v>15.58</v>
      </c>
      <c r="M990" s="1" t="inlineStr">
        <is>
          <t>-64.58%</t>
        </is>
      </c>
      <c r="N990" s="3" t="n">
        <v>-64.58</v>
      </c>
      <c r="O990" t="n">
        <v>3.9</v>
      </c>
      <c r="P990" t="n">
        <v>2391</v>
      </c>
      <c r="R990" t="inlineStr">
        <is>
          <t>InStock</t>
        </is>
      </c>
      <c r="S990" t="inlineStr">
        <is>
          <t>43.99</t>
        </is>
      </c>
      <c r="T990" t="inlineStr">
        <is>
          <t>4099753476148</t>
        </is>
      </c>
    </row>
    <row r="991" hidden="1" ht="15.75" customHeight="1">
      <c r="A991" s="2">
        <f>HYPERLINK("https://www.shelhealth.com/products/pantene-daily-moisture-renewal-shampoo-38-2-oz", "https://www.shelhealth.com/products/pantene-daily-moisture-renewal-shampoo-38-2-oz")</f>
        <v/>
      </c>
      <c r="B991" s="2">
        <f>HYPERLINK("https://www.shelhealth.com/products/pantene-daily-moisture-renewal-shampoo-38-2-oz", "https://www.shelhealth.com/products/pantene-daily-moisture-renewal-shampoo-38-2-oz")</f>
        <v/>
      </c>
      <c r="C991" t="inlineStr">
        <is>
          <t>Pantene Daily Moisture Renewal Shampoo, 38.2 oz</t>
        </is>
      </c>
      <c r="D991" t="inlineStr">
        <is>
          <t>Pantene Pro-V Daily Moisture Renewal Shampoo, 1.7 Fluid Ounce</t>
        </is>
      </c>
      <c r="E991" s="2">
        <f>HYPERLINK("https://www.amazon.com/Pantene-Pro-V-Moisture-Renewal-Shampoo/dp/B079D88XMR/ref=sr_1_1?keywords=Pantene+Daily+Moisture+Renewal+Shampoo%2C+38.2+oz&amp;qid=1695170247&amp;sr=8-1", "https://www.amazon.com/Pantene-Pro-V-Moisture-Renewal-Shampoo/dp/B079D88XMR/ref=sr_1_1?keywords=Pantene+Daily+Moisture+Renewal+Shampoo%2C+38.2+oz&amp;qid=1695170247&amp;sr=8-1")</f>
        <v/>
      </c>
      <c r="F991" t="inlineStr">
        <is>
          <t>B079D88XMR</t>
        </is>
      </c>
      <c r="G991">
        <f>_xludf.IMAGE("https://www.shelhealth.com/cdn/shop/products/pantene-daily-moisture-renewal-shampoo-38-2-oz-shelhealth-186.jpg?v=1663350185&amp;width=1946")</f>
        <v/>
      </c>
      <c r="H991">
        <f>_xludf.IMAGE("https://m.media-amazon.com/images/I/716WHsmA8fL._AC_UL320_.jpg")</f>
        <v/>
      </c>
      <c r="K991" t="inlineStr">
        <is>
          <t>15.99</t>
        </is>
      </c>
      <c r="L991" t="n">
        <v>5.5</v>
      </c>
      <c r="M991" s="1" t="inlineStr">
        <is>
          <t>-65.60%</t>
        </is>
      </c>
      <c r="N991" s="3" t="n">
        <v>-65.59999999999999</v>
      </c>
      <c r="O991" t="n">
        <v>3.3</v>
      </c>
      <c r="P991" t="n">
        <v>19</v>
      </c>
      <c r="R991" t="inlineStr">
        <is>
          <t>InStock</t>
        </is>
      </c>
      <c r="S991" t="inlineStr">
        <is>
          <t>15.99</t>
        </is>
      </c>
      <c r="T991" t="inlineStr">
        <is>
          <t>4045975027764</t>
        </is>
      </c>
    </row>
    <row r="992" hidden="1" ht="15.75" customHeight="1">
      <c r="A992" s="2">
        <f>HYPERLINK("https://www.shelhealth.com/products/716237185990-giovanni-cosmetics-smooth-as-silk-deep-moisture-shampoo-24-oz", "https://www.shelhealth.com/products/716237185990-giovanni-cosmetics-smooth-as-silk-deep-moisture-shampoo-24-oz")</f>
        <v/>
      </c>
      <c r="B992" s="2">
        <f>HYPERLINK("https://www.shelhealth.com/products/716237185990-giovanni-cosmetics-smooth-as-silk-deep-moisture-shampoo-24-oz", "https://www.shelhealth.com/products/716237185990-giovanni-cosmetics-smooth-as-silk-deep-moisture-shampoo-24-oz")</f>
        <v/>
      </c>
      <c r="C992" t="inlineStr">
        <is>
          <t>Giovanni Cosmetics Smooth As Silk Deep Moisture Shampoo, 24 Oz</t>
        </is>
      </c>
      <c r="D992" t="inlineStr">
        <is>
          <t>Giovanni Cosmetics - Giovanni Smooth As Silk Deeper Moisture Conditioner - 8.5 Fl Oz - Pack Of 1</t>
        </is>
      </c>
      <c r="E992" s="2">
        <f>HYPERLINK("https://www.amazon.com/Giovanni-Cosmetics-Smooth-Moisture-Conditioner/dp/B00K3IXQCS/ref=sr_1_8?keywords=Giovanni+Cosmetics+Smooth+As+Silk+Deep+Moisture+Shampoo%2C+24+Oz&amp;qid=1695170188&amp;sr=8-8", "https://www.amazon.com/Giovanni-Cosmetics-Smooth-Moisture-Conditioner/dp/B00K3IXQCS/ref=sr_1_8?keywords=Giovanni+Cosmetics+Smooth+As+Silk+Deep+Moisture+Shampoo%2C+24+Oz&amp;qid=1695170188&amp;sr=8-8")</f>
        <v/>
      </c>
      <c r="F992" t="inlineStr">
        <is>
          <t>B00K3IXQCS</t>
        </is>
      </c>
      <c r="G992">
        <f>_xludf.IMAGE("https://www.shelhealth.com/cdn/shop/files/giovanni-cosmetics-smooth-as-silk-deep-moisture-shampoo-24-oz-beauty-body-care-shelhealth-965.jpg?v=1686142680&amp;width=1946")</f>
        <v/>
      </c>
      <c r="H992">
        <f>_xludf.IMAGE("https://m.media-amazon.com/images/I/61oheJdpdHL._AC_UL320_.jpg")</f>
        <v/>
      </c>
      <c r="K992" t="inlineStr">
        <is>
          <t>18.99</t>
        </is>
      </c>
      <c r="L992" t="n">
        <v>6.5</v>
      </c>
      <c r="M992" s="1" t="inlineStr">
        <is>
          <t>-65.77%</t>
        </is>
      </c>
      <c r="N992" s="3" t="n">
        <v>-65.77</v>
      </c>
      <c r="O992" t="n">
        <v>3.9</v>
      </c>
      <c r="P992" t="n">
        <v>6</v>
      </c>
      <c r="R992" t="inlineStr">
        <is>
          <t>OutOfStock</t>
        </is>
      </c>
      <c r="S992" t="inlineStr">
        <is>
          <t>18.99</t>
        </is>
      </c>
      <c r="T992" t="inlineStr">
        <is>
          <t>7241661350076</t>
        </is>
      </c>
    </row>
    <row r="993" hidden="1" ht="15.75" customHeight="1">
      <c r="A993" s="2">
        <f>HYPERLINK("https://www.shelhealth.com/products/716237184054-giovanni-cosmetics-2chic-ultra-moist-leave-in-conditioning-styling-elixir-avocado-olive-oil-4-oz", "https://www.shelhealth.com/products/716237184054-giovanni-cosmetics-2chic-ultra-moist-leave-in-conditioning-styling-elixir-avocado-olive-oil-4-oz")</f>
        <v/>
      </c>
      <c r="B993" s="2">
        <f>HYPERLINK("https://www.shelhealth.com/products/716237184054-giovanni-cosmetics-2chic-ultra-moist-leave-in-conditioning-styling-elixir-avocado-olive-oil-4-oz", "https://www.shelhealth.com/products/716237184054-giovanni-cosmetics-2chic-ultra-moist-leave-in-conditioning-styling-elixir-avocado-olive-oil-4-oz")</f>
        <v/>
      </c>
      <c r="C993" t="inlineStr">
        <is>
          <t>Giovanni Cosmetics 2Chic Ultra-Moist Leave-In Conditioning &amp; Styling Elixir Avocado &amp; Olive Oil, 4 Oz (Case of 3)</t>
        </is>
      </c>
      <c r="D993" t="inlineStr">
        <is>
          <t>GIOVANNI 2chic Ultra-Moist Dual Action Protective Leave-In Spray - Protects from Heat Styling Breakage, Avocado &amp; Olive Oil, Aloe Vera, Shea Butter, Botanical Extracts, No Parabens, Color Safe - 4 oz</t>
        </is>
      </c>
      <c r="E993" s="2">
        <f>HYPERLINK("https://www.amazon.com/GIOVANNI-COSMETICS-Avocado-Ultra-Moist-Protective/dp/B009V0Z87A/ref=sr_1_8?keywords=Giovanni+Cosmetics+2Chic+Ultra-Moist+Leave-In+Conditioning&amp;qid=1695170217&amp;sr=8-8", "https://www.amazon.com/GIOVANNI-COSMETICS-Avocado-Ultra-Moist-Protective/dp/B009V0Z87A/ref=sr_1_8?keywords=Giovanni+Cosmetics+2Chic+Ultra-Moist+Leave-In+Conditioning&amp;qid=1695170217&amp;sr=8-8")</f>
        <v/>
      </c>
      <c r="F993" t="inlineStr">
        <is>
          <t>B009V0Z87A</t>
        </is>
      </c>
      <c r="G993">
        <f>_xludf.IMAGE("https://www.shelhealth.com/cdn/shop/files/giovanni-cosmetics-2chic-ultra-moist-leave-in-conditioning-styling-elixir-avocado-olive-oil-4-oz-case-of-3-beauty-body-care-shelhealth-215.jpg?v=1687411846&amp;width=1946")</f>
        <v/>
      </c>
      <c r="H993">
        <f>_xludf.IMAGE("https://m.media-amazon.com/images/I/61Uez5HijPL._AC_UL320_.jpg")</f>
        <v/>
      </c>
      <c r="K993" t="inlineStr">
        <is>
          <t>27.99</t>
        </is>
      </c>
      <c r="L993" t="n">
        <v>9.529999999999999</v>
      </c>
      <c r="M993" s="1" t="inlineStr">
        <is>
          <t>-65.95%</t>
        </is>
      </c>
      <c r="N993" s="3" t="n">
        <v>-65.95</v>
      </c>
      <c r="O993" t="n">
        <v>4.4</v>
      </c>
      <c r="P993" t="n">
        <v>1010</v>
      </c>
      <c r="R993" t="inlineStr">
        <is>
          <t>InStock</t>
        </is>
      </c>
      <c r="S993" t="inlineStr">
        <is>
          <t>27.99</t>
        </is>
      </c>
      <c r="T993" t="inlineStr">
        <is>
          <t>7241657680060</t>
        </is>
      </c>
    </row>
    <row r="994" hidden="1" ht="15.75" customHeight="1">
      <c r="A994" s="2">
        <f>HYPERLINK("https://www.shelhealth.com/products/716237184061-giovanni-cosmetics-2chic-ultra-moist-dual-action-protective-leave-in-spray-avocado-olive-oil-4-oz", "https://www.shelhealth.com/products/716237184061-giovanni-cosmetics-2chic-ultra-moist-dual-action-protective-leave-in-spray-avocado-olive-oil-4-oz")</f>
        <v/>
      </c>
      <c r="B994" s="2">
        <f>HYPERLINK("https://www.shelhealth.com/products/716237184061-giovanni-cosmetics-2chic-ultra-moist-dual-action-protective-leave-in-spray-avocado-olive-oil-4-oz", "https://www.shelhealth.com/products/716237184061-giovanni-cosmetics-2chic-ultra-moist-dual-action-protective-leave-in-spray-avocado-olive-oil-4-oz")</f>
        <v/>
      </c>
      <c r="C994" t="inlineStr">
        <is>
          <t>Giovanni Cosmetics 2Chic Ultra-Moist Dual Action Protective Leave-In Spray Avocado &amp; Olive Oil, 4 Oz (Case of 3)</t>
        </is>
      </c>
      <c r="D994" t="inlineStr">
        <is>
          <t>GIOVANNI 2chic Ultra-Moist Dual Action Protective Leave-In Spray - Protects from Heat Styling Breakage, Avocado &amp; Olive Oil, Aloe Vera, Shea Butter, Botanical Extracts, No Parabens, Color Safe - 4 oz</t>
        </is>
      </c>
      <c r="E994" s="2">
        <f>HYPERLINK("https://www.amazon.com/GIOVANNI-COSMETICS-Avocado-Ultra-Moist-Protective/dp/B009V0Z87A/ref=sr_1_1?keywords=Giovanni+Cosmetics+2Chic+Ultra-Moist+Dual+Action+Protective+Leave-In+Spray+Avocado&amp;qid=1695170208&amp;sr=8-1", "https://www.amazon.com/GIOVANNI-COSMETICS-Avocado-Ultra-Moist-Protective/dp/B009V0Z87A/ref=sr_1_1?keywords=Giovanni+Cosmetics+2Chic+Ultra-Moist+Dual+Action+Protective+Leave-In+Spray+Avocado&amp;qid=1695170208&amp;sr=8-1")</f>
        <v/>
      </c>
      <c r="F994" t="inlineStr">
        <is>
          <t>B009V0Z87A</t>
        </is>
      </c>
      <c r="G994">
        <f>_xludf.IMAGE("https://www.shelhealth.com/cdn/shop/files/giovanni-cosmetics-2chic-ultra-moist-dual-action-protective-leave-in-spray-avocado-olive-oil-4-oz-case-of-3-beauty-body-care-shelhealth-809.jpg?v=1686196246&amp;width=1946")</f>
        <v/>
      </c>
      <c r="H994">
        <f>_xludf.IMAGE("https://m.media-amazon.com/images/I/61Uez5HijPL._AC_UL320_.jpg")</f>
        <v/>
      </c>
      <c r="K994" t="inlineStr">
        <is>
          <t>27.99</t>
        </is>
      </c>
      <c r="L994" t="n">
        <v>9.529999999999999</v>
      </c>
      <c r="M994" s="1" t="inlineStr">
        <is>
          <t>-65.95%</t>
        </is>
      </c>
      <c r="N994" s="3" t="n">
        <v>-65.95</v>
      </c>
      <c r="O994" t="n">
        <v>4.4</v>
      </c>
      <c r="P994" t="n">
        <v>1010</v>
      </c>
      <c r="R994" t="inlineStr">
        <is>
          <t>InStock</t>
        </is>
      </c>
      <c r="S994" t="inlineStr">
        <is>
          <t>27.99</t>
        </is>
      </c>
      <c r="T994" t="inlineStr">
        <is>
          <t>7241657647292</t>
        </is>
      </c>
    </row>
    <row r="995" hidden="1" ht="15.75" customHeight="1">
      <c r="A995" s="2">
        <f>HYPERLINK("https://www.shelhealth.com/products/716237184009-giovanni-cosmetics-2chic-ultra-moist-shampoo-avocado-olive-oil-8-5-oz", "https://www.shelhealth.com/products/716237184009-giovanni-cosmetics-2chic-ultra-moist-shampoo-avocado-olive-oil-8-5-oz")</f>
        <v/>
      </c>
      <c r="B995" s="2">
        <f>HYPERLINK("https://www.shelhealth.com/products/716237184009-giovanni-cosmetics-2chic-ultra-moist-shampoo-avocado-olive-oil-8-5-oz", "https://www.shelhealth.com/products/716237184009-giovanni-cosmetics-2chic-ultra-moist-shampoo-avocado-olive-oil-8-5-oz")</f>
        <v/>
      </c>
      <c r="C995" t="inlineStr">
        <is>
          <t>Giovanni Cosmetics 2Chic Ultra-Moist Shampoo Avocado &amp; Olive Oil, 8.5 Oz (Case of 3)</t>
        </is>
      </c>
      <c r="D995" t="inlineStr">
        <is>
          <t>GIOVANNI 2chic Ultra-Moist Shampoo - Avocado &amp; Olive Oil, Creamy Hydration Formula, Enriched with Aloe Vera, Shea Butter, Botanical Extracts, No Parabens, Color Safe - 8.5 oz</t>
        </is>
      </c>
      <c r="E995" s="2">
        <f>HYPERLINK("https://www.amazon.com/GIOVANNI-2chic-Ultra-Moist-Shampoo-8-5/dp/B00N54P6WA/ref=sr_1_1?keywords=Giovanni+Cosmetics+2Chic+Ultra-Moist+Shampoo+Avocado+%26+Olive+Oil%2C+8.5+Oz+%28Case+of+3%29&amp;qid=1695170182&amp;sr=8-1", "https://www.amazon.com/GIOVANNI-2chic-Ultra-Moist-Shampoo-8-5/dp/B00N54P6WA/ref=sr_1_1?keywords=Giovanni+Cosmetics+2Chic+Ultra-Moist+Shampoo+Avocado+%26+Olive+Oil%2C+8.5+Oz+%28Case+of+3%29&amp;qid=1695170182&amp;sr=8-1")</f>
        <v/>
      </c>
      <c r="F995" t="inlineStr">
        <is>
          <t>B00N54P6WA</t>
        </is>
      </c>
      <c r="G995">
        <f>_xludf.IMAGE("https://www.shelhealth.com/cdn/shop/files/giovanni-cosmetics-2chic-ultra-moist-shampoo-avocado-olive-oil-8-5-oz-case-of-3-beauty-body-care-shelhealth-802.jpg?v=1686526966&amp;width=1946")</f>
        <v/>
      </c>
      <c r="H995">
        <f>_xludf.IMAGE("https://m.media-amazon.com/images/I/61Zwq2uATDL._AC_UL320_.jpg")</f>
        <v/>
      </c>
      <c r="K995" t="inlineStr">
        <is>
          <t>27.99</t>
        </is>
      </c>
      <c r="L995" t="n">
        <v>9.5</v>
      </c>
      <c r="M995" s="1" t="inlineStr">
        <is>
          <t>-66.06%</t>
        </is>
      </c>
      <c r="N995" s="3" t="n">
        <v>-66.06</v>
      </c>
      <c r="O995" t="n">
        <v>4.4</v>
      </c>
      <c r="P995" t="n">
        <v>553</v>
      </c>
      <c r="R995" t="inlineStr">
        <is>
          <t>InStock</t>
        </is>
      </c>
      <c r="S995" t="inlineStr">
        <is>
          <t>27.99</t>
        </is>
      </c>
      <c r="T995" t="inlineStr">
        <is>
          <t>7241657811132</t>
        </is>
      </c>
    </row>
    <row r="996" hidden="1" ht="15.75" customHeight="1">
      <c r="A996" s="2">
        <f>HYPERLINK("https://www.shelhealth.com/products/716237185068-giovanni-cosmetics-2chic-ultra-luxurious-super-potion-cherry-blossom-rose-petals-2-75-oz", "https://www.shelhealth.com/products/716237185068-giovanni-cosmetics-2chic-ultra-luxurious-super-potion-cherry-blossom-rose-petals-2-75-oz")</f>
        <v/>
      </c>
      <c r="B996" s="2">
        <f>HYPERLINK("https://www.shelhealth.com/products/716237185068-giovanni-cosmetics-2chic-ultra-luxurious-super-potion-cherry-blossom-rose-petals-2-75-oz", "https://www.shelhealth.com/products/716237185068-giovanni-cosmetics-2chic-ultra-luxurious-super-potion-cherry-blossom-rose-petals-2-75-oz")</f>
        <v/>
      </c>
      <c r="C996" t="inlineStr">
        <is>
          <t>Giovanni Cosmetics 2Chic Ultra-Luxurious Super Potion Cherry Blossom &amp; Rose Petals, 2.75 Oz (Case of 3)</t>
        </is>
      </c>
      <c r="D996" t="inlineStr">
        <is>
          <t>GIOVANNI 2chic Ultra-Luxurious Super Potion Silkening Hair Serum - Cherry Blossom &amp; Rose Petals, Aloe Vera, Pro-Vitamin B5, Smooths Curly &amp; Wavy Hair, Paraben Free, Color Safe - 2.75 oz</t>
        </is>
      </c>
      <c r="E996" s="2">
        <f>HYPERLINK("https://www.amazon.com/Giovanni-Ultra-Luxurious-Blossom-Detangles-Sulfate/dp/B01LZ2CK0M/ref=sr_1_1?keywords=Giovanni+Cosmetics+2Chic+Ultra-Luxurious+Super+Potion+Cherry+Blossom&amp;qid=1695170236&amp;sr=8-1", "https://www.amazon.com/Giovanni-Ultra-Luxurious-Blossom-Detangles-Sulfate/dp/B01LZ2CK0M/ref=sr_1_1?keywords=Giovanni+Cosmetics+2Chic+Ultra-Luxurious+Super+Potion+Cherry+Blossom&amp;qid=1695170236&amp;sr=8-1")</f>
        <v/>
      </c>
      <c r="F996" t="inlineStr">
        <is>
          <t>B01LZ2CK0M</t>
        </is>
      </c>
      <c r="G996">
        <f>_xludf.IMAGE("https://www.shelhealth.com/cdn/shop/products/giovanni-cosmetics-2chic-ultra-luxurious-super-potion-cherry-blossom-rose-petals-2-75-oz-case-of-3-shelhealth-448.jpg?v=1677052017&amp;width=1946")</f>
        <v/>
      </c>
      <c r="H996">
        <f>_xludf.IMAGE("https://m.media-amazon.com/images/I/61akAW8+H-L._AC_UL320_.jpg")</f>
        <v/>
      </c>
      <c r="K996" t="inlineStr">
        <is>
          <t>29.99</t>
        </is>
      </c>
      <c r="L996" t="n">
        <v>9.99</v>
      </c>
      <c r="M996" s="1" t="inlineStr">
        <is>
          <t>-66.69%</t>
        </is>
      </c>
      <c r="N996" s="3" t="n">
        <v>-66.69</v>
      </c>
      <c r="O996" t="n">
        <v>4.6</v>
      </c>
      <c r="P996" t="n">
        <v>595</v>
      </c>
      <c r="R996" t="inlineStr">
        <is>
          <t>OutOfStock</t>
        </is>
      </c>
      <c r="S996" t="inlineStr">
        <is>
          <t>29.99</t>
        </is>
      </c>
      <c r="T996" t="inlineStr">
        <is>
          <t>7241657516220</t>
        </is>
      </c>
    </row>
    <row r="997" hidden="1" ht="15.75" customHeight="1">
      <c r="A997" s="2">
        <f>HYPERLINK("https://www.shelhealth.com/products/716237185990-giovanni-cosmetics-smooth-as-silk-deep-moisture-shampoo-24-oz", "https://www.shelhealth.com/products/716237185990-giovanni-cosmetics-smooth-as-silk-deep-moisture-shampoo-24-oz")</f>
        <v/>
      </c>
      <c r="B997" s="2">
        <f>HYPERLINK("https://www.shelhealth.com/products/716237185990-giovanni-cosmetics-smooth-as-silk-deep-moisture-shampoo-24-oz", "https://www.shelhealth.com/products/716237185990-giovanni-cosmetics-smooth-as-silk-deep-moisture-shampoo-24-oz")</f>
        <v/>
      </c>
      <c r="C997" t="inlineStr">
        <is>
          <t>Giovanni Cosmetics Smooth As Silk Deep Moisture Shampoo, 24 Oz</t>
        </is>
      </c>
      <c r="D997" t="inlineStr">
        <is>
          <t>Giovanni Smooth As Silk™ Deep Moisture Shampoo -- 2 fl oz</t>
        </is>
      </c>
      <c r="E997" s="2">
        <f>HYPERLINK("https://www.amazon.com/Giovanni-Smooth-SilkTM-Moisture-Shampoo/dp/B000N3PF7M/ref=sr_1_7?keywords=Giovanni+Cosmetics+Smooth+As+Silk+Deep+Moisture+Shampoo%2C+24+Oz&amp;qid=1695170188&amp;sr=8-7", "https://www.amazon.com/Giovanni-Smooth-SilkTM-Moisture-Shampoo/dp/B000N3PF7M/ref=sr_1_7?keywords=Giovanni+Cosmetics+Smooth+As+Silk+Deep+Moisture+Shampoo%2C+24+Oz&amp;qid=1695170188&amp;sr=8-7")</f>
        <v/>
      </c>
      <c r="F997" t="inlineStr">
        <is>
          <t>B000N3PF7M</t>
        </is>
      </c>
      <c r="G997">
        <f>_xludf.IMAGE("https://www.shelhealth.com/cdn/shop/files/giovanni-cosmetics-smooth-as-silk-deep-moisture-shampoo-24-oz-beauty-body-care-shelhealth-965.jpg?v=1686142680&amp;width=1946")</f>
        <v/>
      </c>
      <c r="H997">
        <f>_xludf.IMAGE("https://m.media-amazon.com/images/I/616C1I1ImpL._AC_UL320_.jpg")</f>
        <v/>
      </c>
      <c r="K997" t="inlineStr">
        <is>
          <t>18.99</t>
        </is>
      </c>
      <c r="L997" t="n">
        <v>6.31</v>
      </c>
      <c r="M997" s="1" t="inlineStr">
        <is>
          <t>-66.77%</t>
        </is>
      </c>
      <c r="N997" s="3" t="n">
        <v>-66.77</v>
      </c>
      <c r="O997" t="n">
        <v>3.8</v>
      </c>
      <c r="P997" t="n">
        <v>43</v>
      </c>
      <c r="R997" t="inlineStr">
        <is>
          <t>OutOfStock</t>
        </is>
      </c>
      <c r="S997" t="inlineStr">
        <is>
          <t>18.99</t>
        </is>
      </c>
      <c r="T997" t="inlineStr">
        <is>
          <t>7241661350076</t>
        </is>
      </c>
    </row>
    <row r="998" hidden="1" ht="15.75" customHeight="1">
      <c r="A998" s="2">
        <f>HYPERLINK("https://www.shelhealth.com/products/764302118428-nubian-heritage-masque-hair-olv-oil-vegan-12-oz", "https://www.shelhealth.com/products/764302118428-nubian-heritage-masque-hair-olv-oil-vegan-12-oz")</f>
        <v/>
      </c>
      <c r="B998" s="2">
        <f>HYPERLINK("https://www.shelhealth.com/products/764302118428-nubian-heritage-masque-hair-olv-oil-vegan-12-oz", "https://www.shelhealth.com/products/764302118428-nubian-heritage-masque-hair-olv-oil-vegan-12-oz")</f>
        <v/>
      </c>
      <c r="C998" t="inlineStr">
        <is>
          <t>NUBIAN HERITAGE Masque Hair Olive Oil Vegan, 12 oz</t>
        </is>
      </c>
      <c r="D998" t="inlineStr">
        <is>
          <t>Nubian Heritage Shampoo for Dry Hair Olive Oil Hydrate and Revive 12 oz</t>
        </is>
      </c>
      <c r="E998" s="2">
        <f>HYPERLINK("https://www.amazon.com/Nubian-Heritage-Olive-Vegan-Shampoo/dp/B07PGTSKLS/ref=sr_1_3?keywords=NUBIAN+HERITAGE+Masque+Hair+Olive+Oil+Vegan%2C+12+oz&amp;qid=1695170208&amp;sr=8-3", "https://www.amazon.com/Nubian-Heritage-Olive-Vegan-Shampoo/dp/B07PGTSKLS/ref=sr_1_3?keywords=NUBIAN+HERITAGE+Masque+Hair+Olive+Oil+Vegan%2C+12+oz&amp;qid=1695170208&amp;sr=8-3")</f>
        <v/>
      </c>
      <c r="F998" t="inlineStr">
        <is>
          <t>B07PGTSKLS</t>
        </is>
      </c>
      <c r="G998">
        <f>_xludf.IMAGE("https://www.shelhealth.com/cdn/shop/files/nubian-heritage-masque-hair-olive-oil-vegan-12-oz-beauty-body-care-shelhealth-905.jpg?v=1686138916&amp;width=1946")</f>
        <v/>
      </c>
      <c r="H998">
        <f>_xludf.IMAGE("https://m.media-amazon.com/images/I/61HENuGvewL._AC_UL320_.jpg")</f>
        <v/>
      </c>
      <c r="K998" t="inlineStr">
        <is>
          <t>13.99</t>
        </is>
      </c>
      <c r="L998" t="n">
        <v>4.53</v>
      </c>
      <c r="M998" s="1" t="inlineStr">
        <is>
          <t>-67.62%</t>
        </is>
      </c>
      <c r="N998" s="3" t="n">
        <v>-67.62</v>
      </c>
      <c r="O998" t="n">
        <v>4.5</v>
      </c>
      <c r="P998" t="n">
        <v>174</v>
      </c>
      <c r="R998" t="inlineStr">
        <is>
          <t>OutOfStock</t>
        </is>
      </c>
      <c r="S998" t="inlineStr">
        <is>
          <t>13.99</t>
        </is>
      </c>
      <c r="T998" t="inlineStr">
        <is>
          <t>7574231744744</t>
        </is>
      </c>
    </row>
    <row r="999" hidden="1" ht="15.75" customHeight="1">
      <c r="A999" s="2">
        <f>HYPERLINK("https://www.shelhealth.com/products/herbal-essences-hello-hydration-conditioner-40-fl-oz", "https://www.shelhealth.com/products/herbal-essences-hello-hydration-conditioner-40-fl-oz")</f>
        <v/>
      </c>
      <c r="B999" s="2">
        <f>HYPERLINK("https://www.shelhealth.com/products/herbal-essences-hello-hydration-conditioner-40-fl-oz", "https://www.shelhealth.com/products/herbal-essences-hello-hydration-conditioner-40-fl-oz")</f>
        <v/>
      </c>
      <c r="C999" t="inlineStr">
        <is>
          <t>Herbal Essences Hello Hydration Conditioner (40 Fl Oz),</t>
        </is>
      </c>
      <c r="D999" t="inlineStr">
        <is>
          <t>Herbal Essences Herbal essences hello hydration conditioner deep moisture for hair, 11.7 fl Ounce, 11.7 Fl Ounce</t>
        </is>
      </c>
      <c r="E999" s="2">
        <f>HYPERLINK("https://www.amazon.com/Herbal-Essences-essences-hydration-conditioner/dp/B07ZPQ87BW/ref=sr_1_2?keywords=Herbal+Essences+Hello+Hydration+Conditioner+%2840+Fl+Oz%29%2C&amp;qid=1695170163&amp;sr=8-2", "https://www.amazon.com/Herbal-Essences-essences-hydration-conditioner/dp/B07ZPQ87BW/ref=sr_1_2?keywords=Herbal+Essences+Hello+Hydration+Conditioner+%2840+Fl+Oz%29%2C&amp;qid=1695170163&amp;sr=8-2")</f>
        <v/>
      </c>
      <c r="F999" t="inlineStr">
        <is>
          <t>B07ZPQ87BW</t>
        </is>
      </c>
      <c r="G999">
        <f>_xludf.IMAGE("https://www.shelhealth.com/cdn/shop/products/herbal-essences-hello-hydration-conditioner-40-fl-oz-essence-shelhealth-917.jpg?v=1663349969&amp;width=1946")</f>
        <v/>
      </c>
      <c r="H999">
        <f>_xludf.IMAGE("https://m.media-amazon.com/images/I/71n38uvadbL._AC_UL320_.jpg")</f>
        <v/>
      </c>
      <c r="K999" t="inlineStr">
        <is>
          <t>15.99</t>
        </is>
      </c>
      <c r="L999" t="n">
        <v>4.99</v>
      </c>
      <c r="M999" s="1" t="inlineStr">
        <is>
          <t>-68.79%</t>
        </is>
      </c>
      <c r="N999" s="3" t="n">
        <v>-68.79000000000001</v>
      </c>
      <c r="O999" t="n">
        <v>4.6</v>
      </c>
      <c r="P999" t="n">
        <v>1015</v>
      </c>
      <c r="R999" t="inlineStr">
        <is>
          <t>InStock</t>
        </is>
      </c>
      <c r="S999" t="inlineStr">
        <is>
          <t>15.99</t>
        </is>
      </c>
      <c r="T999" t="inlineStr">
        <is>
          <t>3853302104116</t>
        </is>
      </c>
    </row>
    <row r="1000" hidden="1" ht="15.75" customHeight="1">
      <c r="A1000" s="2">
        <f>HYPERLINK("https://www.shelhealth.com/products/rogaine-for-men-hair-regrowth-treatment-easy-to-use-foam-6-month-supply-6-packs-2-11-oz-cans", "https://www.shelhealth.com/products/rogaine-for-men-hair-regrowth-treatment-easy-to-use-foam-6-month-supply-6-packs-2-11-oz-cans")</f>
        <v/>
      </c>
      <c r="B1000" s="2">
        <f>HYPERLINK("https://www.shelhealth.com/products/rogaine-for-men-hair-regrowth-treatment-easy-to-use-foam-6-month-supply-6-packs-2-11-oz-cans", "https://www.shelhealth.com/products/rogaine-for-men-hair-regrowth-treatment-easy-to-use-foam-6-month-supply-6-packs-2-11-oz-cans")</f>
        <v/>
      </c>
      <c r="C1000" t="inlineStr">
        <is>
          <t>Rogaine for Men Hair Regrowth Treatment, Easy-to-Use Foam, 6 Month Supply (6 Packs- 2.11 oz Cans)</t>
        </is>
      </c>
      <c r="D1000" t="inlineStr">
        <is>
          <t>Rogaine for Men Hair Regrowth Treatment, 5% Minoxidil Topical Aerosol, Easy-to-use Foam, 2.11 Ounce Each Can, No Box, Packaging May Vary. Authentic and Sealed. (2 cans - 2 month supply)</t>
        </is>
      </c>
      <c r="E1000" s="2">
        <f>HYPERLINK("https://www.amazon.com/Rogaine-Treatment-Minoxidil-Packaging-Authentic/dp/B00FS49RU2/ref=sr_1_2?keywords=Rogaine+for+Men+Hair+Regrowth+Treatment%2C+Easy-to-Use+Foam%2C+6+Month+Supply+%286+Packs-+2.11+oz+Cans%29&amp;qid=1695170162&amp;sr=8-2", "https://www.amazon.com/Rogaine-Treatment-Minoxidil-Packaging-Authentic/dp/B00FS49RU2/ref=sr_1_2?keywords=Rogaine+for+Men+Hair+Regrowth+Treatment%2C+Easy-to-Use+Foam%2C+6+Month+Supply+%286+Packs-+2.11+oz+Cans%29&amp;qid=1695170162&amp;sr=8-2")</f>
        <v/>
      </c>
      <c r="F1000" t="inlineStr">
        <is>
          <t>B00FS49RU2</t>
        </is>
      </c>
      <c r="G1000">
        <f>_xludf.IMAGE("https://www.shelhealth.com/cdn/shop/products/rogaine-for-men-hair-regrowth-treatment-easy-to-use-foam-6-month-supply-packs-2-11-oz-cans-shelhealth-385.jpg?v=1663371188&amp;width=1946")</f>
        <v/>
      </c>
      <c r="H1000">
        <f>_xludf.IMAGE("https://m.media-amazon.com/images/I/51vhYUA3WpL._AC_UL320_.jpg")</f>
        <v/>
      </c>
      <c r="K1000" t="inlineStr">
        <is>
          <t>149.99</t>
        </is>
      </c>
      <c r="L1000" t="n">
        <v>44.95</v>
      </c>
      <c r="M1000" s="1" t="inlineStr">
        <is>
          <t>-70.03%</t>
        </is>
      </c>
      <c r="N1000" s="3" t="n">
        <v>-70.03</v>
      </c>
      <c r="O1000" t="n">
        <v>4.2</v>
      </c>
      <c r="P1000" t="n">
        <v>13</v>
      </c>
      <c r="R1000" t="inlineStr">
        <is>
          <t>InStock</t>
        </is>
      </c>
      <c r="S1000" t="inlineStr">
        <is>
          <t>149.99</t>
        </is>
      </c>
      <c r="T1000" t="inlineStr">
        <is>
          <t>4668925116505</t>
        </is>
      </c>
    </row>
    <row r="1001" hidden="1" ht="15.75" customHeight="1">
      <c r="A1001" s="2">
        <f>HYPERLINK("https://www.shelhealth.com/products/716237184856-giovanni-cosmetics-2chic-repairing-super-potion-hair-oil-serum-blackberry-coconut-oil-2-75-oz", "https://www.shelhealth.com/products/716237184856-giovanni-cosmetics-2chic-repairing-super-potion-hair-oil-serum-blackberry-coconut-oil-2-75-oz")</f>
        <v/>
      </c>
      <c r="B1001" s="2">
        <f>HYPERLINK("https://www.shelhealth.com/products/716237184856-giovanni-cosmetics-2chic-repairing-super-potion-hair-oil-serum-blackberry-coconut-oil-2-75-oz", "https://www.shelhealth.com/products/716237184856-giovanni-cosmetics-2chic-repairing-super-potion-hair-oil-serum-blackberry-coconut-oil-2-75-oz")</f>
        <v/>
      </c>
      <c r="C1001" t="inlineStr">
        <is>
          <t>Giovanni Cosmetics 2Chic Repairing Super Potion Hair Oil Serum Blackberry &amp; Coconut Oil, 2.75 Oz (Case of 3)</t>
        </is>
      </c>
      <c r="D1001" t="inlineStr">
        <is>
          <t>GIOVANNI 2chic Repairing Super Potion Hair Oil Serum - Blackberry &amp; Coconut Milk, Restoring Leave In Treatment for Dry Damaged Color Treated Hair, Paraben Free, Color Safe - 2.75 oz</t>
        </is>
      </c>
      <c r="E1001" s="2">
        <f>HYPERLINK("https://www.amazon.com/GIOVANNI-Repairing-Blackberry-Coconut-2-75oz/dp/B00T6HMVDW/ref=sr_1_1?keywords=Giovanni+Cosmetics+2Chic+Repairing+Super+Potion+Hair+Oil+Serum+Blackberry&amp;qid=1695170206&amp;sr=8-1", "https://www.amazon.com/GIOVANNI-Repairing-Blackberry-Coconut-2-75oz/dp/B00T6HMVDW/ref=sr_1_1?keywords=Giovanni+Cosmetics+2Chic+Repairing+Super+Potion+Hair+Oil+Serum+Blackberry&amp;qid=1695170206&amp;sr=8-1")</f>
        <v/>
      </c>
      <c r="F1001" t="inlineStr">
        <is>
          <t>B00T6HMVDW</t>
        </is>
      </c>
      <c r="G1001">
        <f>_xludf.IMAGE("https://www.shelhealth.com/cdn/shop/files/giovanni-cosmetics-2chic-repairing-super-potion-hair-oil-serum-blackberry-coconut-2-75-oz-case-of-3-beauty-body-care-shelhealth-904.jpg?v=1689655722&amp;width=1946")</f>
        <v/>
      </c>
      <c r="H1001">
        <f>_xludf.IMAGE("https://m.media-amazon.com/images/I/61GKTWNBjHL._AC_UL320_.jpg")</f>
        <v/>
      </c>
      <c r="K1001" t="inlineStr">
        <is>
          <t>29.99</t>
        </is>
      </c>
      <c r="L1001" t="n">
        <v>8.789999999999999</v>
      </c>
      <c r="M1001" s="1" t="inlineStr">
        <is>
          <t>-70.69%</t>
        </is>
      </c>
      <c r="N1001" s="3" t="n">
        <v>-70.69</v>
      </c>
      <c r="O1001" t="n">
        <v>4.5</v>
      </c>
      <c r="P1001" t="n">
        <v>2587</v>
      </c>
      <c r="R1001" t="inlineStr">
        <is>
          <t>InStock</t>
        </is>
      </c>
      <c r="S1001" t="inlineStr">
        <is>
          <t>29.99</t>
        </is>
      </c>
      <c r="T1001" t="inlineStr">
        <is>
          <t>7241662595260</t>
        </is>
      </c>
    </row>
    <row r="1002" hidden="1" ht="15.75" customHeight="1">
      <c r="A1002" s="2">
        <f>HYPERLINK("https://www.shelhealth.com/products/dove-anti-frizz-oil-therapy-shampoo-conditioner-40-oz", "https://www.shelhealth.com/products/dove-anti-frizz-oil-therapy-shampoo-conditioner-40-oz")</f>
        <v/>
      </c>
      <c r="B1002" s="2">
        <f>HYPERLINK("https://www.shelhealth.com/products/dove-anti-frizz-oil-therapy-shampoo-conditioner-40-oz", "https://www.shelhealth.com/products/dove-anti-frizz-oil-therapy-shampoo-conditioner-40-oz")</f>
        <v/>
      </c>
      <c r="C1002" t="inlineStr">
        <is>
          <t>Dove Anti-Frizz Oil Therapy Shampoo &amp; Conditioner - 40 oz</t>
        </is>
      </c>
      <c r="D1002" t="inlineStr">
        <is>
          <t>Dove Nutritive Solutions Anti Frizz Shampoo for Frizzy, Tangled Hair Oil Therapy with Nutri-Oils Moisturizing Shampoo Formula Smooths Hair 12 oz</t>
        </is>
      </c>
      <c r="E1002" s="2">
        <f>HYPERLINK("https://www.amazon.com/Dove-Nutritive-Solutions-Nutri-Oils-Moisturizing/dp/B004DBXKS6/ref=sr_1_2?keywords=Dove+Anti-Frizz+Oil+Therapy+Shampoo&amp;qid=1695170236&amp;sr=8-2", "https://www.amazon.com/Dove-Nutritive-Solutions-Nutri-Oils-Moisturizing/dp/B004DBXKS6/ref=sr_1_2?keywords=Dove+Anti-Frizz+Oil+Therapy+Shampoo&amp;qid=1695170236&amp;sr=8-2")</f>
        <v/>
      </c>
      <c r="F1002" t="inlineStr">
        <is>
          <t>B004DBXKS6</t>
        </is>
      </c>
      <c r="G1002">
        <f>_xludf.IMAGE("https://www.shelhealth.com/cdn/shop/products/dove-anti-frizz-oil-therapy-shampoo-conditioner-40-oz-shelhealth-636.jpg?v=1663749796&amp;width=1946")</f>
        <v/>
      </c>
      <c r="H1002">
        <f>_xludf.IMAGE("https://m.media-amazon.com/images/I/71EuZLls+HL._AC_UL320_.jpg")</f>
        <v/>
      </c>
      <c r="K1002" t="inlineStr">
        <is>
          <t>25.99</t>
        </is>
      </c>
      <c r="L1002" t="n">
        <v>7.59</v>
      </c>
      <c r="M1002" s="1" t="inlineStr">
        <is>
          <t>-70.80%</t>
        </is>
      </c>
      <c r="N1002" s="3" t="n">
        <v>-70.8</v>
      </c>
      <c r="O1002" t="n">
        <v>4.3</v>
      </c>
      <c r="P1002" t="n">
        <v>107</v>
      </c>
      <c r="R1002" t="inlineStr">
        <is>
          <t>InStock</t>
        </is>
      </c>
      <c r="S1002" t="inlineStr">
        <is>
          <t>25.99</t>
        </is>
      </c>
      <c r="T1002" t="inlineStr">
        <is>
          <t>7506504581352</t>
        </is>
      </c>
    </row>
    <row r="1003" hidden="1" ht="15.75" customHeight="1">
      <c r="A1003" s="2">
        <f>HYPERLINK("https://www.shelhealth.com/products/724742008499-alba-botanica-conditioning-mist-leave-in-coconut-milk-8-oz", "https://www.shelhealth.com/products/724742008499-alba-botanica-conditioning-mist-leave-in-coconut-milk-8-oz")</f>
        <v/>
      </c>
      <c r="B1003" s="2">
        <f>HYPERLINK("https://www.shelhealth.com/products/724742008499-alba-botanica-conditioning-mist-leave-in-coconut-milk-8-oz", "https://www.shelhealth.com/products/724742008499-alba-botanica-conditioning-mist-leave-in-coconut-milk-8-oz")</f>
        <v/>
      </c>
      <c r="C1003" t="inlineStr">
        <is>
          <t>Alba Botanica Conditioning Mist Leave-In Coconut Milk, 8 Oz (Case of 3)</t>
        </is>
      </c>
      <c r="D1003" t="inlineStr">
        <is>
          <t>Alba Botanica Mega Moisture Conditioning Leave-In Mist, Coconut Milk, 8 Oz (Packaging May Vary)</t>
        </is>
      </c>
      <c r="E1003" s="2">
        <f>HYPERLINK("https://www.amazon.com/Alba-Botanica-Coconut-Hawaiian-Conditioning/dp/B000VUYDDE/ref=sr_1_1?keywords=Alba+Botanica+Conditioning+Mist+Leave-In+Coconut+Milk%2C+8+Oz+%28Case+of+3%29&amp;qid=1695170214&amp;sr=8-1", "https://www.amazon.com/Alba-Botanica-Coconut-Hawaiian-Conditioning/dp/B000VUYDDE/ref=sr_1_1?keywords=Alba+Botanica+Conditioning+Mist+Leave-In+Coconut+Milk%2C+8+Oz+%28Case+of+3%29&amp;qid=1695170214&amp;sr=8-1")</f>
        <v/>
      </c>
      <c r="F1003" t="inlineStr">
        <is>
          <t>B000VUYDDE</t>
        </is>
      </c>
      <c r="G1003">
        <f>_xludf.IMAGE("https://www.shelhealth.com/cdn/shop/files/alba-botanica-conditioning-mist-leave-in-coconut-milk-8-oz-case-of-3-beauty-body-care-shelhealth-269.jpg?v=1686520654&amp;width=1946")</f>
        <v/>
      </c>
      <c r="H1003">
        <f>_xludf.IMAGE("https://m.media-amazon.com/images/I/51cXCNC+BoS._AC_UL320_.jpg")</f>
        <v/>
      </c>
      <c r="K1003" t="inlineStr">
        <is>
          <t>27.99</t>
        </is>
      </c>
      <c r="L1003" t="n">
        <v>6.49</v>
      </c>
      <c r="M1003" s="1" t="inlineStr">
        <is>
          <t>-76.81%</t>
        </is>
      </c>
      <c r="N1003" s="3" t="n">
        <v>-76.81</v>
      </c>
      <c r="O1003" t="n">
        <v>4.2</v>
      </c>
      <c r="P1003" t="n">
        <v>1934</v>
      </c>
      <c r="R1003" t="inlineStr">
        <is>
          <t>InStock</t>
        </is>
      </c>
      <c r="S1003" t="inlineStr">
        <is>
          <t>27.99</t>
        </is>
      </c>
      <c r="T1003" t="inlineStr">
        <is>
          <t>7241428435132</t>
        </is>
      </c>
    </row>
    <row r="1004" hidden="1" ht="15.75" customHeight="1">
      <c r="A1004" s="2">
        <f>HYPERLINK("https://www.shelhealth.com/products/654749351680-avalon-organics-conditioner-lavender-vsize-32-oz", "https://www.shelhealth.com/products/654749351680-avalon-organics-conditioner-lavender-vsize-32-oz")</f>
        <v/>
      </c>
      <c r="B1004" s="2">
        <f>HYPERLINK("https://www.shelhealth.com/products/654749351680-avalon-organics-conditioner-lavender-vsize-32-oz", "https://www.shelhealth.com/products/654749351680-avalon-organics-conditioner-lavender-vsize-32-oz")</f>
        <v/>
      </c>
      <c r="C1004" t="inlineStr">
        <is>
          <t>Avalon Organics Conditioner Lavender Vsize, 32 Oz</t>
        </is>
      </c>
      <c r="D1004" t="inlineStr">
        <is>
          <t>Avalon Organics Nourishing Lavender Conditioner, 2 oz.</t>
        </is>
      </c>
      <c r="E1004" s="2">
        <f>HYPERLINK("https://www.amazon.com/Avalon-Organics-Nourishing-Lavender-Conditioner/dp/B001BKNNPC/ref=sr_1_9?keywords=avalon+organics+conditioner+lavender+size%2C+32+oz&amp;qid=1695170216&amp;sr=8-9", "https://www.amazon.com/Avalon-Organics-Nourishing-Lavender-Conditioner/dp/B001BKNNPC/ref=sr_1_9?keywords=avalon+organics+conditioner+lavender+size%2C+32+oz&amp;qid=1695170216&amp;sr=8-9")</f>
        <v/>
      </c>
      <c r="F1004" t="inlineStr">
        <is>
          <t>B001BKNNPC</t>
        </is>
      </c>
      <c r="G1004">
        <f>_xludf.IMAGE("https://www.shelhealth.com/cdn/shop/files/avalon-organics-conditioner-lavender-vsize-32-oz-beauty-body-care-shelhealth-367.jpg?v=1687409190&amp;width=1946")</f>
        <v/>
      </c>
      <c r="H1004">
        <f>_xludf.IMAGE("https://m.media-amazon.com/images/I/713+5rNeh0L._AC_UL320_.jpg")</f>
        <v/>
      </c>
      <c r="K1004" t="inlineStr">
        <is>
          <t>21.99</t>
        </is>
      </c>
      <c r="L1004" t="n">
        <v>4.49</v>
      </c>
      <c r="M1004" s="1" t="inlineStr">
        <is>
          <t>-79.58%</t>
        </is>
      </c>
      <c r="N1004" s="3" t="n">
        <v>-79.58</v>
      </c>
      <c r="O1004" t="n">
        <v>3.3</v>
      </c>
      <c r="P1004" t="n">
        <v>51</v>
      </c>
      <c r="R1004" t="inlineStr">
        <is>
          <t>InStock</t>
        </is>
      </c>
      <c r="S1004" t="inlineStr">
        <is>
          <t>21.99</t>
        </is>
      </c>
      <c r="T1004" t="inlineStr">
        <is>
          <t>7241470345404</t>
        </is>
      </c>
    </row>
    <row r="1005" ht="75" customHeight="1">
      <c r="A1005" s="2">
        <f>HYPERLINK("https://www.shelhealth.com/products/nerf-dog-assorted-toy-set-3-count", "https://www.shelhealth.com/products/nerf-dog-assorted-toy-set-3-count")</f>
        <v/>
      </c>
      <c r="B1005" s="2">
        <f>HYPERLINK("https://www.shelhealth.com/products/nerf-dog-assorted-toy-set-3-count", "https://www.shelhealth.com/products/nerf-dog-assorted-toy-set-3-count")</f>
        <v/>
      </c>
      <c r="C1005" t="inlineStr">
        <is>
          <t>Nerf Dog Assorted Toy Set, 3-Count</t>
        </is>
      </c>
      <c r="D1005" t="inlineStr">
        <is>
          <t>Nerf Dog Assorted Toy Set, 3-Count</t>
        </is>
      </c>
      <c r="E1005" s="2">
        <f>HYPERLINK("https://www.amazon.com/Nerf-Dog-Assorted-Toy-3-Count/dp/B07S7F4CFQ/ref=sr_1_1?keywords=Nerf+Dog+Assorted+Toy+Set%2C+3-Count&amp;qid=1695170286&amp;sr=8-1", "https://www.amazon.com/Nerf-Dog-Assorted-Toy-3-Count/dp/B07S7F4CFQ/ref=sr_1_1?keywords=Nerf+Dog+Assorted+Toy+Set%2C+3-Count&amp;qid=1695170286&amp;sr=8-1")</f>
        <v/>
      </c>
      <c r="F1005" t="inlineStr">
        <is>
          <t>B07S7F4CFQ</t>
        </is>
      </c>
      <c r="G1005">
        <f>_xlfn.IMAGE("https://www.shelhealth.com/cdn/shop/products/nerf-dog-assorted-toy-set-3-count-shelhealth-438.jpg?v=1663358037&amp;width=1946")</f>
        <v/>
      </c>
      <c r="H1005">
        <f>_xlfn.IMAGE("https://m.media-amazon.com/images/I/91Py2rjxDyL._AC_UL320_.jpg")</f>
        <v/>
      </c>
      <c r="K1005" t="inlineStr">
        <is>
          <t>9.99</t>
        </is>
      </c>
      <c r="L1005" t="n">
        <v>43.11</v>
      </c>
      <c r="M1005" s="1" t="inlineStr">
        <is>
          <t>331.53%</t>
        </is>
      </c>
      <c r="N1005" s="3" t="n">
        <v>331.53</v>
      </c>
      <c r="O1005" t="n">
        <v>4.2</v>
      </c>
      <c r="P1005" t="n">
        <v>4160</v>
      </c>
      <c r="R1005" t="inlineStr">
        <is>
          <t>OutOfStock</t>
        </is>
      </c>
      <c r="S1005" t="inlineStr">
        <is>
          <t>9.99</t>
        </is>
      </c>
      <c r="T1005" t="inlineStr">
        <is>
          <t>4318356144217</t>
        </is>
      </c>
    </row>
    <row r="1006" ht="75" customHeight="1">
      <c r="A1006" s="2">
        <f>HYPERLINK("https://www.shelhealth.com/products/757645612609-newmans-own-organic-turkey-dinner-for-dogs-12-7-oz", "https://www.shelhealth.com/products/757645612609-newmans-own-organic-turkey-dinner-for-dogs-12-7-oz")</f>
        <v/>
      </c>
      <c r="B1006" s="2">
        <f>HYPERLINK("https://www.shelhealth.com/products/757645612609-newmans-own-organic-turkey-dinner-for-dogs-12-7-oz", "https://www.shelhealth.com/products/757645612609-newmans-own-organic-turkey-dinner-for-dogs-12-7-oz")</f>
        <v/>
      </c>
      <c r="C1006" t="inlineStr">
        <is>
          <t>NEWMANS OWN ORGANIC Turkey Dinner For Dogs, 12.7 oz (Case of 4)</t>
        </is>
      </c>
      <c r="D1006" t="inlineStr">
        <is>
          <t>Newman's Own Organics Turkey Dinner For Dogs, 12.7-Oz (Pack Of 12)</t>
        </is>
      </c>
      <c r="E1006" s="2">
        <f>HYPERLINK("https://www.amazon.com/NewmanS-Own-Organics-Turkey-12-7-Oz/dp/B00B2FBGGE/ref=sr_1_1?keywords=NEWMANS+OWN+ORGANIC+Turkey+Dinner+For+Dogs%2C+12.7+oz+%28Case+of+4%29&amp;qid=1695170339&amp;sr=8-1", "https://www.amazon.com/NewmanS-Own-Organics-Turkey-12-7-Oz/dp/B00B2FBGGE/ref=sr_1_1?keywords=NEWMANS+OWN+ORGANIC+Turkey+Dinner+For+Dogs%2C+12.7+oz+%28Case+of+4%29&amp;qid=1695170339&amp;sr=8-1")</f>
        <v/>
      </c>
      <c r="F1006" t="inlineStr">
        <is>
          <t>B00B2FBGGE</t>
        </is>
      </c>
      <c r="G1006">
        <f>_xlfn.IMAGE("https://www.shelhealth.com/cdn/shop/files/newmans-own-organic-turkey-dinner-for-dogs-12-7-oz-case-of-4-pet-shelhealth-770.jpg?v=1688712409&amp;width=1946")</f>
        <v/>
      </c>
      <c r="H1006">
        <f>_xlfn.IMAGE("https://m.media-amazon.com/images/I/91rsqhxi6gL._AC_UL320_.jpg")</f>
        <v/>
      </c>
      <c r="K1006" t="inlineStr">
        <is>
          <t>15.99</t>
        </is>
      </c>
      <c r="L1006" t="n">
        <v>68.34</v>
      </c>
      <c r="M1006" s="1" t="inlineStr">
        <is>
          <t>327.39%</t>
        </is>
      </c>
      <c r="N1006" s="3" t="n">
        <v>327.39</v>
      </c>
      <c r="O1006" t="n">
        <v>4.3</v>
      </c>
      <c r="P1006" t="n">
        <v>117</v>
      </c>
      <c r="R1006" t="inlineStr">
        <is>
          <t>OutOfStock</t>
        </is>
      </c>
      <c r="S1006" t="inlineStr">
        <is>
          <t>15.99</t>
        </is>
      </c>
      <c r="T1006" t="inlineStr">
        <is>
          <t>7574225846504</t>
        </is>
      </c>
    </row>
    <row r="1007" ht="75" customHeight="1">
      <c r="A1007" s="2">
        <f>HYPERLINK("https://www.shelhealth.com/products/76344101505-old-mother-hubbard-treat-dog-mini-orig-asort-3-5-lb", "https://www.shelhealth.com/products/76344101505-old-mother-hubbard-treat-dog-mini-orig-asort-3-5-lb")</f>
        <v/>
      </c>
      <c r="B1007" s="2">
        <f>HYPERLINK("https://www.shelhealth.com/products/76344101505-old-mother-hubbard-treat-dog-mini-orig-asort-3-5-lb", "https://www.shelhealth.com/products/76344101505-old-mother-hubbard-treat-dog-mini-orig-asort-3-5-lb")</f>
        <v/>
      </c>
      <c r="C1007" t="inlineStr">
        <is>
          <t>OLD MOTHER HUBBARD Treat Dog Mini Orig Asort, 3.5 lb</t>
        </is>
      </c>
      <c r="D1007" t="inlineStr">
        <is>
          <t>Old Mother Hubbard by Wellness Classic Original Mix Natural Dog Treats, Crunchy Oven-Baked Biscuits, Ideal for Training, Mini Size, 20 pound box</t>
        </is>
      </c>
      <c r="E1007" s="2">
        <f>HYPERLINK("https://www.amazon.com/Wellness-Original-Natural-Oven-Baked-Biscuits/dp/B0002LIUAE/ref=sr_1_2?keywords=OLD+MOTHER+HUBBARD+Treat+Dog+Mini+Orig+Asort%2C+3.5+lb&amp;qid=1695170359&amp;sr=8-2", "https://www.amazon.com/Wellness-Original-Natural-Oven-Baked-Biscuits/dp/B0002LIUAE/ref=sr_1_2?keywords=OLD+MOTHER+HUBBARD+Treat+Dog+Mini+Orig+Asort%2C+3.5+lb&amp;qid=1695170359&amp;sr=8-2")</f>
        <v/>
      </c>
      <c r="F1007" t="inlineStr">
        <is>
          <t>B0002LIUAE</t>
        </is>
      </c>
      <c r="G1007">
        <f>_xlfn.IMAGE("https://www.shelhealth.com/cdn/shop/files/old-mother-hubbard-treat-dog-mini-orig-asort-3-5-lb-pet-shelhealth-449.jpg?v=1686220620&amp;width=1946")</f>
        <v/>
      </c>
      <c r="H1007">
        <f>_xlfn.IMAGE("https://m.media-amazon.com/images/I/71jaZKwxPVL._AC_UL320_.jpg")</f>
        <v/>
      </c>
      <c r="K1007" t="inlineStr">
        <is>
          <t>17.99</t>
        </is>
      </c>
      <c r="L1007" t="n">
        <v>62.99</v>
      </c>
      <c r="M1007" s="1" t="inlineStr">
        <is>
          <t>250.14%</t>
        </is>
      </c>
      <c r="N1007" s="3" t="n">
        <v>250.14</v>
      </c>
      <c r="O1007" t="n">
        <v>4.7</v>
      </c>
      <c r="P1007" t="n">
        <v>16748</v>
      </c>
      <c r="R1007" t="inlineStr">
        <is>
          <t>OutOfStock</t>
        </is>
      </c>
      <c r="S1007" t="inlineStr">
        <is>
          <t>17.99</t>
        </is>
      </c>
      <c r="T1007" t="inlineStr">
        <is>
          <t>7574239248616</t>
        </is>
      </c>
    </row>
    <row r="1008" ht="75" customHeight="1">
      <c r="A1008" s="2">
        <f>HYPERLINK("https://www.shelhealth.com/products/doggy-delirious-peanut-butter-bones-dog-treats-5lbs", "https://www.shelhealth.com/products/doggy-delirious-peanut-butter-bones-dog-treats-5lbs")</f>
        <v/>
      </c>
      <c r="B1008" s="2">
        <f>HYPERLINK("https://www.shelhealth.com/products/doggy-delirious-peanut-butter-bones-dog-treats-5lbs", "https://www.shelhealth.com/products/doggy-delirious-peanut-butter-bones-dog-treats-5lbs")</f>
        <v/>
      </c>
      <c r="C1008" t="inlineStr">
        <is>
          <t>Doggy Delirious Peanut Butter Bones Dog Treats, 5Lbs</t>
        </is>
      </c>
      <c r="D1008" t="inlineStr">
        <is>
          <t>Doggy Delirious Limited Ingredients All Natural Dog Treats, Peanut Butter (Grain Free), 6 Pack</t>
        </is>
      </c>
      <c r="E1008" s="2">
        <f>HYPERLINK("https://www.amazon.com/Doggy-Delirious-Limited-Ingredients-Natural/dp/B0158UPKWE/ref=sr_1_5?keywords=Doggy+Delirious+Peanut+Butter+Bones+Dog+Treats%2C+5Lbs&amp;qid=1695170281&amp;sr=8-5", "https://www.amazon.com/Doggy-Delirious-Limited-Ingredients-Natural/dp/B0158UPKWE/ref=sr_1_5?keywords=Doggy+Delirious+Peanut+Butter+Bones+Dog+Treats%2C+5Lbs&amp;qid=1695170281&amp;sr=8-5")</f>
        <v/>
      </c>
      <c r="F1008" t="inlineStr">
        <is>
          <t>B0158UPKWE</t>
        </is>
      </c>
      <c r="G1008">
        <f>_xlfn.IMAGE("https://www.shelhealth.com/cdn/shop/products/doggy-delirious-peanut-butter-bones-dog-treats-5lbs-shelhealth-743.jpg?v=1663340905&amp;width=1946")</f>
        <v/>
      </c>
      <c r="H1008">
        <f>_xlfn.IMAGE("https://m.media-amazon.com/images/I/91wLLurJMyL._AC_UL320_.jpg")</f>
        <v/>
      </c>
      <c r="K1008" t="inlineStr">
        <is>
          <t>25.99</t>
        </is>
      </c>
      <c r="L1008" t="n">
        <v>75.40000000000001</v>
      </c>
      <c r="M1008" s="1" t="inlineStr">
        <is>
          <t>190.11%</t>
        </is>
      </c>
      <c r="N1008" s="3" t="n">
        <v>190.11</v>
      </c>
      <c r="O1008" t="n">
        <v>4.5</v>
      </c>
      <c r="P1008" t="n">
        <v>23</v>
      </c>
      <c r="R1008" t="inlineStr">
        <is>
          <t>OutOfStock</t>
        </is>
      </c>
      <c r="S1008" t="inlineStr">
        <is>
          <t>25.99</t>
        </is>
      </c>
      <c r="T1008" t="inlineStr">
        <is>
          <t>3806338777140</t>
        </is>
      </c>
    </row>
    <row r="1009" ht="75" customHeight="1">
      <c r="A1009" s="2">
        <f>HYPERLINK("https://www.shelhealth.com/products/checkups-dental-dog-treats-for-dogs-20-pounds-24ct-3-lbs", "https://www.shelhealth.com/products/checkups-dental-dog-treats-for-dogs-20-pounds-24ct-3-lbs")</f>
        <v/>
      </c>
      <c r="B1009" s="2">
        <f>HYPERLINK("https://www.shelhealth.com/products/checkups-dental-dog-treats-for-dogs-20-pounds-24ct-3-lbs", "https://www.shelhealth.com/products/checkups-dental-dog-treats-for-dogs-20-pounds-24ct-3-lbs")</f>
        <v/>
      </c>
      <c r="C1009" t="inlineStr">
        <is>
          <t>Checkups Dental Dog Treats for Dogs 20+ pounds, 24ct (3 lbs.)</t>
        </is>
      </c>
      <c r="D1009" t="inlineStr">
        <is>
          <t>Checkups- Dental Dog Treats, 24ct 48 oz. for Dogs 20+ pounds Value Size 3 Pack (72 Count)</t>
        </is>
      </c>
      <c r="E1009" s="2">
        <f>HYPERLINK("https://www.amazon.com/Checkups-Dental-Treats-pounds-Value/dp/B07GV315LJ/ref=sr_1_8?keywords=Checkups+Dental+Dog+Treats+for+Dogs+20+pounds%2C+24ct+%283+lbs.%29&amp;qid=1695170292&amp;sr=8-8", "https://www.amazon.com/Checkups-Dental-Treats-pounds-Value/dp/B07GV315LJ/ref=sr_1_8?keywords=Checkups+Dental+Dog+Treats+for+Dogs+20+pounds%2C+24ct+%283+lbs.%29&amp;qid=1695170292&amp;sr=8-8")</f>
        <v/>
      </c>
      <c r="F1009" t="inlineStr">
        <is>
          <t>B07GV315LJ</t>
        </is>
      </c>
      <c r="G1009">
        <f>_xlfn.IMAGE("https://www.shelhealth.com/cdn/shop/products/checkups-dental-dog-treats-for-dogs-20-pounds-24ct-3-lbs-shelhealth-157.jpg?v=1663369457&amp;width=1946")</f>
        <v/>
      </c>
      <c r="H1009">
        <f>_xlfn.IMAGE("https://m.media-amazon.com/images/I/812s22RT4aL._AC_UL320_.jpg")</f>
        <v/>
      </c>
      <c r="K1009" t="inlineStr">
        <is>
          <t>23.99</t>
        </is>
      </c>
      <c r="L1009" t="n">
        <v>66.98999999999999</v>
      </c>
      <c r="M1009" s="1" t="inlineStr">
        <is>
          <t>179.24%</t>
        </is>
      </c>
      <c r="N1009" s="3" t="n">
        <v>179.24</v>
      </c>
      <c r="O1009" t="n">
        <v>4.8</v>
      </c>
      <c r="P1009" t="n">
        <v>167</v>
      </c>
      <c r="R1009" t="inlineStr">
        <is>
          <t>InStock</t>
        </is>
      </c>
      <c r="S1009" t="inlineStr">
        <is>
          <t>23.99</t>
        </is>
      </c>
      <c r="T1009" t="inlineStr">
        <is>
          <t>4634750582873</t>
        </is>
      </c>
    </row>
    <row r="1010" ht="75" customHeight="1">
      <c r="A1010" s="2">
        <f>HYPERLINK("https://www.shelhealth.com/products/035883012079-petguard-multi-vitamin-and-mineral-supplement-for-dogs-50-tb", "https://www.shelhealth.com/products/035883012079-petguard-multi-vitamin-and-mineral-supplement-for-dogs-50-tb")</f>
        <v/>
      </c>
      <c r="B1010" s="2">
        <f>HYPERLINK("https://www.shelhealth.com/products/035883012079-petguard-multi-vitamin-and-mineral-supplement-for-dogs-50-tb", "https://www.shelhealth.com/products/035883012079-petguard-multi-vitamin-and-mineral-supplement-for-dogs-50-tb")</f>
        <v/>
      </c>
      <c r="C1010" t="inlineStr">
        <is>
          <t>PETGUARD Multi Vitamin And Mineral Supplement for Dogs, 50 tb</t>
        </is>
      </c>
      <c r="D1010" t="inlineStr">
        <is>
          <t>Nutrition Strength Multivitamins for Dogs, Daily Vitamin and Mineral Support, Nutritional Dog Supplements for All Canine Breeds and Sizes, Promotes Immune Health in Pets, 120 Chewable Tablets</t>
        </is>
      </c>
      <c r="E1010" s="2">
        <f>HYPERLINK("https://www.amazon.com/Nutrition-Strength-Multivitamins-Nutritional-Supplements/dp/B074NBVKLR/ref=sr_1_4?keywords=PETGUARD+Multi+Vitamin+And+Mineral+Supplement+for+Dogs%2C+50+tb&amp;qid=1695170303&amp;sr=8-4", "https://www.amazon.com/Nutrition-Strength-Multivitamins-Nutritional-Supplements/dp/B074NBVKLR/ref=sr_1_4?keywords=PETGUARD+Multi+Vitamin+And+Mineral+Supplement+for+Dogs%2C+50+tb&amp;qid=1695170303&amp;sr=8-4")</f>
        <v/>
      </c>
      <c r="F1010" t="inlineStr">
        <is>
          <t>B074NBVKLR</t>
        </is>
      </c>
      <c r="G1010">
        <f>_xlfn.IMAGE("https://www.shelhealth.com/cdn/shop/files/petguard-multi-vitamin-and-mineral-supplement-for-dogs-50-tb-pet-shelhealth-334.jpg?v=1686138606&amp;width=1946")</f>
        <v/>
      </c>
      <c r="H1010">
        <f>_xlfn.IMAGE("https://m.media-amazon.com/images/I/81HxTsVYw6L._AC_UL320_.jpg")</f>
        <v/>
      </c>
      <c r="K1010" t="inlineStr">
        <is>
          <t>14.99</t>
        </is>
      </c>
      <c r="L1010" t="n">
        <v>39.99</v>
      </c>
      <c r="M1010" s="1" t="inlineStr">
        <is>
          <t>166.78%</t>
        </is>
      </c>
      <c r="N1010" s="3" t="n">
        <v>166.78</v>
      </c>
      <c r="O1010" t="n">
        <v>4.3</v>
      </c>
      <c r="P1010" t="n">
        <v>201</v>
      </c>
      <c r="R1010" t="inlineStr">
        <is>
          <t>OutOfStock</t>
        </is>
      </c>
      <c r="S1010" t="inlineStr">
        <is>
          <t>14.99</t>
        </is>
      </c>
      <c r="T1010" t="inlineStr">
        <is>
          <t>7574252060904</t>
        </is>
      </c>
    </row>
    <row r="1011" ht="75" customHeight="1">
      <c r="A1011" s="2">
        <f>HYPERLINK("https://www.shelhealth.com/products/checkups-dental-dog-treats-for-dogs-20-pounds-24ct-3-lbs", "https://www.shelhealth.com/products/checkups-dental-dog-treats-for-dogs-20-pounds-24ct-3-lbs")</f>
        <v/>
      </c>
      <c r="B1011" s="2">
        <f>HYPERLINK("https://www.shelhealth.com/products/checkups-dental-dog-treats-for-dogs-20-pounds-24ct-3-lbs", "https://www.shelhealth.com/products/checkups-dental-dog-treats-for-dogs-20-pounds-24ct-3-lbs")</f>
        <v/>
      </c>
      <c r="C1011" t="inlineStr">
        <is>
          <t>Checkups Dental Dog Treats for Dogs 20+ pounds, 24ct (3 lbs.)</t>
        </is>
      </c>
      <c r="D1011" t="inlineStr">
        <is>
          <t>Checkups- Dental Dog Treats, 24ct 48 oz. for Dogs 20+ pounds (3Packs)</t>
        </is>
      </c>
      <c r="E1011" s="2">
        <f>HYPERLINK("https://www.amazon.com/Checkups-Dental-Treats-pounds-3Packs/dp/B07L6VXZPK/ref=sr_1_9?keywords=Checkups+Dental+Dog+Treats+for+Dogs+20+pounds%2C+24ct+%283+lbs.%29&amp;qid=1695170292&amp;sr=8-9", "https://www.amazon.com/Checkups-Dental-Treats-pounds-3Packs/dp/B07L6VXZPK/ref=sr_1_9?keywords=Checkups+Dental+Dog+Treats+for+Dogs+20+pounds%2C+24ct+%283+lbs.%29&amp;qid=1695170292&amp;sr=8-9")</f>
        <v/>
      </c>
      <c r="F1011" t="inlineStr">
        <is>
          <t>B07L6VXZPK</t>
        </is>
      </c>
      <c r="G1011">
        <f>_xlfn.IMAGE("https://www.shelhealth.com/cdn/shop/products/checkups-dental-dog-treats-for-dogs-20-pounds-24ct-3-lbs-shelhealth-157.jpg?v=1663369457&amp;width=1946")</f>
        <v/>
      </c>
      <c r="H1011">
        <f>_xlfn.IMAGE("https://m.media-amazon.com/images/I/812s22RT4aL._AC_UL320_.jpg")</f>
        <v/>
      </c>
      <c r="K1011" t="inlineStr">
        <is>
          <t>23.99</t>
        </is>
      </c>
      <c r="L1011" t="n">
        <v>62.89</v>
      </c>
      <c r="M1011" s="1" t="inlineStr">
        <is>
          <t>162.15%</t>
        </is>
      </c>
      <c r="N1011" s="3" t="n">
        <v>162.15</v>
      </c>
      <c r="O1011" t="n">
        <v>5</v>
      </c>
      <c r="P1011" t="n">
        <v>12</v>
      </c>
      <c r="R1011" t="inlineStr">
        <is>
          <t>InStock</t>
        </is>
      </c>
      <c r="S1011" t="inlineStr">
        <is>
          <t>23.99</t>
        </is>
      </c>
      <c r="T1011" t="inlineStr">
        <is>
          <t>4634750582873</t>
        </is>
      </c>
    </row>
    <row r="1012" ht="75" customHeight="1">
      <c r="A1012" s="2">
        <f>HYPERLINK("https://www.shelhealth.com/products/purina-dog-chow-complete-adult-with-real-chicken-dry-dog-food-50-lbs", "https://www.shelhealth.com/products/purina-dog-chow-complete-adult-with-real-chicken-dry-dog-food-50-lbs")</f>
        <v/>
      </c>
      <c r="B1012" s="2">
        <f>HYPERLINK("https://www.shelhealth.com/products/purina-dog-chow-complete-adult-with-real-chicken-dry-dog-food-50-lbs", "https://www.shelhealth.com/products/purina-dog-chow-complete-adult-with-real-chicken-dry-dog-food-50-lbs")</f>
        <v/>
      </c>
      <c r="C1012" t="inlineStr">
        <is>
          <t>Purina Dog Chow Complete Adult with Real Chicken Dry Dog Food, 50 lbs.</t>
        </is>
      </c>
      <c r="D1012" t="inlineStr">
        <is>
          <t>Purina Dog Chow Dry Dog Food, Complete Adult With Real Beef - 52 lb. Bag</t>
        </is>
      </c>
      <c r="E1012" s="2">
        <f>HYPERLINK("https://www.amazon.com/Purina-Dog-Chow-Complete-Adult/dp/B0777RJCKG/ref=sr_1_8?keywords=Purina+Dog+Chow+Complete+Adult+with+Real+Chicken+Dry+Dog+Food%2C+50+lbs.&amp;qid=1695170294&amp;sr=8-8", "https://www.amazon.com/Purina-Dog-Chow-Complete-Adult/dp/B0777RJCKG/ref=sr_1_8?keywords=Purina+Dog+Chow+Complete+Adult+with+Real+Chicken+Dry+Dog+Food%2C+50+lbs.&amp;qid=1695170294&amp;sr=8-8")</f>
        <v/>
      </c>
      <c r="F1012" t="inlineStr">
        <is>
          <t>B0777RJCKG</t>
        </is>
      </c>
      <c r="G1012">
        <f>_xlfn.IMAGE("https://www.shelhealth.com/cdn/shop/products/purina-dog-chow-complete-adult-with-real-chicken-dry-food-50-lbs-shelhealth-219.jpg?v=1663370530&amp;width=1946")</f>
        <v/>
      </c>
      <c r="H1012">
        <f>_xlfn.IMAGE("https://m.media-amazon.com/images/I/81RpIudi+xS._AC_UL320_.jpg")</f>
        <v/>
      </c>
      <c r="K1012" t="inlineStr">
        <is>
          <t>43.99</t>
        </is>
      </c>
      <c r="L1012" t="n">
        <v>110</v>
      </c>
      <c r="M1012" s="1" t="inlineStr">
        <is>
          <t>150.06%</t>
        </is>
      </c>
      <c r="N1012" s="3" t="n">
        <v>150.06</v>
      </c>
      <c r="O1012" t="n">
        <v>4.6</v>
      </c>
      <c r="P1012" t="n">
        <v>2825</v>
      </c>
      <c r="R1012" t="inlineStr">
        <is>
          <t>InStock</t>
        </is>
      </c>
      <c r="S1012" t="inlineStr">
        <is>
          <t>43.99</t>
        </is>
      </c>
      <c r="T1012" t="inlineStr">
        <is>
          <t>4664168677465</t>
        </is>
      </c>
    </row>
    <row r="1013" ht="75" customHeight="1">
      <c r="A1013" s="2">
        <f>HYPERLINK("https://www.shelhealth.com/products/854803005218-tender-and-true-chicken-and-brown-rice-canned-dog-food-13-2-oz", "https://www.shelhealth.com/products/854803005218-tender-and-true-chicken-and-brown-rice-canned-dog-food-13-2-oz")</f>
        <v/>
      </c>
      <c r="B1013" s="2">
        <f>HYPERLINK("https://www.shelhealth.com/products/854803005218-tender-and-true-chicken-and-brown-rice-canned-dog-food-13-2-oz", "https://www.shelhealth.com/products/854803005218-tender-and-true-chicken-and-brown-rice-canned-dog-food-13-2-oz")</f>
        <v/>
      </c>
      <c r="C1013" t="inlineStr">
        <is>
          <t>TENDER AND TRUE Chicken and Brown Rice Canned Dog Food, 13.2 oz (Case of 4)</t>
        </is>
      </c>
      <c r="D1013" t="inlineStr">
        <is>
          <t>Tender &amp; True Antibiotic-Free Chicken &amp; Brown Rice Recipe Canned Dog Food, 13.2 oz, Case of 12</t>
        </is>
      </c>
      <c r="E1013" s="2">
        <f>HYPERLINK("https://www.amazon.com/Tender-True-Pet-Food-Anti-Biotic/dp/B07G3N1DBV/ref=sr_1_1?keywords=TENDER+AND+TRUE+Chicken+and+Brown+Rice+Canned+Dog+Food%2C+13.2+oz+%28Case+of+4%29&amp;qid=1695170339&amp;sr=8-1", "https://www.amazon.com/Tender-True-Pet-Food-Anti-Biotic/dp/B07G3N1DBV/ref=sr_1_1?keywords=TENDER+AND+TRUE+Chicken+and+Brown+Rice+Canned+Dog+Food%2C+13.2+oz+%28Case+of+4%29&amp;qid=1695170339&amp;sr=8-1")</f>
        <v/>
      </c>
      <c r="F1013" t="inlineStr">
        <is>
          <t>B07G3N1DBV</t>
        </is>
      </c>
      <c r="G1013">
        <f>_xlfn.IMAGE("https://www.shelhealth.com/cdn/shop/products/tender-and-true-chicken-brown-rice-canned-dog-food-13-2-oz-case-of-4-shelhealth-709.jpg?v=1677132213&amp;width=1946")</f>
        <v/>
      </c>
      <c r="H1013">
        <f>_xlfn.IMAGE("https://m.media-amazon.com/images/I/818vWFOyd2L._AC_UL320_.jpg")</f>
        <v/>
      </c>
      <c r="K1013" t="inlineStr">
        <is>
          <t>19.99</t>
        </is>
      </c>
      <c r="L1013" t="n">
        <v>47.88</v>
      </c>
      <c r="M1013" s="1" t="inlineStr">
        <is>
          <t>139.52%</t>
        </is>
      </c>
      <c r="N1013" s="3" t="n">
        <v>139.52</v>
      </c>
      <c r="O1013" t="n">
        <v>4.1</v>
      </c>
      <c r="P1013" t="n">
        <v>115</v>
      </c>
      <c r="R1013" t="inlineStr">
        <is>
          <t>InStock</t>
        </is>
      </c>
      <c r="S1013" t="inlineStr">
        <is>
          <t>19.99</t>
        </is>
      </c>
      <c r="T1013" t="inlineStr">
        <is>
          <t>7574330245352</t>
        </is>
      </c>
    </row>
    <row r="1014" ht="75" customHeight="1">
      <c r="A1014" s="2">
        <f>HYPERLINK("https://www.shelhealth.com/products/pedigree-wet-dog-food-variety-pack-30-pk-3-5-oz", "https://www.shelhealth.com/products/pedigree-wet-dog-food-variety-pack-30-pk-3-5-oz")</f>
        <v/>
      </c>
      <c r="B1014" s="2">
        <f>HYPERLINK("https://www.shelhealth.com/products/pedigree-wet-dog-food-variety-pack-30-pk-3-5-oz", "https://www.shelhealth.com/products/pedigree-wet-dog-food-variety-pack-30-pk-3-5-oz")</f>
        <v/>
      </c>
      <c r="C1014" t="inlineStr">
        <is>
          <t>Pedigree Wet Dog Food Variety Pack, 30 pk./3.5 oz.</t>
        </is>
      </c>
      <c r="D1014" t="inlineStr">
        <is>
          <t>PEDIGREE® CHOPPED GROUND DINNER Adult Canned Soft Wet Dog Food, 4-Flavor Variety Pack, (24) 13.2 oz. Cans</t>
        </is>
      </c>
      <c r="E1014" s="2">
        <f>HYPERLINK("https://www.amazon.com/PEDIGREE%C2%AE-CHOPPED-GROUND-4-Flavor-Variety/dp/B01G5ZKPNA/ref=sr_1_10?keywords=Pedigree+Wet+Dog+Food+Variety+Pack%2C+30+pk.%2F3.5+oz.&amp;qid=1695170285&amp;sr=8-10", "https://www.amazon.com/PEDIGREE%C2%AE-CHOPPED-GROUND-4-Flavor-Variety/dp/B01G5ZKPNA/ref=sr_1_10?keywords=Pedigree+Wet+Dog+Food+Variety+Pack%2C+30+pk.%2F3.5+oz.&amp;qid=1695170285&amp;sr=8-10")</f>
        <v/>
      </c>
      <c r="F1014" t="inlineStr">
        <is>
          <t>B01G5ZKPNA</t>
        </is>
      </c>
      <c r="G1014">
        <f>_xlfn.IMAGE("https://www.shelhealth.com/cdn/shop/products/pedigree-wet-dog-food-variety-pack-30-pk-3-5-oz-shelhealth-733.jpg?v=1663355669&amp;width=1946")</f>
        <v/>
      </c>
      <c r="H1014">
        <f>_xlfn.IMAGE("https://m.media-amazon.com/images/I/71+xiqcLU8L._AC_UL320_.jpg")</f>
        <v/>
      </c>
      <c r="K1014" t="inlineStr">
        <is>
          <t>30.99</t>
        </is>
      </c>
      <c r="L1014" t="n">
        <v>72.98999999999999</v>
      </c>
      <c r="M1014" s="1" t="inlineStr">
        <is>
          <t>135.53%</t>
        </is>
      </c>
      <c r="N1014" s="3" t="n">
        <v>135.53</v>
      </c>
      <c r="O1014" t="n">
        <v>4.1</v>
      </c>
      <c r="P1014" t="n">
        <v>73</v>
      </c>
      <c r="R1014" t="inlineStr">
        <is>
          <t>InStock</t>
        </is>
      </c>
      <c r="S1014" t="inlineStr">
        <is>
          <t>30.99</t>
        </is>
      </c>
      <c r="T1014" t="inlineStr">
        <is>
          <t>4171294769204</t>
        </is>
      </c>
    </row>
    <row r="1015" ht="75" customHeight="1">
      <c r="A1015" s="2">
        <f>HYPERLINK("https://www.shelhealth.com/products/nylabone-nubz-natural-dog-chew-treats-22-count", "https://www.shelhealth.com/products/nylabone-nubz-natural-dog-chew-treats-22-count")</f>
        <v/>
      </c>
      <c r="B1015" s="2">
        <f>HYPERLINK("https://www.shelhealth.com/products/nylabone-nubz-natural-dog-chew-treats-22-count", "https://www.shelhealth.com/products/nylabone-nubz-natural-dog-chew-treats-22-count")</f>
        <v/>
      </c>
      <c r="C1015" t="inlineStr">
        <is>
          <t>Nylabone Nubz Natural Dog Chew Treats, 22 Count</t>
        </is>
      </c>
      <c r="D1015" t="inlineStr">
        <is>
          <t>Nylabone Natural Nubz Edible Dog Chews Value Pack of 66ct. / 7.8 lbs. Total (3 x 2.6 lb / 22 ct Bags)</t>
        </is>
      </c>
      <c r="E1015" s="2">
        <f>HYPERLINK("https://www.amazon.com/Nylabone-Natural-Edible-Chews-Value/dp/B07M85ZRLT/ref=sr_1_7?keywords=Nylabone+Nubz+Natural+Dog+Chew+Treats%2C+22+Count&amp;qid=1695170279&amp;sr=8-7", "https://www.amazon.com/Nylabone-Natural-Edible-Chews-Value/dp/B07M85ZRLT/ref=sr_1_7?keywords=Nylabone+Nubz+Natural+Dog+Chew+Treats%2C+22+Count&amp;qid=1695170279&amp;sr=8-7")</f>
        <v/>
      </c>
      <c r="F1015" t="inlineStr">
        <is>
          <t>B07M85ZRLT</t>
        </is>
      </c>
      <c r="G1015">
        <f>_xlfn.IMAGE("https://www.shelhealth.com/cdn/shop/products/nylabone-nubz-natural-dog-chew-treats-22-count-shelhealth-629.jpg?v=1663340890&amp;width=1946")</f>
        <v/>
      </c>
      <c r="H1015">
        <f>_xlfn.IMAGE("https://m.media-amazon.com/images/I/71j2mdWetaL._AC_UL320_.jpg")</f>
        <v/>
      </c>
      <c r="K1015" t="inlineStr">
        <is>
          <t>21.99</t>
        </is>
      </c>
      <c r="L1015" t="n">
        <v>51.24</v>
      </c>
      <c r="M1015" s="1" t="inlineStr">
        <is>
          <t>133.02%</t>
        </is>
      </c>
      <c r="N1015" s="3" t="n">
        <v>133.02</v>
      </c>
      <c r="O1015" t="n">
        <v>4.7</v>
      </c>
      <c r="P1015" t="n">
        <v>1555</v>
      </c>
      <c r="R1015" t="inlineStr">
        <is>
          <t>InStock</t>
        </is>
      </c>
      <c r="S1015" t="inlineStr">
        <is>
          <t>21.99</t>
        </is>
      </c>
      <c r="T1015" t="inlineStr">
        <is>
          <t>3806337138740</t>
        </is>
      </c>
    </row>
    <row r="1016" ht="75" customHeight="1">
      <c r="A1016" s="2">
        <f>HYPERLINK("https://www.shelhealth.com/products/854803005935-tender-and-true-organic-turkey-and-liver-canned-dog-food-12-5-oz", "https://www.shelhealth.com/products/854803005935-tender-and-true-organic-turkey-and-liver-canned-dog-food-12-5-oz")</f>
        <v/>
      </c>
      <c r="B1016" s="2">
        <f>HYPERLINK("https://www.shelhealth.com/products/854803005935-tender-and-true-organic-turkey-and-liver-canned-dog-food-12-5-oz", "https://www.shelhealth.com/products/854803005935-tender-and-true-organic-turkey-and-liver-canned-dog-food-12-5-oz")</f>
        <v/>
      </c>
      <c r="C1016" t="inlineStr">
        <is>
          <t>TENDER AND TRUE Organic Turkey and Liver Canned Dog Food, 12.5 oz (Case of 4)</t>
        </is>
      </c>
      <c r="D1016" t="inlineStr">
        <is>
          <t>Tender &amp; True Organic Turkey &amp; Liver Recipe Canned Dog Food, 12.5 oz, Case of 12</t>
        </is>
      </c>
      <c r="E1016" s="2">
        <f>HYPERLINK("https://www.amazon.com/Tender-True-Organic-Turkey-Liver/dp/B07CH8VBW9/ref=sr_1_1?keywords=TENDER+AND+TRUE+Organic+Turkey+and+Liver+Canned+Dog+Food%2C+12.5+oz+%28Case+of+4%29&amp;qid=1695170346&amp;sr=8-1", "https://www.amazon.com/Tender-True-Organic-Turkey-Liver/dp/B07CH8VBW9/ref=sr_1_1?keywords=TENDER+AND+TRUE+Organic+Turkey+and+Liver+Canned+Dog+Food%2C+12.5+oz+%28Case+of+4%29&amp;qid=1695170346&amp;sr=8-1")</f>
        <v/>
      </c>
      <c r="F1016" t="inlineStr">
        <is>
          <t>B07CH8VBW9</t>
        </is>
      </c>
      <c r="G1016">
        <f>_xlfn.IMAGE("https://www.shelhealth.com/cdn/shop/products/tender-and-true-organic-turkey-liver-canned-dog-food-12-5-oz-case-of-4-shelhealth-565.jpg?v=1677132279&amp;width=1946")</f>
        <v/>
      </c>
      <c r="H1016">
        <f>_xlfn.IMAGE("https://m.media-amazon.com/images/I/71KvpgLqtRL._AC_UL320_.jpg")</f>
        <v/>
      </c>
      <c r="K1016" t="inlineStr">
        <is>
          <t>22.99</t>
        </is>
      </c>
      <c r="L1016" t="n">
        <v>52.68</v>
      </c>
      <c r="M1016" s="1" t="inlineStr">
        <is>
          <t>129.14%</t>
        </is>
      </c>
      <c r="N1016" s="3" t="n">
        <v>129.14</v>
      </c>
      <c r="O1016" t="n">
        <v>4</v>
      </c>
      <c r="P1016" t="n">
        <v>28</v>
      </c>
      <c r="R1016" t="inlineStr">
        <is>
          <t>InStock</t>
        </is>
      </c>
      <c r="S1016" t="inlineStr">
        <is>
          <t>22.99</t>
        </is>
      </c>
      <c r="T1016" t="inlineStr">
        <is>
          <t>7574331490536</t>
        </is>
      </c>
    </row>
    <row r="1017" ht="75" customHeight="1">
      <c r="A1017" s="2">
        <f>HYPERLINK("https://www.shelhealth.com/products/jerky-treats-tender-beef-strips-dog-snacks-3-75-lbs", "https://www.shelhealth.com/products/jerky-treats-tender-beef-strips-dog-snacks-3-75-lbs")</f>
        <v/>
      </c>
      <c r="B1017" s="2">
        <f>HYPERLINK("https://www.shelhealth.com/products/jerky-treats-tender-beef-strips-dog-snacks-3-75-lbs", "https://www.shelhealth.com/products/jerky-treats-tender-beef-strips-dog-snacks-3-75-lbs")</f>
        <v/>
      </c>
      <c r="C1017" t="inlineStr">
        <is>
          <t>Jerky Treats Tender Beef Strips Dog Snacks, 3.75 lbs</t>
        </is>
      </c>
      <c r="D1017" t="inlineStr">
        <is>
          <t>Jerky Treats Tender Strips Dog Snacks Beef 60 oz. 3.75 lbs Jerky-lg</t>
        </is>
      </c>
      <c r="E1017" s="2">
        <f>HYPERLINK("https://www.amazon.com/Treats-Tender-Strips-Snacks-Jerky-lg/dp/B00WCMPLX0/ref=sr_1_4?keywords=Jerky+Treats+Tender+Beef+Strips+Dog+Snacks%2C+3.75+lbs&amp;qid=1695170288&amp;sr=8-4", "https://www.amazon.com/Treats-Tender-Strips-Snacks-Jerky-lg/dp/B00WCMPLX0/ref=sr_1_4?keywords=Jerky+Treats+Tender+Beef+Strips+Dog+Snacks%2C+3.75+lbs&amp;qid=1695170288&amp;sr=8-4")</f>
        <v/>
      </c>
      <c r="F1017" t="inlineStr">
        <is>
          <t>B00WCMPLX0</t>
        </is>
      </c>
      <c r="G1017">
        <f>_xlfn.IMAGE("https://www.shelhealth.com/cdn/shop/products/jerky-treats-tender-beef-strips-dog-snacks-3-75-lbs-shelhealth-185.jpg?v=1663358022&amp;width=1946")</f>
        <v/>
      </c>
      <c r="H1017">
        <f>_xlfn.IMAGE("https://m.media-amazon.com/images/I/614F2uALJ2L._AC_UL320_.jpg")</f>
        <v/>
      </c>
      <c r="K1017" t="inlineStr">
        <is>
          <t>19.99</t>
        </is>
      </c>
      <c r="L1017" t="n">
        <v>43.99</v>
      </c>
      <c r="M1017" s="1" t="inlineStr">
        <is>
          <t>120.06%</t>
        </is>
      </c>
      <c r="N1017" s="3" t="n">
        <v>120.06</v>
      </c>
      <c r="O1017" t="n">
        <v>5</v>
      </c>
      <c r="P1017" t="n">
        <v>1</v>
      </c>
      <c r="R1017" t="inlineStr">
        <is>
          <t>InStock</t>
        </is>
      </c>
      <c r="S1017" t="inlineStr">
        <is>
          <t>19.99</t>
        </is>
      </c>
      <c r="T1017" t="inlineStr">
        <is>
          <t>4318347722841</t>
        </is>
      </c>
    </row>
    <row r="1018" ht="75" customHeight="1">
      <c r="A1018" s="2">
        <f>HYPERLINK("https://www.shelhealth.com/products/854803005058-tender-and-true-organic-chicken-and-liver-canned-dog-food-12-5-oz", "https://www.shelhealth.com/products/854803005058-tender-and-true-organic-chicken-and-liver-canned-dog-food-12-5-oz")</f>
        <v/>
      </c>
      <c r="B1018" s="2">
        <f>HYPERLINK("https://www.shelhealth.com/products/854803005058-tender-and-true-organic-chicken-and-liver-canned-dog-food-12-5-oz", "https://www.shelhealth.com/products/854803005058-tender-and-true-organic-chicken-and-liver-canned-dog-food-12-5-oz")</f>
        <v/>
      </c>
      <c r="C1018" t="inlineStr">
        <is>
          <t>TENDER AND TRUE Organic Chicken and Liver Canned Dog Food, 12.5 oz (Case of 4)</t>
        </is>
      </c>
      <c r="D1018" t="inlineStr">
        <is>
          <t>Tender And True Pet Food, Dog Food Chicken Liver Organic, 12.5 Ounce (Pack of 12)</t>
        </is>
      </c>
      <c r="E1018" s="2">
        <f>HYPERLINK("https://www.amazon.com/TENDER-TRUE-PET-FOOD-Organic/dp/B07CGZ8F5D/ref=sr_1_2?keywords=TENDER+AND+TRUE+Organic+Chicken+and+Liver+Canned+Dog+Food%2C+12.5+oz+%28Case+of+4%29&amp;qid=1695170351&amp;sr=8-2", "https://www.amazon.com/TENDER-TRUE-PET-FOOD-Organic/dp/B07CGZ8F5D/ref=sr_1_2?keywords=TENDER+AND+TRUE+Organic+Chicken+and+Liver+Canned+Dog+Food%2C+12.5+oz+%28Case+of+4%29&amp;qid=1695170351&amp;sr=8-2")</f>
        <v/>
      </c>
      <c r="F1018" t="inlineStr">
        <is>
          <t>B07CGZ8F5D</t>
        </is>
      </c>
      <c r="G1018">
        <f>_xlfn.IMAGE("https://www.shelhealth.com/cdn/shop/products/tender-and-true-organic-chicken-liver-canned-dog-food-12-5-oz-case-of-4-shelhealth-149.jpg?v=1677132270&amp;width=1946")</f>
        <v/>
      </c>
      <c r="H1018">
        <f>_xlfn.IMAGE("https://m.media-amazon.com/images/I/71aFD+kICvL._AC_UL320_.jpg")</f>
        <v/>
      </c>
      <c r="K1018" t="inlineStr">
        <is>
          <t>22.99</t>
        </is>
      </c>
      <c r="L1018" t="n">
        <v>49.95</v>
      </c>
      <c r="M1018" s="1" t="inlineStr">
        <is>
          <t>117.27%</t>
        </is>
      </c>
      <c r="N1018" s="3" t="n">
        <v>117.27</v>
      </c>
      <c r="O1018" t="n">
        <v>4.2</v>
      </c>
      <c r="P1018" t="n">
        <v>132</v>
      </c>
      <c r="R1018" t="inlineStr">
        <is>
          <t>InStock</t>
        </is>
      </c>
      <c r="S1018" t="inlineStr">
        <is>
          <t>22.99</t>
        </is>
      </c>
      <c r="T1018" t="inlineStr">
        <is>
          <t>7574331326696</t>
        </is>
      </c>
    </row>
    <row r="1019" ht="75" customHeight="1">
      <c r="A1019" s="2">
        <f>HYPERLINK("https://www.shelhealth.com/products/checkups-dental-dog-treats-for-dogs-20-pounds-24ct-3-lbs", "https://www.shelhealth.com/products/checkups-dental-dog-treats-for-dogs-20-pounds-24ct-3-lbs")</f>
        <v/>
      </c>
      <c r="B1019" s="2">
        <f>HYPERLINK("https://www.shelhealth.com/products/checkups-dental-dog-treats-for-dogs-20-pounds-24ct-3-lbs", "https://www.shelhealth.com/products/checkups-dental-dog-treats-for-dogs-20-pounds-24ct-3-lbs")</f>
        <v/>
      </c>
      <c r="C1019" t="inlineStr">
        <is>
          <t>Checkups Dental Dog Treats for Dogs 20+ pounds, 24ct (3 lbs.)</t>
        </is>
      </c>
      <c r="D1019" t="inlineStr">
        <is>
          <t>Checkups- Dental Dog Treats, 24ct 48 oz. for dogs 20+ pounds 2 Pack akj</t>
        </is>
      </c>
      <c r="E1019" s="2">
        <f>HYPERLINK("https://www.amazon.com/Checkups-Dental-Treats-24ct-pounds/dp/B0785SFRPT/ref=sr_1_6?keywords=Checkups+Dental+Dog+Treats+for+Dogs+20+pounds%2C+24ct+%283+lbs.%29&amp;qid=1695170292&amp;sr=8-6", "https://www.amazon.com/Checkups-Dental-Treats-24ct-pounds/dp/B0785SFRPT/ref=sr_1_6?keywords=Checkups+Dental+Dog+Treats+for+Dogs+20+pounds%2C+24ct+%283+lbs.%29&amp;qid=1695170292&amp;sr=8-6")</f>
        <v/>
      </c>
      <c r="F1019" t="inlineStr">
        <is>
          <t>B0785SFRPT</t>
        </is>
      </c>
      <c r="G1019">
        <f>_xlfn.IMAGE("https://www.shelhealth.com/cdn/shop/products/checkups-dental-dog-treats-for-dogs-20-pounds-24ct-3-lbs-shelhealth-157.jpg?v=1663369457&amp;width=1946")</f>
        <v/>
      </c>
      <c r="H1019">
        <f>_xlfn.IMAGE("https://m.media-amazon.com/images/I/51z5louI-NL._AC_UL320_.jpg")</f>
        <v/>
      </c>
      <c r="K1019" t="inlineStr">
        <is>
          <t>23.99</t>
        </is>
      </c>
      <c r="L1019" t="n">
        <v>49.88</v>
      </c>
      <c r="M1019" s="1" t="inlineStr">
        <is>
          <t>107.92%</t>
        </is>
      </c>
      <c r="N1019" s="3" t="n">
        <v>107.92</v>
      </c>
      <c r="O1019" t="n">
        <v>4.9</v>
      </c>
      <c r="P1019" t="n">
        <v>177</v>
      </c>
      <c r="R1019" t="inlineStr">
        <is>
          <t>InStock</t>
        </is>
      </c>
      <c r="S1019" t="inlineStr">
        <is>
          <t>23.99</t>
        </is>
      </c>
      <c r="T1019" t="inlineStr">
        <is>
          <t>4634750582873</t>
        </is>
      </c>
    </row>
    <row r="1020" ht="75" customHeight="1">
      <c r="A1020" s="2">
        <f>HYPERLINK("https://www.shelhealth.com/products/checkups-dental-dog-treats-for-dogs-20-pounds-24ct-3-lbs", "https://www.shelhealth.com/products/checkups-dental-dog-treats-for-dogs-20-pounds-24ct-3-lbs")</f>
        <v/>
      </c>
      <c r="B1020" s="2">
        <f>HYPERLINK("https://www.shelhealth.com/products/checkups-dental-dog-treats-for-dogs-20-pounds-24ct-3-lbs", "https://www.shelhealth.com/products/checkups-dental-dog-treats-for-dogs-20-pounds-24ct-3-lbs")</f>
        <v/>
      </c>
      <c r="C1020" t="inlineStr">
        <is>
          <t>Checkups Dental Dog Treats for Dogs 20+ pounds, 24ct (3 lbs.)</t>
        </is>
      </c>
      <c r="D1020" t="inlineStr">
        <is>
          <t>Checkups- Dental Dog Treats, 24ct 48 oz. for dogs 20+ pounds (2 Bags, 48 Count Total)</t>
        </is>
      </c>
      <c r="E1020" s="2">
        <f>HYPERLINK("https://www.amazon.com/Checkups-Dental-Treats-pounds-Count/dp/B01DWUBW7O/ref=sr_1_5?keywords=Checkups+Dental+Dog+Treats+for+Dogs+20+pounds%2C+24ct+%283+lbs.%29&amp;qid=1695170292&amp;sr=8-5", "https://www.amazon.com/Checkups-Dental-Treats-pounds-Count/dp/B01DWUBW7O/ref=sr_1_5?keywords=Checkups+Dental+Dog+Treats+for+Dogs+20+pounds%2C+24ct+%283+lbs.%29&amp;qid=1695170292&amp;sr=8-5")</f>
        <v/>
      </c>
      <c r="F1020" t="inlineStr">
        <is>
          <t>B01DWUBW7O</t>
        </is>
      </c>
      <c r="G1020">
        <f>_xlfn.IMAGE("https://www.shelhealth.com/cdn/shop/products/checkups-dental-dog-treats-for-dogs-20-pounds-24ct-3-lbs-shelhealth-157.jpg?v=1663369457&amp;width=1946")</f>
        <v/>
      </c>
      <c r="H1020">
        <f>_xlfn.IMAGE("https://m.media-amazon.com/images/I/71iYOjRuqqL._AC_UL320_.jpg")</f>
        <v/>
      </c>
      <c r="K1020" t="inlineStr">
        <is>
          <t>23.99</t>
        </is>
      </c>
      <c r="L1020" t="n">
        <v>48.79</v>
      </c>
      <c r="M1020" s="1" t="inlineStr">
        <is>
          <t>103.38%</t>
        </is>
      </c>
      <c r="N1020" s="3" t="n">
        <v>103.38</v>
      </c>
      <c r="O1020" t="n">
        <v>4.8</v>
      </c>
      <c r="P1020" t="n">
        <v>1050</v>
      </c>
      <c r="R1020" t="inlineStr">
        <is>
          <t>InStock</t>
        </is>
      </c>
      <c r="S1020" t="inlineStr">
        <is>
          <t>23.99</t>
        </is>
      </c>
      <c r="T1020" t="inlineStr">
        <is>
          <t>4634750582873</t>
        </is>
      </c>
    </row>
    <row r="1021" ht="75" customHeight="1">
      <c r="A1021" s="2">
        <f>HYPERLINK("https://www.shelhealth.com/products/top-chews-pork-chicken-sausage-dog-treats-100-natural-36-oz", "https://www.shelhealth.com/products/top-chews-pork-chicken-sausage-dog-treats-100-natural-36-oz")</f>
        <v/>
      </c>
      <c r="B1021" s="2">
        <f>HYPERLINK("https://www.shelhealth.com/products/top-chews-pork-chicken-sausage-dog-treats-100-natural-36-oz", "https://www.shelhealth.com/products/top-chews-pork-chicken-sausage-dog-treats-100-natural-36-oz")</f>
        <v/>
      </c>
      <c r="C1021" t="inlineStr">
        <is>
          <t>Top Chews Pork &amp; Chicken Sausage Dog Treats 100% Natural, 36 oz.</t>
        </is>
      </c>
      <c r="D1021" t="inlineStr">
        <is>
          <t>Top Chews Pork &amp; Chicken Sausage Dog Treats 100% Natural 36 Ounce (2 Packs)</t>
        </is>
      </c>
      <c r="E1021" s="2">
        <f>HYPERLINK("https://www.amazon.com/Chews-Chicken-Sausage-Treats-Natural/dp/B07S58CN8T/ref=sr_1_3?keywords=Top+Chews+Pork&amp;qid=1695170296&amp;sr=8-3", "https://www.amazon.com/Chews-Chicken-Sausage-Treats-Natural/dp/B07S58CN8T/ref=sr_1_3?keywords=Top+Chews+Pork&amp;qid=1695170296&amp;sr=8-3")</f>
        <v/>
      </c>
      <c r="F1021" t="inlineStr">
        <is>
          <t>B07S58CN8T</t>
        </is>
      </c>
      <c r="G1021">
        <f>_xlfn.IMAGE("https://www.shelhealth.com/cdn/shop/products/top-chews-pork-chicken-sausage-dog-treats-100-natural-36-oz-shelhealth-640.jpg?v=1663658174&amp;width=1946")</f>
        <v/>
      </c>
      <c r="H1021">
        <f>_xlfn.IMAGE("https://m.media-amazon.com/images/I/71nECrxcU7L._AC_UL320_.jpg")</f>
        <v/>
      </c>
      <c r="K1021" t="inlineStr">
        <is>
          <t>22.99</t>
        </is>
      </c>
      <c r="L1021" t="n">
        <v>46.38</v>
      </c>
      <c r="M1021" s="1" t="inlineStr">
        <is>
          <t>101.74%</t>
        </is>
      </c>
      <c r="N1021" s="3" t="n">
        <v>101.74</v>
      </c>
      <c r="O1021" t="n">
        <v>4.7</v>
      </c>
      <c r="P1021" t="n">
        <v>301</v>
      </c>
      <c r="R1021" t="inlineStr">
        <is>
          <t>OutOfStock</t>
        </is>
      </c>
      <c r="S1021" t="inlineStr">
        <is>
          <t>22.99</t>
        </is>
      </c>
      <c r="T1021" t="inlineStr">
        <is>
          <t>6174537810108</t>
        </is>
      </c>
    </row>
    <row r="1022" ht="75" customHeight="1">
      <c r="A1022" s="2">
        <f>HYPERLINK("https://www.shelhealth.com/products/jerky-treats-tender-beef-strips-dog-snacks-3-75-lbs", "https://www.shelhealth.com/products/jerky-treats-tender-beef-strips-dog-snacks-3-75-lbs")</f>
        <v/>
      </c>
      <c r="B1022" s="2">
        <f>HYPERLINK("https://www.shelhealth.com/products/jerky-treats-tender-beef-strips-dog-snacks-3-75-lbs", "https://www.shelhealth.com/products/jerky-treats-tender-beef-strips-dog-snacks-3-75-lbs")</f>
        <v/>
      </c>
      <c r="C1022" t="inlineStr">
        <is>
          <t>Jerky Treats Tender Beef Strips Dog Snacks, 3.75 lbs</t>
        </is>
      </c>
      <c r="D1022" t="inlineStr">
        <is>
          <t>Jerky Treats Tender Beef Strips Dog Snacks, 60 oz, Large (2 Pack)</t>
        </is>
      </c>
      <c r="E1022" s="2">
        <f>HYPERLINK("https://www.amazon.com/Jerky-Treats-Tender-Strips-Snacks/dp/B0783MFP7J/ref=sr_1_7?keywords=Jerky+Treats+Tender+Beef+Strips+Dog+Snacks%2C+3.75+lbs&amp;qid=1695170288&amp;sr=8-7", "https://www.amazon.com/Jerky-Treats-Tender-Strips-Snacks/dp/B0783MFP7J/ref=sr_1_7?keywords=Jerky+Treats+Tender+Beef+Strips+Dog+Snacks%2C+3.75+lbs&amp;qid=1695170288&amp;sr=8-7")</f>
        <v/>
      </c>
      <c r="F1022" t="inlineStr">
        <is>
          <t>B0783MFP7J</t>
        </is>
      </c>
      <c r="G1022">
        <f>_xlfn.IMAGE("https://www.shelhealth.com/cdn/shop/products/jerky-treats-tender-beef-strips-dog-snacks-3-75-lbs-shelhealth-185.jpg?v=1663358022&amp;width=1946")</f>
        <v/>
      </c>
      <c r="H1022">
        <f>_xlfn.IMAGE("https://m.media-amazon.com/images/I/41BYFszMy4L._AC_UL320_.jpg")</f>
        <v/>
      </c>
      <c r="K1022" t="inlineStr">
        <is>
          <t>19.99</t>
        </is>
      </c>
      <c r="L1022" t="n">
        <v>36.99</v>
      </c>
      <c r="M1022" s="1" t="inlineStr">
        <is>
          <t>85.04%</t>
        </is>
      </c>
      <c r="N1022" s="3" t="n">
        <v>85.04000000000001</v>
      </c>
      <c r="O1022" t="n">
        <v>4.4</v>
      </c>
      <c r="P1022" t="n">
        <v>318</v>
      </c>
      <c r="R1022" t="inlineStr">
        <is>
          <t>InStock</t>
        </is>
      </c>
      <c r="S1022" t="inlineStr">
        <is>
          <t>19.99</t>
        </is>
      </c>
      <c r="T1022" t="inlineStr">
        <is>
          <t>4318347722841</t>
        </is>
      </c>
    </row>
    <row r="1023" ht="75" customHeight="1">
      <c r="A1023" s="2">
        <f>HYPERLINK("https://www.shelhealth.com/products/jerky-treats-tender-beef-strips-dog-snacks-3-75-lbs", "https://www.shelhealth.com/products/jerky-treats-tender-beef-strips-dog-snacks-3-75-lbs")</f>
        <v/>
      </c>
      <c r="B1023" s="2">
        <f>HYPERLINK("https://www.shelhealth.com/products/jerky-treats-tender-beef-strips-dog-snacks-3-75-lbs", "https://www.shelhealth.com/products/jerky-treats-tender-beef-strips-dog-snacks-3-75-lbs")</f>
        <v/>
      </c>
      <c r="C1023" t="inlineStr">
        <is>
          <t>Jerky Treats Tender Beef Strips Dog Snacks, 3.75 lbs</t>
        </is>
      </c>
      <c r="D1023" t="inlineStr">
        <is>
          <t>Jerky Treats Tender Beef Strips Dog Snacks, 60 oz, 2 Pack</t>
        </is>
      </c>
      <c r="E1023" s="2">
        <f>HYPERLINK("https://www.amazon.com/Jerky-Treats-Tender-Strips-Snacks/dp/B084C98KWN/ref=sr_1_9?keywords=Jerky+Treats+Tender+Beef+Strips+Dog+Snacks%2C+3.75+lbs&amp;qid=1695170288&amp;sr=8-9", "https://www.amazon.com/Jerky-Treats-Tender-Strips-Snacks/dp/B084C98KWN/ref=sr_1_9?keywords=Jerky+Treats+Tender+Beef+Strips+Dog+Snacks%2C+3.75+lbs&amp;qid=1695170288&amp;sr=8-9")</f>
        <v/>
      </c>
      <c r="F1023" t="inlineStr">
        <is>
          <t>B084C98KWN</t>
        </is>
      </c>
      <c r="G1023">
        <f>_xlfn.IMAGE("https://www.shelhealth.com/cdn/shop/products/jerky-treats-tender-beef-strips-dog-snacks-3-75-lbs-shelhealth-185.jpg?v=1663358022&amp;width=1946")</f>
        <v/>
      </c>
      <c r="H1023">
        <f>_xlfn.IMAGE("https://m.media-amazon.com/images/I/41qxzH4wp4L._AC_UL320_.jpg")</f>
        <v/>
      </c>
      <c r="K1023" t="inlineStr">
        <is>
          <t>19.99</t>
        </is>
      </c>
      <c r="L1023" t="n">
        <v>36.88</v>
      </c>
      <c r="M1023" s="1" t="inlineStr">
        <is>
          <t>84.49%</t>
        </is>
      </c>
      <c r="N1023" s="3" t="n">
        <v>84.48999999999999</v>
      </c>
      <c r="O1023" t="n">
        <v>4.4</v>
      </c>
      <c r="P1023" t="n">
        <v>11</v>
      </c>
      <c r="R1023" t="inlineStr">
        <is>
          <t>InStock</t>
        </is>
      </c>
      <c r="S1023" t="inlineStr">
        <is>
          <t>19.99</t>
        </is>
      </c>
      <c r="T1023" t="inlineStr">
        <is>
          <t>4318347722841</t>
        </is>
      </c>
    </row>
    <row r="1024" ht="75" customHeight="1">
      <c r="A1024" s="2">
        <f>HYPERLINK("https://www.shelhealth.com/products/cadet-gourmet-bull-sticks-12-pack", "https://www.shelhealth.com/products/cadet-gourmet-bull-sticks-12-pack")</f>
        <v/>
      </c>
      <c r="B1024" s="2">
        <f>HYPERLINK("https://www.shelhealth.com/products/cadet-gourmet-bull-sticks-12-pack", "https://www.shelhealth.com/products/cadet-gourmet-bull-sticks-12-pack")</f>
        <v/>
      </c>
      <c r="C1024" t="inlineStr">
        <is>
          <t>Cadet Gourmet Bull Sticks 12 Pack</t>
        </is>
      </c>
      <c r="D1024" t="inlineStr">
        <is>
          <t>Cadet Gourmet Bully Sticks 12 Pack (Pack of 2)</t>
        </is>
      </c>
      <c r="E1024" s="2">
        <f>HYPERLINK("https://www.amazon.com/Cadet-Gourmet-Bully-Sticks-Pack/dp/B00PGOYRO0/ref=sr_1_5?keywords=cadet+gourmet+bully+sticks+12+pack&amp;qid=1695170291&amp;sr=8-5", "https://www.amazon.com/Cadet-Gourmet-Bully-Sticks-Pack/dp/B00PGOYRO0/ref=sr_1_5?keywords=cadet+gourmet+bully+sticks+12+pack&amp;qid=1695170291&amp;sr=8-5")</f>
        <v/>
      </c>
      <c r="F1024" t="inlineStr">
        <is>
          <t>B00PGOYRO0</t>
        </is>
      </c>
      <c r="G1024">
        <f>_xlfn.IMAGE("https://www.shelhealth.com/cdn/shop/products/cadet-gourmet-bull-sticks-12-pack-shelhealth-774.jpg?v=1663359922&amp;width=1946")</f>
        <v/>
      </c>
      <c r="H1024">
        <f>_xlfn.IMAGE("https://m.media-amazon.com/images/I/51Oh+xmBRrL._AC_UL320_.jpg")</f>
        <v/>
      </c>
      <c r="K1024" t="inlineStr">
        <is>
          <t>51.99</t>
        </is>
      </c>
      <c r="L1024" t="n">
        <v>89.98999999999999</v>
      </c>
      <c r="M1024" s="1" t="inlineStr">
        <is>
          <t>73.09%</t>
        </is>
      </c>
      <c r="N1024" s="3" t="n">
        <v>73.09</v>
      </c>
      <c r="O1024" t="n">
        <v>4.4</v>
      </c>
      <c r="P1024" t="n">
        <v>67</v>
      </c>
      <c r="R1024" t="inlineStr">
        <is>
          <t>OutOfStock</t>
        </is>
      </c>
      <c r="S1024" t="inlineStr">
        <is>
          <t>51.99</t>
        </is>
      </c>
      <c r="T1024" t="inlineStr">
        <is>
          <t>4389671796825</t>
        </is>
      </c>
    </row>
    <row r="1025" ht="75" customHeight="1">
      <c r="A1025" s="2">
        <f>HYPERLINK("https://www.shelhealth.com/products/milk-bone-marosnacks-small-dog-snacks-50-oz", "https://www.shelhealth.com/products/milk-bone-marosnacks-small-dog-snacks-50-oz")</f>
        <v/>
      </c>
      <c r="B1025" s="2">
        <f>HYPERLINK("https://www.shelhealth.com/products/milk-bone-marosnacks-small-dog-snacks-50-oz", "https://www.shelhealth.com/products/milk-bone-marosnacks-small-dog-snacks-50-oz")</f>
        <v/>
      </c>
      <c r="C1025" t="inlineStr">
        <is>
          <t>Milk-Bone MaroSnacks Small Dog Snacks, 50 oz.</t>
        </is>
      </c>
      <c r="D1025" t="inlineStr">
        <is>
          <t>Europe Standard Milk-Bone MaroSnacks Dog Snacks (50 oz.)</t>
        </is>
      </c>
      <c r="E1025" s="2">
        <f>HYPERLINK("https://www.amazon.com/Europe-Standard-Milk-Bone-MaroSnacks-Snacks/dp/B01G5VNMNO/ref=sr_1_2?keywords=Milk-Bone+MaroSnacks+Small+Dog+Snacks%2C+50+oz.&amp;qid=1695170313&amp;sr=8-2", "https://www.amazon.com/Europe-Standard-Milk-Bone-MaroSnacks-Snacks/dp/B01G5VNMNO/ref=sr_1_2?keywords=Milk-Bone+MaroSnacks+Small+Dog+Snacks%2C+50+oz.&amp;qid=1695170313&amp;sr=8-2")</f>
        <v/>
      </c>
      <c r="F1025" t="inlineStr">
        <is>
          <t>B01G5VNMNO</t>
        </is>
      </c>
      <c r="G1025">
        <f>_xlfn.IMAGE("https://www.shelhealth.com/cdn/shop/files/milk-bone-marosnacks-small-dog-snacks-50-oz-grocery-household-petpet-shelhealth-106.jpg?v=1686283212&amp;width=1946")</f>
        <v/>
      </c>
      <c r="H1025">
        <f>_xlfn.IMAGE("https://m.media-amazon.com/images/I/71J7AIGFAEL._AC_UL320_.jpg")</f>
        <v/>
      </c>
      <c r="K1025" t="inlineStr">
        <is>
          <t>22.99</t>
        </is>
      </c>
      <c r="L1025" t="n">
        <v>39.79</v>
      </c>
      <c r="M1025" s="1" t="inlineStr">
        <is>
          <t>73.08%</t>
        </is>
      </c>
      <c r="N1025" s="3" t="n">
        <v>73.08</v>
      </c>
      <c r="O1025" t="n">
        <v>4.8</v>
      </c>
      <c r="P1025" t="n">
        <v>82</v>
      </c>
      <c r="R1025" t="inlineStr">
        <is>
          <t>OutOfStock</t>
        </is>
      </c>
      <c r="S1025" t="inlineStr">
        <is>
          <t>22.99</t>
        </is>
      </c>
      <c r="T1025" t="inlineStr">
        <is>
          <t>4167630389300</t>
        </is>
      </c>
    </row>
    <row r="1026" ht="75" customHeight="1">
      <c r="A1026" s="2">
        <f>HYPERLINK("https://www.shelhealth.com/products/blue-buffalo-health-bars-natural-crunchy-dog-treats-biscuits-bacon-egg-cheese-5-lbs", "https://www.shelhealth.com/products/blue-buffalo-health-bars-natural-crunchy-dog-treats-biscuits-bacon-egg-cheese-5-lbs")</f>
        <v/>
      </c>
      <c r="B1026" s="2">
        <f>HYPERLINK("https://www.shelhealth.com/products/blue-buffalo-health-bars-natural-crunchy-dog-treats-biscuits-bacon-egg-cheese-5-lbs", "https://www.shelhealth.com/products/blue-buffalo-health-bars-natural-crunchy-dog-treats-biscuits-bacon-egg-cheese-5-lbs")</f>
        <v/>
      </c>
      <c r="C1026" t="inlineStr">
        <is>
          <t>Blue Buffalo Health Bars Natural Crunchy Dog Treats Biscuits, Bacon, Egg &amp; Cheese, 5 lbs.</t>
        </is>
      </c>
      <c r="D1026" t="inlineStr">
        <is>
          <t>Blue Buffalo Health Bars Crunchy Dog Treat Biscuits, Bacon, Egg &amp; Cheese (5 lbs.) Pack of 2.</t>
        </is>
      </c>
      <c r="E1026" s="2">
        <f>HYPERLINK("https://www.amazon.com/Evaxo-Health-Crunchy-Biscuits-Cheese/dp/B0848FJ3XR/ref=sr_1_3?keywords=Blue+Buffalo+Health+Bars+Natural+Crunchy+Dog+Treats+Biscuits%2C+Bacon%2C+Egg&amp;qid=1695170278&amp;sr=8-3", "https://www.amazon.com/Evaxo-Health-Crunchy-Biscuits-Cheese/dp/B0848FJ3XR/ref=sr_1_3?keywords=Blue+Buffalo+Health+Bars+Natural+Crunchy+Dog+Treats+Biscuits%2C+Bacon%2C+Egg&amp;qid=1695170278&amp;sr=8-3")</f>
        <v/>
      </c>
      <c r="F1026" t="inlineStr">
        <is>
          <t>B0848FJ3XR</t>
        </is>
      </c>
      <c r="G1026">
        <f>_xlfn.IMAGE("https://www.shelhealth.com/cdn/shop/files/blue-buffalo-health-bars-natural-crunchy-dog-treats-biscuits-bacon-egg-cheese-5-lbs-grocery-household-petpet-shelhealth-665.jpg?v=1686283643&amp;width=1946")</f>
        <v/>
      </c>
      <c r="H1026">
        <f>_xlfn.IMAGE("https://m.media-amazon.com/images/I/81TH5Lx9IrL._AC_UL320_.jpg")</f>
        <v/>
      </c>
      <c r="K1026" t="inlineStr">
        <is>
          <t>36.99</t>
        </is>
      </c>
      <c r="L1026" t="n">
        <v>62.45</v>
      </c>
      <c r="M1026" s="1" t="inlineStr">
        <is>
          <t>68.83%</t>
        </is>
      </c>
      <c r="N1026" s="3" t="n">
        <v>68.83</v>
      </c>
      <c r="O1026" t="n">
        <v>5</v>
      </c>
      <c r="P1026" t="n">
        <v>2</v>
      </c>
      <c r="R1026" t="inlineStr">
        <is>
          <t>InStock</t>
        </is>
      </c>
      <c r="S1026" t="inlineStr">
        <is>
          <t>36.99</t>
        </is>
      </c>
      <c r="T1026" t="inlineStr">
        <is>
          <t>4167580549172</t>
        </is>
      </c>
    </row>
    <row r="1027" ht="75" customHeight="1">
      <c r="A1027" s="2">
        <f>HYPERLINK("https://www.shelhealth.com/products/nylabone-nubz-natural-dog-chew-treats-22-count", "https://www.shelhealth.com/products/nylabone-nubz-natural-dog-chew-treats-22-count")</f>
        <v/>
      </c>
      <c r="B1027" s="2">
        <f>HYPERLINK("https://www.shelhealth.com/products/nylabone-nubz-natural-dog-chew-treats-22-count", "https://www.shelhealth.com/products/nylabone-nubz-natural-dog-chew-treats-22-count")</f>
        <v/>
      </c>
      <c r="C1027" t="inlineStr">
        <is>
          <t>Nylabone Nubz Natural Dog Chew Treats, 22 Count</t>
        </is>
      </c>
      <c r="D1027" t="inlineStr">
        <is>
          <t>Nylabone (Pack of 2) Natural Nubz Edible Dog Chews 22ct. (2.6lb/Bag) -Total 5.2lb</t>
        </is>
      </c>
      <c r="E1027" s="2">
        <f>HYPERLINK("https://www.amazon.com/Nylabone-Natural-Edible-Chews-Total/dp/B00VU7VLRI/ref=sr_1_6?keywords=Nylabone+Nubz+Natural+Dog+Chew+Treats%2C+22+Count&amp;qid=1695170279&amp;sr=8-6", "https://www.amazon.com/Nylabone-Natural-Edible-Chews-Total/dp/B00VU7VLRI/ref=sr_1_6?keywords=Nylabone+Nubz+Natural+Dog+Chew+Treats%2C+22+Count&amp;qid=1695170279&amp;sr=8-6")</f>
        <v/>
      </c>
      <c r="F1027" t="inlineStr">
        <is>
          <t>B00VU7VLRI</t>
        </is>
      </c>
      <c r="G1027">
        <f>_xlfn.IMAGE("https://www.shelhealth.com/cdn/shop/products/nylabone-nubz-natural-dog-chew-treats-22-count-shelhealth-629.jpg?v=1663340890&amp;width=1946")</f>
        <v/>
      </c>
      <c r="H1027">
        <f>_xlfn.IMAGE("https://m.media-amazon.com/images/I/91mmqwC8omL._AC_UL320_.jpg")</f>
        <v/>
      </c>
      <c r="K1027" t="inlineStr">
        <is>
          <t>21.99</t>
        </is>
      </c>
      <c r="L1027" t="n">
        <v>36.89</v>
      </c>
      <c r="M1027" s="1" t="inlineStr">
        <is>
          <t>67.76%</t>
        </is>
      </c>
      <c r="N1027" s="3" t="n">
        <v>67.76000000000001</v>
      </c>
      <c r="O1027" t="n">
        <v>4.7</v>
      </c>
      <c r="P1027" t="n">
        <v>3991</v>
      </c>
      <c r="R1027" t="inlineStr">
        <is>
          <t>InStock</t>
        </is>
      </c>
      <c r="S1027" t="inlineStr">
        <is>
          <t>21.99</t>
        </is>
      </c>
      <c r="T1027" t="inlineStr">
        <is>
          <t>3806337138740</t>
        </is>
      </c>
    </row>
    <row r="1028" ht="75" customHeight="1">
      <c r="A1028" s="2">
        <f>HYPERLINK("https://www.shelhealth.com/products/nylabone-nubz-natural-dog-chew-treats-22-count", "https://www.shelhealth.com/products/nylabone-nubz-natural-dog-chew-treats-22-count")</f>
        <v/>
      </c>
      <c r="B1028" s="2">
        <f>HYPERLINK("https://www.shelhealth.com/products/nylabone-nubz-natural-dog-chew-treats-22-count", "https://www.shelhealth.com/products/nylabone-nubz-natural-dog-chew-treats-22-count")</f>
        <v/>
      </c>
      <c r="C1028" t="inlineStr">
        <is>
          <t>Nylabone Nubz Natural Dog Chew Treats, 22 Count</t>
        </is>
      </c>
      <c r="D1028" t="inlineStr">
        <is>
          <t>(pack of 2) Nylabone Natural Nubz Edible Dog Chews 22ct. (2.6lb/bag) -Total 5.2lb (Limited Edition)</t>
        </is>
      </c>
      <c r="E1028" s="2">
        <f>HYPERLINK("https://www.amazon.com/Nylabone-Natural-Edible-Total-Limited/dp/B07RGRSWWF/ref=sr_1_8?keywords=Nylabone+Nubz+Natural+Dog+Chew+Treats%2C+22+Count&amp;qid=1695170279&amp;sr=8-8", "https://www.amazon.com/Nylabone-Natural-Edible-Total-Limited/dp/B07RGRSWWF/ref=sr_1_8?keywords=Nylabone+Nubz+Natural+Dog+Chew+Treats%2C+22+Count&amp;qid=1695170279&amp;sr=8-8")</f>
        <v/>
      </c>
      <c r="F1028" t="inlineStr">
        <is>
          <t>B07RGRSWWF</t>
        </is>
      </c>
      <c r="G1028">
        <f>_xlfn.IMAGE("https://www.shelhealth.com/cdn/shop/products/nylabone-nubz-natural-dog-chew-treats-22-count-shelhealth-629.jpg?v=1663340890&amp;width=1946")</f>
        <v/>
      </c>
      <c r="H1028">
        <f>_xlfn.IMAGE("https://m.media-amazon.com/images/I/91O5EoyeppL._AC_UL320_.jpg")</f>
        <v/>
      </c>
      <c r="K1028" t="inlineStr">
        <is>
          <t>21.99</t>
        </is>
      </c>
      <c r="L1028" t="n">
        <v>36.89</v>
      </c>
      <c r="M1028" s="1" t="inlineStr">
        <is>
          <t>67.76%</t>
        </is>
      </c>
      <c r="N1028" s="3" t="n">
        <v>67.76000000000001</v>
      </c>
      <c r="O1028" t="n">
        <v>4.7</v>
      </c>
      <c r="P1028" t="n">
        <v>1571</v>
      </c>
      <c r="R1028" t="inlineStr">
        <is>
          <t>InStock</t>
        </is>
      </c>
      <c r="S1028" t="inlineStr">
        <is>
          <t>21.99</t>
        </is>
      </c>
      <c r="T1028" t="inlineStr">
        <is>
          <t>3806337138740</t>
        </is>
      </c>
    </row>
    <row r="1029" ht="75" customHeight="1">
      <c r="A1029" s="2">
        <f>HYPERLINK("https://www.shelhealth.com/products/blue-dog-bakery-peanut-butter-softies-dog-treats-72-oz", "https://www.shelhealth.com/products/blue-dog-bakery-peanut-butter-softies-dog-treats-72-oz")</f>
        <v/>
      </c>
      <c r="B1029" s="2">
        <f>HYPERLINK("https://www.shelhealth.com/products/blue-dog-bakery-peanut-butter-softies-dog-treats-72-oz", "https://www.shelhealth.com/products/blue-dog-bakery-peanut-butter-softies-dog-treats-72-oz")</f>
        <v/>
      </c>
      <c r="C1029" t="inlineStr">
        <is>
          <t>Blue Dog Bakery Peanut Butter Softies Dog Treats, 72 oz.</t>
        </is>
      </c>
      <c r="D1029" t="inlineStr">
        <is>
          <t>Blue Dog Bakery Natural Dog Treats, Doggie Paws, Grain Free Peanut Butter Flavor, 14.4oz (6 Count)</t>
        </is>
      </c>
      <c r="E1029" s="2">
        <f>HYPERLINK("https://www.amazon.com/Blue-Dog-Bakery-All-Natural-Molasses/dp/B01BGSFUBS/ref=sr_1_7?keywords=Blue+Dog+Bakery+Peanut+Butter+Softies+Dog+Treats%2C+72+oz.&amp;qid=1695170285&amp;sr=8-7", "https://www.amazon.com/Blue-Dog-Bakery-All-Natural-Molasses/dp/B01BGSFUBS/ref=sr_1_7?keywords=Blue+Dog+Bakery+Peanut+Butter+Softies+Dog+Treats%2C+72+oz.&amp;qid=1695170285&amp;sr=8-7")</f>
        <v/>
      </c>
      <c r="F1029" t="inlineStr">
        <is>
          <t>B01BGSFUBS</t>
        </is>
      </c>
      <c r="G1029">
        <f>_xlfn.IMAGE("https://www.shelhealth.com/cdn/shop/products/blue-dog-bakery-peanut-butter-softies-treats-72-oz-shelhealth-341.jpg?v=1663354436&amp;width=1946")</f>
        <v/>
      </c>
      <c r="H1029">
        <f>_xlfn.IMAGE("https://m.media-amazon.com/images/I/71B1Z-zCgcL._AC_UL320_.jpg")</f>
        <v/>
      </c>
      <c r="K1029" t="inlineStr">
        <is>
          <t>23.99</t>
        </is>
      </c>
      <c r="L1029" t="n">
        <v>39.86</v>
      </c>
      <c r="M1029" s="1" t="inlineStr">
        <is>
          <t>66.15%</t>
        </is>
      </c>
      <c r="N1029" s="3" t="n">
        <v>66.15000000000001</v>
      </c>
      <c r="O1029" t="n">
        <v>4.5</v>
      </c>
      <c r="P1029" t="n">
        <v>1319</v>
      </c>
      <c r="R1029" t="inlineStr">
        <is>
          <t>OutOfStock</t>
        </is>
      </c>
      <c r="S1029" t="inlineStr">
        <is>
          <t>23.99</t>
        </is>
      </c>
      <c r="T1029" t="inlineStr">
        <is>
          <t>4167587594292</t>
        </is>
      </c>
    </row>
    <row r="1030" hidden="1" ht="15.75" customHeight="1">
      <c r="A1030" s="2">
        <f>HYPERLINK("https://www.shelhealth.com/products/jerky-treats-tender-beef-strips-dog-snacks-3-75-lbs", "https://www.shelhealth.com/products/jerky-treats-tender-beef-strips-dog-snacks-3-75-lbs")</f>
        <v/>
      </c>
      <c r="B1030" s="2">
        <f>HYPERLINK("https://www.shelhealth.com/products/jerky-treats-tender-beef-strips-dog-snacks-3-75-lbs", "https://www.shelhealth.com/products/jerky-treats-tender-beef-strips-dog-snacks-3-75-lbs")</f>
        <v/>
      </c>
      <c r="C1030" t="inlineStr">
        <is>
          <t>Jerky Treats Tender Beef Strips Dog Snacks, 3.75 lbs</t>
        </is>
      </c>
      <c r="D1030" t="inlineStr">
        <is>
          <t>Jerky Treats Tender Strips Dog Snacks Beef 60 oz. 3.75 lbs Jerky-hl Jerky-7q</t>
        </is>
      </c>
      <c r="E1030" s="2">
        <f>HYPERLINK("https://www.amazon.com/Treats-Tender-Strips-Jerky-hl-Jerky-7q/dp/B07C4NZK2P/ref=sr_1_1?keywords=Jerky+Treats+Tender+Beef+Strips+Dog+Snacks%2C+3.75+lbs&amp;qid=1695170288&amp;sr=8-1", "https://www.amazon.com/Treats-Tender-Strips-Jerky-hl-Jerky-7q/dp/B07C4NZK2P/ref=sr_1_1?keywords=Jerky+Treats+Tender+Beef+Strips+Dog+Snacks%2C+3.75+lbs&amp;qid=1695170288&amp;sr=8-1")</f>
        <v/>
      </c>
      <c r="F1030" t="inlineStr">
        <is>
          <t>B07C4NZK2P</t>
        </is>
      </c>
      <c r="G1030">
        <f>_xludf.IMAGE("https://www.shelhealth.com/cdn/shop/products/jerky-treats-tender-beef-strips-dog-snacks-3-75-lbs-shelhealth-185.jpg?v=1663358022&amp;width=1946")</f>
        <v/>
      </c>
      <c r="H1030">
        <f>_xludf.IMAGE("https://m.media-amazon.com/images/I/71Wy-Fj8EzL._AC_UL320_.jpg")</f>
        <v/>
      </c>
      <c r="K1030" t="inlineStr">
        <is>
          <t>19.99</t>
        </is>
      </c>
      <c r="L1030" t="n">
        <v>31.29</v>
      </c>
      <c r="M1030" s="1" t="inlineStr">
        <is>
          <t>56.53%</t>
        </is>
      </c>
      <c r="N1030" s="3" t="n">
        <v>56.53</v>
      </c>
      <c r="O1030" t="n">
        <v>4.6</v>
      </c>
      <c r="P1030" t="n">
        <v>93</v>
      </c>
      <c r="R1030" t="inlineStr">
        <is>
          <t>InStock</t>
        </is>
      </c>
      <c r="S1030" t="inlineStr">
        <is>
          <t>19.99</t>
        </is>
      </c>
      <c r="T1030" t="inlineStr">
        <is>
          <t>4318347722841</t>
        </is>
      </c>
    </row>
    <row r="1031" hidden="1" ht="15.75" customHeight="1">
      <c r="A1031" s="2">
        <f>HYPERLINK("https://www.shelhealth.com/products/818336012723-i-love-you-dog-food-chkn-gravy-3-oz", "https://www.shelhealth.com/products/818336012723-i-love-you-dog-food-chkn-gravy-3-oz")</f>
        <v/>
      </c>
      <c r="B1031" s="2">
        <f>HYPERLINK("https://www.shelhealth.com/products/818336012723-i-love-you-dog-food-chkn-gravy-3-oz", "https://www.shelhealth.com/products/818336012723-i-love-you-dog-food-chkn-gravy-3-oz")</f>
        <v/>
      </c>
      <c r="C1031" t="inlineStr">
        <is>
          <t>I&amp;LOVE&amp;YOU Dog Food Chicken Gravy, 3 oz (Case of 5)</t>
        </is>
      </c>
      <c r="D1031" t="inlineStr">
        <is>
          <t>"I and love and you" Top That Tummy Wet Dog Food Pouch, Chicken Recipe In Gravy, 3 oz (Pack of 12)</t>
        </is>
      </c>
      <c r="E1031" s="2">
        <f>HYPERLINK("https://www.amazon.com/love-you-Tummy-Chicken-Recipe/dp/B07KG539WV/ref=sr_1_2?keywords=I%26LOVE%26YOU+Dog+Food+Chicken+Gravy%2C+3+oz+%28Case+of+5%29&amp;qid=1695170342&amp;sr=8-2", "https://www.amazon.com/love-you-Tummy-Chicken-Recipe/dp/B07KG539WV/ref=sr_1_2?keywords=I%26LOVE%26YOU+Dog+Food+Chicken+Gravy%2C+3+oz+%28Case+of+5%29&amp;qid=1695170342&amp;sr=8-2")</f>
        <v/>
      </c>
      <c r="F1031" t="inlineStr">
        <is>
          <t>B07KG539WV</t>
        </is>
      </c>
      <c r="G1031">
        <f>_xludf.IMAGE("https://www.shelhealth.com/cdn/shop/files/iloveyou-dog-food-chicken-gravy-3-oz-case-of-5-pet-shelhealth-404.jpg?v=1686139731&amp;width=1946")</f>
        <v/>
      </c>
      <c r="H1031">
        <f>_xludf.IMAGE("https://m.media-amazon.com/images/I/81IVi6YbxNL._AC_UL320_.jpg")</f>
        <v/>
      </c>
      <c r="K1031" t="inlineStr">
        <is>
          <t>12.99</t>
        </is>
      </c>
      <c r="L1031" t="n">
        <v>19.5</v>
      </c>
      <c r="M1031" s="1" t="inlineStr">
        <is>
          <t>50.12%</t>
        </is>
      </c>
      <c r="N1031" s="3" t="n">
        <v>50.12</v>
      </c>
      <c r="O1031" t="n">
        <v>4.4</v>
      </c>
      <c r="P1031" t="n">
        <v>1045</v>
      </c>
      <c r="R1031" t="inlineStr">
        <is>
          <t>OutOfStock</t>
        </is>
      </c>
      <c r="S1031" t="inlineStr">
        <is>
          <t>12.99</t>
        </is>
      </c>
      <c r="T1031" t="inlineStr">
        <is>
          <t>7574118138088</t>
        </is>
      </c>
    </row>
    <row r="1032" hidden="1" ht="15.75" customHeight="1">
      <c r="A1032" s="2">
        <f>HYPERLINK("https://www.shelhealth.com/products/780872520119-castor-pollux-pristine-free-range-chicken-sweet-potato-recipe-with-raw-bites-10-lb", "https://www.shelhealth.com/products/780872520119-castor-pollux-pristine-free-range-chicken-sweet-potato-recipe-with-raw-bites-10-lb")</f>
        <v/>
      </c>
      <c r="B1032" s="2">
        <f>HYPERLINK("https://www.shelhealth.com/products/780872520119-castor-pollux-pristine-free-range-chicken-sweet-potato-recipe-with-raw-bites-10-lb", "https://www.shelhealth.com/products/780872520119-castor-pollux-pristine-free-range-chicken-sweet-potato-recipe-with-raw-bites-10-lb")</f>
        <v/>
      </c>
      <c r="C1032" t="inlineStr">
        <is>
          <t>Castor &amp; Pollux Pristine Free-Range Chicken &amp; Sweet Potato Recipe With Raw Bites, 10 Lb</t>
        </is>
      </c>
      <c r="D1032" t="inlineStr">
        <is>
          <t>Castor &amp; Pollux PRISTINE Grain Free Dry Dog Food Grass-Fed Beef &amp; Sweet Potato Recipe with Raw Bites - 18 lb Bag</t>
        </is>
      </c>
      <c r="E1032" s="2">
        <f>HYPERLINK("https://www.amazon.com/Castor-Pollux-Pristine-Grass-Fed-Potato/dp/B0799MCWB9/ref=sr_1_1?keywords=Castor+%26+Pollux+Pristine+Free-Range+Chicken+%26+Sweet+Potato+Recipe+With+Raw+Bites%2C+10+Lb&amp;qid=1695170335&amp;sr=8-1", "https://www.amazon.com/Castor-Pollux-Pristine-Grass-Fed-Potato/dp/B0799MCWB9/ref=sr_1_1?keywords=Castor+%26+Pollux+Pristine+Free-Range+Chicken+%26+Sweet+Potato+Recipe+With+Raw+Bites%2C+10+Lb&amp;qid=1695170335&amp;sr=8-1")</f>
        <v/>
      </c>
      <c r="F1032" t="inlineStr">
        <is>
          <t>B0799MCWB9</t>
        </is>
      </c>
      <c r="G1032">
        <f>_xludf.IMAGE("https://www.shelhealth.com/cdn/shop/files/castor-pollux-pristine-free-range-chicken-sweet-potato-recipe-with-raw-bites-10-lb-pet-shelhealth-140.jpg?v=1693337637&amp;width=1946")</f>
        <v/>
      </c>
      <c r="H1032">
        <f>_xludf.IMAGE("https://m.media-amazon.com/images/I/71bm0Vt3tXS._AC_UL320_.jpg")</f>
        <v/>
      </c>
      <c r="K1032" t="inlineStr">
        <is>
          <t>62.99</t>
        </is>
      </c>
      <c r="L1032" t="n">
        <v>93.98</v>
      </c>
      <c r="M1032" s="1" t="inlineStr">
        <is>
          <t>49.20%</t>
        </is>
      </c>
      <c r="N1032" s="3" t="n">
        <v>49.2</v>
      </c>
      <c r="O1032" t="n">
        <v>4.4</v>
      </c>
      <c r="P1032" t="n">
        <v>424</v>
      </c>
      <c r="R1032" t="inlineStr">
        <is>
          <t>OutOfStock</t>
        </is>
      </c>
      <c r="S1032" t="inlineStr">
        <is>
          <t>62.99</t>
        </is>
      </c>
      <c r="T1032" t="inlineStr">
        <is>
          <t>7241557803196</t>
        </is>
      </c>
    </row>
    <row r="1033" hidden="1" ht="15.75" customHeight="1">
      <c r="A1033" s="2">
        <f>HYPERLINK("https://www.shelhealth.com/products/blue-dog-bakery-peanut-butter-softies-dog-treats-72-oz", "https://www.shelhealth.com/products/blue-dog-bakery-peanut-butter-softies-dog-treats-72-oz")</f>
        <v/>
      </c>
      <c r="B1033" s="2">
        <f>HYPERLINK("https://www.shelhealth.com/products/blue-dog-bakery-peanut-butter-softies-dog-treats-72-oz", "https://www.shelhealth.com/products/blue-dog-bakery-peanut-butter-softies-dog-treats-72-oz")</f>
        <v/>
      </c>
      <c r="C1033" t="inlineStr">
        <is>
          <t>Blue Dog Bakery Peanut Butter Softies Dog Treats, 72 oz.</t>
        </is>
      </c>
      <c r="D1033" t="inlineStr">
        <is>
          <t>Blue Dog Bakery Natural Dog Treats, More Crunch Large, Peanut Butter, 18oz Box, 6 Boxes</t>
        </is>
      </c>
      <c r="E1033" s="2">
        <f>HYPERLINK("https://www.amazon.com/Blue-Dog-Bakery-All-Natural-Molasses/dp/B000ILIHA6/ref=sr_1_3?keywords=Blue+Dog+Bakery+Peanut+Butter+Softies+Dog+Treats%2C+72+oz.&amp;qid=1695170285&amp;sr=8-3", "https://www.amazon.com/Blue-Dog-Bakery-All-Natural-Molasses/dp/B000ILIHA6/ref=sr_1_3?keywords=Blue+Dog+Bakery+Peanut+Butter+Softies+Dog+Treats%2C+72+oz.&amp;qid=1695170285&amp;sr=8-3")</f>
        <v/>
      </c>
      <c r="F1033" t="inlineStr">
        <is>
          <t>B000ILIHA6</t>
        </is>
      </c>
      <c r="G1033">
        <f>_xludf.IMAGE("https://www.shelhealth.com/cdn/shop/products/blue-dog-bakery-peanut-butter-softies-treats-72-oz-shelhealth-341.jpg?v=1663354436&amp;width=1946")</f>
        <v/>
      </c>
      <c r="H1033">
        <f>_xludf.IMAGE("https://m.media-amazon.com/images/I/71w4jJNsgUL._AC_UL320_.jpg")</f>
        <v/>
      </c>
      <c r="K1033" t="inlineStr">
        <is>
          <t>23.99</t>
        </is>
      </c>
      <c r="L1033" t="n">
        <v>34.73</v>
      </c>
      <c r="M1033" s="1" t="inlineStr">
        <is>
          <t>44.77%</t>
        </is>
      </c>
      <c r="N1033" s="3" t="n">
        <v>44.77</v>
      </c>
      <c r="O1033" t="n">
        <v>4.6</v>
      </c>
      <c r="P1033" t="n">
        <v>7432</v>
      </c>
      <c r="R1033" t="inlineStr">
        <is>
          <t>OutOfStock</t>
        </is>
      </c>
      <c r="S1033" t="inlineStr">
        <is>
          <t>23.99</t>
        </is>
      </c>
      <c r="T1033" t="inlineStr">
        <is>
          <t>4167587594292</t>
        </is>
      </c>
    </row>
    <row r="1034" hidden="1" ht="15.75" customHeight="1">
      <c r="A1034" s="2">
        <f>HYPERLINK("https://www.shelhealth.com/products/milk-bone-soft-chewy-beef-recipe-dog-snacks-37-oz", "https://www.shelhealth.com/products/milk-bone-soft-chewy-beef-recipe-dog-snacks-37-oz")</f>
        <v/>
      </c>
      <c r="B1034" s="2">
        <f>HYPERLINK("https://www.shelhealth.com/products/milk-bone-soft-chewy-beef-recipe-dog-snacks-37-oz", "https://www.shelhealth.com/products/milk-bone-soft-chewy-beef-recipe-dog-snacks-37-oz")</f>
        <v/>
      </c>
      <c r="C1034" t="inlineStr">
        <is>
          <t>Milk-Bone Soft &amp; Chewy Beef Recipe Dog Snacks, 37 oz.</t>
        </is>
      </c>
      <c r="D1034" t="inlineStr">
        <is>
          <t>.Milk-Bone Soft &amp; Chewy Dog Snacks (Beef &amp; Filet Mignon Recipe) 37oz (2-Pack (37oz))</t>
        </is>
      </c>
      <c r="E1034" s="2">
        <f>HYPERLINK("https://www.amazon.com/Milk-Bone-Snacks-Mignon-Recipe-2-Pack/dp/B07HKNPCM1/ref=sr_1_5?keywords=Milk-Bone+Soft+%26+Chewy+Beef+Recipe+Dog+Snacks%2C+37+oz.&amp;qid=1695170279&amp;sr=8-5", "https://www.amazon.com/Milk-Bone-Snacks-Mignon-Recipe-2-Pack/dp/B07HKNPCM1/ref=sr_1_5?keywords=Milk-Bone+Soft+%26+Chewy+Beef+Recipe+Dog+Snacks%2C+37+oz.&amp;qid=1695170279&amp;sr=8-5")</f>
        <v/>
      </c>
      <c r="F1034" t="inlineStr">
        <is>
          <t>B07HKNPCM1</t>
        </is>
      </c>
      <c r="G1034">
        <f>_xludf.IMAGE("https://www.shelhealth.com/cdn/shop/files/milk-bone-soft-chewy-beef-recipe-dog-snacks-37-oz-grocery-household-petpet-shelhealth-128.jpg?v=1686283179&amp;width=1946")</f>
        <v/>
      </c>
      <c r="H1034">
        <f>_xludf.IMAGE("https://m.media-amazon.com/images/I/51HxACqKhcL._AC_UL320_.jpg")</f>
        <v/>
      </c>
      <c r="K1034" t="inlineStr">
        <is>
          <t>28.99</t>
        </is>
      </c>
      <c r="L1034" t="n">
        <v>39.88</v>
      </c>
      <c r="M1034" s="1" t="inlineStr">
        <is>
          <t>37.56%</t>
        </is>
      </c>
      <c r="N1034" s="3" t="n">
        <v>37.56</v>
      </c>
      <c r="O1034" t="n">
        <v>4.7</v>
      </c>
      <c r="P1034" t="n">
        <v>6723</v>
      </c>
      <c r="R1034" t="inlineStr">
        <is>
          <t>InStock</t>
        </is>
      </c>
      <c r="S1034" t="inlineStr">
        <is>
          <t>28.99</t>
        </is>
      </c>
      <c r="T1034" t="inlineStr">
        <is>
          <t>4169605283892</t>
        </is>
      </c>
    </row>
    <row r="1035" hidden="1" ht="15.75" customHeight="1">
      <c r="A1035" s="2">
        <f>HYPERLINK("https://www.shelhealth.com/products/zoe-super-bars-beef-recipe-dog-treats-32-oz", "https://www.shelhealth.com/products/zoe-super-bars-beef-recipe-dog-treats-32-oz")</f>
        <v/>
      </c>
      <c r="B1035" s="2">
        <f>HYPERLINK("https://www.shelhealth.com/products/zoe-super-bars-beef-recipe-dog-treats-32-oz", "https://www.shelhealth.com/products/zoe-super-bars-beef-recipe-dog-treats-32-oz")</f>
        <v/>
      </c>
      <c r="C1035" t="inlineStr">
        <is>
          <t>Zoe Super Bars Beef Recipe Dog Treats, 32 oz.</t>
        </is>
      </c>
      <c r="D1035" t="inlineStr">
        <is>
          <t>Zoe Super Bars Beef Recipe Dog Treats - Protein Packed Snacks with Berries and Flax Grain Gluten Free 32 oz Bag Big of Made The Finest Ingredients, 2 Pound (Pack 1)</t>
        </is>
      </c>
      <c r="E1035" s="2">
        <f>HYPERLINK("https://www.amazon.com/Zoe-Super-Bars-Recipe-Treats/dp/B09RTMT8X3/ref=sr_1_1?keywords=Zoe+Super+Bars+Beef+Recipe+Dog+Treats%2C+32+oz.&amp;qid=1695170318&amp;sr=8-1", "https://www.amazon.com/Zoe-Super-Bars-Recipe-Treats/dp/B09RTMT8X3/ref=sr_1_1?keywords=Zoe+Super+Bars+Beef+Recipe+Dog+Treats%2C+32+oz.&amp;qid=1695170318&amp;sr=8-1")</f>
        <v/>
      </c>
      <c r="F1035" t="inlineStr">
        <is>
          <t>B09RTMT8X3</t>
        </is>
      </c>
      <c r="G1035">
        <f>_xludf.IMAGE("https://www.shelhealth.com/cdn/shop/products/zoe-super-bars-beef-recipe-dog-treats-32-oz-shelhealth-461.jpg?v=1663817407&amp;width=1946")</f>
        <v/>
      </c>
      <c r="H1035">
        <f>_xludf.IMAGE("https://m.media-amazon.com/images/I/51ZfvrZJElL._AC_UL320_.jpg")</f>
        <v/>
      </c>
      <c r="K1035" t="inlineStr">
        <is>
          <t>22.99</t>
        </is>
      </c>
      <c r="L1035" t="n">
        <v>31</v>
      </c>
      <c r="M1035" s="1" t="inlineStr">
        <is>
          <t>34.84%</t>
        </is>
      </c>
      <c r="N1035" s="3" t="n">
        <v>34.84</v>
      </c>
      <c r="O1035" t="n">
        <v>4.7</v>
      </c>
      <c r="P1035" t="n">
        <v>390</v>
      </c>
      <c r="R1035" t="inlineStr">
        <is>
          <t>OutOfStock</t>
        </is>
      </c>
      <c r="S1035" t="inlineStr">
        <is>
          <t>22.99</t>
        </is>
      </c>
      <c r="T1035" t="inlineStr">
        <is>
          <t>7653321572584</t>
        </is>
      </c>
    </row>
    <row r="1036" hidden="1" ht="15.75" customHeight="1">
      <c r="A1036" s="2">
        <f>HYPERLINK("https://www.shelhealth.com/products/vibrant-life-vampire-ham-bone-dog-chew-8-oz", "https://www.shelhealth.com/products/vibrant-life-vampire-ham-bone-dog-chew-8-oz")</f>
        <v/>
      </c>
      <c r="B1036" s="2">
        <f>HYPERLINK("https://www.shelhealth.com/products/vibrant-life-vampire-ham-bone-dog-chew-8-oz", "https://www.shelhealth.com/products/vibrant-life-vampire-ham-bone-dog-chew-8-oz")</f>
        <v/>
      </c>
      <c r="C1036" t="inlineStr">
        <is>
          <t>Vibrant Life Vampire Ham Bone Dog Chew, 8 oz</t>
        </is>
      </c>
      <c r="D1036" t="inlineStr">
        <is>
          <t>Vibrant Life Ham Bone, 8 oz Crunchy Texture with Savory Flavor Dog Treat</t>
        </is>
      </c>
      <c r="E1036" s="2">
        <f>HYPERLINK("https://www.amazon.com/Vibrant-Life-Crunchy-Texture-Savory/dp/B0BLWFCVLL/ref=sr_1_1?keywords=Vibrant+Life+Vampire+Ham+Bone+Dog+Chew%2C+8+oz&amp;qid=1695170310&amp;sr=8-1", "https://www.amazon.com/Vibrant-Life-Crunchy-Texture-Savory/dp/B0BLWFCVLL/ref=sr_1_1?keywords=Vibrant+Life+Vampire+Ham+Bone+Dog+Chew%2C+8+oz&amp;qid=1695170310&amp;sr=8-1")</f>
        <v/>
      </c>
      <c r="F1036" t="inlineStr">
        <is>
          <t>B0BLWFCVLL</t>
        </is>
      </c>
      <c r="G1036">
        <f>_xludf.IMAGE("https://www.shelhealth.com/cdn/shop/products/vibrant-life-vampire-ham-bone-dog-chew-8-oz-shelhealth-993.jpg?v=1682149976&amp;width=1946")</f>
        <v/>
      </c>
      <c r="H1036">
        <f>_xludf.IMAGE("https://m.media-amazon.com/images/I/516cxOpRs5L._AC_UL320_.jpg")</f>
        <v/>
      </c>
      <c r="K1036" t="inlineStr">
        <is>
          <t>8.99</t>
        </is>
      </c>
      <c r="L1036" t="n">
        <v>11.98</v>
      </c>
      <c r="M1036" s="1" t="inlineStr">
        <is>
          <t>33.26%</t>
        </is>
      </c>
      <c r="N1036" s="3" t="n">
        <v>33.26</v>
      </c>
      <c r="O1036" t="n">
        <v>4</v>
      </c>
      <c r="P1036" t="n">
        <v>1</v>
      </c>
      <c r="R1036" t="inlineStr">
        <is>
          <t>OutOfStock</t>
        </is>
      </c>
      <c r="S1036" t="inlineStr">
        <is>
          <t>8.99</t>
        </is>
      </c>
      <c r="T1036" t="inlineStr">
        <is>
          <t>7974297469160</t>
        </is>
      </c>
    </row>
    <row r="1037" hidden="1" ht="15.75" customHeight="1">
      <c r="A1037" s="2">
        <f>HYPERLINK("https://www.shelhealth.com/products/035883014073-petguard-food-supplement-for-skin-coat-8-oz", "https://www.shelhealth.com/products/035883014073-petguard-food-supplement-for-skin-coat-8-oz")</f>
        <v/>
      </c>
      <c r="B1037" s="2">
        <f>HYPERLINK("https://www.shelhealth.com/products/035883014073-petguard-food-supplement-for-skin-coat-8-oz", "https://www.shelhealth.com/products/035883014073-petguard-food-supplement-for-skin-coat-8-oz")</f>
        <v/>
      </c>
      <c r="C1037" t="inlineStr">
        <is>
          <t>PETGUARD Food Supplement for Skin &amp; Coat, 8 oz</t>
        </is>
      </c>
      <c r="D1037" t="inlineStr">
        <is>
          <t>Pure Wild Alaskan Salmon Oil for Dogs &amp; Cats - Omega 3 Skin &amp; Coat Support - Liquid Food Supplement for Pets - Natural EPA + DHA Fatty Acids for Joint Function, Immune &amp; Heart Health 8oz - Pump Top</t>
        </is>
      </c>
      <c r="E1037" s="2">
        <f>HYPERLINK("https://www.amazon.com/Pure-Wild-Alaskan-Salmon-Oil/dp/B0BF7BN64V/ref=sr_1_3?keywords=PETGUARD+Food+Supplement+for+Skin+%26+Coat%2C+8+oz&amp;qid=1695170318&amp;sr=8-3", "https://www.amazon.com/Pure-Wild-Alaskan-Salmon-Oil/dp/B0BF7BN64V/ref=sr_1_3?keywords=PETGUARD+Food+Supplement+for+Skin+%26+Coat%2C+8+oz&amp;qid=1695170318&amp;sr=8-3")</f>
        <v/>
      </c>
      <c r="F1037" t="inlineStr">
        <is>
          <t>B0BF7BN64V</t>
        </is>
      </c>
      <c r="G1037">
        <f>_xludf.IMAGE("https://www.shelhealth.com/cdn/shop/files/petguard-food-supplement-for-skin-coat-8-oz-pet-shelhealth-450.jpg?v=1686222203&amp;width=1946")</f>
        <v/>
      </c>
      <c r="H1037">
        <f>_xludf.IMAGE("https://m.media-amazon.com/images/I/71lwDBwzHdL._AC_UL320_.jpg")</f>
        <v/>
      </c>
      <c r="K1037" t="inlineStr">
        <is>
          <t>14.99</t>
        </is>
      </c>
      <c r="L1037" t="n">
        <v>19.97</v>
      </c>
      <c r="M1037" s="1" t="inlineStr">
        <is>
          <t>33.22%</t>
        </is>
      </c>
      <c r="N1037" s="3" t="n">
        <v>33.22</v>
      </c>
      <c r="O1037" t="n">
        <v>4.6</v>
      </c>
      <c r="P1037" t="n">
        <v>446</v>
      </c>
      <c r="R1037" t="inlineStr">
        <is>
          <t>OutOfStock</t>
        </is>
      </c>
      <c r="S1037" t="inlineStr">
        <is>
          <t>14.99</t>
        </is>
      </c>
      <c r="T1037" t="inlineStr">
        <is>
          <t>7574251831528</t>
        </is>
      </c>
    </row>
    <row r="1038" hidden="1" ht="15.75" customHeight="1">
      <c r="A1038" s="2">
        <f>HYPERLINK("https://www.shelhealth.com/products/milkbone-large-dog-biscuits-15-lbs", "https://www.shelhealth.com/products/milkbone-large-dog-biscuits-15-lbs")</f>
        <v/>
      </c>
      <c r="B1038" s="2">
        <f>HYPERLINK("https://www.shelhealth.com/products/milkbone-large-dog-biscuits-15-lbs", "https://www.shelhealth.com/products/milkbone-large-dog-biscuits-15-lbs")</f>
        <v/>
      </c>
      <c r="C1038" t="inlineStr">
        <is>
          <t>Milkbone Large Dog Biscuits, 15 lbs.</t>
        </is>
      </c>
      <c r="D1038" t="inlineStr">
        <is>
          <t>Milk-Bone Dog Biscuits, Large (15 Lbs.)</t>
        </is>
      </c>
      <c r="E1038" s="2">
        <f>HYPERLINK("https://www.amazon.com/Milk-Bone-Dog-Biscuits-Large-Lbs/dp/B001UG37BM/ref=sr_1_2?keywords=Milkbone+Large+Dog+Biscuits%2C+15+lbs.&amp;qid=1695170278&amp;sr=8-2", "https://www.amazon.com/Milk-Bone-Dog-Biscuits-Large-Lbs/dp/B001UG37BM/ref=sr_1_2?keywords=Milkbone+Large+Dog+Biscuits%2C+15+lbs.&amp;qid=1695170278&amp;sr=8-2")</f>
        <v/>
      </c>
      <c r="F1038" t="inlineStr">
        <is>
          <t>B001UG37BM</t>
        </is>
      </c>
      <c r="G1038">
        <f>_xludf.IMAGE("https://www.shelhealth.com/cdn/shop/files/milkbone-large-dog-biscuits-15-lbs-grocery-household-petpet-milk-bone-shelhealth-906.jpg?v=1686283206&amp;width=1946")</f>
        <v/>
      </c>
      <c r="H1038">
        <f>_xludf.IMAGE("https://m.media-amazon.com/images/I/61r0GGO3KKL._AC_UL320_.jpg")</f>
        <v/>
      </c>
      <c r="K1038" t="inlineStr">
        <is>
          <t>33.99</t>
        </is>
      </c>
      <c r="L1038" t="n">
        <v>44.77</v>
      </c>
      <c r="M1038" s="1" t="inlineStr">
        <is>
          <t>31.72%</t>
        </is>
      </c>
      <c r="N1038" s="3" t="n">
        <v>31.72</v>
      </c>
      <c r="O1038" t="n">
        <v>4.7</v>
      </c>
      <c r="P1038" t="n">
        <v>930</v>
      </c>
      <c r="R1038" t="inlineStr">
        <is>
          <t>InStock</t>
        </is>
      </c>
      <c r="S1038" t="inlineStr">
        <is>
          <t>33.99</t>
        </is>
      </c>
      <c r="T1038" t="inlineStr">
        <is>
          <t>4167670202420</t>
        </is>
      </c>
    </row>
    <row r="1039" hidden="1" ht="15.75" customHeight="1">
      <c r="A1039" s="2">
        <f>HYPERLINK("https://www.shelhealth.com/products/purina-waggin-train-chicken-jerky-tenders-36-oz", "https://www.shelhealth.com/products/purina-waggin-train-chicken-jerky-tenders-36-oz")</f>
        <v/>
      </c>
      <c r="B1039" s="2">
        <f>HYPERLINK("https://www.shelhealth.com/products/purina-waggin-train-chicken-jerky-tenders-36-oz", "https://www.shelhealth.com/products/purina-waggin-train-chicken-jerky-tenders-36-oz")</f>
        <v/>
      </c>
      <c r="C1039" t="inlineStr">
        <is>
          <t>Purina Waggin' Train Chicken Jerky Tenders, 36 oz.</t>
        </is>
      </c>
      <c r="D1039" t="inlineStr">
        <is>
          <t>Purina Waggin' Train 100% Real Chicken Jerky Tenders Dog Treats - 2.25 lbs (36 oz.)</t>
        </is>
      </c>
      <c r="E1039" s="2">
        <f>HYPERLINK("https://www.amazon.com/Purina-Waggin-Chicken-Tenders-Treats/dp/B078BBH7X7/ref=sr_1_1?keywords=Purina+Waggin%27+Train+Chicken+Jerky+Tenders%2C+36+oz.&amp;qid=1695170283&amp;sr=8-1", "https://www.amazon.com/Purina-Waggin-Chicken-Tenders-Treats/dp/B078BBH7X7/ref=sr_1_1?keywords=Purina+Waggin%27+Train+Chicken+Jerky+Tenders%2C+36+oz.&amp;qid=1695170283&amp;sr=8-1")</f>
        <v/>
      </c>
      <c r="F1039" t="inlineStr">
        <is>
          <t>B078BBH7X7</t>
        </is>
      </c>
      <c r="G1039">
        <f>_xludf.IMAGE("https://www.shelhealth.com/cdn/shop/products/purina-waggin-train-chicken-jerky-tenders-36-oz-shelhealth-593.jpg?v=1663355114&amp;width=1946")</f>
        <v/>
      </c>
      <c r="H1039">
        <f>_xludf.IMAGE("https://m.media-amazon.com/images/I/81Uvqmyh7dL._AC_UL320_.jpg")</f>
        <v/>
      </c>
      <c r="K1039" t="inlineStr">
        <is>
          <t>31.99</t>
        </is>
      </c>
      <c r="L1039" t="n">
        <v>41.99</v>
      </c>
      <c r="M1039" s="1" t="inlineStr">
        <is>
          <t>31.26%</t>
        </is>
      </c>
      <c r="N1039" s="3" t="n">
        <v>31.26</v>
      </c>
      <c r="O1039" t="n">
        <v>4.8</v>
      </c>
      <c r="P1039" t="n">
        <v>213</v>
      </c>
      <c r="R1039" t="inlineStr">
        <is>
          <t>InStock</t>
        </is>
      </c>
      <c r="S1039" t="inlineStr">
        <is>
          <t>31.99</t>
        </is>
      </c>
      <c r="T1039" t="inlineStr">
        <is>
          <t>4169661087796</t>
        </is>
      </c>
    </row>
    <row r="1040" hidden="1" ht="15.75" customHeight="1">
      <c r="A1040" s="2">
        <f>HYPERLINK("https://www.shelhealth.com/products/693804282507-buddy-biscuits-grain-free-soft-and-chewy-treats-peanut-butter-5-oz", "https://www.shelhealth.com/products/693804282507-buddy-biscuits-grain-free-soft-and-chewy-treats-peanut-butter-5-oz")</f>
        <v/>
      </c>
      <c r="B1040" s="2">
        <f>HYPERLINK("https://www.shelhealth.com/products/693804282507-buddy-biscuits-grain-free-soft-and-chewy-treats-peanut-butter-5-oz", "https://www.shelhealth.com/products/693804282507-buddy-biscuits-grain-free-soft-and-chewy-treats-peanut-butter-5-oz")</f>
        <v/>
      </c>
      <c r="C1040" t="inlineStr">
        <is>
          <t>BUDDY BISCUITS Grain Free Soft and Chewy Treats Peanut Butter, 5 oz (Case of 3)</t>
        </is>
      </c>
      <c r="D1040" t="inlineStr">
        <is>
          <t>Pet Faves Buddy Biscuits Soft &amp; Chewy Treats for Small &amp; Large Dogs, Grilled Beef, Roasted Chicken, Bacon &amp; Cheese Peanut Butter with 10ct Wipes (2 Grain Free 5oz, 2 Healthy Whole Grain 6oz)</t>
        </is>
      </c>
      <c r="E1040" s="2">
        <f>HYPERLINK("https://www.amazon.com/Pet-Faves-Biscuits-Grilled-Roasted/dp/B088YNHQ6C/ref=sr_1_2?keywords=BUDDY+BISCUITS+Grain+Free+Soft+and+Chewy+Treats+Peanut+Butter%2C+5+oz+%28Case+of+3%29&amp;qid=1695170323&amp;sr=8-2", "https://www.amazon.com/Pet-Faves-Biscuits-Grilled-Roasted/dp/B088YNHQ6C/ref=sr_1_2?keywords=BUDDY+BISCUITS+Grain+Free+Soft+and+Chewy+Treats+Peanut+Butter%2C+5+oz+%28Case+of+3%29&amp;qid=1695170323&amp;sr=8-2")</f>
        <v/>
      </c>
      <c r="F1040" t="inlineStr">
        <is>
          <t>B088YNHQ6C</t>
        </is>
      </c>
      <c r="G1040">
        <f>_xludf.IMAGE("https://www.shelhealth.com/cdn/shop/files/buddy-biscuits-grain-free-soft-and-chewy-treats-peanut-butter-5-oz-case-of-3-pet-shelhealth-793.jpg?v=1688540800&amp;width=1946")</f>
        <v/>
      </c>
      <c r="H1040">
        <f>_xludf.IMAGE("https://m.media-amazon.com/images/I/91oMhEp8qSL._AC_UL320_.jpg")</f>
        <v/>
      </c>
      <c r="K1040" t="inlineStr">
        <is>
          <t>22.99</t>
        </is>
      </c>
      <c r="L1040" t="n">
        <v>29.9</v>
      </c>
      <c r="M1040" s="1" t="inlineStr">
        <is>
          <t>30.06%</t>
        </is>
      </c>
      <c r="N1040" s="3" t="n">
        <v>30.06</v>
      </c>
      <c r="O1040" t="n">
        <v>4.6</v>
      </c>
      <c r="P1040" t="n">
        <v>180</v>
      </c>
      <c r="R1040" t="inlineStr">
        <is>
          <t>InStock</t>
        </is>
      </c>
      <c r="S1040" t="inlineStr">
        <is>
          <t>22.99</t>
        </is>
      </c>
      <c r="T1040" t="inlineStr">
        <is>
          <t>7573999812840</t>
        </is>
      </c>
    </row>
    <row r="1041" hidden="1" ht="15.75" customHeight="1">
      <c r="A1041" s="2">
        <f>HYPERLINK("https://www.shelhealth.com/products/milos-kitchen-chicken-meatballs-dog-treats-30-oz", "https://www.shelhealth.com/products/milos-kitchen-chicken-meatballs-dog-treats-30-oz")</f>
        <v/>
      </c>
      <c r="B1041" s="2">
        <f>HYPERLINK("https://www.shelhealth.com/products/milos-kitchen-chicken-meatballs-dog-treats-30-oz", "https://www.shelhealth.com/products/milos-kitchen-chicken-meatballs-dog-treats-30-oz")</f>
        <v/>
      </c>
      <c r="C1041" t="inlineStr">
        <is>
          <t>Milo's Kitchen Chicken Meatballs Dog Treats, 30 oz.</t>
        </is>
      </c>
      <c r="D1041" t="inlineStr">
        <is>
          <t>Milo's Kitchen Bundle: Chicken Meatballs and Beef Sausage Dog Treats, 18 Oz Each</t>
        </is>
      </c>
      <c r="E1041" s="2">
        <f>HYPERLINK("https://www.amazon.com/Milos-Kitchen-Bundle-Chicken-Meatballs/dp/B00OZ8N12C/ref=sr_1_7?keywords=Milos+Kitchen+Chicken+Meatballs+Dog+Treats%2C+30+oz.&amp;qid=1695170280&amp;sr=8-7", "https://www.amazon.com/Milos-Kitchen-Bundle-Chicken-Meatballs/dp/B00OZ8N12C/ref=sr_1_7?keywords=Milos+Kitchen+Chicken+Meatballs+Dog+Treats%2C+30+oz.&amp;qid=1695170280&amp;sr=8-7")</f>
        <v/>
      </c>
      <c r="F1041" t="inlineStr">
        <is>
          <t>B00OZ8N12C</t>
        </is>
      </c>
      <c r="G1041">
        <f>_xludf.IMAGE("https://www.shelhealth.com/cdn/shop/products/milos-kitchen-chicken-meatballs-dog-treats-30-oz-shelhealth-925.jpg?v=1663355045&amp;width=1946")</f>
        <v/>
      </c>
      <c r="H1041">
        <f>_xludf.IMAGE("https://m.media-amazon.com/images/I/71rMWFZyeoL._AC_UL320_.jpg")</f>
        <v/>
      </c>
      <c r="K1041" t="inlineStr">
        <is>
          <t>29.99</t>
        </is>
      </c>
      <c r="L1041" t="n">
        <v>37.99</v>
      </c>
      <c r="M1041" s="1" t="inlineStr">
        <is>
          <t>26.68%</t>
        </is>
      </c>
      <c r="N1041" s="3" t="n">
        <v>26.68</v>
      </c>
      <c r="O1041" t="n">
        <v>4.2</v>
      </c>
      <c r="P1041" t="n">
        <v>13</v>
      </c>
      <c r="R1041" t="inlineStr">
        <is>
          <t>OutOfStock</t>
        </is>
      </c>
      <c r="S1041" t="inlineStr">
        <is>
          <t>29.99</t>
        </is>
      </c>
      <c r="T1041" t="inlineStr">
        <is>
          <t>4169635758132</t>
        </is>
      </c>
    </row>
    <row r="1042" hidden="1" ht="15.75" customHeight="1">
      <c r="A1042" s="2">
        <f>HYPERLINK("https://www.shelhealth.com/products/nudges-health-wellness-chicken-jerky-dog-treats-36-oz", "https://www.shelhealth.com/products/nudges-health-wellness-chicken-jerky-dog-treats-36-oz")</f>
        <v/>
      </c>
      <c r="B1042" s="2">
        <f>HYPERLINK("https://www.shelhealth.com/products/nudges-health-wellness-chicken-jerky-dog-treats-36-oz", "https://www.shelhealth.com/products/nudges-health-wellness-chicken-jerky-dog-treats-36-oz")</f>
        <v/>
      </c>
      <c r="C1042" t="inlineStr">
        <is>
          <t>Nudges Health &amp; Wellness Chicken Jerky Dog Treats, 36 oz.</t>
        </is>
      </c>
      <c r="D1042" t="inlineStr">
        <is>
          <t>An Item of Nudges Health Wellness Chicken Jerky Dog Treats, 40 oz. - Pack of 1 - Bulk Disc</t>
        </is>
      </c>
      <c r="E1042" s="2">
        <f>HYPERLINK("https://www.amazon.com/Nudges-Health-Wellness-Chicken-Treats/dp/B07JLP1B46/ref=sr_1_1?keywords=Nudges+Health+%26+Wellness+Chicken+Jerky+Dog+Treats%2C+36+oz.&amp;qid=1695170280&amp;sr=8-1", "https://www.amazon.com/Nudges-Health-Wellness-Chicken-Treats/dp/B07JLP1B46/ref=sr_1_1?keywords=Nudges+Health+%26+Wellness+Chicken+Jerky+Dog+Treats%2C+36+oz.&amp;qid=1695170280&amp;sr=8-1")</f>
        <v/>
      </c>
      <c r="F1042" t="inlineStr">
        <is>
          <t>B07JLP1B46</t>
        </is>
      </c>
      <c r="G1042">
        <f>_xludf.IMAGE("https://www.shelhealth.com/cdn/shop/products/nudges-health-wellness-chicken-jerky-dog-treats-36-oz-shelhealth-112.jpg?v=1663354418&amp;width=1946")</f>
        <v/>
      </c>
      <c r="H1042">
        <f>_xludf.IMAGE("https://m.media-amazon.com/images/I/81nREyeYLWL._AC_UL320_.jpg")</f>
        <v/>
      </c>
      <c r="K1042" t="inlineStr">
        <is>
          <t>30.99</t>
        </is>
      </c>
      <c r="L1042" t="n">
        <v>38.99</v>
      </c>
      <c r="M1042" s="1" t="inlineStr">
        <is>
          <t>25.81%</t>
        </is>
      </c>
      <c r="N1042" s="3" t="n">
        <v>25.81</v>
      </c>
      <c r="O1042" t="n">
        <v>4.8</v>
      </c>
      <c r="P1042" t="n">
        <v>1438</v>
      </c>
      <c r="R1042" t="inlineStr">
        <is>
          <t>InStock</t>
        </is>
      </c>
      <c r="S1042" t="inlineStr">
        <is>
          <t>30.99</t>
        </is>
      </c>
      <c r="T1042" t="inlineStr">
        <is>
          <t>4167584055348</t>
        </is>
      </c>
    </row>
    <row r="1043" hidden="1" ht="15.75" customHeight="1">
      <c r="A1043" s="2">
        <f>HYPERLINK("https://www.shelhealth.com/products/jerky-treats-tender-beef-strips-dog-snacks-3-75-lbs", "https://www.shelhealth.com/products/jerky-treats-tender-beef-strips-dog-snacks-3-75-lbs")</f>
        <v/>
      </c>
      <c r="B1043" s="2">
        <f>HYPERLINK("https://www.shelhealth.com/products/jerky-treats-tender-beef-strips-dog-snacks-3-75-lbs", "https://www.shelhealth.com/products/jerky-treats-tender-beef-strips-dog-snacks-3-75-lbs")</f>
        <v/>
      </c>
      <c r="C1043" t="inlineStr">
        <is>
          <t>Jerky Treats Tender Beef Strips Dog Snacks, 3.75 lbs</t>
        </is>
      </c>
      <c r="D1043" t="inlineStr">
        <is>
          <t>Jerky Treats Tender Strips Dog Snacks Beef 60 oz. (3.75 lbs) by Jerky Treats [Pet Supplies]</t>
        </is>
      </c>
      <c r="E1043" s="2">
        <f>HYPERLINK("https://www.amazon.com/Treats-Tender-Strips-Snacks-Supplies/dp/B00II704SU/ref=sr_1_3?keywords=Jerky+Treats+Tender+Beef+Strips+Dog+Snacks%2C+3.75+lbs&amp;qid=1695170288&amp;sr=8-3", "https://www.amazon.com/Treats-Tender-Strips-Snacks-Supplies/dp/B00II704SU/ref=sr_1_3?keywords=Jerky+Treats+Tender+Beef+Strips+Dog+Snacks%2C+3.75+lbs&amp;qid=1695170288&amp;sr=8-3")</f>
        <v/>
      </c>
      <c r="F1043" t="inlineStr">
        <is>
          <t>B00II704SU</t>
        </is>
      </c>
      <c r="G1043">
        <f>_xludf.IMAGE("https://www.shelhealth.com/cdn/shop/products/jerky-treats-tender-beef-strips-dog-snacks-3-75-lbs-shelhealth-185.jpg?v=1663358022&amp;width=1946")</f>
        <v/>
      </c>
      <c r="H1043">
        <f>_xludf.IMAGE("https://m.media-amazon.com/images/I/41gzyAN-s8L._AC_UL320_.jpg")</f>
        <v/>
      </c>
      <c r="K1043" t="inlineStr">
        <is>
          <t>19.99</t>
        </is>
      </c>
      <c r="L1043" t="n">
        <v>24.99</v>
      </c>
      <c r="M1043" s="1" t="inlineStr">
        <is>
          <t>25.01%</t>
        </is>
      </c>
      <c r="N1043" s="3" t="n">
        <v>25.01</v>
      </c>
      <c r="O1043" t="n">
        <v>2.9</v>
      </c>
      <c r="P1043" t="n">
        <v>2</v>
      </c>
      <c r="R1043" t="inlineStr">
        <is>
          <t>InStock</t>
        </is>
      </c>
      <c r="S1043" t="inlineStr">
        <is>
          <t>19.99</t>
        </is>
      </c>
      <c r="T1043" t="inlineStr">
        <is>
          <t>4318347722841</t>
        </is>
      </c>
    </row>
    <row r="1044" hidden="1" ht="15.75" customHeight="1">
      <c r="A1044" s="2">
        <f>HYPERLINK("https://www.shelhealth.com/products/cadet-dog-treats-pork-hide-twists-40-count", "https://www.shelhealth.com/products/cadet-dog-treats-pork-hide-twists-40-count")</f>
        <v/>
      </c>
      <c r="B1044" s="2">
        <f>HYPERLINK("https://www.shelhealth.com/products/cadet-dog-treats-pork-hide-twists-40-count", "https://www.shelhealth.com/products/cadet-dog-treats-pork-hide-twists-40-count")</f>
        <v/>
      </c>
      <c r="C1044" t="inlineStr">
        <is>
          <t>Cadet Dog Treats Pork Hide Twists, 40 Count</t>
        </is>
      </c>
      <c r="D1044" t="inlineStr">
        <is>
          <t>Cadet 4 Pack of Triple Chew Dog Treats, 6 Count each, Pork Hide Sweet Potato and Chicken Flavor</t>
        </is>
      </c>
      <c r="E1044" s="2">
        <f>HYPERLINK("https://www.amazon.com/Cadet-Triple-Treats-Potato-Chicken/dp/B01LVWM4MW/ref=sr_1_4?keywords=Cadet+Dog+Treats+Pork+Hide+Twists%2C+40+Count&amp;qid=1695170339&amp;sr=8-4", "https://www.amazon.com/Cadet-Triple-Treats-Potato-Chicken/dp/B01LVWM4MW/ref=sr_1_4?keywords=Cadet+Dog+Treats+Pork+Hide+Twists%2C+40+Count&amp;qid=1695170339&amp;sr=8-4")</f>
        <v/>
      </c>
      <c r="F1044" t="inlineStr">
        <is>
          <t>B01LVWM4MW</t>
        </is>
      </c>
      <c r="G1044">
        <f>_xludf.IMAGE("https://www.shelhealth.com/cdn/shop/products/cadet-dog-treats-pork-hide-twists-40-count-shelhealth-716.jpg?v=1663359874&amp;width=1946")</f>
        <v/>
      </c>
      <c r="H1044">
        <f>_xludf.IMAGE("https://m.media-amazon.com/images/I/914S-SMd97L._AC_UL320_.jpg")</f>
        <v/>
      </c>
      <c r="K1044" t="inlineStr">
        <is>
          <t>19.99</t>
        </is>
      </c>
      <c r="L1044" t="n">
        <v>24.79</v>
      </c>
      <c r="M1044" s="1" t="inlineStr">
        <is>
          <t>24.01%</t>
        </is>
      </c>
      <c r="N1044" s="3" t="n">
        <v>24.01</v>
      </c>
      <c r="O1044" t="n">
        <v>4.6</v>
      </c>
      <c r="P1044" t="n">
        <v>101</v>
      </c>
      <c r="R1044" t="inlineStr">
        <is>
          <t>OutOfStock</t>
        </is>
      </c>
      <c r="S1044" t="inlineStr">
        <is>
          <t>19.99</t>
        </is>
      </c>
      <c r="T1044" t="inlineStr">
        <is>
          <t>4387812507737</t>
        </is>
      </c>
    </row>
    <row r="1045" hidden="1" ht="15.75" customHeight="1">
      <c r="A1045" s="2">
        <f>HYPERLINK("https://www.shelhealth.com/products/purina-friskies-prime-filets-cat-food-variety-pack-48-pk-5-5-oz", "https://www.shelhealth.com/products/purina-friskies-prime-filets-cat-food-variety-pack-48-pk-5-5-oz")</f>
        <v/>
      </c>
      <c r="B1045" s="2">
        <f>HYPERLINK("https://www.shelhealth.com/products/purina-friskies-prime-filets-cat-food-variety-pack-48-pk-5-5-oz", "https://www.shelhealth.com/products/purina-friskies-prime-filets-cat-food-variety-pack-48-pk-5-5-oz")</f>
        <v/>
      </c>
      <c r="C1045" t="inlineStr">
        <is>
          <t>Purina Friskies Prime Filets Cat Food Variety Pack, 48 pk./5.5 oz.</t>
        </is>
      </c>
      <c r="D1045" t="inlineStr">
        <is>
          <t>Friskies Prime Filets Cat Food Variety Pack, 48 pk./5.5 oz.</t>
        </is>
      </c>
      <c r="E1045" s="2">
        <f>HYPERLINK("https://www.amazon.com/Friskies-Prime-Filets-Food-Variety/dp/B0B8PBNNB3/ref=sr_1_1?keywords=Purina+Friskies+Prime+Filets+Cat+Food+Variety+Pack%2C+48+pk.%2F5.5+oz.&amp;qid=1695170282&amp;sr=8-1", "https://www.amazon.com/Friskies-Prime-Filets-Food-Variety/dp/B0B8PBNNB3/ref=sr_1_1?keywords=Purina+Friskies+Prime+Filets+Cat+Food+Variety+Pack%2C+48+pk.%2F5.5+oz.&amp;qid=1695170282&amp;sr=8-1")</f>
        <v/>
      </c>
      <c r="F1045" t="inlineStr">
        <is>
          <t>B0B8PBNNB3</t>
        </is>
      </c>
      <c r="G1045">
        <f>_xludf.IMAGE("https://www.shelhealth.com/cdn/shop/products/purina-friskies-prime-filets-cat-food-variety-pack-48-pk-5-oz-shelhealth-954.jpg?v=1663354447&amp;width=1946")</f>
        <v/>
      </c>
      <c r="H1045">
        <f>_xludf.IMAGE("https://m.media-amazon.com/images/I/71PMal1voJL._AC_UL320_.jpg")</f>
        <v/>
      </c>
      <c r="K1045" t="inlineStr">
        <is>
          <t>54.99</t>
        </is>
      </c>
      <c r="L1045" t="n">
        <v>68.17</v>
      </c>
      <c r="M1045" s="1" t="inlineStr">
        <is>
          <t>23.97%</t>
        </is>
      </c>
      <c r="N1045" s="3" t="n">
        <v>23.97</v>
      </c>
      <c r="O1045" t="n">
        <v>2.8</v>
      </c>
      <c r="P1045" t="n">
        <v>3</v>
      </c>
      <c r="R1045" t="inlineStr">
        <is>
          <t>InStock</t>
        </is>
      </c>
      <c r="S1045" t="inlineStr">
        <is>
          <t>54.99</t>
        </is>
      </c>
      <c r="T1045" t="inlineStr">
        <is>
          <t>4167590740020</t>
        </is>
      </c>
    </row>
    <row r="1046" hidden="1" ht="15.75" customHeight="1">
      <c r="A1046" s="2">
        <f>HYPERLINK("https://www.shelhealth.com/products/pedigree-wet-dog-food-variety-pack-30-pk-3-5-oz", "https://www.shelhealth.com/products/pedigree-wet-dog-food-variety-pack-30-pk-3-5-oz")</f>
        <v/>
      </c>
      <c r="B1046" s="2">
        <f>HYPERLINK("https://www.shelhealth.com/products/pedigree-wet-dog-food-variety-pack-30-pk-3-5-oz", "https://www.shelhealth.com/products/pedigree-wet-dog-food-variety-pack-30-pk-3-5-oz")</f>
        <v/>
      </c>
      <c r="C1046" t="inlineStr">
        <is>
          <t>Pedigree Wet Dog Food Variety Pack, 30 pk./3.5 oz.</t>
        </is>
      </c>
      <c r="D1046" t="inlineStr">
        <is>
          <t>PEDIGREE CHOICE CUTS IN GRAVY Adult Canned Soft Wet Dog Food Variety Pack, Country Stew and Chicken &amp; Rice Flavor, 13.2 oz. Cans (Pack of 24)</t>
        </is>
      </c>
      <c r="E1046" s="2">
        <f>HYPERLINK("https://www.amazon.com/PEDIGREE-CHOICE-Variety-Country-Chicken/dp/B0828TRTZ8/ref=sr_1_8?keywords=Pedigree+Wet+Dog+Food+Variety+Pack%2C+30+pk.%2F3.5+oz.&amp;qid=1695170285&amp;sr=8-8", "https://www.amazon.com/PEDIGREE-CHOICE-Variety-Country-Chicken/dp/B0828TRTZ8/ref=sr_1_8?keywords=Pedigree+Wet+Dog+Food+Variety+Pack%2C+30+pk.%2F3.5+oz.&amp;qid=1695170285&amp;sr=8-8")</f>
        <v/>
      </c>
      <c r="F1046" t="inlineStr">
        <is>
          <t>B0828TRTZ8</t>
        </is>
      </c>
      <c r="G1046">
        <f>_xludf.IMAGE("https://www.shelhealth.com/cdn/shop/products/pedigree-wet-dog-food-variety-pack-30-pk-3-5-oz-shelhealth-733.jpg?v=1663355669&amp;width=1946")</f>
        <v/>
      </c>
      <c r="H1046">
        <f>_xludf.IMAGE("https://m.media-amazon.com/images/I/812iPnTMHkL._AC_UL320_.jpg")</f>
        <v/>
      </c>
      <c r="K1046" t="inlineStr">
        <is>
          <t>30.99</t>
        </is>
      </c>
      <c r="L1046" t="n">
        <v>37.98</v>
      </c>
      <c r="M1046" s="1" t="inlineStr">
        <is>
          <t>22.56%</t>
        </is>
      </c>
      <c r="N1046" s="3" t="n">
        <v>22.56</v>
      </c>
      <c r="O1046" t="n">
        <v>4.6</v>
      </c>
      <c r="P1046" t="n">
        <v>8558</v>
      </c>
      <c r="R1046" t="inlineStr">
        <is>
          <t>InStock</t>
        </is>
      </c>
      <c r="S1046" t="inlineStr">
        <is>
          <t>30.99</t>
        </is>
      </c>
      <c r="T1046" t="inlineStr">
        <is>
          <t>4171294769204</t>
        </is>
      </c>
    </row>
    <row r="1047" hidden="1" ht="15.75" customHeight="1">
      <c r="A1047" s="2">
        <f>HYPERLINK("https://www.shelhealth.com/products/pup-peroni-original-beef-flavor-dog-snacks-50-oz", "https://www.shelhealth.com/products/pup-peroni-original-beef-flavor-dog-snacks-50-oz")</f>
        <v/>
      </c>
      <c r="B1047" s="2">
        <f>HYPERLINK("https://www.shelhealth.com/products/pup-peroni-original-beef-flavor-dog-snacks-50-oz", "https://www.shelhealth.com/products/pup-peroni-original-beef-flavor-dog-snacks-50-oz")</f>
        <v/>
      </c>
      <c r="C1047" t="inlineStr">
        <is>
          <t>Pup-Peroni Original Beef Flavor Dog Snacks, 50 oz.</t>
        </is>
      </c>
      <c r="D1047" t="inlineStr">
        <is>
          <t>Europe Standard Pup-Peroni Dog Snacks Original Beef Flavor, 50 oz.</t>
        </is>
      </c>
      <c r="E1047" s="2">
        <f>HYPERLINK("https://www.amazon.com/Pup-Peroni-Snacks-Original-Beef-Flavor/dp/B071L4BTYS/ref=sr_1_1?keywords=Pup-Peroni+Original+Beef+Flavor+Dog+Snacks%2C+50+oz.&amp;qid=1695170284&amp;sr=8-1", "https://www.amazon.com/Pup-Peroni-Snacks-Original-Beef-Flavor/dp/B071L4BTYS/ref=sr_1_1?keywords=Pup-Peroni+Original+Beef+Flavor+Dog+Snacks%2C+50+oz.&amp;qid=1695170284&amp;sr=8-1")</f>
        <v/>
      </c>
      <c r="F1047" t="inlineStr">
        <is>
          <t>B071L4BTYS</t>
        </is>
      </c>
      <c r="G1047">
        <f>_xludf.IMAGE("https://www.shelhealth.com/cdn/shop/products/pup-peroni-original-beef-flavor-dog-snacks-50-oz-shelhealth-218.jpg?v=1663354469&amp;width=1946")</f>
        <v/>
      </c>
      <c r="H1047">
        <f>_xludf.IMAGE("https://m.media-amazon.com/images/I/71r+zWTEtnL._AC_UL320_.jpg")</f>
        <v/>
      </c>
      <c r="K1047" t="inlineStr">
        <is>
          <t>27.99</t>
        </is>
      </c>
      <c r="L1047" t="n">
        <v>32.64</v>
      </c>
      <c r="M1047" s="1" t="inlineStr">
        <is>
          <t>16.61%</t>
        </is>
      </c>
      <c r="N1047" s="3" t="n">
        <v>16.61</v>
      </c>
      <c r="O1047" t="n">
        <v>4.7</v>
      </c>
      <c r="P1047" t="n">
        <v>2033</v>
      </c>
      <c r="R1047" t="inlineStr">
        <is>
          <t>InStock</t>
        </is>
      </c>
      <c r="S1047" t="inlineStr">
        <is>
          <t>27.99</t>
        </is>
      </c>
      <c r="T1047" t="inlineStr">
        <is>
          <t>4167604207668</t>
        </is>
      </c>
    </row>
    <row r="1048" hidden="1" ht="15.75" customHeight="1">
      <c r="A1048" s="2">
        <f>HYPERLINK("https://www.shelhealth.com/products/nutri-bites-freeze-dried-beef-liver-treats-17-6-oz", "https://www.shelhealth.com/products/nutri-bites-freeze-dried-beef-liver-treats-17-6-oz")</f>
        <v/>
      </c>
      <c r="B1048" s="2">
        <f>HYPERLINK("https://www.shelhealth.com/products/nutri-bites-freeze-dried-beef-liver-treats-17-6-oz", "https://www.shelhealth.com/products/nutri-bites-freeze-dried-beef-liver-treats-17-6-oz")</f>
        <v/>
      </c>
      <c r="C1048" t="inlineStr">
        <is>
          <t>Nutri Bites Freeze Dried Beef Liver Treats, 17.6 oz. (Pack of 2)</t>
        </is>
      </c>
      <c r="D1048" t="inlineStr">
        <is>
          <t>Nutri Bites Freeze Dried Liver Treats for Dogs &amp; Cats - High-Protein Single Ingredient Freeze Dried Dog Treats, Beef Liver - Grain Free, Easy to Digest - Proudly Made in Canada - 500g / 17.6oz (3pk)</t>
        </is>
      </c>
      <c r="E1048" s="2">
        <f>HYPERLINK("https://www.amazon.com/Nutri-Bites-Freeze-Dried-Treats/dp/B0BPRPVFVR/ref=sr_1_3?keywords=Nutri+Bites+Freeze+Dried+Beef+Liver+Treats%2C+17.6+oz.+%28Pack+of+2%29&amp;qid=1695170362&amp;sr=8-3", "https://www.amazon.com/Nutri-Bites-Freeze-Dried-Treats/dp/B0BPRPVFVR/ref=sr_1_3?keywords=Nutri+Bites+Freeze+Dried+Beef+Liver+Treats%2C+17.6+oz.+%28Pack+of+2%29&amp;qid=1695170362&amp;sr=8-3")</f>
        <v/>
      </c>
      <c r="F1048" t="inlineStr">
        <is>
          <t>B0BPRPVFVR</t>
        </is>
      </c>
      <c r="G1048">
        <f>_xludf.IMAGE("https://www.shelhealth.com/cdn/shop/files/nutri-bites-freeze-dried-beef-liver-treats-17-6-oz-pack-of-2-shelhealth-250.jpg?v=1685570645&amp;width=1946")</f>
        <v/>
      </c>
      <c r="H1048">
        <f>_xludf.IMAGE("https://m.media-amazon.com/images/I/81s3AlaG3yL._AC_UL320_.jpg")</f>
        <v/>
      </c>
      <c r="K1048" t="inlineStr">
        <is>
          <t>49.99</t>
        </is>
      </c>
      <c r="L1048" t="n">
        <v>57.99</v>
      </c>
      <c r="M1048" s="1" t="inlineStr">
        <is>
          <t>16.00%</t>
        </is>
      </c>
      <c r="N1048" s="3" t="n">
        <v>16</v>
      </c>
      <c r="O1048" t="n">
        <v>5</v>
      </c>
      <c r="P1048" t="n">
        <v>40</v>
      </c>
      <c r="R1048" t="inlineStr">
        <is>
          <t>InStock</t>
        </is>
      </c>
      <c r="S1048" t="inlineStr">
        <is>
          <t>49.99</t>
        </is>
      </c>
      <c r="T1048" t="inlineStr">
        <is>
          <t>8222814699752</t>
        </is>
      </c>
    </row>
    <row r="1049" hidden="1" ht="15.75" customHeight="1">
      <c r="A1049" s="2">
        <f>HYPERLINK("https://www.shelhealth.com/products/cadet-peanut-butter-stuffed-shin-bones-dog-treats-6-ct", "https://www.shelhealth.com/products/cadet-peanut-butter-stuffed-shin-bones-dog-treats-6-ct")</f>
        <v/>
      </c>
      <c r="B1049" s="2">
        <f>HYPERLINK("https://www.shelhealth.com/products/cadet-peanut-butter-stuffed-shin-bones-dog-treats-6-ct", "https://www.shelhealth.com/products/cadet-peanut-butter-stuffed-shin-bones-dog-treats-6-ct")</f>
        <v/>
      </c>
      <c r="C1049" t="inlineStr">
        <is>
          <t>Cadet Peanut Butter Stuffed Shin Bones Dog Treats, 6 ct.</t>
        </is>
      </c>
      <c r="D1049" t="inlineStr">
        <is>
          <t>Best Bully Sticks 5 to 6 Inch Peanut Butter Stuffed Shin Bones - USA Baked &amp; Packed Shin Bones for Dogs - Highly Digestible Fillings, Long Lasting and Refillable - 5 Pack</t>
        </is>
      </c>
      <c r="E1049" s="2">
        <f>HYPERLINK("https://www.amazon.com/Best-Bully-Sticks-5-Pack-Great-Long-Lasting/dp/B08YN4431T/ref=sr_1_8?keywords=Cadet+Peanut+Butter+Stuffed+Shin+Bones+Dog+Treats%2C+6+ct.&amp;qid=1695170285&amp;sr=8-8", "https://www.amazon.com/Best-Bully-Sticks-5-Pack-Great-Long-Lasting/dp/B08YN4431T/ref=sr_1_8?keywords=Cadet+Peanut+Butter+Stuffed+Shin+Bones+Dog+Treats%2C+6+ct.&amp;qid=1695170285&amp;sr=8-8")</f>
        <v/>
      </c>
      <c r="F1049" t="inlineStr">
        <is>
          <t>B08YN4431T</t>
        </is>
      </c>
      <c r="G1049">
        <f>_xludf.IMAGE("https://www.shelhealth.com/cdn/shop/products/cadet-peanut-butter-stuffed-shin-bones-dog-treats-6-ct-shelhealth-613.jpg?v=1663354526&amp;width=1946")</f>
        <v/>
      </c>
      <c r="H1049">
        <f>_xludf.IMAGE("https://m.media-amazon.com/images/I/71TXtt+fT9L._AC_UL320_.jpg")</f>
        <v/>
      </c>
      <c r="K1049" t="inlineStr">
        <is>
          <t>25.99</t>
        </is>
      </c>
      <c r="L1049" t="n">
        <v>29.99</v>
      </c>
      <c r="M1049" s="1" t="inlineStr">
        <is>
          <t>15.39%</t>
        </is>
      </c>
      <c r="N1049" s="3" t="n">
        <v>15.39</v>
      </c>
      <c r="O1049" t="n">
        <v>4.1</v>
      </c>
      <c r="P1049" t="n">
        <v>192</v>
      </c>
      <c r="R1049" t="inlineStr">
        <is>
          <t>InStock</t>
        </is>
      </c>
      <c r="S1049" t="inlineStr">
        <is>
          <t>25.99</t>
        </is>
      </c>
      <c r="T1049" t="inlineStr">
        <is>
          <t>4167633633332</t>
        </is>
      </c>
    </row>
    <row r="1050" hidden="1" ht="15.75" customHeight="1">
      <c r="A1050" s="2">
        <f>HYPERLINK("https://www.shelhealth.com/products/dog-delights-chewy-lamb-sticks-35-oz", "https://www.shelhealth.com/products/dog-delights-chewy-lamb-sticks-35-oz")</f>
        <v/>
      </c>
      <c r="B1050" s="2">
        <f>HYPERLINK("https://www.shelhealth.com/products/dog-delights-chewy-lamb-sticks-35-oz", "https://www.shelhealth.com/products/dog-delights-chewy-lamb-sticks-35-oz")</f>
        <v/>
      </c>
      <c r="C1050" t="inlineStr">
        <is>
          <t>Dog Delights Chewy Lamb Sticks, 35 oz.</t>
        </is>
      </c>
      <c r="D1050" t="inlineStr">
        <is>
          <t>ANGIEHAIE Dog Delights Chewy Lamb Stick Grass Feds No Additives No Artificial Preservatives No Antibiotics 35 OZ</t>
        </is>
      </c>
      <c r="E1050" s="2" t="n"/>
      <c r="F1050" t="inlineStr">
        <is>
          <t>B09KMDY128</t>
        </is>
      </c>
      <c r="G1050">
        <f>_xludf.IMAGE("https://www.shelhealth.com/cdn/shop/products/dog-delights-chewy-lamb-sticks-35-oz-shelhealth-486.jpg?v=1663896564&amp;width=1946")</f>
        <v/>
      </c>
      <c r="H1050">
        <f>_xludf.IMAGE("https://m.media-amazon.com/images/I/71zzveW5HWL._AC_UL320_.jpg")</f>
        <v/>
      </c>
      <c r="K1050" t="inlineStr">
        <is>
          <t>18.99</t>
        </is>
      </c>
      <c r="L1050" t="n">
        <v>21.87</v>
      </c>
      <c r="M1050" s="1" t="inlineStr">
        <is>
          <t>15.17%</t>
        </is>
      </c>
      <c r="N1050" s="3" t="n">
        <v>15.17</v>
      </c>
      <c r="O1050" t="n">
        <v>4.7</v>
      </c>
      <c r="P1050" t="n">
        <v>119</v>
      </c>
      <c r="R1050" t="inlineStr">
        <is>
          <t>OutOfStock</t>
        </is>
      </c>
      <c r="S1050" t="inlineStr">
        <is>
          <t>18.99</t>
        </is>
      </c>
      <c r="T1050" t="inlineStr">
        <is>
          <t>7962514784488</t>
        </is>
      </c>
    </row>
    <row r="1051" hidden="1" ht="15.75" customHeight="1">
      <c r="A1051" s="2">
        <f>HYPERLINK("https://www.shelhealth.com/products/milk-bone-brushing-chews-daily-dental-dog-treats-46-ct", "https://www.shelhealth.com/products/milk-bone-brushing-chews-daily-dental-dog-treats-46-ct")</f>
        <v/>
      </c>
      <c r="B1051" s="2">
        <f>HYPERLINK("https://www.shelhealth.com/products/milk-bone-brushing-chews-daily-dental-dog-treats-46-ct", "https://www.shelhealth.com/products/milk-bone-brushing-chews-daily-dental-dog-treats-46-ct")</f>
        <v/>
      </c>
      <c r="C1051" t="inlineStr">
        <is>
          <t>Milk-Bone Brushing Chews Daily Dental Dog Treats, 46 ct.</t>
        </is>
      </c>
      <c r="D1051" t="inlineStr">
        <is>
          <t>Milk-Bone Fresh Breath Brushing Chews, 38 Small/Medium Daily Dental Dog Treats</t>
        </is>
      </c>
      <c r="E1051" s="2">
        <f>HYPERLINK("https://www.amazon.com/Milk-Bone-Brushing-Dental-Treats-Small-Medium/dp/B07MNTFRFN/ref=sr_1_2?keywords=Milk-Bone+Brushing+Chews+Daily+Dental+Dog+Treats%2C+46+ct.&amp;qid=1695170279&amp;sr=8-2", "https://www.amazon.com/Milk-Bone-Brushing-Dental-Treats-Small-Medium/dp/B07MNTFRFN/ref=sr_1_2?keywords=Milk-Bone+Brushing+Chews+Daily+Dental+Dog+Treats%2C+46+ct.&amp;qid=1695170279&amp;sr=8-2")</f>
        <v/>
      </c>
      <c r="F1051" t="inlineStr">
        <is>
          <t>B07MNTFRFN</t>
        </is>
      </c>
      <c r="G1051">
        <f>_xludf.IMAGE("https://www.shelhealth.com/cdn/shop/products/milk-bone-brushing-chews-daily-dental-dog-treats-46-ct-shelhealth-722.jpg?v=1663355051&amp;width=1946")</f>
        <v/>
      </c>
      <c r="H1051">
        <f>_xludf.IMAGE("https://m.media-amazon.com/images/I/81C2tzepQpL._AC_UL320_.jpg")</f>
        <v/>
      </c>
      <c r="K1051" t="inlineStr">
        <is>
          <t>20.99</t>
        </is>
      </c>
      <c r="L1051" t="n">
        <v>23.99</v>
      </c>
      <c r="M1051" s="1" t="inlineStr">
        <is>
          <t>14.29%</t>
        </is>
      </c>
      <c r="N1051" s="3" t="n">
        <v>14.29</v>
      </c>
      <c r="O1051" t="n">
        <v>4.7</v>
      </c>
      <c r="P1051" t="n">
        <v>3304</v>
      </c>
      <c r="R1051" t="inlineStr">
        <is>
          <t>OutOfStock</t>
        </is>
      </c>
      <c r="S1051" t="inlineStr">
        <is>
          <t>20.99</t>
        </is>
      </c>
      <c r="T1051" t="inlineStr">
        <is>
          <t>4169637396532</t>
        </is>
      </c>
    </row>
    <row r="1052" hidden="1" ht="15.75" customHeight="1">
      <c r="A1052" s="2">
        <f>HYPERLINK("https://www.shelhealth.com/products/pet-select-pee-pee-pads-100-ct", "https://www.shelhealth.com/products/pet-select-pee-pee-pads-100-ct")</f>
        <v/>
      </c>
      <c r="B1052" s="2">
        <f>HYPERLINK("https://www.shelhealth.com/products/pet-select-pee-pee-pads-100-ct", "https://www.shelhealth.com/products/pet-select-pee-pee-pads-100-ct")</f>
        <v/>
      </c>
      <c r="C1052" t="inlineStr">
        <is>
          <t>Pet Select Pee-Pee Pads, 100 ct.</t>
        </is>
      </c>
      <c r="D1052" t="inlineStr">
        <is>
          <t>Four Paws Pet Select Pee Pee Pads for Dogs and Puppies 100 Count Standard: 22" x 22"</t>
        </is>
      </c>
      <c r="E1052" s="2">
        <f>HYPERLINK("https://www.amazon.com/Pet-Select-Puppy-Pads-100/dp/B00IGGXIKY/ref=sr_1_1?keywords=Pet+Select+Pee-Pee+Pads%2C+100+ct.&amp;qid=1695170288&amp;sr=8-1", "https://www.amazon.com/Pet-Select-Puppy-Pads-100/dp/B00IGGXIKY/ref=sr_1_1?keywords=Pet+Select+Pee-Pee+Pads%2C+100+ct.&amp;qid=1695170288&amp;sr=8-1")</f>
        <v/>
      </c>
      <c r="F1052" t="inlineStr">
        <is>
          <t>B00IGGXIKY</t>
        </is>
      </c>
      <c r="G1052">
        <f>_xludf.IMAGE("https://www.shelhealth.com/cdn/shop/products/pet-select-pee-pads-100-ct-shelhealth-649.jpg?v=1663355122&amp;width=1946")</f>
        <v/>
      </c>
      <c r="H1052">
        <f>_xludf.IMAGE("https://m.media-amazon.com/images/I/81-i+QjOysL._AC_UL320_.jpg")</f>
        <v/>
      </c>
      <c r="K1052" t="inlineStr">
        <is>
          <t>32.99</t>
        </is>
      </c>
      <c r="L1052" t="n">
        <v>37.51</v>
      </c>
      <c r="M1052" s="1" t="inlineStr">
        <is>
          <t>13.70%</t>
        </is>
      </c>
      <c r="N1052" s="3" t="n">
        <v>13.7</v>
      </c>
      <c r="O1052" t="n">
        <v>4.5</v>
      </c>
      <c r="P1052" t="n">
        <v>301</v>
      </c>
      <c r="R1052" t="inlineStr">
        <is>
          <t>OutOfStock</t>
        </is>
      </c>
      <c r="S1052" t="inlineStr">
        <is>
          <t>32.99</t>
        </is>
      </c>
      <c r="T1052" t="inlineStr">
        <is>
          <t>4169668296756</t>
        </is>
      </c>
    </row>
    <row r="1053" hidden="1" ht="15.75" customHeight="1">
      <c r="A1053" s="2">
        <f>HYPERLINK("https://www.shelhealth.com/products/purina-tidy-cats-clumping-instant-action-cat-litter-38-lbs", "https://www.shelhealth.com/products/purina-tidy-cats-clumping-instant-action-cat-litter-38-lbs")</f>
        <v/>
      </c>
      <c r="B1053" s="2">
        <f>HYPERLINK("https://www.shelhealth.com/products/purina-tidy-cats-clumping-instant-action-cat-litter-38-lbs", "https://www.shelhealth.com/products/purina-tidy-cats-clumping-instant-action-cat-litter-38-lbs")</f>
        <v/>
      </c>
      <c r="C1053" t="inlineStr">
        <is>
          <t>Purina Tidy Cats Clumping Instant-Action Cat Litter, 38 lbs.</t>
        </is>
      </c>
      <c r="D1053" t="inlineStr">
        <is>
          <t>Purina Tidy Cats Non Clumping Cat Litter, Instant Action Low Tracking Cat Litter - 30 lb. Bag</t>
        </is>
      </c>
      <c r="E1053" s="2">
        <f>HYPERLINK("https://www.amazon.com/Purina-Tidy-Cats-Multiple-Non-Clumping/dp/B000F1MTGM/ref=sr_1_2?keywords=Purina+Tidy+Cats+Clumping+Instant-Action+Cat+Litter%2C+38+lbs.&amp;qid=1695170291&amp;sr=8-2", "https://www.amazon.com/Purina-Tidy-Cats-Multiple-Non-Clumping/dp/B000F1MTGM/ref=sr_1_2?keywords=Purina+Tidy+Cats+Clumping+Instant-Action+Cat+Litter%2C+38+lbs.&amp;qid=1695170291&amp;sr=8-2")</f>
        <v/>
      </c>
      <c r="F1053" t="inlineStr">
        <is>
          <t>B000F1MTGM</t>
        </is>
      </c>
      <c r="G1053">
        <f>_xludf.IMAGE("https://www.shelhealth.com/cdn/shop/products/purina-tidy-cats-clumping-instant-action-cat-litter-38-lbs-shelhealth-987.jpg?v=1663370319&amp;width=1946")</f>
        <v/>
      </c>
      <c r="H1053">
        <f>_xludf.IMAGE("https://m.media-amazon.com/images/I/81OJnZCdPvL._AC_UL320_.jpg")</f>
        <v/>
      </c>
      <c r="K1053" t="inlineStr">
        <is>
          <t>32.99</t>
        </is>
      </c>
      <c r="L1053" t="n">
        <v>36.99</v>
      </c>
      <c r="M1053" s="1" t="inlineStr">
        <is>
          <t>12.12%</t>
        </is>
      </c>
      <c r="N1053" s="3" t="n">
        <v>12.12</v>
      </c>
      <c r="O1053" t="n">
        <v>4.3</v>
      </c>
      <c r="P1053" t="n">
        <v>3072</v>
      </c>
      <c r="R1053" t="inlineStr">
        <is>
          <t>InStock</t>
        </is>
      </c>
      <c r="S1053" t="inlineStr">
        <is>
          <t>32.99</t>
        </is>
      </c>
      <c r="T1053" t="inlineStr">
        <is>
          <t>4664132763737</t>
        </is>
      </c>
    </row>
    <row r="1054" hidden="1" ht="15.75" customHeight="1">
      <c r="A1054" s="2">
        <f>HYPERLINK("https://www.shelhealth.com/products/cadet-gourmet-bull-sticks-12-pack", "https://www.shelhealth.com/products/cadet-gourmet-bull-sticks-12-pack")</f>
        <v/>
      </c>
      <c r="B1054" s="2">
        <f>HYPERLINK("https://www.shelhealth.com/products/cadet-gourmet-bull-sticks-12-pack", "https://www.shelhealth.com/products/cadet-gourmet-bull-sticks-12-pack")</f>
        <v/>
      </c>
      <c r="C1054" t="inlineStr">
        <is>
          <t>Cadet Gourmet Bull Sticks 12 Pack</t>
        </is>
      </c>
      <c r="D1054" t="inlineStr">
        <is>
          <t>Cadet Gourmet Bull Sticks 12 Pack, 21 oz (949145)</t>
        </is>
      </c>
      <c r="E1054" s="2">
        <f>HYPERLINK("https://www.amazon.com/Cadet-Gourmet-Bull-Sticks-Pack/dp/B0099CNDTA/ref=sr_1_1?keywords=cadet+gourmet+bully+sticks+12+pack&amp;qid=1695170291&amp;sr=8-1", "https://www.amazon.com/Cadet-Gourmet-Bull-Sticks-Pack/dp/B0099CNDTA/ref=sr_1_1?keywords=cadet+gourmet+bully+sticks+12+pack&amp;qid=1695170291&amp;sr=8-1")</f>
        <v/>
      </c>
      <c r="F1054" t="inlineStr">
        <is>
          <t>B0099CNDTA</t>
        </is>
      </c>
      <c r="G1054">
        <f>_xludf.IMAGE("https://www.shelhealth.com/cdn/shop/products/cadet-gourmet-bull-sticks-12-pack-shelhealth-774.jpg?v=1663359922&amp;width=1946")</f>
        <v/>
      </c>
      <c r="H1054">
        <f>_xludf.IMAGE("https://m.media-amazon.com/images/I/91-9sTmPplL._AC_UL320_.jpg")</f>
        <v/>
      </c>
      <c r="K1054" t="inlineStr">
        <is>
          <t>51.99</t>
        </is>
      </c>
      <c r="L1054" t="n">
        <v>57.41</v>
      </c>
      <c r="M1054" s="1" t="inlineStr">
        <is>
          <t>10.43%</t>
        </is>
      </c>
      <c r="N1054" s="3" t="n">
        <v>10.43</v>
      </c>
      <c r="O1054" t="n">
        <v>4.6</v>
      </c>
      <c r="P1054" t="n">
        <v>1395</v>
      </c>
      <c r="R1054" t="inlineStr">
        <is>
          <t>OutOfStock</t>
        </is>
      </c>
      <c r="S1054" t="inlineStr">
        <is>
          <t>51.99</t>
        </is>
      </c>
      <c r="T1054" t="inlineStr">
        <is>
          <t>4389671796825</t>
        </is>
      </c>
    </row>
    <row r="1055" hidden="1" ht="15.75" customHeight="1">
      <c r="A1055" s="2">
        <f>HYPERLINK("https://www.shelhealth.com/products/cadet-choice-chews-peanut-butter-flavor-no-rawhide-40-oz", "https://www.shelhealth.com/products/cadet-choice-chews-peanut-butter-flavor-no-rawhide-40-oz")</f>
        <v/>
      </c>
      <c r="B1055" s="2">
        <f>HYPERLINK("https://www.shelhealth.com/products/cadet-choice-chews-peanut-butter-flavor-no-rawhide-40-oz", "https://www.shelhealth.com/products/cadet-choice-chews-peanut-butter-flavor-no-rawhide-40-oz")</f>
        <v/>
      </c>
      <c r="C1055" t="inlineStr">
        <is>
          <t>Cadet Choice Chews Peanut Butter Flavor, No RawHide, 40 oz.</t>
        </is>
      </c>
      <c r="D1055" t="inlineStr">
        <is>
          <t>Cadet Choice Chews 12 Large Knotted Bones no Rawhide no Artificial Colors or Flavors, Made with Real Peanut Butter 40 OZ</t>
        </is>
      </c>
      <c r="E1055" s="2">
        <f>HYPERLINK("https://www.amazon.com/Choice-Knotted-Rawhide-Artificial-Flavors/dp/B0CB22NSFN/ref=sr_1_1?keywords=Cadet+Choice+Chews+Peanut+Butter+Flavor%2C+No+RawHide%2C+40+oz.&amp;qid=1695170355&amp;sr=8-1", "https://www.amazon.com/Choice-Knotted-Rawhide-Artificial-Flavors/dp/B0CB22NSFN/ref=sr_1_1?keywords=Cadet+Choice+Chews+Peanut+Butter+Flavor%2C+No+RawHide%2C+40+oz.&amp;qid=1695170355&amp;sr=8-1")</f>
        <v/>
      </c>
      <c r="F1055" t="inlineStr">
        <is>
          <t>B0CB22NSFN</t>
        </is>
      </c>
      <c r="G1055">
        <f>_xludf.IMAGE("https://www.shelhealth.com/cdn/shop/files/cadet-choice-chews-peanut-butter-flavor-no-rawhide-40-oz-shelhealth-580.jpg?v=1694418926&amp;width=1946")</f>
        <v/>
      </c>
      <c r="H1055">
        <f>_xludf.IMAGE("https://m.media-amazon.com/images/I/41FugRGLZgL._AC_UL320_.jpg")</f>
        <v/>
      </c>
      <c r="K1055" t="inlineStr">
        <is>
          <t>24.99</t>
        </is>
      </c>
      <c r="L1055" t="n">
        <v>27.48</v>
      </c>
      <c r="M1055" s="1" t="inlineStr">
        <is>
          <t>9.96%</t>
        </is>
      </c>
      <c r="N1055" s="3" t="n">
        <v>9.960000000000001</v>
      </c>
      <c r="O1055" t="n">
        <v>2.4</v>
      </c>
      <c r="P1055" t="n">
        <v>5</v>
      </c>
      <c r="R1055" t="inlineStr">
        <is>
          <t>InStock</t>
        </is>
      </c>
      <c r="S1055" t="inlineStr">
        <is>
          <t>24.99</t>
        </is>
      </c>
      <c r="T1055" t="inlineStr">
        <is>
          <t>8340652982504</t>
        </is>
      </c>
    </row>
    <row r="1056" hidden="1" ht="15.75" customHeight="1">
      <c r="A1056" s="2">
        <f>HYPERLINK("https://www.shelhealth.com/products/blue-dog-bakery-peanut-butter-softies-dog-treats-72-oz", "https://www.shelhealth.com/products/blue-dog-bakery-peanut-butter-softies-dog-treats-72-oz")</f>
        <v/>
      </c>
      <c r="B1056" s="2">
        <f>HYPERLINK("https://www.shelhealth.com/products/blue-dog-bakery-peanut-butter-softies-dog-treats-72-oz", "https://www.shelhealth.com/products/blue-dog-bakery-peanut-butter-softies-dog-treats-72-oz")</f>
        <v/>
      </c>
      <c r="C1056" t="inlineStr">
        <is>
          <t>Blue Dog Bakery Peanut Butter Softies Dog Treats, 72 oz.</t>
        </is>
      </c>
      <c r="D1056" t="inlineStr">
        <is>
          <t>Blue Dog Bakery Natural Dog Treats, Softies, Peanut Butter Flavor, 16.2oz Bag, 6 Bags</t>
        </is>
      </c>
      <c r="E1056" s="2">
        <f>HYPERLINK("https://www.amazon.com/Blue-Dog-Bakery-Treats-All-Natural/dp/B06XZL3MPG/ref=sr_1_1?keywords=Blue+Dog+Bakery+Peanut+Butter+Softies+Dog+Treats%2C+72+oz.&amp;qid=1695170285&amp;sr=8-1", "https://www.amazon.com/Blue-Dog-Bakery-Treats-All-Natural/dp/B06XZL3MPG/ref=sr_1_1?keywords=Blue+Dog+Bakery+Peanut+Butter+Softies+Dog+Treats%2C+72+oz.&amp;qid=1695170285&amp;sr=8-1")</f>
        <v/>
      </c>
      <c r="F1056" t="inlineStr">
        <is>
          <t>B06XZL3MPG</t>
        </is>
      </c>
      <c r="G1056">
        <f>_xludf.IMAGE("https://www.shelhealth.com/cdn/shop/products/blue-dog-bakery-peanut-butter-softies-treats-72-oz-shelhealth-341.jpg?v=1663354436&amp;width=1946")</f>
        <v/>
      </c>
      <c r="H1056">
        <f>_xludf.IMAGE("https://m.media-amazon.com/images/I/71gn-vs5y2L._AC_UL320_.jpg")</f>
        <v/>
      </c>
      <c r="K1056" t="inlineStr">
        <is>
          <t>23.99</t>
        </is>
      </c>
      <c r="L1056" t="n">
        <v>25.14</v>
      </c>
      <c r="M1056" s="1" t="inlineStr">
        <is>
          <t>4.79%</t>
        </is>
      </c>
      <c r="N1056" s="3" t="n">
        <v>4.79</v>
      </c>
      <c r="O1056" t="n">
        <v>4.4</v>
      </c>
      <c r="P1056" t="n">
        <v>7854</v>
      </c>
      <c r="R1056" t="inlineStr">
        <is>
          <t>OutOfStock</t>
        </is>
      </c>
      <c r="S1056" t="inlineStr">
        <is>
          <t>23.99</t>
        </is>
      </c>
      <c r="T1056" t="inlineStr">
        <is>
          <t>4167587594292</t>
        </is>
      </c>
    </row>
    <row r="1057" hidden="1" ht="15.75" customHeight="1">
      <c r="A1057" s="2">
        <f>HYPERLINK("https://www.shelhealth.com/products/top-chews-pork-chicken-sausage-dog-treats-100-natural-36-oz", "https://www.shelhealth.com/products/top-chews-pork-chicken-sausage-dog-treats-100-natural-36-oz")</f>
        <v/>
      </c>
      <c r="B1057" s="2">
        <f>HYPERLINK("https://www.shelhealth.com/products/top-chews-pork-chicken-sausage-dog-treats-100-natural-36-oz", "https://www.shelhealth.com/products/top-chews-pork-chicken-sausage-dog-treats-100-natural-36-oz")</f>
        <v/>
      </c>
      <c r="C1057" t="inlineStr">
        <is>
          <t>Top Chews Pork &amp; Chicken Sausage Dog Treats 100% Natural, 36 oz.</t>
        </is>
      </c>
      <c r="D1057" t="inlineStr">
        <is>
          <t>Top Chews Pork &amp; Chicken Sausage Dog Treats 100% Natural 36 OZ</t>
        </is>
      </c>
      <c r="E1057" s="2">
        <f>HYPERLINK("https://www.amazon.com/Top-Chews-Chicken-Sausage-Natural/dp/B07NPH9G1G/ref=sr_1_2?keywords=Top+Chews+Pork&amp;qid=1695170296&amp;sr=8-2", "https://www.amazon.com/Top-Chews-Chicken-Sausage-Natural/dp/B07NPH9G1G/ref=sr_1_2?keywords=Top+Chews+Pork&amp;qid=1695170296&amp;sr=8-2")</f>
        <v/>
      </c>
      <c r="F1057" t="inlineStr">
        <is>
          <t>B07NPH9G1G</t>
        </is>
      </c>
      <c r="G1057">
        <f>_xludf.IMAGE("https://www.shelhealth.com/cdn/shop/products/top-chews-pork-chicken-sausage-dog-treats-100-natural-36-oz-shelhealth-640.jpg?v=1663658174&amp;width=1946")</f>
        <v/>
      </c>
      <c r="H1057">
        <f>_xludf.IMAGE("https://m.media-amazon.com/images/I/81ZyGEJ-qTL._AC_UL320_.jpg")</f>
        <v/>
      </c>
      <c r="K1057" t="inlineStr">
        <is>
          <t>22.99</t>
        </is>
      </c>
      <c r="L1057" t="n">
        <v>23.99</v>
      </c>
      <c r="M1057" s="1" t="inlineStr">
        <is>
          <t>4.35%</t>
        </is>
      </c>
      <c r="N1057" s="3" t="n">
        <v>4.35</v>
      </c>
      <c r="O1057" t="n">
        <v>4.8</v>
      </c>
      <c r="P1057" t="n">
        <v>2117</v>
      </c>
      <c r="R1057" t="inlineStr">
        <is>
          <t>OutOfStock</t>
        </is>
      </c>
      <c r="S1057" t="inlineStr">
        <is>
          <t>22.99</t>
        </is>
      </c>
      <c r="T1057" t="inlineStr">
        <is>
          <t>6174537810108</t>
        </is>
      </c>
    </row>
    <row r="1058" hidden="1" ht="15.75" customHeight="1">
      <c r="A1058" s="2">
        <f>HYPERLINK("https://www.shelhealth.com/products/nylabon-grain-free-with-real-bison-edible-dog-chews-48-count", "https://www.shelhealth.com/products/nylabon-grain-free-with-real-bison-edible-dog-chews-48-count")</f>
        <v/>
      </c>
      <c r="B1058" s="2">
        <f>HYPERLINK("https://www.shelhealth.com/products/nylabon-grain-free-with-real-bison-edible-dog-chews-48-count", "https://www.shelhealth.com/products/nylabon-grain-free-with-real-bison-edible-dog-chews-48-count")</f>
        <v/>
      </c>
      <c r="C1058" t="inlineStr">
        <is>
          <t>Nylabon Grain-Free with Real Bison Edible Dog Chews 48-Count</t>
        </is>
      </c>
      <c r="D1058" t="inlineStr">
        <is>
          <t>Nylabone Dog Chew Grain Free Edible With Real Bison Highly Digestible No Corn No Meat By- Product ( 48 Chew) (One Pack- 2.1 LB)</t>
        </is>
      </c>
      <c r="E1058" s="2">
        <f>HYPERLINK("https://www.amazon.com/Nylabone-Edible-Highly-Digestible-Product/dp/B0812D2Z9W/ref=sr_1_1?keywords=nylabone+grain-free+with+real+bison+edible+dog+chews+48-count&amp;qid=1695170292&amp;sr=8-1", "https://www.amazon.com/Nylabone-Edible-Highly-Digestible-Product/dp/B0812D2Z9W/ref=sr_1_1?keywords=nylabone+grain-free+with+real+bison+edible+dog+chews+48-count&amp;qid=1695170292&amp;sr=8-1")</f>
        <v/>
      </c>
      <c r="F1058" t="inlineStr">
        <is>
          <t>B0812D2Z9W</t>
        </is>
      </c>
      <c r="G1058">
        <f>_xludf.IMAGE("https://www.shelhealth.com/cdn/shop/products/nylabon-grain-free-with-real-bison-edible-dog-chews-48-count-nylabone-shelhealth-251.jpg?v=1663359881&amp;width=1946")</f>
        <v/>
      </c>
      <c r="H1058">
        <f>_xludf.IMAGE("https://m.media-amazon.com/images/I/91si-t7heZL._AC_UL320_.jpg")</f>
        <v/>
      </c>
      <c r="K1058" t="inlineStr">
        <is>
          <t>27.99</t>
        </is>
      </c>
      <c r="L1058" t="n">
        <v>28.99</v>
      </c>
      <c r="M1058" s="1" t="inlineStr">
        <is>
          <t>3.57%</t>
        </is>
      </c>
      <c r="N1058" s="3" t="n">
        <v>3.57</v>
      </c>
      <c r="O1058" t="n">
        <v>4.7</v>
      </c>
      <c r="P1058" t="n">
        <v>952</v>
      </c>
      <c r="R1058" t="inlineStr">
        <is>
          <t>OutOfStock</t>
        </is>
      </c>
      <c r="S1058" t="inlineStr">
        <is>
          <t>27.99</t>
        </is>
      </c>
      <c r="T1058" t="inlineStr">
        <is>
          <t>4387814080601</t>
        </is>
      </c>
    </row>
    <row r="1059" hidden="1" ht="15.75" customHeight="1">
      <c r="A1059" s="2">
        <f>HYPERLINK("https://www.shelhealth.com/products/purina-friskies-cat-treats-party-mix-2-pk-20-oz", "https://www.shelhealth.com/products/purina-friskies-cat-treats-party-mix-2-pk-20-oz")</f>
        <v/>
      </c>
      <c r="B1059" s="2">
        <f>HYPERLINK("https://www.shelhealth.com/products/purina-friskies-cat-treats-party-mix-2-pk-20-oz", "https://www.shelhealth.com/products/purina-friskies-cat-treats-party-mix-2-pk-20-oz")</f>
        <v/>
      </c>
      <c r="C1059" t="inlineStr">
        <is>
          <t>Purina Friskies Cat Treats Party Mix, 2 pk./20 oz.</t>
        </is>
      </c>
      <c r="D1059" t="inlineStr">
        <is>
          <t>Aurora Pet Bundle (2) 20 oz Friskies Party Mix Original Crunch Chicken Cat Treats with AuroraPet Wipes</t>
        </is>
      </c>
      <c r="E1059" s="2">
        <f>HYPERLINK("https://www.amazon.com/Aurora-Pet-Friskies-Original-AuroraPet/dp/B0BLJ5HYNH/ref=sr_1_7?keywords=Purina+Friskies+Cat+Treats+Party+Mix%2C+2+pk.%2F20+oz.&amp;qid=1695170281&amp;sr=8-7", "https://www.amazon.com/Aurora-Pet-Friskies-Original-AuroraPet/dp/B0BLJ5HYNH/ref=sr_1_7?keywords=Purina+Friskies+Cat+Treats+Party+Mix%2C+2+pk.%2F20+oz.&amp;qid=1695170281&amp;sr=8-7")</f>
        <v/>
      </c>
      <c r="F1059" t="inlineStr">
        <is>
          <t>B0BLJ5HYNH</t>
        </is>
      </c>
      <c r="G1059">
        <f>_xludf.IMAGE("https://www.shelhealth.com/cdn/shop/files/purina-friskies-cat-treats-party-mix-2-pk-20-oz-grocery-household-petpet-shelhealth-937.jpg?v=1686284201&amp;width=1946")</f>
        <v/>
      </c>
      <c r="H1059">
        <f>_xludf.IMAGE("https://m.media-amazon.com/images/I/71VDNbABZoL._AC_UL320_.jpg")</f>
        <v/>
      </c>
      <c r="K1059" t="inlineStr">
        <is>
          <t>27.99</t>
        </is>
      </c>
      <c r="L1059" t="n">
        <v>27.99</v>
      </c>
      <c r="M1059" s="1" t="inlineStr">
        <is>
          <t>0.00%</t>
        </is>
      </c>
      <c r="N1059" s="3" t="n">
        <v>0</v>
      </c>
      <c r="O1059" t="n">
        <v>4.7</v>
      </c>
      <c r="P1059" t="n">
        <v>50</v>
      </c>
      <c r="R1059" t="inlineStr">
        <is>
          <t>InStock</t>
        </is>
      </c>
      <c r="S1059" t="inlineStr">
        <is>
          <t>27.99</t>
        </is>
      </c>
      <c r="T1059" t="inlineStr">
        <is>
          <t>4169615933492</t>
        </is>
      </c>
    </row>
    <row r="1060" hidden="1" ht="15.75" customHeight="1">
      <c r="A1060" s="2">
        <f>HYPERLINK("https://www.shelhealth.com/products/purina-friskies-cat-treats-party-mix-2-pk-20-oz", "https://www.shelhealth.com/products/purina-friskies-cat-treats-party-mix-2-pk-20-oz")</f>
        <v/>
      </c>
      <c r="B1060" s="2">
        <f>HYPERLINK("https://www.shelhealth.com/products/purina-friskies-cat-treats-party-mix-2-pk-20-oz", "https://www.shelhealth.com/products/purina-friskies-cat-treats-party-mix-2-pk-20-oz")</f>
        <v/>
      </c>
      <c r="C1060" t="inlineStr">
        <is>
          <t>Purina Friskies Cat Treats Party Mix, 2 pk./20 oz.</t>
        </is>
      </c>
      <c r="D1060" t="inlineStr">
        <is>
          <t>Aurora Pet Bundle Set (2) Friskies Party Mix Beachside Crunchy Cat Treats (20-oz Each) with AuroraPet Wipes</t>
        </is>
      </c>
      <c r="E1060" s="2">
        <f>HYPERLINK("https://www.amazon.com/Aurora-Pet-Friskies-Beachside-AuroraPet/dp/B0BNWDCL4H/ref=sr_1_10?keywords=Purina+Friskies+Cat+Treats+Party+Mix%2C+2+pk.%2F20+oz.&amp;qid=1695170281&amp;sr=8-10", "https://www.amazon.com/Aurora-Pet-Friskies-Beachside-AuroraPet/dp/B0BNWDCL4H/ref=sr_1_10?keywords=Purina+Friskies+Cat+Treats+Party+Mix%2C+2+pk.%2F20+oz.&amp;qid=1695170281&amp;sr=8-10")</f>
        <v/>
      </c>
      <c r="F1060" t="inlineStr">
        <is>
          <t>B0BNWDCL4H</t>
        </is>
      </c>
      <c r="G1060">
        <f>_xludf.IMAGE("https://www.shelhealth.com/cdn/shop/files/purina-friskies-cat-treats-party-mix-2-pk-20-oz-grocery-household-petpet-shelhealth-937.jpg?v=1686284201&amp;width=1946")</f>
        <v/>
      </c>
      <c r="H1060">
        <f>_xludf.IMAGE("https://m.media-amazon.com/images/I/81kHDPewY4L._AC_UL320_.jpg")</f>
        <v/>
      </c>
      <c r="K1060" t="inlineStr">
        <is>
          <t>27.99</t>
        </is>
      </c>
      <c r="L1060" t="n">
        <v>27.99</v>
      </c>
      <c r="M1060" s="1" t="inlineStr">
        <is>
          <t>0.00%</t>
        </is>
      </c>
      <c r="N1060" s="3" t="n">
        <v>0</v>
      </c>
      <c r="O1060" t="n">
        <v>4.7</v>
      </c>
      <c r="P1060" t="n">
        <v>33</v>
      </c>
      <c r="R1060" t="inlineStr">
        <is>
          <t>InStock</t>
        </is>
      </c>
      <c r="S1060" t="inlineStr">
        <is>
          <t>27.99</t>
        </is>
      </c>
      <c r="T1060" t="inlineStr">
        <is>
          <t>4169615933492</t>
        </is>
      </c>
    </row>
    <row r="1061" hidden="1" ht="15.75" customHeight="1">
      <c r="A1061" s="2">
        <f>HYPERLINK("https://www.shelhealth.com/products/035883014073-petguard-food-supplement-for-skin-coat-8-oz", "https://www.shelhealth.com/products/035883014073-petguard-food-supplement-for-skin-coat-8-oz")</f>
        <v/>
      </c>
      <c r="B1061" s="2">
        <f>HYPERLINK("https://www.shelhealth.com/products/035883014073-petguard-food-supplement-for-skin-coat-8-oz", "https://www.shelhealth.com/products/035883014073-petguard-food-supplement-for-skin-coat-8-oz")</f>
        <v/>
      </c>
      <c r="C1061" t="inlineStr">
        <is>
          <t>PETGUARD Food Supplement for Skin &amp; Coat, 8 oz</t>
        </is>
      </c>
      <c r="D1061" t="inlineStr">
        <is>
          <t>Pure Wild Alaskan Salmon Oil for Dogs &amp; Cats - Omega 3 Skin &amp; Coat Support - Liquid Food Supplement for Pets - Natural EPA + DHA Fatty Acids for Joint Function, Immune &amp; Heart Health 8 Fl Oz</t>
        </is>
      </c>
      <c r="E1061" s="2">
        <f>HYPERLINK("https://www.amazon.com/Zesty-Paws-Dog-Salmon-oil/dp/B071RVWGYJ/ref=sr_1_7?keywords=PETGUARD+Food+Supplement+for+Skin+%26+Coat%2C+8+oz&amp;qid=1695170318&amp;sr=8-7", "https://www.amazon.com/Zesty-Paws-Dog-Salmon-oil/dp/B071RVWGYJ/ref=sr_1_7?keywords=PETGUARD+Food+Supplement+for+Skin+%26+Coat%2C+8+oz&amp;qid=1695170318&amp;sr=8-7")</f>
        <v/>
      </c>
      <c r="F1061" t="inlineStr">
        <is>
          <t>B071RVWGYJ</t>
        </is>
      </c>
      <c r="G1061">
        <f>_xludf.IMAGE("https://www.shelhealth.com/cdn/shop/files/petguard-food-supplement-for-skin-coat-8-oz-pet-shelhealth-450.jpg?v=1686222203&amp;width=1946")</f>
        <v/>
      </c>
      <c r="H1061">
        <f>_xludf.IMAGE("https://m.media-amazon.com/images/I/61yOZ4PfZsL._AC_UL320_.jpg")</f>
        <v/>
      </c>
      <c r="K1061" t="inlineStr">
        <is>
          <t>14.99</t>
        </is>
      </c>
      <c r="L1061" t="n">
        <v>14.97</v>
      </c>
      <c r="M1061" s="1" t="inlineStr">
        <is>
          <t>-0.13%</t>
        </is>
      </c>
      <c r="N1061" s="3" t="n">
        <v>-0.13</v>
      </c>
      <c r="O1061" t="n">
        <v>4.5</v>
      </c>
      <c r="P1061" t="n">
        <v>55603</v>
      </c>
      <c r="R1061" t="inlineStr">
        <is>
          <t>OutOfStock</t>
        </is>
      </c>
      <c r="S1061" t="inlineStr">
        <is>
          <t>14.99</t>
        </is>
      </c>
      <c r="T1061" t="inlineStr">
        <is>
          <t>7574251831528</t>
        </is>
      </c>
    </row>
    <row r="1062" hidden="1" ht="15.75" customHeight="1">
      <c r="A1062" s="2">
        <f>HYPERLINK("https://www.shelhealth.com/products/035883014073-petguard-food-supplement-for-skin-coat-8-oz", "https://www.shelhealth.com/products/035883014073-petguard-food-supplement-for-skin-coat-8-oz")</f>
        <v/>
      </c>
      <c r="B1062" s="2">
        <f>HYPERLINK("https://www.shelhealth.com/products/035883014073-petguard-food-supplement-for-skin-coat-8-oz", "https://www.shelhealth.com/products/035883014073-petguard-food-supplement-for-skin-coat-8-oz")</f>
        <v/>
      </c>
      <c r="C1062" t="inlineStr">
        <is>
          <t>PETGUARD Food Supplement for Skin &amp; Coat, 8 oz</t>
        </is>
      </c>
      <c r="D1062" t="inlineStr">
        <is>
          <t>Vet Recommended Natural Wild Alaskan Salmon Oil for Dogs &amp; Cats 8 oz - Omega 3 &amp; 6 Extra Strength Supplement Food Additive with EPA DHA Fatty Acids for Skin, Coat, Joint, and Immune Support</t>
        </is>
      </c>
      <c r="E1062" s="2">
        <f>HYPERLINK("https://www.amazon.com/Recommended-Natural-Wild-Alaskan-Salmon/dp/B0BTDXDYPZ/ref=sr_1_2?keywords=PETGUARD+Food+Supplement+for+Skin+%26+Coat%2C+8+oz&amp;qid=1695170318&amp;rdc=1&amp;sr=8-2", "https://www.amazon.com/Recommended-Natural-Wild-Alaskan-Salmon/dp/B0BTDXDYPZ/ref=sr_1_2?keywords=PETGUARD+Food+Supplement+for+Skin+%26+Coat%2C+8+oz&amp;qid=1695170318&amp;rdc=1&amp;sr=8-2")</f>
        <v/>
      </c>
      <c r="F1062" t="inlineStr">
        <is>
          <t>B0BTDXDYPZ</t>
        </is>
      </c>
      <c r="G1062">
        <f>_xludf.IMAGE("https://www.shelhealth.com/cdn/shop/files/petguard-food-supplement-for-skin-coat-8-oz-pet-shelhealth-450.jpg?v=1686222203&amp;width=1946")</f>
        <v/>
      </c>
      <c r="H1062">
        <f>_xludf.IMAGE("https://m.media-amazon.com/images/I/71hU5Uh8xFL._AC_UL320_.jpg")</f>
        <v/>
      </c>
      <c r="K1062" t="inlineStr">
        <is>
          <t>14.99</t>
        </is>
      </c>
      <c r="L1062" t="n">
        <v>14.69</v>
      </c>
      <c r="M1062" s="1" t="inlineStr">
        <is>
          <t>-2.00%</t>
        </is>
      </c>
      <c r="N1062" s="3" t="n">
        <v>-2</v>
      </c>
      <c r="O1062" t="n">
        <v>4.5</v>
      </c>
      <c r="P1062" t="n">
        <v>228</v>
      </c>
      <c r="R1062" t="inlineStr">
        <is>
          <t>OutOfStock</t>
        </is>
      </c>
      <c r="S1062" t="inlineStr">
        <is>
          <t>14.99</t>
        </is>
      </c>
      <c r="T1062" t="inlineStr">
        <is>
          <t>7574251831528</t>
        </is>
      </c>
    </row>
    <row r="1063" hidden="1" ht="15.75" customHeight="1">
      <c r="A1063" s="2">
        <f>HYPERLINK("https://www.shelhealth.com/products/blue-buffalo-chicken-and-brown-rice-life-protection-formula-small-breed-dry-dog-food-20-lbs", "https://www.shelhealth.com/products/blue-buffalo-chicken-and-brown-rice-life-protection-formula-small-breed-dry-dog-food-20-lbs")</f>
        <v/>
      </c>
      <c r="B1063" s="2">
        <f>HYPERLINK("https://www.shelhealth.com/products/blue-buffalo-chicken-and-brown-rice-life-protection-formula-small-breed-dry-dog-food-20-lbs", "https://www.shelhealth.com/products/blue-buffalo-chicken-and-brown-rice-life-protection-formula-small-breed-dry-dog-food-20-lbs")</f>
        <v/>
      </c>
      <c r="C1063" t="inlineStr">
        <is>
          <t>Blue Buffalo Chicken and Brown Rice Life Protection Formula Small Breed Dry Dog Food, 20 lbs.</t>
        </is>
      </c>
      <c r="D1063" t="inlineStr">
        <is>
          <t>Blue Buffalo Life Protection Formula Natural Adult Small Bite Dry Dog Food, Chicken and Brown Rice 30-lb</t>
        </is>
      </c>
      <c r="E1063" s="2">
        <f>HYPERLINK("https://www.amazon.com/Blue-Buffalo-Protection-Formula-Adult/dp/B00CTJ8E8K/ref=sr_1_6?keywords=Blue+Buffalo+Chicken+and+Brown+Rice+Life+Protection+Formula+Small+Breed+Dry+Dog+Food%2C+20+lbs.&amp;qid=1695170324&amp;sr=8-6", "https://www.amazon.com/Blue-Buffalo-Protection-Formula-Adult/dp/B00CTJ8E8K/ref=sr_1_6?keywords=Blue+Buffalo+Chicken+and+Brown+Rice+Life+Protection+Formula+Small+Breed+Dry+Dog+Food%2C+20+lbs.&amp;qid=1695170324&amp;sr=8-6")</f>
        <v/>
      </c>
      <c r="F1063" t="inlineStr">
        <is>
          <t>B00CTJ8E8K</t>
        </is>
      </c>
      <c r="G1063">
        <f>_xludf.IMAGE("https://www.shelhealth.com/cdn/shop/products/blue-buffalo-chicken-and-brown-rice-life-protection-formula-small-breed-dry-dog-food-20-lbs-shelhealth-718.jpg?v=1663370054&amp;width=1946")</f>
        <v/>
      </c>
      <c r="H1063">
        <f>_xludf.IMAGE("https://m.media-amazon.com/images/I/71pMS1wB-yL._AC_UL320_.jpg")</f>
        <v/>
      </c>
      <c r="K1063" t="inlineStr">
        <is>
          <t>66.99</t>
        </is>
      </c>
      <c r="L1063" t="n">
        <v>64.98</v>
      </c>
      <c r="M1063" s="1" t="inlineStr">
        <is>
          <t>-3.00%</t>
        </is>
      </c>
      <c r="N1063" s="3" t="n">
        <v>-3</v>
      </c>
      <c r="O1063" t="n">
        <v>4.7</v>
      </c>
      <c r="P1063" t="n">
        <v>30706</v>
      </c>
      <c r="R1063" t="inlineStr">
        <is>
          <t>InStock</t>
        </is>
      </c>
      <c r="S1063" t="inlineStr">
        <is>
          <t>66.99</t>
        </is>
      </c>
      <c r="T1063" t="inlineStr">
        <is>
          <t>4658728435801</t>
        </is>
      </c>
    </row>
    <row r="1064" hidden="1" ht="15.75" customHeight="1">
      <c r="A1064" s="2">
        <f>HYPERLINK("https://www.shelhealth.com/products/frontline-plus-flea-and-tick-treatment-for-cats-8-month-supply", "https://www.shelhealth.com/products/frontline-plus-flea-and-tick-treatment-for-cats-8-month-supply")</f>
        <v/>
      </c>
      <c r="B1064" s="2">
        <f>HYPERLINK("https://www.shelhealth.com/products/frontline-plus-flea-and-tick-treatment-for-cats-8-month-supply", "https://www.shelhealth.com/products/frontline-plus-flea-and-tick-treatment-for-cats-8-month-supply")</f>
        <v/>
      </c>
      <c r="C1064" t="inlineStr">
        <is>
          <t>Frontline Plus Flea and Tick Treatment for Cats, 8 Month Supply</t>
        </is>
      </c>
      <c r="D1064" t="inlineStr">
        <is>
          <t>FRONTLINE Plus Flea and Tick Treatment for Cats Over 1.5 lbs., 8 Treatments</t>
        </is>
      </c>
      <c r="E1064" s="2">
        <f>HYPERLINK("https://www.amazon.com/Frontline-Plus-Treatment-Month-Supply/dp/B07NF9VV22/ref=sr_1_1?keywords=Frontline+Plus+Flea+and+Tick+Treatment+for+Cats%2C+8+Month+Supply&amp;qid=1695170278&amp;sr=8-1", "https://www.amazon.com/Frontline-Plus-Treatment-Month-Supply/dp/B07NF9VV22/ref=sr_1_1?keywords=Frontline+Plus+Flea+and+Tick+Treatment+for+Cats%2C+8+Month+Supply&amp;qid=1695170278&amp;sr=8-1")</f>
        <v/>
      </c>
      <c r="F1064" t="inlineStr">
        <is>
          <t>B07NF9VV22</t>
        </is>
      </c>
      <c r="G1064">
        <f>_xludf.IMAGE("https://www.shelhealth.com/cdn/shop/products/frontline-plus-flea-and-tick-treatment-for-cats-8-month-supply-shelhealth-499.jpg?v=1663340526&amp;width=1946")</f>
        <v/>
      </c>
      <c r="H1064">
        <f>_xludf.IMAGE("https://m.media-amazon.com/images/I/81sAO+vg0oL._AC_UL320_.jpg")</f>
        <v/>
      </c>
      <c r="K1064" t="inlineStr">
        <is>
          <t>99.99</t>
        </is>
      </c>
      <c r="L1064" t="n">
        <v>93.98999999999999</v>
      </c>
      <c r="M1064" s="1" t="inlineStr">
        <is>
          <t>-6.00%</t>
        </is>
      </c>
      <c r="N1064" s="3" t="n">
        <v>-6</v>
      </c>
      <c r="O1064" t="n">
        <v>4.4</v>
      </c>
      <c r="P1064" t="n">
        <v>41416</v>
      </c>
      <c r="R1064" t="inlineStr">
        <is>
          <t>InStock</t>
        </is>
      </c>
      <c r="S1064" t="inlineStr">
        <is>
          <t>99.99</t>
        </is>
      </c>
      <c r="T1064" t="inlineStr">
        <is>
          <t>3805310681140</t>
        </is>
      </c>
    </row>
    <row r="1065" hidden="1" ht="15.75" customHeight="1">
      <c r="A1065" s="2">
        <f>HYPERLINK("https://www.shelhealth.com/products/jerky-treats-tender-beef-strips-dog-snacks-3-75-lbs", "https://www.shelhealth.com/products/jerky-treats-tender-beef-strips-dog-snacks-3-75-lbs")</f>
        <v/>
      </c>
      <c r="B1065" s="2">
        <f>HYPERLINK("https://www.shelhealth.com/products/jerky-treats-tender-beef-strips-dog-snacks-3-75-lbs", "https://www.shelhealth.com/products/jerky-treats-tender-beef-strips-dog-snacks-3-75-lbs")</f>
        <v/>
      </c>
      <c r="C1065" t="inlineStr">
        <is>
          <t>Jerky Treats Tender Beef Strips Dog Snacks, 3.75 lbs</t>
        </is>
      </c>
      <c r="D1065" t="inlineStr">
        <is>
          <t>Jerky Treats Tender Strips Dog Snacks Beef 60 oz. 3.75 lbs Jerky-hl Jerky-7q (60 Oz)</t>
        </is>
      </c>
      <c r="E1065" s="2">
        <f>HYPERLINK("https://www.amazon.com/Jerky-Treats-Tender-Jerky-hl-Jerky-7q/dp/B0154NENW8/ref=sr_1_2?keywords=Jerky+Treats+Tender+Beef+Strips+Dog+Snacks%2C+3.75+lbs&amp;qid=1695170288&amp;sr=8-2", "https://www.amazon.com/Jerky-Treats-Tender-Jerky-hl-Jerky-7q/dp/B0154NENW8/ref=sr_1_2?keywords=Jerky+Treats+Tender+Beef+Strips+Dog+Snacks%2C+3.75+lbs&amp;qid=1695170288&amp;sr=8-2")</f>
        <v/>
      </c>
      <c r="F1065" t="inlineStr">
        <is>
          <t>B0154NENW8</t>
        </is>
      </c>
      <c r="G1065">
        <f>_xludf.IMAGE("https://www.shelhealth.com/cdn/shop/products/jerky-treats-tender-beef-strips-dog-snacks-3-75-lbs-shelhealth-185.jpg?v=1663358022&amp;width=1946")</f>
        <v/>
      </c>
      <c r="H1065">
        <f>_xludf.IMAGE("https://m.media-amazon.com/images/I/51gvM0r4BtL._AC_UL320_.jpg")</f>
        <v/>
      </c>
      <c r="K1065" t="inlineStr">
        <is>
          <t>19.99</t>
        </is>
      </c>
      <c r="L1065" t="n">
        <v>18.69</v>
      </c>
      <c r="M1065" s="1" t="inlineStr">
        <is>
          <t>-6.50%</t>
        </is>
      </c>
      <c r="N1065" s="3" t="n">
        <v>-6.5</v>
      </c>
      <c r="O1065" t="n">
        <v>4.5</v>
      </c>
      <c r="P1065" t="n">
        <v>1906</v>
      </c>
      <c r="R1065" t="inlineStr">
        <is>
          <t>InStock</t>
        </is>
      </c>
      <c r="S1065" t="inlineStr">
        <is>
          <t>19.99</t>
        </is>
      </c>
      <c r="T1065" t="inlineStr">
        <is>
          <t>4318347722841</t>
        </is>
      </c>
    </row>
    <row r="1066" hidden="1" ht="15.75" customHeight="1">
      <c r="A1066" s="2">
        <f>HYPERLINK("https://www.shelhealth.com/products/026664003423-pet-naturals-of-vermont-chew-hip-joint-pro-11-2-oz", "https://www.shelhealth.com/products/026664003423-pet-naturals-of-vermont-chew-hip-joint-pro-11-2-oz")</f>
        <v/>
      </c>
      <c r="B1066" s="2">
        <f>HYPERLINK("https://www.shelhealth.com/products/026664003423-pet-naturals-of-vermont-chew-hip-joint-pro-11-2-oz", "https://www.shelhealth.com/products/026664003423-pet-naturals-of-vermont-chew-hip-joint-pro-11-2-oz")</f>
        <v/>
      </c>
      <c r="C1066" t="inlineStr">
        <is>
          <t>PET NATURALS OF VERMONT Chew Hip Joint Pro, 11.2 oz</t>
        </is>
      </c>
      <c r="D1066" t="inlineStr">
        <is>
          <t>Pet Naturals of Vermont - Hip + Joint PRO, Daily Hip and Joint Supplement for Dogs, 60 Bite Sized Chews</t>
        </is>
      </c>
      <c r="E1066" s="2">
        <f>HYPERLINK("https://www.amazon.com/Pet-Naturals-Vermont-Joint-Supplement/dp/B015XMKZRW/ref=sr_1_1?keywords=PET+NATURALS+OF+VERMONT+Chew+Hip+Joint+Pro%2C+11.2+oz&amp;qid=1695170346&amp;sr=8-1", "https://www.amazon.com/Pet-Naturals-Vermont-Joint-Supplement/dp/B015XMKZRW/ref=sr_1_1?keywords=PET+NATURALS+OF+VERMONT+Chew+Hip+Joint+Pro%2C+11.2+oz&amp;qid=1695170346&amp;sr=8-1")</f>
        <v/>
      </c>
      <c r="F1066" t="inlineStr">
        <is>
          <t>B015XMKZRW</t>
        </is>
      </c>
      <c r="G1066">
        <f>_xludf.IMAGE("https://www.shelhealth.com/cdn/shop/products/pet-naturals-of-vermont-chew-hip-joint-pro-11-2-oz-shelhealth-716.jpg?v=1663778773&amp;width=1946")</f>
        <v/>
      </c>
      <c r="H1066">
        <f>_xludf.IMAGE("https://m.media-amazon.com/images/I/81cDCy62PwL._AC_UL320_.jpg")</f>
        <v/>
      </c>
      <c r="K1066" t="inlineStr">
        <is>
          <t>22.99</t>
        </is>
      </c>
      <c r="L1066" t="n">
        <v>21.42</v>
      </c>
      <c r="M1066" s="1" t="inlineStr">
        <is>
          <t>-6.83%</t>
        </is>
      </c>
      <c r="N1066" s="3" t="n">
        <v>-6.83</v>
      </c>
      <c r="O1066" t="n">
        <v>4.4</v>
      </c>
      <c r="P1066" t="n">
        <v>35</v>
      </c>
      <c r="R1066" t="inlineStr">
        <is>
          <t>OutOfStock</t>
        </is>
      </c>
      <c r="S1066" t="inlineStr">
        <is>
          <t>22.99</t>
        </is>
      </c>
      <c r="T1066" t="inlineStr">
        <is>
          <t>7574251569384</t>
        </is>
      </c>
    </row>
    <row r="1067" hidden="1" ht="15.75" customHeight="1">
      <c r="A1067" s="2">
        <f>HYPERLINK("https://www.shelhealth.com/products/818575020268-tender-and-true-salmon-and-sweet-potato-dry-dog-food-4-lb", "https://www.shelhealth.com/products/818575020268-tender-and-true-salmon-and-sweet-potato-dry-dog-food-4-lb")</f>
        <v/>
      </c>
      <c r="B1067" s="2">
        <f>HYPERLINK("https://www.shelhealth.com/products/818575020268-tender-and-true-salmon-and-sweet-potato-dry-dog-food-4-lb", "https://www.shelhealth.com/products/818575020268-tender-and-true-salmon-and-sweet-potato-dry-dog-food-4-lb")</f>
        <v/>
      </c>
      <c r="C1067" t="inlineStr">
        <is>
          <t>TENDER AND TRUE Salmon and Sweet Potato Dry Dog Food, 4 lb</t>
        </is>
      </c>
      <c r="D1067" t="inlineStr">
        <is>
          <t>Merrick Dry Dog Food, Real Salmon and Sweet Potato Grain Free Dog Food Recipe - 4.0 lb. Bag</t>
        </is>
      </c>
      <c r="E1067" s="2">
        <f>HYPERLINK("https://www.amazon.com/Merrick-Salmon-Sweet-Potato-Recipe/dp/B07WF9TD31/ref=sr_1_5?keywords=TENDER+AND+TRUE+Salmon+and+Sweet+Potato+Dry+Dog+Food%2C+4+lb&amp;qid=1695170342&amp;sr=8-5", "https://www.amazon.com/Merrick-Salmon-Sweet-Potato-Recipe/dp/B07WF9TD31/ref=sr_1_5?keywords=TENDER+AND+TRUE+Salmon+and+Sweet+Potato+Dry+Dog+Food%2C+4+lb&amp;qid=1695170342&amp;sr=8-5")</f>
        <v/>
      </c>
      <c r="F1067" t="inlineStr">
        <is>
          <t>B07WF9TD31</t>
        </is>
      </c>
      <c r="G1067">
        <f>_xludf.IMAGE("https://www.shelhealth.com/cdn/shop/products/tender-and-true-salmon-sweet-potato-dry-dog-food-4-lb-shelhealth-803.jpg?v=1663787452&amp;width=1946")</f>
        <v/>
      </c>
      <c r="H1067">
        <f>_xludf.IMAGE("https://m.media-amazon.com/images/I/81CQg746J-L._AC_UL320_.jpg")</f>
        <v/>
      </c>
      <c r="K1067" t="inlineStr">
        <is>
          <t>28.99</t>
        </is>
      </c>
      <c r="L1067" t="n">
        <v>26.98</v>
      </c>
      <c r="M1067" s="1" t="inlineStr">
        <is>
          <t>-6.93%</t>
        </is>
      </c>
      <c r="N1067" s="3" t="n">
        <v>-6.93</v>
      </c>
      <c r="O1067" t="n">
        <v>4.7</v>
      </c>
      <c r="P1067" t="n">
        <v>5160</v>
      </c>
      <c r="R1067" t="inlineStr">
        <is>
          <t>InStock</t>
        </is>
      </c>
      <c r="S1067" t="inlineStr">
        <is>
          <t>28.99</t>
        </is>
      </c>
      <c r="T1067" t="inlineStr">
        <is>
          <t>7574331719912</t>
        </is>
      </c>
    </row>
    <row r="1068" hidden="1" ht="15.75" customHeight="1">
      <c r="A1068" s="2">
        <f>HYPERLINK("https://www.shelhealth.com/products/purina-friskies-cat-treats-party-mix-2-pk-20-oz", "https://www.shelhealth.com/products/purina-friskies-cat-treats-party-mix-2-pk-20-oz")</f>
        <v/>
      </c>
      <c r="B1068" s="2">
        <f>HYPERLINK("https://www.shelhealth.com/products/purina-friskies-cat-treats-party-mix-2-pk-20-oz", "https://www.shelhealth.com/products/purina-friskies-cat-treats-party-mix-2-pk-20-oz")</f>
        <v/>
      </c>
      <c r="C1068" t="inlineStr">
        <is>
          <t>Purina Friskies Cat Treats Party Mix, 2 pk./20 oz.</t>
        </is>
      </c>
      <c r="D1068" t="inlineStr">
        <is>
          <t>Purina Friskies Party Mix Original Crunch Cat Treats (20oz. - 2 Pack)</t>
        </is>
      </c>
      <c r="E1068" s="2">
        <f>HYPERLINK("https://www.amazon.com/Purina-Friskies-Original-Crunch-Treats/dp/B01N0FOG86/ref=sr_1_3?keywords=Purina+Friskies+Cat+Treats+Party+Mix%2C+2+pk.%2F20+oz.&amp;qid=1695170281&amp;sr=8-3", "https://www.amazon.com/Purina-Friskies-Original-Crunch-Treats/dp/B01N0FOG86/ref=sr_1_3?keywords=Purina+Friskies+Cat+Treats+Party+Mix%2C+2+pk.%2F20+oz.&amp;qid=1695170281&amp;sr=8-3")</f>
        <v/>
      </c>
      <c r="F1068" t="inlineStr">
        <is>
          <t>B01N0FOG86</t>
        </is>
      </c>
      <c r="G1068">
        <f>_xludf.IMAGE("https://www.shelhealth.com/cdn/shop/files/purina-friskies-cat-treats-party-mix-2-pk-20-oz-grocery-household-petpet-shelhealth-937.jpg?v=1686284201&amp;width=1946")</f>
        <v/>
      </c>
      <c r="H1068">
        <f>_xludf.IMAGE("https://m.media-amazon.com/images/I/61RDL30aLxL._AC_UL320_.jpg")</f>
        <v/>
      </c>
      <c r="K1068" t="inlineStr">
        <is>
          <t>27.99</t>
        </is>
      </c>
      <c r="L1068" t="n">
        <v>25.98</v>
      </c>
      <c r="M1068" s="1" t="inlineStr">
        <is>
          <t>-7.18%</t>
        </is>
      </c>
      <c r="N1068" s="3" t="n">
        <v>-7.18</v>
      </c>
      <c r="O1068" t="n">
        <v>4.8</v>
      </c>
      <c r="P1068" t="n">
        <v>569</v>
      </c>
      <c r="R1068" t="inlineStr">
        <is>
          <t>InStock</t>
        </is>
      </c>
      <c r="S1068" t="inlineStr">
        <is>
          <t>27.99</t>
        </is>
      </c>
      <c r="T1068" t="inlineStr">
        <is>
          <t>4169615933492</t>
        </is>
      </c>
    </row>
    <row r="1069" hidden="1" ht="15.75" customHeight="1">
      <c r="A1069" s="2">
        <f>HYPERLINK("https://www.shelhealth.com/products/cadet-peanut-butter-stuffed-shin-bones-dog-treats-6-ct", "https://www.shelhealth.com/products/cadet-peanut-butter-stuffed-shin-bones-dog-treats-6-ct")</f>
        <v/>
      </c>
      <c r="B1069" s="2">
        <f>HYPERLINK("https://www.shelhealth.com/products/cadet-peanut-butter-stuffed-shin-bones-dog-treats-6-ct", "https://www.shelhealth.com/products/cadet-peanut-butter-stuffed-shin-bones-dog-treats-6-ct")</f>
        <v/>
      </c>
      <c r="C1069" t="inlineStr">
        <is>
          <t>Cadet Peanut Butter Stuffed Shin Bones Dog Treats, 6 ct.</t>
        </is>
      </c>
      <c r="D1069" t="inlineStr">
        <is>
          <t>Raw Paws 3-4" Peanut Butter Filled Femur Bones for Dogs, 6-ct, Filled Dog Bones for Small Dogs &amp; Medium, Stuffed Shin Bones for Dogs, Peanut Butter Filled Bones for Dogs, Filled Marrow Bones for Dogs</t>
        </is>
      </c>
      <c r="E1069" s="2">
        <f>HYPERLINK("https://www.amazon.com/Raw-Paws-Peanut-Butter-Stuffed/dp/B0B9CHYNDY/ref=sr_1_7?keywords=Cadet+Peanut+Butter+Stuffed+Shin+Bones+Dog+Treats%2C+6+ct.&amp;qid=1695170285&amp;sr=8-7", "https://www.amazon.com/Raw-Paws-Peanut-Butter-Stuffed/dp/B0B9CHYNDY/ref=sr_1_7?keywords=Cadet+Peanut+Butter+Stuffed+Shin+Bones+Dog+Treats%2C+6+ct.&amp;qid=1695170285&amp;sr=8-7")</f>
        <v/>
      </c>
      <c r="F1069" t="inlineStr">
        <is>
          <t>B0B9CHYNDY</t>
        </is>
      </c>
      <c r="G1069">
        <f>_xludf.IMAGE("https://www.shelhealth.com/cdn/shop/products/cadet-peanut-butter-stuffed-shin-bones-dog-treats-6-ct-shelhealth-613.jpg?v=1663354526&amp;width=1946")</f>
        <v/>
      </c>
      <c r="H1069">
        <f>_xludf.IMAGE("https://m.media-amazon.com/images/I/81W3xBxVFwL._AC_UL320_.jpg")</f>
        <v/>
      </c>
      <c r="K1069" t="inlineStr">
        <is>
          <t>25.99</t>
        </is>
      </c>
      <c r="L1069" t="n">
        <v>23.99</v>
      </c>
      <c r="M1069" s="1" t="inlineStr">
        <is>
          <t>-7.70%</t>
        </is>
      </c>
      <c r="N1069" s="3" t="n">
        <v>-7.7</v>
      </c>
      <c r="O1069" t="n">
        <v>3.9</v>
      </c>
      <c r="P1069" t="n">
        <v>63</v>
      </c>
      <c r="R1069" t="inlineStr">
        <is>
          <t>InStock</t>
        </is>
      </c>
      <c r="S1069" t="inlineStr">
        <is>
          <t>25.99</t>
        </is>
      </c>
      <c r="T1069" t="inlineStr">
        <is>
          <t>4167633633332</t>
        </is>
      </c>
    </row>
    <row r="1070" hidden="1" ht="15.75" customHeight="1">
      <c r="A1070" s="2">
        <f>HYPERLINK("https://www.shelhealth.com/products/purina-tidy-cats-lightweight-clumping-cat-litter-19-5-lbs", "https://www.shelhealth.com/products/purina-tidy-cats-lightweight-clumping-cat-litter-19-5-lbs")</f>
        <v/>
      </c>
      <c r="B1070" s="2">
        <f>HYPERLINK("https://www.shelhealth.com/products/purina-tidy-cats-lightweight-clumping-cat-litter-19-5-lbs", "https://www.shelhealth.com/products/purina-tidy-cats-lightweight-clumping-cat-litter-19-5-lbs")</f>
        <v/>
      </c>
      <c r="C1070" t="inlineStr">
        <is>
          <t>Purina Tidy Cats LightWeight Clumping Cat Litter, 19.5 lbs.</t>
        </is>
      </c>
      <c r="D1070" t="inlineStr">
        <is>
          <t>Purina Tidy Cats LightWeight, Scoopable Clumping Cat Litter, Tidy Max 24/7 Performance Formula - 17 lb. Box</t>
        </is>
      </c>
      <c r="E1070" s="2">
        <f>HYPERLINK("https://www.amazon.com/Purina-Tidy-Cats-LightWeight-Performance/dp/B07PBF5BVN/ref=sr_1_5?keywords=Purina+Tidy+Cats+LightWeight+Clumping+Cat+Litter%2C+19.5+lbs.&amp;qid=1695170293&amp;sr=8-5", "https://www.amazon.com/Purina-Tidy-Cats-LightWeight-Performance/dp/B07PBF5BVN/ref=sr_1_5?keywords=Purina+Tidy+Cats+LightWeight+Clumping+Cat+Litter%2C+19.5+lbs.&amp;qid=1695170293&amp;sr=8-5")</f>
        <v/>
      </c>
      <c r="F1070" t="inlineStr">
        <is>
          <t>B07PBF5BVN</t>
        </is>
      </c>
      <c r="G1070">
        <f>_xludf.IMAGE("https://www.shelhealth.com/cdn/shop/files/purina-tidy-cats-lightweight-clumping-cat-litter-19-5-lbs-grocery-household-petpet-shelhealth-401.jpg?v=1686283871&amp;width=1946")</f>
        <v/>
      </c>
      <c r="H1070">
        <f>_xludf.IMAGE("https://m.media-amazon.com/images/I/71zSJpLM7eL._AC_UL320_.jpg")</f>
        <v/>
      </c>
      <c r="K1070" t="inlineStr">
        <is>
          <t>32.99</t>
        </is>
      </c>
      <c r="L1070" t="n">
        <v>29.98</v>
      </c>
      <c r="M1070" s="1" t="inlineStr">
        <is>
          <t>-9.12%</t>
        </is>
      </c>
      <c r="N1070" s="3" t="n">
        <v>-9.119999999999999</v>
      </c>
      <c r="O1070" t="n">
        <v>4.5</v>
      </c>
      <c r="P1070" t="n">
        <v>1036</v>
      </c>
      <c r="R1070" t="inlineStr">
        <is>
          <t>InStock</t>
        </is>
      </c>
      <c r="S1070" t="inlineStr">
        <is>
          <t>32.99</t>
        </is>
      </c>
      <c r="T1070" t="inlineStr">
        <is>
          <t>4664137744473</t>
        </is>
      </c>
    </row>
    <row r="1071" hidden="1" ht="15.75" customHeight="1">
      <c r="A1071" s="2">
        <f>HYPERLINK("https://www.shelhealth.com/products/purina-tidy-cats-lightweight-clumping-cat-litter-19-5-lbs", "https://www.shelhealth.com/products/purina-tidy-cats-lightweight-clumping-cat-litter-19-5-lbs")</f>
        <v/>
      </c>
      <c r="B1071" s="2">
        <f>HYPERLINK("https://www.shelhealth.com/products/purina-tidy-cats-lightweight-clumping-cat-litter-19-5-lbs", "https://www.shelhealth.com/products/purina-tidy-cats-lightweight-clumping-cat-litter-19-5-lbs")</f>
        <v/>
      </c>
      <c r="C1071" t="inlineStr">
        <is>
          <t>Purina Tidy Cats LightWeight Clumping Cat Litter, 19.5 lbs.</t>
        </is>
      </c>
      <c r="D1071" t="inlineStr">
        <is>
          <t>Purina Tidy Cats LightWeight Clumping Cat Litter, Tidy Max Instant Action Formula - 17 lb. Box</t>
        </is>
      </c>
      <c r="E1071" s="2">
        <f>HYPERLINK("https://www.amazon.com/Purina-Tidy-Cats-LightWeight-Clumping/dp/B07PBF5RF7/ref=sr_1_7?keywords=Purina+Tidy+Cats+LightWeight+Clumping+Cat+Litter%2C+19.5+lbs.&amp;qid=1695170293&amp;sr=8-7", "https://www.amazon.com/Purina-Tidy-Cats-LightWeight-Clumping/dp/B07PBF5RF7/ref=sr_1_7?keywords=Purina+Tidy+Cats+LightWeight+Clumping+Cat+Litter%2C+19.5+lbs.&amp;qid=1695170293&amp;sr=8-7")</f>
        <v/>
      </c>
      <c r="F1071" t="inlineStr">
        <is>
          <t>B07PBF5RF7</t>
        </is>
      </c>
      <c r="G1071">
        <f>_xludf.IMAGE("https://www.shelhealth.com/cdn/shop/files/purina-tidy-cats-lightweight-clumping-cat-litter-19-5-lbs-grocery-household-petpet-shelhealth-401.jpg?v=1686283871&amp;width=1946")</f>
        <v/>
      </c>
      <c r="H1071">
        <f>_xludf.IMAGE("https://m.media-amazon.com/images/I/71FsfSx4anL._AC_UL320_.jpg")</f>
        <v/>
      </c>
      <c r="K1071" t="inlineStr">
        <is>
          <t>32.99</t>
        </is>
      </c>
      <c r="L1071" t="n">
        <v>29.98</v>
      </c>
      <c r="M1071" s="1" t="inlineStr">
        <is>
          <t>-9.12%</t>
        </is>
      </c>
      <c r="N1071" s="3" t="n">
        <v>-9.119999999999999</v>
      </c>
      <c r="O1071" t="n">
        <v>4.5</v>
      </c>
      <c r="P1071" t="n">
        <v>1245</v>
      </c>
      <c r="R1071" t="inlineStr">
        <is>
          <t>InStock</t>
        </is>
      </c>
      <c r="S1071" t="inlineStr">
        <is>
          <t>32.99</t>
        </is>
      </c>
      <c r="T1071" t="inlineStr">
        <is>
          <t>4664137744473</t>
        </is>
      </c>
    </row>
    <row r="1072" hidden="1" ht="15.75" customHeight="1">
      <c r="A1072" s="2">
        <f>HYPERLINK("https://www.shelhealth.com/products/purina-tidy-cats-clumping-instant-action-cat-litter-38-lbs", "https://www.shelhealth.com/products/purina-tidy-cats-clumping-instant-action-cat-litter-38-lbs")</f>
        <v/>
      </c>
      <c r="B1072" s="2">
        <f>HYPERLINK("https://www.shelhealth.com/products/purina-tidy-cats-clumping-instant-action-cat-litter-38-lbs", "https://www.shelhealth.com/products/purina-tidy-cats-clumping-instant-action-cat-litter-38-lbs")</f>
        <v/>
      </c>
      <c r="C1072" t="inlineStr">
        <is>
          <t>Purina Tidy Cats Clumping Instant-Action Cat Litter, 38 lbs.</t>
        </is>
      </c>
      <c r="D1072" t="inlineStr">
        <is>
          <t>Purina Tidy Cats Clumping Cat Litter, Max Instant Action Multi Litter - 38 lb. Box</t>
        </is>
      </c>
      <c r="E1072" s="2">
        <f>HYPERLINK("https://www.amazon.com/Purina-Tidy-Cats-Clumping-Instant/dp/B07P6ZRQMY/ref=sr_1_1?keywords=Purina+Tidy+Cats+Clumping+Instant-Action+Cat+Litter%2C+38+lbs.&amp;qid=1695170291&amp;sr=8-1", "https://www.amazon.com/Purina-Tidy-Cats-Clumping-Instant/dp/B07P6ZRQMY/ref=sr_1_1?keywords=Purina+Tidy+Cats+Clumping+Instant-Action+Cat+Litter%2C+38+lbs.&amp;qid=1695170291&amp;sr=8-1")</f>
        <v/>
      </c>
      <c r="F1072" t="inlineStr">
        <is>
          <t>B07P6ZRQMY</t>
        </is>
      </c>
      <c r="G1072">
        <f>_xludf.IMAGE("https://www.shelhealth.com/cdn/shop/products/purina-tidy-cats-clumping-instant-action-cat-litter-38-lbs-shelhealth-987.jpg?v=1663370319&amp;width=1946")</f>
        <v/>
      </c>
      <c r="H1072">
        <f>_xludf.IMAGE("https://m.media-amazon.com/images/I/81BFk6fDIZL._AC_UL320_.jpg")</f>
        <v/>
      </c>
      <c r="K1072" t="inlineStr">
        <is>
          <t>32.99</t>
        </is>
      </c>
      <c r="L1072" t="n">
        <v>29.98</v>
      </c>
      <c r="M1072" s="1" t="inlineStr">
        <is>
          <t>-9.12%</t>
        </is>
      </c>
      <c r="N1072" s="3" t="n">
        <v>-9.119999999999999</v>
      </c>
      <c r="O1072" t="n">
        <v>4.6</v>
      </c>
      <c r="P1072" t="n">
        <v>11490</v>
      </c>
      <c r="R1072" t="inlineStr">
        <is>
          <t>InStock</t>
        </is>
      </c>
      <c r="S1072" t="inlineStr">
        <is>
          <t>32.99</t>
        </is>
      </c>
      <c r="T1072" t="inlineStr">
        <is>
          <t>4664132763737</t>
        </is>
      </c>
    </row>
    <row r="1073" hidden="1" ht="15.75" customHeight="1">
      <c r="A1073" s="2">
        <f>HYPERLINK("https://www.shelhealth.com/products/purina-tidy-cats-clumping-instant-action-cat-litter-38-lbs", "https://www.shelhealth.com/products/purina-tidy-cats-clumping-instant-action-cat-litter-38-lbs")</f>
        <v/>
      </c>
      <c r="B1073" s="2">
        <f>HYPERLINK("https://www.shelhealth.com/products/purina-tidy-cats-clumping-instant-action-cat-litter-38-lbs", "https://www.shelhealth.com/products/purina-tidy-cats-clumping-instant-action-cat-litter-38-lbs")</f>
        <v/>
      </c>
      <c r="C1073" t="inlineStr">
        <is>
          <t>Purina Tidy Cats Clumping Instant-Action Cat Litter, 38 lbs.</t>
        </is>
      </c>
      <c r="D1073" t="inlineStr">
        <is>
          <t>Purina Tidy Cats LightWeight Clumping Cat Litter, Tidy Max Instant Action Formula - 17 lb. Box</t>
        </is>
      </c>
      <c r="E1073" s="2">
        <f>HYPERLINK("https://www.amazon.com/Purina-Tidy-Cats-LightWeight-Clumping/dp/B07PBF5RF7/ref=sr_1_4?keywords=Purina+Tidy+Cats+Clumping+Instant-Action+Cat+Litter%2C+38+lbs.&amp;qid=1695170291&amp;sr=8-4", "https://www.amazon.com/Purina-Tidy-Cats-LightWeight-Clumping/dp/B07PBF5RF7/ref=sr_1_4?keywords=Purina+Tidy+Cats+Clumping+Instant-Action+Cat+Litter%2C+38+lbs.&amp;qid=1695170291&amp;sr=8-4")</f>
        <v/>
      </c>
      <c r="F1073" t="inlineStr">
        <is>
          <t>B07PBF5RF7</t>
        </is>
      </c>
      <c r="G1073">
        <f>_xludf.IMAGE("https://www.shelhealth.com/cdn/shop/products/purina-tidy-cats-clumping-instant-action-cat-litter-38-lbs-shelhealth-987.jpg?v=1663370319&amp;width=1946")</f>
        <v/>
      </c>
      <c r="H1073">
        <f>_xludf.IMAGE("https://m.media-amazon.com/images/I/71FsfSx4anL._AC_UL320_.jpg")</f>
        <v/>
      </c>
      <c r="K1073" t="inlineStr">
        <is>
          <t>32.99</t>
        </is>
      </c>
      <c r="L1073" t="n">
        <v>29.98</v>
      </c>
      <c r="M1073" s="1" t="inlineStr">
        <is>
          <t>-9.12%</t>
        </is>
      </c>
      <c r="N1073" s="3" t="n">
        <v>-9.119999999999999</v>
      </c>
      <c r="O1073" t="n">
        <v>4.5</v>
      </c>
      <c r="P1073" t="n">
        <v>1245</v>
      </c>
      <c r="R1073" t="inlineStr">
        <is>
          <t>InStock</t>
        </is>
      </c>
      <c r="S1073" t="inlineStr">
        <is>
          <t>32.99</t>
        </is>
      </c>
      <c r="T1073" t="inlineStr">
        <is>
          <t>4664132763737</t>
        </is>
      </c>
    </row>
    <row r="1074" hidden="1" ht="15.75" customHeight="1">
      <c r="A1074" s="2">
        <f>HYPERLINK("https://www.shelhealth.com/products/purina-tidy-cats-clumping-instant-action-cat-litter-38-lbs", "https://www.shelhealth.com/products/purina-tidy-cats-clumping-instant-action-cat-litter-38-lbs")</f>
        <v/>
      </c>
      <c r="B1074" s="2">
        <f>HYPERLINK("https://www.shelhealth.com/products/purina-tidy-cats-clumping-instant-action-cat-litter-38-lbs", "https://www.shelhealth.com/products/purina-tidy-cats-clumping-instant-action-cat-litter-38-lbs")</f>
        <v/>
      </c>
      <c r="C1074" t="inlineStr">
        <is>
          <t>Purina Tidy Cats Clumping Instant-Action Cat Litter, 38 lbs.</t>
        </is>
      </c>
      <c r="D1074" t="inlineStr">
        <is>
          <t>Purina Tidy Cats Clumping Cat Litter, Tidy Max 24/7 Performance Multi Cat Litter - 38 lb. Box</t>
        </is>
      </c>
      <c r="E1074" s="2">
        <f>HYPERLINK("https://www.amazon.com/Purina-Tidy-Cats-Clumping-Performance/dp/B07P62XXS9/ref=sr_1_7?keywords=Purina+Tidy+Cats+Clumping+Instant-Action+Cat+Litter%2C+38+lbs.&amp;qid=1695170291&amp;sr=8-7", "https://www.amazon.com/Purina-Tidy-Cats-Clumping-Performance/dp/B07P62XXS9/ref=sr_1_7?keywords=Purina+Tidy+Cats+Clumping+Instant-Action+Cat+Litter%2C+38+lbs.&amp;qid=1695170291&amp;sr=8-7")</f>
        <v/>
      </c>
      <c r="F1074" t="inlineStr">
        <is>
          <t>B07P62XXS9</t>
        </is>
      </c>
      <c r="G1074">
        <f>_xludf.IMAGE("https://www.shelhealth.com/cdn/shop/products/purina-tidy-cats-clumping-instant-action-cat-litter-38-lbs-shelhealth-987.jpg?v=1663370319&amp;width=1946")</f>
        <v/>
      </c>
      <c r="H1074">
        <f>_xludf.IMAGE("https://m.media-amazon.com/images/I/81vfQ7qVhKL._AC_UL320_.jpg")</f>
        <v/>
      </c>
      <c r="K1074" t="inlineStr">
        <is>
          <t>32.99</t>
        </is>
      </c>
      <c r="L1074" t="n">
        <v>29.98</v>
      </c>
      <c r="M1074" s="1" t="inlineStr">
        <is>
          <t>-9.12%</t>
        </is>
      </c>
      <c r="N1074" s="3" t="n">
        <v>-9.119999999999999</v>
      </c>
      <c r="O1074" t="n">
        <v>4.6</v>
      </c>
      <c r="P1074" t="n">
        <v>5828</v>
      </c>
      <c r="R1074" t="inlineStr">
        <is>
          <t>InStock</t>
        </is>
      </c>
      <c r="S1074" t="inlineStr">
        <is>
          <t>32.99</t>
        </is>
      </c>
      <c r="T1074" t="inlineStr">
        <is>
          <t>4664132763737</t>
        </is>
      </c>
    </row>
    <row r="1075" hidden="1" ht="15.75" customHeight="1">
      <c r="A1075" s="2">
        <f>HYPERLINK("https://www.shelhealth.com/products/cadet-gourmet-triple-flavored-shish-kabobs-x-large-10pk", "https://www.shelhealth.com/products/cadet-gourmet-triple-flavored-shish-kabobs-x-large-10pk")</f>
        <v/>
      </c>
      <c r="B1075" s="2">
        <f>HYPERLINK("https://www.shelhealth.com/products/cadet-gourmet-triple-flavored-shish-kabobs-x-large-10pk", "https://www.shelhealth.com/products/cadet-gourmet-triple-flavored-shish-kabobs-x-large-10pk")</f>
        <v/>
      </c>
      <c r="C1075" t="inlineStr">
        <is>
          <t>Cadet Gourmet Triple-Flavored Shish Kabobs, X-Large, 10pk.</t>
        </is>
      </c>
      <c r="D1075" t="inlineStr">
        <is>
          <t>Cadet Gourmet Triple-Flavored Shish Kabobs 10pk X-Large</t>
        </is>
      </c>
      <c r="E1075" s="2">
        <f>HYPERLINK("https://www.amazon.com/Cadet-Gourmet-Triple-Flavored-Kabobs-X-Large/dp/B07SYC5HJS/ref=sr_1_1?keywords=Cadet+Gourmet+Triple-Flavored+Shish+Kabobs%2C+X-Large%2C+10pk.&amp;qid=1695170344&amp;sr=8-1", "https://www.amazon.com/Cadet-Gourmet-Triple-Flavored-Kabobs-X-Large/dp/B07SYC5HJS/ref=sr_1_1?keywords=Cadet+Gourmet+Triple-Flavored+Shish+Kabobs%2C+X-Large%2C+10pk.&amp;qid=1695170344&amp;sr=8-1")</f>
        <v/>
      </c>
      <c r="F1075" t="inlineStr">
        <is>
          <t>B07SYC5HJS</t>
        </is>
      </c>
      <c r="G1075">
        <f>_xludf.IMAGE("https://www.shelhealth.com/cdn/shop/products/cadet-gourmet-triple-flavored-shish-kabobs-x-large-10pk-shelhealth-557.jpg?v=1663369450&amp;width=1946")</f>
        <v/>
      </c>
      <c r="H1075">
        <f>_xludf.IMAGE("https://m.media-amazon.com/images/I/81kp0mvq5zL._AC_UL320_.jpg")</f>
        <v/>
      </c>
      <c r="K1075" t="inlineStr">
        <is>
          <t>27.99</t>
        </is>
      </c>
      <c r="L1075" t="n">
        <v>24.89</v>
      </c>
      <c r="M1075" s="1" t="inlineStr">
        <is>
          <t>-11.08%</t>
        </is>
      </c>
      <c r="N1075" s="3" t="n">
        <v>-11.08</v>
      </c>
      <c r="O1075" t="n">
        <v>4.8</v>
      </c>
      <c r="P1075" t="n">
        <v>707</v>
      </c>
      <c r="R1075" t="inlineStr">
        <is>
          <t>OutOfStock</t>
        </is>
      </c>
      <c r="S1075" t="inlineStr">
        <is>
          <t>27.99</t>
        </is>
      </c>
      <c r="T1075" t="inlineStr">
        <is>
          <t>4634745339993</t>
        </is>
      </c>
    </row>
    <row r="1076" hidden="1" ht="15.75" customHeight="1">
      <c r="A1076" s="2">
        <f>HYPERLINK("https://www.shelhealth.com/products/farmland-traditions-usa-made-chicken-jerky-dog-treats-3-lb", "https://www.shelhealth.com/products/farmland-traditions-usa-made-chicken-jerky-dog-treats-3-lb")</f>
        <v/>
      </c>
      <c r="B1076" s="2">
        <f>HYPERLINK("https://www.shelhealth.com/products/farmland-traditions-usa-made-chicken-jerky-dog-treats-3-lb", "https://www.shelhealth.com/products/farmland-traditions-usa-made-chicken-jerky-dog-treats-3-lb")</f>
        <v/>
      </c>
      <c r="C1076" t="inlineStr">
        <is>
          <t>Farmland Traditions Usa Made Chicken Jerky Dog Treats, 3 Lb.</t>
        </is>
      </c>
      <c r="D1076" t="inlineStr">
        <is>
          <t>Farmland Traditions Dogs Love Chicken Premium Two Ingredients Jerky Treats for Dogs (3 lbs USA Raised Chicken)</t>
        </is>
      </c>
      <c r="E1076" s="2">
        <f>HYPERLINK("https://www.amazon.com/Farmland-Traditions-Chicken-Jerky-Treats/dp/B014S96C9G/ref=sr_1_1?keywords=Farmland+Traditions+Usa+Made+Chicken+Jerky+Dog+Treats%2C+3+Lb.&amp;qid=1695170285&amp;sr=8-1", "https://www.amazon.com/Farmland-Traditions-Chicken-Jerky-Treats/dp/B014S96C9G/ref=sr_1_1?keywords=Farmland+Traditions+Usa+Made+Chicken+Jerky+Dog+Treats%2C+3+Lb.&amp;qid=1695170285&amp;sr=8-1")</f>
        <v/>
      </c>
      <c r="F1076" t="inlineStr">
        <is>
          <t>B014S96C9G</t>
        </is>
      </c>
      <c r="G1076">
        <f>_xludf.IMAGE("https://www.shelhealth.com/cdn/shop/products/farmland-traditions-usa-made-chicken-jerky-dog-treats-3-lb-shelhealth-966.jpg?v=1663340913&amp;width=1946")</f>
        <v/>
      </c>
      <c r="H1076">
        <f>_xludf.IMAGE("https://m.media-amazon.com/images/I/81xNl-ZM3jL._AC_UL320_.jpg")</f>
        <v/>
      </c>
      <c r="K1076" t="inlineStr">
        <is>
          <t>42.99</t>
        </is>
      </c>
      <c r="L1076" t="n">
        <v>38</v>
      </c>
      <c r="M1076" s="1" t="inlineStr">
        <is>
          <t>-11.61%</t>
        </is>
      </c>
      <c r="N1076" s="3" t="n">
        <v>-11.61</v>
      </c>
      <c r="O1076" t="n">
        <v>4.7</v>
      </c>
      <c r="P1076" t="n">
        <v>8885</v>
      </c>
      <c r="R1076" t="inlineStr">
        <is>
          <t>InStock</t>
        </is>
      </c>
      <c r="S1076" t="inlineStr">
        <is>
          <t>42.99</t>
        </is>
      </c>
      <c r="T1076" t="inlineStr">
        <is>
          <t>3806340055092</t>
        </is>
      </c>
    </row>
    <row r="1077" hidden="1" ht="15.75" customHeight="1">
      <c r="A1077" s="2">
        <f>HYPERLINK("https://www.shelhealth.com/products/nutri-chomps-chicken-twists-21-ct", "https://www.shelhealth.com/products/nutri-chomps-chicken-twists-21-ct")</f>
        <v/>
      </c>
      <c r="B1077" s="2">
        <f>HYPERLINK("https://www.shelhealth.com/products/nutri-chomps-chicken-twists-21-ct", "https://www.shelhealth.com/products/nutri-chomps-chicken-twists-21-ct")</f>
        <v/>
      </c>
      <c r="C1077" t="inlineStr">
        <is>
          <t>Nutri Chomps Chicken Twists, 21 ct.</t>
        </is>
      </c>
      <c r="D1077" t="inlineStr">
        <is>
          <t>NutriChomps Dog Chews, 6-inch Twists, Easy to Digest, Rawhide-Free Dog Treats, 21 Count, Real Chicken flavor</t>
        </is>
      </c>
      <c r="E1077" s="2">
        <f>HYPERLINK("https://www.amazon.com/NutriChomps-6-inch-Twists-Rawhide-Free-Chicken/dp/B08CMZ6RXQ/ref=sr_1_1?keywords=Nutri+Chomps+Chicken+Twists%2C+21+ct.&amp;qid=1695170285&amp;sr=8-1", "https://www.amazon.com/NutriChomps-6-inch-Twists-Rawhide-Free-Chicken/dp/B08CMZ6RXQ/ref=sr_1_1?keywords=Nutri+Chomps+Chicken+Twists%2C+21+ct.&amp;qid=1695170285&amp;sr=8-1")</f>
        <v/>
      </c>
      <c r="F1077" t="inlineStr">
        <is>
          <t>B08CMZ6RXQ</t>
        </is>
      </c>
      <c r="G1077">
        <f>_xludf.IMAGE("https://www.shelhealth.com/cdn/shop/files/nutri-chomps-chicken-twists-21-ct-grocery-household-petpet-shelhealth-478.jpg?v=1686283895&amp;width=1946")</f>
        <v/>
      </c>
      <c r="H1077">
        <f>_xludf.IMAGE("https://m.media-amazon.com/images/I/61mGbgk8LWL._AC_UL320_.jpg")</f>
        <v/>
      </c>
      <c r="K1077" t="inlineStr">
        <is>
          <t>27.99</t>
        </is>
      </c>
      <c r="L1077" t="n">
        <v>24.68</v>
      </c>
      <c r="M1077" s="1" t="inlineStr">
        <is>
          <t>-11.83%</t>
        </is>
      </c>
      <c r="N1077" s="3" t="n">
        <v>-11.83</v>
      </c>
      <c r="O1077" t="n">
        <v>4.7</v>
      </c>
      <c r="P1077" t="n">
        <v>300</v>
      </c>
      <c r="R1077" t="inlineStr">
        <is>
          <t>InStock</t>
        </is>
      </c>
      <c r="S1077" t="inlineStr">
        <is>
          <t>27.99</t>
        </is>
      </c>
      <c r="T1077" t="inlineStr">
        <is>
          <t>4251112833076</t>
        </is>
      </c>
    </row>
    <row r="1078" hidden="1" ht="15.75" customHeight="1">
      <c r="A1078" s="2">
        <f>HYPERLINK("https://www.shelhealth.com/products/purina-friskies-classic-pate-variety-pack-5-5-oz-60-count", "https://www.shelhealth.com/products/purina-friskies-classic-pate-variety-pack-5-5-oz-60-count")</f>
        <v/>
      </c>
      <c r="B1078" s="2">
        <f>HYPERLINK("https://www.shelhealth.com/products/purina-friskies-classic-pate-variety-pack-5-5-oz-60-count", "https://www.shelhealth.com/products/purina-friskies-classic-pate-variety-pack-5-5-oz-60-count")</f>
        <v/>
      </c>
      <c r="C1078" t="inlineStr">
        <is>
          <t>Purina Friskies Classic Pate, Variety Pack (5.5 oz, 60 Count.)</t>
        </is>
      </c>
      <c r="D1078" t="inlineStr">
        <is>
          <t>Purina Friskies Classic Pate, Variety Pack (5.5 oz, 48 Count.)</t>
        </is>
      </c>
      <c r="E1078" s="2">
        <f>HYPERLINK("https://www.amazon.com/Purina-Friskies-Classic-Variety-Count/dp/B07G328RHH/ref=sr_1_1?keywords=Purina+Friskies+Classic+Pate%2C+Variety+Pack+%285.5+oz%2C+60+Count.%29&amp;qid=1695170288&amp;sr=8-1", "https://www.amazon.com/Purina-Friskies-Classic-Variety-Count/dp/B07G328RHH/ref=sr_1_1?keywords=Purina+Friskies+Classic+Pate%2C+Variety+Pack+%285.5+oz%2C+60+Count.%29&amp;qid=1695170288&amp;sr=8-1")</f>
        <v/>
      </c>
      <c r="F1078" t="inlineStr">
        <is>
          <t>B07G328RHH</t>
        </is>
      </c>
      <c r="G1078">
        <f>_xludf.IMAGE("https://www.shelhealth.com/cdn/shop/products/purina-friskies-classic-pate-variety-pack-5-oz-60-count-shelhealth-382.jpg?v=1663343071&amp;width=1946")</f>
        <v/>
      </c>
      <c r="H1078">
        <f>_xludf.IMAGE("https://m.media-amazon.com/images/I/81BTbx5nCDL._AC_UL320_.jpg")</f>
        <v/>
      </c>
      <c r="K1078" t="inlineStr">
        <is>
          <t>66.99</t>
        </is>
      </c>
      <c r="L1078" t="n">
        <v>56.63</v>
      </c>
      <c r="M1078" s="1" t="inlineStr">
        <is>
          <t>-15.46%</t>
        </is>
      </c>
      <c r="N1078" s="3" t="n">
        <v>-15.46</v>
      </c>
      <c r="O1078" t="n">
        <v>4.6</v>
      </c>
      <c r="P1078" t="n">
        <v>621</v>
      </c>
      <c r="R1078" t="inlineStr">
        <is>
          <t>InStock</t>
        </is>
      </c>
      <c r="S1078" t="inlineStr">
        <is>
          <t>66.99</t>
        </is>
      </c>
      <c r="T1078" t="inlineStr">
        <is>
          <t>3819414159412</t>
        </is>
      </c>
    </row>
    <row r="1079" hidden="1" ht="15.75" customHeight="1">
      <c r="A1079" s="2">
        <f>HYPERLINK("https://www.shelhealth.com/products/pedigree-wet-dog-food-variety-pack-30-pk-3-5-oz", "https://www.shelhealth.com/products/pedigree-wet-dog-food-variety-pack-30-pk-3-5-oz")</f>
        <v/>
      </c>
      <c r="B1079" s="2">
        <f>HYPERLINK("https://www.shelhealth.com/products/pedigree-wet-dog-food-variety-pack-30-pk-3-5-oz", "https://www.shelhealth.com/products/pedigree-wet-dog-food-variety-pack-30-pk-3-5-oz")</f>
        <v/>
      </c>
      <c r="C1079" t="inlineStr">
        <is>
          <t>Pedigree Wet Dog Food Variety Pack, 30 pk./3.5 oz.</t>
        </is>
      </c>
      <c r="D1079" t="inlineStr">
        <is>
          <t>PEDIGREE CHOPPED GROUND DINNER Adult Soft Wet Dog Food 30-Count Variety Pack, 3.5 oz Pouches</t>
        </is>
      </c>
      <c r="E1079" s="2">
        <f>HYPERLINK("https://www.amazon.com/PEDIGREE-CHOPPED-Variety-Chicken-Pouches/dp/B08294M3TP/ref=sr_1_1?keywords=Pedigree+Wet+Dog+Food+Variety+Pack%2C+30+pk.%2F3.5+oz.&amp;qid=1695170285&amp;sr=8-1", "https://www.amazon.com/PEDIGREE-CHOPPED-Variety-Chicken-Pouches/dp/B08294M3TP/ref=sr_1_1?keywords=Pedigree+Wet+Dog+Food+Variety+Pack%2C+30+pk.%2F3.5+oz.&amp;qid=1695170285&amp;sr=8-1")</f>
        <v/>
      </c>
      <c r="F1079" t="inlineStr">
        <is>
          <t>B08294M3TP</t>
        </is>
      </c>
      <c r="G1079">
        <f>_xludf.IMAGE("https://www.shelhealth.com/cdn/shop/products/pedigree-wet-dog-food-variety-pack-30-pk-3-5-oz-shelhealth-733.jpg?v=1663355669&amp;width=1946")</f>
        <v/>
      </c>
      <c r="H1079">
        <f>_xludf.IMAGE("https://m.media-amazon.com/images/I/81a+4amZXZL._AC_UL320_.jpg")</f>
        <v/>
      </c>
      <c r="K1079" t="inlineStr">
        <is>
          <t>30.99</t>
        </is>
      </c>
      <c r="L1079" t="n">
        <v>25.97</v>
      </c>
      <c r="M1079" s="1" t="inlineStr">
        <is>
          <t>-16.20%</t>
        </is>
      </c>
      <c r="N1079" s="3" t="n">
        <v>-16.2</v>
      </c>
      <c r="O1079" t="n">
        <v>4.7</v>
      </c>
      <c r="P1079" t="n">
        <v>4456</v>
      </c>
      <c r="R1079" t="inlineStr">
        <is>
          <t>InStock</t>
        </is>
      </c>
      <c r="S1079" t="inlineStr">
        <is>
          <t>30.99</t>
        </is>
      </c>
      <c r="T1079" t="inlineStr">
        <is>
          <t>4171294769204</t>
        </is>
      </c>
    </row>
    <row r="1080" hidden="1" ht="15.75" customHeight="1">
      <c r="A1080" s="2">
        <f>HYPERLINK("https://www.shelhealth.com/products/pedigree-wet-dog-food-variety-pack-30-pk-3-5-oz", "https://www.shelhealth.com/products/pedigree-wet-dog-food-variety-pack-30-pk-3-5-oz")</f>
        <v/>
      </c>
      <c r="B1080" s="2">
        <f>HYPERLINK("https://www.shelhealth.com/products/pedigree-wet-dog-food-variety-pack-30-pk-3-5-oz", "https://www.shelhealth.com/products/pedigree-wet-dog-food-variety-pack-30-pk-3-5-oz")</f>
        <v/>
      </c>
      <c r="C1080" t="inlineStr">
        <is>
          <t>Pedigree Wet Dog Food Variety Pack, 30 pk./3.5 oz.</t>
        </is>
      </c>
      <c r="D1080" t="inlineStr">
        <is>
          <t>PEDIGREE CHOICE CUTS IN GRAVY Adult Soft Wet Dog Food 30-Count Variety Pack, 3.5 oz Pouches</t>
        </is>
      </c>
      <c r="E1080" s="2">
        <f>HYPERLINK("https://www.amazon.com/PEDIGREE-Variety-Hickory-Chicken-Vegetables/dp/B08294GHXY/ref=sr_1_2?keywords=Pedigree+Wet+Dog+Food+Variety+Pack%2C+30+pk.%2F3.5+oz.&amp;qid=1695170285&amp;sr=8-2", "https://www.amazon.com/PEDIGREE-Variety-Hickory-Chicken-Vegetables/dp/B08294GHXY/ref=sr_1_2?keywords=Pedigree+Wet+Dog+Food+Variety+Pack%2C+30+pk.%2F3.5+oz.&amp;qid=1695170285&amp;sr=8-2")</f>
        <v/>
      </c>
      <c r="F1080" t="inlineStr">
        <is>
          <t>B08294GHXY</t>
        </is>
      </c>
      <c r="G1080">
        <f>_xludf.IMAGE("https://www.shelhealth.com/cdn/shop/products/pedigree-wet-dog-food-variety-pack-30-pk-3-5-oz-shelhealth-733.jpg?v=1663355669&amp;width=1946")</f>
        <v/>
      </c>
      <c r="H1080">
        <f>_xludf.IMAGE("https://m.media-amazon.com/images/I/71wmg-mMgrL._AC_UL320_.jpg")</f>
        <v/>
      </c>
      <c r="K1080" t="inlineStr">
        <is>
          <t>30.99</t>
        </is>
      </c>
      <c r="L1080" t="n">
        <v>25.97</v>
      </c>
      <c r="M1080" s="1" t="inlineStr">
        <is>
          <t>-16.20%</t>
        </is>
      </c>
      <c r="N1080" s="3" t="n">
        <v>-16.2</v>
      </c>
      <c r="O1080" t="n">
        <v>4.7</v>
      </c>
      <c r="P1080" t="n">
        <v>22380</v>
      </c>
      <c r="R1080" t="inlineStr">
        <is>
          <t>InStock</t>
        </is>
      </c>
      <c r="S1080" t="inlineStr">
        <is>
          <t>30.99</t>
        </is>
      </c>
      <c r="T1080" t="inlineStr">
        <is>
          <t>4171294769204</t>
        </is>
      </c>
    </row>
    <row r="1081" hidden="1" ht="15.75" customHeight="1">
      <c r="A1081" s="2">
        <f>HYPERLINK("https://www.shelhealth.com/products/035883014073-petguard-food-supplement-for-skin-coat-8-oz", "https://www.shelhealth.com/products/035883014073-petguard-food-supplement-for-skin-coat-8-oz")</f>
        <v/>
      </c>
      <c r="B1081" s="2">
        <f>HYPERLINK("https://www.shelhealth.com/products/035883014073-petguard-food-supplement-for-skin-coat-8-oz", "https://www.shelhealth.com/products/035883014073-petguard-food-supplement-for-skin-coat-8-oz")</f>
        <v/>
      </c>
      <c r="C1081" t="inlineStr">
        <is>
          <t>PETGUARD Food Supplement for Skin &amp; Coat, 8 oz</t>
        </is>
      </c>
      <c r="D1081" t="inlineStr">
        <is>
          <t>Shed-X Liquid Dog Supplement, 8oz – 100% Natural – Helps Dog Shedding, Fish Oil for Dogs Supports Skin &amp; Coat, Dog Oil for Food with Essential Fatty Acids, Vitamins, and Minerals</t>
        </is>
      </c>
      <c r="E1081" s="2">
        <f>HYPERLINK("https://www.amazon.com/Shed-X-Liquid-Daily-Supplement-Dogs/dp/B003M7Z1WU/ref=sr_1_1?keywords=PETGUARD+Food+Supplement+for+Skin+%26+Coat%2C+8+oz&amp;qid=1695170318&amp;sr=8-1", "https://www.amazon.com/Shed-X-Liquid-Daily-Supplement-Dogs/dp/B003M7Z1WU/ref=sr_1_1?keywords=PETGUARD+Food+Supplement+for+Skin+%26+Coat%2C+8+oz&amp;qid=1695170318&amp;sr=8-1")</f>
        <v/>
      </c>
      <c r="F1081" t="inlineStr">
        <is>
          <t>B003M7Z1WU</t>
        </is>
      </c>
      <c r="G1081">
        <f>_xludf.IMAGE("https://www.shelhealth.com/cdn/shop/files/petguard-food-supplement-for-skin-coat-8-oz-pet-shelhealth-450.jpg?v=1686222203&amp;width=1946")</f>
        <v/>
      </c>
      <c r="H1081">
        <f>_xludf.IMAGE("https://m.media-amazon.com/images/I/61CZdLaW9aL._AC_UL320_.jpg")</f>
        <v/>
      </c>
      <c r="K1081" t="inlineStr">
        <is>
          <t>14.99</t>
        </is>
      </c>
      <c r="L1081" t="n">
        <v>12.23</v>
      </c>
      <c r="M1081" s="1" t="inlineStr">
        <is>
          <t>-18.41%</t>
        </is>
      </c>
      <c r="N1081" s="3" t="n">
        <v>-18.41</v>
      </c>
      <c r="O1081" t="n">
        <v>4.2</v>
      </c>
      <c r="P1081" t="n">
        <v>6602</v>
      </c>
      <c r="R1081" t="inlineStr">
        <is>
          <t>OutOfStock</t>
        </is>
      </c>
      <c r="S1081" t="inlineStr">
        <is>
          <t>14.99</t>
        </is>
      </c>
      <c r="T1081" t="inlineStr">
        <is>
          <t>7574251831528</t>
        </is>
      </c>
    </row>
    <row r="1082" hidden="1" ht="15.75" customHeight="1">
      <c r="A1082" s="2">
        <f>HYPERLINK("https://www.shelhealth.com/products/nylabone-dog-treat-broth-bones-54-treats", "https://www.shelhealth.com/products/nylabone-dog-treat-broth-bones-54-treats")</f>
        <v/>
      </c>
      <c r="B1082" s="2">
        <f>HYPERLINK("https://www.shelhealth.com/products/nylabone-dog-treat-broth-bones-54-treats", "https://www.shelhealth.com/products/nylabone-dog-treat-broth-bones-54-treats")</f>
        <v/>
      </c>
      <c r="C1082" t="inlineStr">
        <is>
          <t>Nylabone Dog Treat Broth Bones. 54 Treats</t>
        </is>
      </c>
      <c r="D1082" t="inlineStr">
        <is>
          <t>Nylabone Beef Broth Bones Dog Treats (Net 54Count), 2.38 Lb</t>
        </is>
      </c>
      <c r="E1082" s="2">
        <f>HYPERLINK("https://www.amazon.com/Nylabone-Treat-Natural-Digestible-Treats/dp/B08B4JC8QR/ref=sr_1_2?keywords=Nylabone+Dog+Treat+Broth+Bones.+54+Treats&amp;qid=1695170296&amp;sr=8-2", "https://www.amazon.com/Nylabone-Treat-Natural-Digestible-Treats/dp/B08B4JC8QR/ref=sr_1_2?keywords=Nylabone+Dog+Treat+Broth+Bones.+54+Treats&amp;qid=1695170296&amp;sr=8-2")</f>
        <v/>
      </c>
      <c r="F1082" t="inlineStr">
        <is>
          <t>B08B4JC8QR</t>
        </is>
      </c>
      <c r="G1082">
        <f>_xludf.IMAGE("https://www.shelhealth.com/cdn/shop/products/nylabone-dog-treat-broth-bones-54-treats-shelhealth-120.jpg?v=1663658073&amp;width=1946")</f>
        <v/>
      </c>
      <c r="H1082">
        <f>_xludf.IMAGE("https://m.media-amazon.com/images/I/71QQuPpNxUS._AC_UL320_.jpg")</f>
        <v/>
      </c>
      <c r="K1082" t="inlineStr">
        <is>
          <t>27.99</t>
        </is>
      </c>
      <c r="L1082" t="n">
        <v>21.99</v>
      </c>
      <c r="M1082" s="1" t="inlineStr">
        <is>
          <t>-21.44%</t>
        </is>
      </c>
      <c r="N1082" s="3" t="n">
        <v>-21.44</v>
      </c>
      <c r="O1082" t="n">
        <v>4.7</v>
      </c>
      <c r="P1082" t="n">
        <v>2345</v>
      </c>
      <c r="R1082" t="inlineStr">
        <is>
          <t>OutOfStock</t>
        </is>
      </c>
      <c r="S1082" t="inlineStr">
        <is>
          <t>27.99</t>
        </is>
      </c>
      <c r="T1082" t="inlineStr">
        <is>
          <t>6083792797884</t>
        </is>
      </c>
    </row>
    <row r="1083" hidden="1" ht="15.75" customHeight="1">
      <c r="A1083" s="2">
        <f>HYPERLINK("https://www.shelhealth.com/products/rachael-ray-nutrish-real-beef-brown-rice-dog-food-40-lbs", "https://www.shelhealth.com/products/rachael-ray-nutrish-real-beef-brown-rice-dog-food-40-lbs")</f>
        <v/>
      </c>
      <c r="B1083" s="2">
        <f>HYPERLINK("https://www.shelhealth.com/products/rachael-ray-nutrish-real-beef-brown-rice-dog-food-40-lbs", "https://www.shelhealth.com/products/rachael-ray-nutrish-real-beef-brown-rice-dog-food-40-lbs")</f>
        <v/>
      </c>
      <c r="C1083" t="inlineStr">
        <is>
          <t>Rachael Ray Nutrish Real Beef &amp; Brown Rice Dog Food, 40 lbs.</t>
        </is>
      </c>
      <c r="D1083" t="inlineStr">
        <is>
          <t>Rachael Ray Nutrish Premium Natural Dry Dog Food, Real Beef, Pea, &amp; Brown Rice Recipe, 40 Pound Bag (Packaging May Vary)</t>
        </is>
      </c>
      <c r="E1083" s="2">
        <f>HYPERLINK("https://www.amazon.com/Rachael-Ray-Nutrish-Natural-Recipe/dp/B06WGLV27L/ref=sr_1_1?keywords=Rachael+Ray+Nutrish+Real+Beef&amp;qid=1695170293&amp;sr=8-1", "https://www.amazon.com/Rachael-Ray-Nutrish-Natural-Recipe/dp/B06WGLV27L/ref=sr_1_1?keywords=Rachael+Ray+Nutrish+Real+Beef&amp;qid=1695170293&amp;sr=8-1")</f>
        <v/>
      </c>
      <c r="F1083" t="inlineStr">
        <is>
          <t>B06WGLV27L</t>
        </is>
      </c>
      <c r="G1083">
        <f>_xludf.IMAGE("https://www.shelhealth.com/cdn/shop/products/rachael-ray-nutrish-real-beef-brown-rice-dog-food-40-lbs-shelhealth-214.jpg?v=1663370472&amp;width=1946")</f>
        <v/>
      </c>
      <c r="H1083">
        <f>_xludf.IMAGE("https://m.media-amazon.com/images/I/810CG3B11yL._AC_UL320_.jpg")</f>
        <v/>
      </c>
      <c r="K1083" t="inlineStr">
        <is>
          <t>66.99</t>
        </is>
      </c>
      <c r="L1083" t="n">
        <v>52.42</v>
      </c>
      <c r="M1083" s="1" t="inlineStr">
        <is>
          <t>-21.75%</t>
        </is>
      </c>
      <c r="N1083" s="3" t="n">
        <v>-21.75</v>
      </c>
      <c r="O1083" t="n">
        <v>4.6</v>
      </c>
      <c r="P1083" t="n">
        <v>52546</v>
      </c>
      <c r="R1083" t="inlineStr">
        <is>
          <t>InStock</t>
        </is>
      </c>
      <c r="S1083" t="inlineStr">
        <is>
          <t>66.99</t>
        </is>
      </c>
      <c r="T1083" t="inlineStr">
        <is>
          <t>4664151048281</t>
        </is>
      </c>
    </row>
    <row r="1084" hidden="1" ht="15.75" customHeight="1">
      <c r="A1084" s="2">
        <f>HYPERLINK("https://www.shelhealth.com/products/purina-tidy-cats-clumping-instant-action-cat-litter-38-lbs", "https://www.shelhealth.com/products/purina-tidy-cats-clumping-instant-action-cat-litter-38-lbs")</f>
        <v/>
      </c>
      <c r="B1084" s="2">
        <f>HYPERLINK("https://www.shelhealth.com/products/purina-tidy-cats-clumping-instant-action-cat-litter-38-lbs", "https://www.shelhealth.com/products/purina-tidy-cats-clumping-instant-action-cat-litter-38-lbs")</f>
        <v/>
      </c>
      <c r="C1084" t="inlineStr">
        <is>
          <t>Purina Tidy Cats Clumping Instant-Action Cat Litter, 38 lbs.</t>
        </is>
      </c>
      <c r="D1084" t="inlineStr">
        <is>
          <t>Purina Tidy Cats Light Weight, Low Dust, Clumping Cat Litter, LightWeight Instant Action - 17 lb. Box</t>
        </is>
      </c>
      <c r="E1084" s="2">
        <f>HYPERLINK("https://www.amazon.com/Purina-Tidy-Cats-Clumping-LightWeight/dp/B07KYL7N1V/ref=sr_1_3?keywords=Purina+Tidy+Cats+Clumping+Instant-Action+Cat+Litter%2C+38+lbs.&amp;qid=1695170291&amp;sr=8-3", "https://www.amazon.com/Purina-Tidy-Cats-Clumping-LightWeight/dp/B07KYL7N1V/ref=sr_1_3?keywords=Purina+Tidy+Cats+Clumping+Instant-Action+Cat+Litter%2C+38+lbs.&amp;qid=1695170291&amp;sr=8-3")</f>
        <v/>
      </c>
      <c r="F1084" t="inlineStr">
        <is>
          <t>B07KYL7N1V</t>
        </is>
      </c>
      <c r="G1084">
        <f>_xludf.IMAGE("https://www.shelhealth.com/cdn/shop/products/purina-tidy-cats-clumping-instant-action-cat-litter-38-lbs-shelhealth-987.jpg?v=1663370319&amp;width=1946")</f>
        <v/>
      </c>
      <c r="H1084">
        <f>_xludf.IMAGE("https://m.media-amazon.com/images/I/71kXX4aCNlL._AC_UL320_.jpg")</f>
        <v/>
      </c>
      <c r="K1084" t="inlineStr">
        <is>
          <t>32.99</t>
        </is>
      </c>
      <c r="L1084" t="n">
        <v>25.48</v>
      </c>
      <c r="M1084" s="1" t="inlineStr">
        <is>
          <t>-22.76%</t>
        </is>
      </c>
      <c r="N1084" s="3" t="n">
        <v>-22.76</v>
      </c>
      <c r="O1084" t="n">
        <v>4.6</v>
      </c>
      <c r="P1084" t="n">
        <v>3486</v>
      </c>
      <c r="R1084" t="inlineStr">
        <is>
          <t>InStock</t>
        </is>
      </c>
      <c r="S1084" t="inlineStr">
        <is>
          <t>32.99</t>
        </is>
      </c>
      <c r="T1084" t="inlineStr">
        <is>
          <t>4664132763737</t>
        </is>
      </c>
    </row>
    <row r="1085" hidden="1" ht="15.75" customHeight="1">
      <c r="A1085" s="2">
        <f>HYPERLINK("https://www.shelhealth.com/products/purina-tidy-cats-lightweight-clumping-cat-litter-19-5-lbs", "https://www.shelhealth.com/products/purina-tidy-cats-lightweight-clumping-cat-litter-19-5-lbs")</f>
        <v/>
      </c>
      <c r="B1085" s="2">
        <f>HYPERLINK("https://www.shelhealth.com/products/purina-tidy-cats-lightweight-clumping-cat-litter-19-5-lbs", "https://www.shelhealth.com/products/purina-tidy-cats-lightweight-clumping-cat-litter-19-5-lbs")</f>
        <v/>
      </c>
      <c r="C1085" t="inlineStr">
        <is>
          <t>Purina Tidy Cats LightWeight Clumping Cat Litter, 19.5 lbs.</t>
        </is>
      </c>
      <c r="D1085" t="inlineStr">
        <is>
          <t>Purina Tidy Cats Lightweight Clumping Cat Litter, 24/7 Performance Multi Cat Litter - 17 lb. Box</t>
        </is>
      </c>
      <c r="E1085" s="2">
        <f>HYPERLINK("https://www.amazon.com/Purina-Tidy-Cats-LightWeight-Performance/dp/B07J393YLG/ref=sr_1_1?keywords=Purina+Tidy+Cats+LightWeight+Clumping+Cat+Litter%2C+19.5+lbs.&amp;qid=1695170293&amp;sr=8-1", "https://www.amazon.com/Purina-Tidy-Cats-LightWeight-Performance/dp/B07J393YLG/ref=sr_1_1?keywords=Purina+Tidy+Cats+LightWeight+Clumping+Cat+Litter%2C+19.5+lbs.&amp;qid=1695170293&amp;sr=8-1")</f>
        <v/>
      </c>
      <c r="F1085" t="inlineStr">
        <is>
          <t>B07J393YLG</t>
        </is>
      </c>
      <c r="G1085">
        <f>_xludf.IMAGE("https://www.shelhealth.com/cdn/shop/files/purina-tidy-cats-lightweight-clumping-cat-litter-19-5-lbs-grocery-household-petpet-shelhealth-401.jpg?v=1686283871&amp;width=1946")</f>
        <v/>
      </c>
      <c r="H1085">
        <f>_xludf.IMAGE("https://m.media-amazon.com/images/I/71EpF8t7miL._AC_UL320_.jpg")</f>
        <v/>
      </c>
      <c r="K1085" t="inlineStr">
        <is>
          <t>32.99</t>
        </is>
      </c>
      <c r="L1085" t="n">
        <v>25.48</v>
      </c>
      <c r="M1085" s="1" t="inlineStr">
        <is>
          <t>-22.76%</t>
        </is>
      </c>
      <c r="N1085" s="3" t="n">
        <v>-22.76</v>
      </c>
      <c r="O1085" t="n">
        <v>4.6</v>
      </c>
      <c r="P1085" t="n">
        <v>5651</v>
      </c>
      <c r="R1085" t="inlineStr">
        <is>
          <t>InStock</t>
        </is>
      </c>
      <c r="S1085" t="inlineStr">
        <is>
          <t>32.99</t>
        </is>
      </c>
      <c r="T1085" t="inlineStr">
        <is>
          <t>4664137744473</t>
        </is>
      </c>
    </row>
    <row r="1086" hidden="1" ht="15.75" customHeight="1">
      <c r="A1086" s="2">
        <f>HYPERLINK("https://www.shelhealth.com/products/rachael-ray-nutrish-real-beef-brown-rice-dog-food-40-lbs", "https://www.shelhealth.com/products/rachael-ray-nutrish-real-beef-brown-rice-dog-food-40-lbs")</f>
        <v/>
      </c>
      <c r="B1086" s="2">
        <f>HYPERLINK("https://www.shelhealth.com/products/rachael-ray-nutrish-real-beef-brown-rice-dog-food-40-lbs", "https://www.shelhealth.com/products/rachael-ray-nutrish-real-beef-brown-rice-dog-food-40-lbs")</f>
        <v/>
      </c>
      <c r="C1086" t="inlineStr">
        <is>
          <t>Rachael Ray Nutrish Real Beef &amp; Brown Rice Dog Food, 40 lbs.</t>
        </is>
      </c>
      <c r="D1086" t="inlineStr">
        <is>
          <t>Rachael Ray Nutrish Dish Premium Dry Dog Food, Beef &amp; Brown Rice Recipe with Veggies, Fruit &amp; Chicken, 23 Pound Bag</t>
        </is>
      </c>
      <c r="E1086" s="2">
        <f>HYPERLINK("https://www.amazon.com/Rachael-Ray-Nutrish-Veggies-Chicken/dp/B01AHOMB5A/ref=sr_1_5?keywords=Rachael+Ray+Nutrish+Real+Beef&amp;qid=1695170293&amp;sr=8-5", "https://www.amazon.com/Rachael-Ray-Nutrish-Veggies-Chicken/dp/B01AHOMB5A/ref=sr_1_5?keywords=Rachael+Ray+Nutrish+Real+Beef&amp;qid=1695170293&amp;sr=8-5")</f>
        <v/>
      </c>
      <c r="F1086" t="inlineStr">
        <is>
          <t>B01AHOMB5A</t>
        </is>
      </c>
      <c r="G1086">
        <f>_xludf.IMAGE("https://www.shelhealth.com/cdn/shop/products/rachael-ray-nutrish-real-beef-brown-rice-dog-food-40-lbs-shelhealth-214.jpg?v=1663370472&amp;width=1946")</f>
        <v/>
      </c>
      <c r="H1086">
        <f>_xludf.IMAGE("https://m.media-amazon.com/images/I/91MaCcKeOXL._AC_UL320_.jpg")</f>
        <v/>
      </c>
      <c r="K1086" t="inlineStr">
        <is>
          <t>66.99</t>
        </is>
      </c>
      <c r="L1086" t="n">
        <v>50.99</v>
      </c>
      <c r="M1086" s="1" t="inlineStr">
        <is>
          <t>-23.88%</t>
        </is>
      </c>
      <c r="N1086" s="3" t="n">
        <v>-23.88</v>
      </c>
      <c r="O1086" t="n">
        <v>4.6</v>
      </c>
      <c r="P1086" t="n">
        <v>8921</v>
      </c>
      <c r="R1086" t="inlineStr">
        <is>
          <t>InStock</t>
        </is>
      </c>
      <c r="S1086" t="inlineStr">
        <is>
          <t>66.99</t>
        </is>
      </c>
      <c r="T1086" t="inlineStr">
        <is>
          <t>4664151048281</t>
        </is>
      </c>
    </row>
    <row r="1087" hidden="1" ht="15.75" customHeight="1">
      <c r="A1087" s="2">
        <f>HYPERLINK("https://www.shelhealth.com/products/cadet-gourmet-bull-sticks-12-pack", "https://www.shelhealth.com/products/cadet-gourmet-bull-sticks-12-pack")</f>
        <v/>
      </c>
      <c r="B1087" s="2">
        <f>HYPERLINK("https://www.shelhealth.com/products/cadet-gourmet-bull-sticks-12-pack", "https://www.shelhealth.com/products/cadet-gourmet-bull-sticks-12-pack")</f>
        <v/>
      </c>
      <c r="C1087" t="inlineStr">
        <is>
          <t>Cadet Gourmet Bull Sticks 12 Pack</t>
        </is>
      </c>
      <c r="D1087" t="inlineStr">
        <is>
          <t>Cadet Gourmet 1 Pound All Natural Bully Sticks - 12 Inch Straight Bully Medium Thickness Bully Sticks Never Sourced From China - Approx 7-9 Sticks per Bag.</t>
        </is>
      </c>
      <c r="E1087" s="2">
        <f>HYPERLINK("https://www.amazon.com/Cadet-Gourmet-Pound-Natural-Sticks/dp/B01EQFMRHS/ref=sr_1_3?keywords=cadet+gourmet+bully+sticks+12+pack&amp;qid=1695170291&amp;sr=8-3", "https://www.amazon.com/Cadet-Gourmet-Pound-Natural-Sticks/dp/B01EQFMRHS/ref=sr_1_3?keywords=cadet+gourmet+bully+sticks+12+pack&amp;qid=1695170291&amp;sr=8-3")</f>
        <v/>
      </c>
      <c r="F1087" t="inlineStr">
        <is>
          <t>B01EQFMRHS</t>
        </is>
      </c>
      <c r="G1087">
        <f>_xludf.IMAGE("https://www.shelhealth.com/cdn/shop/products/cadet-gourmet-bull-sticks-12-pack-shelhealth-774.jpg?v=1663359922&amp;width=1946")</f>
        <v/>
      </c>
      <c r="H1087">
        <f>_xludf.IMAGE("https://m.media-amazon.com/images/I/81Hci0+TlhL._AC_UL320_.jpg")</f>
        <v/>
      </c>
      <c r="K1087" t="inlineStr">
        <is>
          <t>51.99</t>
        </is>
      </c>
      <c r="L1087" t="n">
        <v>39.55</v>
      </c>
      <c r="M1087" s="1" t="inlineStr">
        <is>
          <t>-23.93%</t>
        </is>
      </c>
      <c r="N1087" s="3" t="n">
        <v>-23.93</v>
      </c>
      <c r="O1087" t="n">
        <v>4.2</v>
      </c>
      <c r="P1087" t="n">
        <v>91</v>
      </c>
      <c r="R1087" t="inlineStr">
        <is>
          <t>OutOfStock</t>
        </is>
      </c>
      <c r="S1087" t="inlineStr">
        <is>
          <t>51.99</t>
        </is>
      </c>
      <c r="T1087" t="inlineStr">
        <is>
          <t>4389671796825</t>
        </is>
      </c>
    </row>
    <row r="1088" hidden="1" ht="15.75" customHeight="1">
      <c r="A1088" s="2">
        <f>HYPERLINK("https://www.shelhealth.com/products/851335000919-noble-jerky-chipotle-vegan-jerky-2-47-oz", "https://www.shelhealth.com/products/851335000919-noble-jerky-chipotle-vegan-jerky-2-47-oz")</f>
        <v/>
      </c>
      <c r="B1088" s="2">
        <f>HYPERLINK("https://www.shelhealth.com/products/851335000919-noble-jerky-chipotle-vegan-jerky-2-47-oz", "https://www.shelhealth.com/products/851335000919-noble-jerky-chipotle-vegan-jerky-2-47-oz")</f>
        <v/>
      </c>
      <c r="C1088" t="inlineStr">
        <is>
          <t>Noble Jerky Chipotle Vegan Jerky, 2.47 Oz (Case of 4)</t>
        </is>
      </c>
      <c r="D1088" t="inlineStr">
        <is>
          <t>Noble Jerky - Healthy Vegan Jerky, Vegetarian, 2.47 oz Bag (3 Bags) (Chipotle)</t>
        </is>
      </c>
      <c r="E1088" s="2">
        <f>HYPERLINK("https://www.amazon.com/Noble-Jerky-Chipotle-Vegan-2-47/dp/B07NQS6CG8/ref=sr_1_1?keywords=Noble+Jerky+Chipotle+Vegan+Jerky%2C+2.47+Oz+%28Case+of+4%29&amp;qid=1695170308&amp;sr=8-1", "https://www.amazon.com/Noble-Jerky-Chipotle-Vegan-2-47/dp/B07NQS6CG8/ref=sr_1_1?keywords=Noble+Jerky+Chipotle+Vegan+Jerky%2C+2.47+Oz+%28Case+of+4%29&amp;qid=1695170308&amp;sr=8-1")</f>
        <v/>
      </c>
      <c r="F1088" t="inlineStr">
        <is>
          <t>B07NQS6CG8</t>
        </is>
      </c>
      <c r="G1088">
        <f>_xludf.IMAGE("https://www.shelhealth.com/cdn/shop/products/noble-jerky-chipotle-vegan-2-47-oz-case-of-4-shelhealth-887.jpg?v=1677071406&amp;width=1946")</f>
        <v/>
      </c>
      <c r="H1088">
        <f>_xludf.IMAGE("https://m.media-amazon.com/images/I/81zK-Hva-wL._AC_UL320_.jpg")</f>
        <v/>
      </c>
      <c r="K1088" t="inlineStr">
        <is>
          <t>20.99</t>
        </is>
      </c>
      <c r="L1088" t="n">
        <v>15.89</v>
      </c>
      <c r="M1088" s="1" t="inlineStr">
        <is>
          <t>-24.30%</t>
        </is>
      </c>
      <c r="N1088" s="3" t="n">
        <v>-24.3</v>
      </c>
      <c r="O1088" t="n">
        <v>4.1</v>
      </c>
      <c r="P1088" t="n">
        <v>1961</v>
      </c>
      <c r="R1088" t="inlineStr">
        <is>
          <t>InStock</t>
        </is>
      </c>
      <c r="S1088" t="inlineStr">
        <is>
          <t>20.99</t>
        </is>
      </c>
      <c r="T1088" t="inlineStr">
        <is>
          <t>7241874997436</t>
        </is>
      </c>
    </row>
    <row r="1089" hidden="1" ht="15.75" customHeight="1">
      <c r="A1089" s="2">
        <f>HYPERLINK("https://www.shelhealth.com/products/purina-beneful-prepared-meals-variety-pack-dog-food-10-oz-plastic-tubs-12-ct", "https://www.shelhealth.com/products/purina-beneful-prepared-meals-variety-pack-dog-food-10-oz-plastic-tubs-12-ct")</f>
        <v/>
      </c>
      <c r="B1089" s="2">
        <f>HYPERLINK("https://www.shelhealth.com/products/purina-beneful-prepared-meals-variety-pack-dog-food-10-oz-plastic-tubs-12-ct", "https://www.shelhealth.com/products/purina-beneful-prepared-meals-variety-pack-dog-food-10-oz-plastic-tubs-12-ct")</f>
        <v/>
      </c>
      <c r="C1089" t="inlineStr">
        <is>
          <t>Purina Beneful Prepared Meals Variety Pack Dog Food, 10 oz. Plastic Tubs, 12 ct.</t>
        </is>
      </c>
      <c r="D1089" t="inlineStr">
        <is>
          <t>Purina Beneful High Protein, Gravy Wet Dog Food Variety Pack, Prepared Meals Stew - (12) 10 Oz. Tubs</t>
        </is>
      </c>
      <c r="E1089" s="2">
        <f>HYPERLINK("https://www.amazon.com/Purina-Beneful-Prepared-Chicken-Variety/dp/B06XD2BYF3/ref=sr_1_1?keywords=Purina+Beneful+Prepared+Meals+Variety+Pack+Dog+Food%2C+10+oz.+Plastic+Tubs%2C+12+ct.&amp;qid=1695170297&amp;sr=8-1", "https://www.amazon.com/Purina-Beneful-Prepared-Chicken-Variety/dp/B06XD2BYF3/ref=sr_1_1?keywords=Purina+Beneful+Prepared+Meals+Variety+Pack+Dog+Food%2C+10+oz.+Plastic+Tubs%2C+12+ct.&amp;qid=1695170297&amp;sr=8-1")</f>
        <v/>
      </c>
      <c r="F1089" t="inlineStr">
        <is>
          <t>B06XD2BYF3</t>
        </is>
      </c>
      <c r="G1089">
        <f>_xludf.IMAGE("https://www.shelhealth.com/cdn/shop/products/purina-beneful-prepared-meals-variety-pack-dog-food-10-oz-plastic-tubs-12-ct-shelhealth-358.jpg?v=1663370505&amp;width=1946")</f>
        <v/>
      </c>
      <c r="H1089">
        <f>_xludf.IMAGE("https://m.media-amazon.com/images/I/81SUcfaXU2L._AC_UL320_.jpg")</f>
        <v/>
      </c>
      <c r="K1089" t="inlineStr">
        <is>
          <t>36.99</t>
        </is>
      </c>
      <c r="L1089" t="n">
        <v>27.49</v>
      </c>
      <c r="M1089" s="1" t="inlineStr">
        <is>
          <t>-25.68%</t>
        </is>
      </c>
      <c r="N1089" s="3" t="n">
        <v>-25.68</v>
      </c>
      <c r="O1089" t="n">
        <v>4.7</v>
      </c>
      <c r="P1089" t="n">
        <v>15784</v>
      </c>
      <c r="R1089" t="inlineStr">
        <is>
          <t>InStock</t>
        </is>
      </c>
      <c r="S1089" t="inlineStr">
        <is>
          <t>36.99</t>
        </is>
      </c>
      <c r="T1089" t="inlineStr">
        <is>
          <t>4664165236825</t>
        </is>
      </c>
    </row>
    <row r="1090" hidden="1" ht="15.75" customHeight="1">
      <c r="A1090" s="2">
        <f>HYPERLINK("https://www.shelhealth.com/products/nutri-bites-freeze-dried-beef-liver-treats-17-6-oz", "https://www.shelhealth.com/products/nutri-bites-freeze-dried-beef-liver-treats-17-6-oz")</f>
        <v/>
      </c>
      <c r="B1090" s="2">
        <f>HYPERLINK("https://www.shelhealth.com/products/nutri-bites-freeze-dried-beef-liver-treats-17-6-oz", "https://www.shelhealth.com/products/nutri-bites-freeze-dried-beef-liver-treats-17-6-oz")</f>
        <v/>
      </c>
      <c r="C1090" t="inlineStr">
        <is>
          <t>Nutri Bites Freeze Dried Beef Liver Treats, 17.6 oz. (Pack of 2)</t>
        </is>
      </c>
      <c r="D1090" t="inlineStr">
        <is>
          <t>Nutri Bites Freeze Dried Liver Treats for Dogs &amp; Cats - High-Protein Single Ingredient Dog Treats, Beef Liver - Grain Free, Easy to Digest - Proudly Made in Canada - 500g / 17.6oz (2pk)</t>
        </is>
      </c>
      <c r="E1090" s="2">
        <f>HYPERLINK("https://www.amazon.com/Nutri-Bites-Freeze-Dried-Treats/dp/B0BLW8FN1H/ref=sr_1_1?keywords=Nutri+Bites+Freeze+Dried+Beef+Liver+Treats%2C+17.6+oz.+%28Pack+of+2%29&amp;qid=1695170362&amp;sr=8-1", "https://www.amazon.com/Nutri-Bites-Freeze-Dried-Treats/dp/B0BLW8FN1H/ref=sr_1_1?keywords=Nutri+Bites+Freeze+Dried+Beef+Liver+Treats%2C+17.6+oz.+%28Pack+of+2%29&amp;qid=1695170362&amp;sr=8-1")</f>
        <v/>
      </c>
      <c r="F1090" t="inlineStr">
        <is>
          <t>B0BLW8FN1H</t>
        </is>
      </c>
      <c r="G1090">
        <f>_xludf.IMAGE("https://www.shelhealth.com/cdn/shop/files/nutri-bites-freeze-dried-beef-liver-treats-17-6-oz-pack-of-2-shelhealth-250.jpg?v=1685570645&amp;width=1946")</f>
        <v/>
      </c>
      <c r="H1090">
        <f>_xludf.IMAGE("https://m.media-amazon.com/images/I/71Blk7Bu7OL._AC_UL320_.jpg")</f>
        <v/>
      </c>
      <c r="K1090" t="inlineStr">
        <is>
          <t>49.99</t>
        </is>
      </c>
      <c r="L1090" t="n">
        <v>36.76</v>
      </c>
      <c r="M1090" s="1" t="inlineStr">
        <is>
          <t>-26.47%</t>
        </is>
      </c>
      <c r="N1090" s="3" t="n">
        <v>-26.47</v>
      </c>
      <c r="O1090" t="n">
        <v>4.8</v>
      </c>
      <c r="P1090" t="n">
        <v>481</v>
      </c>
      <c r="R1090" t="inlineStr">
        <is>
          <t>InStock</t>
        </is>
      </c>
      <c r="S1090" t="inlineStr">
        <is>
          <t>49.99</t>
        </is>
      </c>
      <c r="T1090" t="inlineStr">
        <is>
          <t>8222814699752</t>
        </is>
      </c>
    </row>
    <row r="1091" hidden="1" ht="15.75" customHeight="1">
      <c r="A1091" s="2">
        <f>HYPERLINK("https://www.shelhealth.com/products/purina-friskies-cat-treats-party-mix-2-pk-20-oz", "https://www.shelhealth.com/products/purina-friskies-cat-treats-party-mix-2-pk-20-oz")</f>
        <v/>
      </c>
      <c r="B1091" s="2">
        <f>HYPERLINK("https://www.shelhealth.com/products/purina-friskies-cat-treats-party-mix-2-pk-20-oz", "https://www.shelhealth.com/products/purina-friskies-cat-treats-party-mix-2-pk-20-oz")</f>
        <v/>
      </c>
      <c r="C1091" t="inlineStr">
        <is>
          <t>Purina Friskies Cat Treats Party Mix, 2 pk./20 oz.</t>
        </is>
      </c>
      <c r="D1091" t="inlineStr">
        <is>
          <t>Purina Friskies Party Mix Cat Treats, Beachside Crunch, Made with Ocean Whitefish, Crunchy Cat Treats for Adult Cats, 20-Ounce Resealable Canister (Pack of 2)</t>
        </is>
      </c>
      <c r="E1091" s="2">
        <f>HYPERLINK("https://www.amazon.com/Purina-Friskies-Beachside-Whitefish-Resealable/dp/B0BJMG5CSW/ref=sr_1_2?keywords=Purina+Friskies+Cat+Treats+Party+Mix%2C+2+pk.%2F20+oz.&amp;qid=1695170281&amp;sr=8-2", "https://www.amazon.com/Purina-Friskies-Beachside-Whitefish-Resealable/dp/B0BJMG5CSW/ref=sr_1_2?keywords=Purina+Friskies+Cat+Treats+Party+Mix%2C+2+pk.%2F20+oz.&amp;qid=1695170281&amp;sr=8-2")</f>
        <v/>
      </c>
      <c r="F1091" t="inlineStr">
        <is>
          <t>B0BJMG5CSW</t>
        </is>
      </c>
      <c r="G1091">
        <f>_xludf.IMAGE("https://www.shelhealth.com/cdn/shop/files/purina-friskies-cat-treats-party-mix-2-pk-20-oz-grocery-household-petpet-shelhealth-937.jpg?v=1686284201&amp;width=1946")</f>
        <v/>
      </c>
      <c r="H1091">
        <f>_xludf.IMAGE("https://m.media-amazon.com/images/I/81plxLI76ML._AC_UL320_.jpg")</f>
        <v/>
      </c>
      <c r="K1091" t="inlineStr">
        <is>
          <t>27.99</t>
        </is>
      </c>
      <c r="L1091" t="n">
        <v>19.98</v>
      </c>
      <c r="M1091" s="1" t="inlineStr">
        <is>
          <t>-28.62%</t>
        </is>
      </c>
      <c r="N1091" s="3" t="n">
        <v>-28.62</v>
      </c>
      <c r="O1091" t="n">
        <v>5</v>
      </c>
      <c r="P1091" t="n">
        <v>11</v>
      </c>
      <c r="R1091" t="inlineStr">
        <is>
          <t>InStock</t>
        </is>
      </c>
      <c r="S1091" t="inlineStr">
        <is>
          <t>27.99</t>
        </is>
      </c>
      <c r="T1091" t="inlineStr">
        <is>
          <t>4169615933492</t>
        </is>
      </c>
    </row>
    <row r="1092" hidden="1" ht="15.75" customHeight="1">
      <c r="A1092" s="2">
        <f>HYPERLINK("https://www.shelhealth.com/products/pedigree-wet-dog-food-variety-pack-30-pk-3-5-oz", "https://www.shelhealth.com/products/pedigree-wet-dog-food-variety-pack-30-pk-3-5-oz")</f>
        <v/>
      </c>
      <c r="B1092" s="2">
        <f>HYPERLINK("https://www.shelhealth.com/products/pedigree-wet-dog-food-variety-pack-30-pk-3-5-oz", "https://www.shelhealth.com/products/pedigree-wet-dog-food-variety-pack-30-pk-3-5-oz")</f>
        <v/>
      </c>
      <c r="C1092" t="inlineStr">
        <is>
          <t>Pedigree Wet Dog Food Variety Pack, 30 pk./3.5 oz.</t>
        </is>
      </c>
      <c r="D1092" t="inlineStr">
        <is>
          <t>PEDIGREE High Protein Adult Canned Soft Wet Dog Food Variety Pack, Chopped Beef &amp; Bison Flavor and Chopped Chicken &amp; Duck Flavor, (12) 13.2 oz. Cans</t>
        </is>
      </c>
      <c r="E1092" s="2">
        <f>HYPERLINK("https://www.amazon.com/PEDIGREE-Protein-Variety-Chopped-Chicken/dp/B08QM4JZLD/ref=sr_1_4?keywords=Pedigree+Wet+Dog+Food+Variety+Pack%2C+30+pk.%2F3.5+oz.&amp;qid=1695170285&amp;sr=8-4", "https://www.amazon.com/PEDIGREE-Protein-Variety-Chopped-Chicken/dp/B08QM4JZLD/ref=sr_1_4?keywords=Pedigree+Wet+Dog+Food+Variety+Pack%2C+30+pk.%2F3.5+oz.&amp;qid=1695170285&amp;sr=8-4")</f>
        <v/>
      </c>
      <c r="F1092" t="inlineStr">
        <is>
          <t>B08QM4JZLD</t>
        </is>
      </c>
      <c r="G1092">
        <f>_xludf.IMAGE("https://www.shelhealth.com/cdn/shop/products/pedigree-wet-dog-food-variety-pack-30-pk-3-5-oz-shelhealth-733.jpg?v=1663355669&amp;width=1946")</f>
        <v/>
      </c>
      <c r="H1092">
        <f>_xludf.IMAGE("https://m.media-amazon.com/images/I/71RLgM77DlL._AC_UL320_.jpg")</f>
        <v/>
      </c>
      <c r="K1092" t="inlineStr">
        <is>
          <t>30.99</t>
        </is>
      </c>
      <c r="L1092" t="n">
        <v>21.97</v>
      </c>
      <c r="M1092" s="1" t="inlineStr">
        <is>
          <t>-29.11%</t>
        </is>
      </c>
      <c r="N1092" s="3" t="n">
        <v>-29.11</v>
      </c>
      <c r="O1092" t="n">
        <v>4.6</v>
      </c>
      <c r="P1092" t="n">
        <v>3613</v>
      </c>
      <c r="R1092" t="inlineStr">
        <is>
          <t>InStock</t>
        </is>
      </c>
      <c r="S1092" t="inlineStr">
        <is>
          <t>30.99</t>
        </is>
      </c>
      <c r="T1092" t="inlineStr">
        <is>
          <t>4171294769204</t>
        </is>
      </c>
    </row>
    <row r="1093" hidden="1" ht="15.75" customHeight="1">
      <c r="A1093" s="2">
        <f>HYPERLINK("https://www.shelhealth.com/products/farmland-traditions-usa-made-chicken-jerky-dog-treats-3-lb", "https://www.shelhealth.com/products/farmland-traditions-usa-made-chicken-jerky-dog-treats-3-lb")</f>
        <v/>
      </c>
      <c r="B1093" s="2">
        <f>HYPERLINK("https://www.shelhealth.com/products/farmland-traditions-usa-made-chicken-jerky-dog-treats-3-lb", "https://www.shelhealth.com/products/farmland-traditions-usa-made-chicken-jerky-dog-treats-3-lb")</f>
        <v/>
      </c>
      <c r="C1093" t="inlineStr">
        <is>
          <t>Farmland Traditions Usa Made Chicken Jerky Dog Treats, 3 Lb.</t>
        </is>
      </c>
      <c r="D1093" t="inlineStr">
        <is>
          <t>Farmland Traditions USA Made 2 lb. Pork Jerky Dog Treats</t>
        </is>
      </c>
      <c r="E1093" s="2">
        <f>HYPERLINK("https://www.amazon.com/Farmland-Traditions-Made-Jerky-Treats/dp/B01GGK5ETE/ref=sr_1_6?keywords=Farmland+Traditions+Usa+Made+Chicken+Jerky+Dog+Treats%2C+3+Lb.&amp;qid=1695170285&amp;sr=8-6", "https://www.amazon.com/Farmland-Traditions-Made-Jerky-Treats/dp/B01GGK5ETE/ref=sr_1_6?keywords=Farmland+Traditions+Usa+Made+Chicken+Jerky+Dog+Treats%2C+3+Lb.&amp;qid=1695170285&amp;sr=8-6")</f>
        <v/>
      </c>
      <c r="F1093" t="inlineStr">
        <is>
          <t>B01GGK5ETE</t>
        </is>
      </c>
      <c r="G1093">
        <f>_xludf.IMAGE("https://www.shelhealth.com/cdn/shop/products/farmland-traditions-usa-made-chicken-jerky-dog-treats-3-lb-shelhealth-966.jpg?v=1663340913&amp;width=1946")</f>
        <v/>
      </c>
      <c r="H1093">
        <f>_xludf.IMAGE("https://m.media-amazon.com/images/I/81itfGAZZkL._AC_UL320_.jpg")</f>
        <v/>
      </c>
      <c r="K1093" t="inlineStr">
        <is>
          <t>42.99</t>
        </is>
      </c>
      <c r="L1093" t="n">
        <v>29.5</v>
      </c>
      <c r="M1093" s="1" t="inlineStr">
        <is>
          <t>-31.38%</t>
        </is>
      </c>
      <c r="N1093" s="3" t="n">
        <v>-31.38</v>
      </c>
      <c r="O1093" t="n">
        <v>4.5</v>
      </c>
      <c r="P1093" t="n">
        <v>343</v>
      </c>
      <c r="R1093" t="inlineStr">
        <is>
          <t>InStock</t>
        </is>
      </c>
      <c r="S1093" t="inlineStr">
        <is>
          <t>42.99</t>
        </is>
      </c>
      <c r="T1093" t="inlineStr">
        <is>
          <t>3806340055092</t>
        </is>
      </c>
    </row>
    <row r="1094" hidden="1" ht="15.75" customHeight="1">
      <c r="A1094" s="2">
        <f>HYPERLINK("https://www.shelhealth.com/products/farmland-traditions-usa-made-chicken-jerky-dog-treats-3-lb", "https://www.shelhealth.com/products/farmland-traditions-usa-made-chicken-jerky-dog-treats-3-lb")</f>
        <v/>
      </c>
      <c r="B1094" s="2">
        <f>HYPERLINK("https://www.shelhealth.com/products/farmland-traditions-usa-made-chicken-jerky-dog-treats-3-lb", "https://www.shelhealth.com/products/farmland-traditions-usa-made-chicken-jerky-dog-treats-3-lb")</f>
        <v/>
      </c>
      <c r="C1094" t="inlineStr">
        <is>
          <t>Farmland Traditions Usa Made Chicken Jerky Dog Treats, 3 Lb.</t>
        </is>
      </c>
      <c r="D1094" t="inlineStr">
        <is>
          <t>Farmland Traditions USA Made 3 lbs. Turkey, Sweet Potato, Cranberry Soft Jerky Bite Dog Treats</t>
        </is>
      </c>
      <c r="E1094" s="2">
        <f>HYPERLINK("https://www.amazon.com/Farmland-Traditions-Turkey-Potato-Cranberry/dp/B07H14BLQR/ref=sr_1_3?keywords=Farmland+Traditions+Usa+Made+Chicken+Jerky+Dog+Treats%2C+3+Lb.&amp;qid=1695170285&amp;sr=8-3", "https://www.amazon.com/Farmland-Traditions-Turkey-Potato-Cranberry/dp/B07H14BLQR/ref=sr_1_3?keywords=Farmland+Traditions+Usa+Made+Chicken+Jerky+Dog+Treats%2C+3+Lb.&amp;qid=1695170285&amp;sr=8-3")</f>
        <v/>
      </c>
      <c r="F1094" t="inlineStr">
        <is>
          <t>B07H14BLQR</t>
        </is>
      </c>
      <c r="G1094">
        <f>_xludf.IMAGE("https://www.shelhealth.com/cdn/shop/products/farmland-traditions-usa-made-chicken-jerky-dog-treats-3-lb-shelhealth-966.jpg?v=1663340913&amp;width=1946")</f>
        <v/>
      </c>
      <c r="H1094">
        <f>_xludf.IMAGE("https://m.media-amazon.com/images/I/71FDLK6OdFL._AC_UL320_.jpg")</f>
        <v/>
      </c>
      <c r="K1094" t="inlineStr">
        <is>
          <t>42.99</t>
        </is>
      </c>
      <c r="L1094" t="n">
        <v>29.5</v>
      </c>
      <c r="M1094" s="1" t="inlineStr">
        <is>
          <t>-31.38%</t>
        </is>
      </c>
      <c r="N1094" s="3" t="n">
        <v>-31.38</v>
      </c>
      <c r="O1094" t="n">
        <v>4.6</v>
      </c>
      <c r="P1094" t="n">
        <v>308</v>
      </c>
      <c r="R1094" t="inlineStr">
        <is>
          <t>InStock</t>
        </is>
      </c>
      <c r="S1094" t="inlineStr">
        <is>
          <t>42.99</t>
        </is>
      </c>
      <c r="T1094" t="inlineStr">
        <is>
          <t>3806340055092</t>
        </is>
      </c>
    </row>
    <row r="1095" hidden="1" ht="15.75" customHeight="1">
      <c r="A1095" s="2">
        <f>HYPERLINK("https://www.shelhealth.com/products/purina-beggin-strips-bacon-flavor-dog-snacks-48-oz", "https://www.shelhealth.com/products/purina-beggin-strips-bacon-flavor-dog-snacks-48-oz")</f>
        <v/>
      </c>
      <c r="B1095" s="2">
        <f>HYPERLINK("https://www.shelhealth.com/products/purina-beggin-strips-bacon-flavor-dog-snacks-48-oz", "https://www.shelhealth.com/products/purina-beggin-strips-bacon-flavor-dog-snacks-48-oz")</f>
        <v/>
      </c>
      <c r="C1095" t="inlineStr">
        <is>
          <t>Purina Beggin' Strips Bacon Flavor Dog Snacks, 48 oz.</t>
        </is>
      </c>
      <c r="D1095" t="inlineStr">
        <is>
          <t>Purina Beggin' Strips Dog Treats, Original with Bacon Flavor - (2) 26 oz. Pouches</t>
        </is>
      </c>
      <c r="E1095" s="2">
        <f>HYPERLINK("https://www.amazon.com/Purina-Beggin-Strips-Facilities-Original/dp/B09GJJLDWR/ref=sr_1_8?keywords=Purina+Beggin+Strips+Bacon+Flavor+Dog+Snacks%2C+48+oz.&amp;qid=1695170354&amp;sr=8-8", "https://www.amazon.com/Purina-Beggin-Strips-Facilities-Original/dp/B09GJJLDWR/ref=sr_1_8?keywords=Purina+Beggin+Strips+Bacon+Flavor+Dog+Snacks%2C+48+oz.&amp;qid=1695170354&amp;sr=8-8")</f>
        <v/>
      </c>
      <c r="F1095" t="inlineStr">
        <is>
          <t>B09GJJLDWR</t>
        </is>
      </c>
      <c r="G1095">
        <f>_xludf.IMAGE("https://www.shelhealth.com/cdn/shop/products/purina-beggin-strips-bacon-flavor-dog-snacks-48-oz-shelhealth-818.jpg?v=1663354727&amp;width=1946")</f>
        <v/>
      </c>
      <c r="H1095">
        <f>_xludf.IMAGE("https://m.media-amazon.com/images/I/818Q+9mjDUL._AC_UL320_.jpg")</f>
        <v/>
      </c>
      <c r="K1095" t="inlineStr">
        <is>
          <t>30.99</t>
        </is>
      </c>
      <c r="L1095" t="n">
        <v>21.19</v>
      </c>
      <c r="M1095" s="1" t="inlineStr">
        <is>
          <t>-31.62%</t>
        </is>
      </c>
      <c r="N1095" s="3" t="n">
        <v>-31.62</v>
      </c>
      <c r="O1095" t="n">
        <v>4.8</v>
      </c>
      <c r="P1095" t="n">
        <v>2401</v>
      </c>
      <c r="R1095" t="inlineStr">
        <is>
          <t>InStock</t>
        </is>
      </c>
      <c r="S1095" t="inlineStr">
        <is>
          <t>30.99</t>
        </is>
      </c>
      <c r="T1095" t="inlineStr">
        <is>
          <t>4167716438068</t>
        </is>
      </c>
    </row>
    <row r="1096" hidden="1" ht="15.75" customHeight="1">
      <c r="A1096" s="2">
        <f>HYPERLINK("https://www.shelhealth.com/products/purina-beggin-strips-bacon-flavor-dog-snacks-48-oz", "https://www.shelhealth.com/products/purina-beggin-strips-bacon-flavor-dog-snacks-48-oz")</f>
        <v/>
      </c>
      <c r="B1096" s="2">
        <f>HYPERLINK("https://www.shelhealth.com/products/purina-beggin-strips-bacon-flavor-dog-snacks-48-oz", "https://www.shelhealth.com/products/purina-beggin-strips-bacon-flavor-dog-snacks-48-oz")</f>
        <v/>
      </c>
      <c r="C1096" t="inlineStr">
        <is>
          <t>Purina Beggin' Strips Bacon Flavor Dog Snacks, 48 oz.</t>
        </is>
      </c>
      <c r="D1096" t="inlineStr">
        <is>
          <t>Purina Beggin' Strips With Real Meat Dog Treats With Bacon and Beef Flavors - (2) 26 oz. Pouches</t>
        </is>
      </c>
      <c r="E1096" s="2">
        <f>HYPERLINK("https://www.amazon.com/Purina-Beggin-Strips-Treats-Flavors/dp/B09H3P82Z3/ref=sr_1_10?keywords=Purina+Beggin+Strips+Bacon+Flavor+Dog+Snacks%2C+48+oz.&amp;qid=1695170354&amp;sr=8-10", "https://www.amazon.com/Purina-Beggin-Strips-Treats-Flavors/dp/B09H3P82Z3/ref=sr_1_10?keywords=Purina+Beggin+Strips+Bacon+Flavor+Dog+Snacks%2C+48+oz.&amp;qid=1695170354&amp;sr=8-10")</f>
        <v/>
      </c>
      <c r="F1096" t="inlineStr">
        <is>
          <t>B09H3P82Z3</t>
        </is>
      </c>
      <c r="G1096">
        <f>_xludf.IMAGE("https://www.shelhealth.com/cdn/shop/products/purina-beggin-strips-bacon-flavor-dog-snacks-48-oz-shelhealth-818.jpg?v=1663354727&amp;width=1946")</f>
        <v/>
      </c>
      <c r="H1096">
        <f>_xludf.IMAGE("https://m.media-amazon.com/images/I/81nfJ1mHUHL._AC_UL320_.jpg")</f>
        <v/>
      </c>
      <c r="K1096" t="inlineStr">
        <is>
          <t>30.99</t>
        </is>
      </c>
      <c r="L1096" t="n">
        <v>21.19</v>
      </c>
      <c r="M1096" s="1" t="inlineStr">
        <is>
          <t>-31.62%</t>
        </is>
      </c>
      <c r="N1096" s="3" t="n">
        <v>-31.62</v>
      </c>
      <c r="O1096" t="n">
        <v>4.8</v>
      </c>
      <c r="P1096" t="n">
        <v>1537</v>
      </c>
      <c r="R1096" t="inlineStr">
        <is>
          <t>InStock</t>
        </is>
      </c>
      <c r="S1096" t="inlineStr">
        <is>
          <t>30.99</t>
        </is>
      </c>
      <c r="T1096" t="inlineStr">
        <is>
          <t>4167716438068</t>
        </is>
      </c>
    </row>
    <row r="1097" hidden="1" ht="15.75" customHeight="1">
      <c r="A1097" s="2">
        <f>HYPERLINK("https://www.shelhealth.com/products/farmland-traditions-usa-made-chicken-jerky-dog-treats-3-lb", "https://www.shelhealth.com/products/farmland-traditions-usa-made-chicken-jerky-dog-treats-3-lb")</f>
        <v/>
      </c>
      <c r="B1097" s="2">
        <f>HYPERLINK("https://www.shelhealth.com/products/farmland-traditions-usa-made-chicken-jerky-dog-treats-3-lb", "https://www.shelhealth.com/products/farmland-traditions-usa-made-chicken-jerky-dog-treats-3-lb")</f>
        <v/>
      </c>
      <c r="C1097" t="inlineStr">
        <is>
          <t>Farmland Traditions Usa Made Chicken Jerky Dog Treats, 3 Lb.</t>
        </is>
      </c>
      <c r="D1097" t="inlineStr">
        <is>
          <t>Farmland Traditions Filler Free Dogs Love Variety Premium Jerky Treats for Dogs, Chicken, Beef &amp; Turkey, 3 lb. Bag</t>
        </is>
      </c>
      <c r="E1097" s="2">
        <f>HYPERLINK("https://www.amazon.com/Farmland-Traditions-Loves-Variety-Treats/dp/B07GKVM5P1/ref=sr_1_2?keywords=Farmland+Traditions+Usa+Made+Chicken+Jerky+Dog+Treats%2C+3+Lb.&amp;qid=1695170285&amp;sr=8-2", "https://www.amazon.com/Farmland-Traditions-Loves-Variety-Treats/dp/B07GKVM5P1/ref=sr_1_2?keywords=Farmland+Traditions+Usa+Made+Chicken+Jerky+Dog+Treats%2C+3+Lb.&amp;qid=1695170285&amp;sr=8-2")</f>
        <v/>
      </c>
      <c r="F1097" t="inlineStr">
        <is>
          <t>B07GKVM5P1</t>
        </is>
      </c>
      <c r="G1097">
        <f>_xludf.IMAGE("https://www.shelhealth.com/cdn/shop/products/farmland-traditions-usa-made-chicken-jerky-dog-treats-3-lb-shelhealth-966.jpg?v=1663340913&amp;width=1946")</f>
        <v/>
      </c>
      <c r="H1097">
        <f>_xludf.IMAGE("https://m.media-amazon.com/images/I/71AhLb8zqWL._AC_UL320_.jpg")</f>
        <v/>
      </c>
      <c r="K1097" t="inlineStr">
        <is>
          <t>42.99</t>
        </is>
      </c>
      <c r="L1097" t="n">
        <v>28.88</v>
      </c>
      <c r="M1097" s="1" t="inlineStr">
        <is>
          <t>-32.82%</t>
        </is>
      </c>
      <c r="N1097" s="3" t="n">
        <v>-32.82</v>
      </c>
      <c r="O1097" t="n">
        <v>4.5</v>
      </c>
      <c r="P1097" t="n">
        <v>1784</v>
      </c>
      <c r="R1097" t="inlineStr">
        <is>
          <t>InStock</t>
        </is>
      </c>
      <c r="S1097" t="inlineStr">
        <is>
          <t>42.99</t>
        </is>
      </c>
      <c r="T1097" t="inlineStr">
        <is>
          <t>3806340055092</t>
        </is>
      </c>
    </row>
    <row r="1098" hidden="1" ht="15.75" customHeight="1">
      <c r="A1098" s="2">
        <f>HYPERLINK("https://www.shelhealth.com/products/purina-friskies-cat-treats-party-mix-2-pk-20-oz", "https://www.shelhealth.com/products/purina-friskies-cat-treats-party-mix-2-pk-20-oz")</f>
        <v/>
      </c>
      <c r="B1098" s="2">
        <f>HYPERLINK("https://www.shelhealth.com/products/purina-friskies-cat-treats-party-mix-2-pk-20-oz", "https://www.shelhealth.com/products/purina-friskies-cat-treats-party-mix-2-pk-20-oz")</f>
        <v/>
      </c>
      <c r="C1098" t="inlineStr">
        <is>
          <t>Purina Friskies Cat Treats Party Mix, 2 pk./20 oz.</t>
        </is>
      </c>
      <c r="D1098" t="inlineStr">
        <is>
          <t>Purina Friskies Made in USA Facilities Cat Treats, Party Mix Crunch Morning Munch - (10) 2.1 oz. Pouches</t>
        </is>
      </c>
      <c r="E1098" s="2">
        <f>HYPERLINK("https://www.amazon.com/Purina-Friskies-Facilities-Treats-Morning/dp/B00BI3W4X4/ref=sr_1_5?keywords=Purina+Friskies+Cat+Treats+Party+Mix%2C+2+pk.%2F20+oz.&amp;qid=1695170281&amp;sr=8-5", "https://www.amazon.com/Purina-Friskies-Facilities-Treats-Morning/dp/B00BI3W4X4/ref=sr_1_5?keywords=Purina+Friskies+Cat+Treats+Party+Mix%2C+2+pk.%2F20+oz.&amp;qid=1695170281&amp;sr=8-5")</f>
        <v/>
      </c>
      <c r="F1098" t="inlineStr">
        <is>
          <t>B00BI3W4X4</t>
        </is>
      </c>
      <c r="G1098">
        <f>_xludf.IMAGE("https://www.shelhealth.com/cdn/shop/files/purina-friskies-cat-treats-party-mix-2-pk-20-oz-grocery-household-petpet-shelhealth-937.jpg?v=1686284201&amp;width=1946")</f>
        <v/>
      </c>
      <c r="H1098">
        <f>_xludf.IMAGE("https://m.media-amazon.com/images/I/71nnp2JBZBL._AC_UL320_.jpg")</f>
        <v/>
      </c>
      <c r="K1098" t="inlineStr">
        <is>
          <t>27.99</t>
        </is>
      </c>
      <c r="L1098" t="n">
        <v>18.7</v>
      </c>
      <c r="M1098" s="1" t="inlineStr">
        <is>
          <t>-33.19%</t>
        </is>
      </c>
      <c r="N1098" s="3" t="n">
        <v>-33.19</v>
      </c>
      <c r="O1098" t="n">
        <v>4.8</v>
      </c>
      <c r="P1098" t="n">
        <v>1237</v>
      </c>
      <c r="R1098" t="inlineStr">
        <is>
          <t>InStock</t>
        </is>
      </c>
      <c r="S1098" t="inlineStr">
        <is>
          <t>27.99</t>
        </is>
      </c>
      <c r="T1098" t="inlineStr">
        <is>
          <t>4169615933492</t>
        </is>
      </c>
    </row>
    <row r="1099" hidden="1" ht="15.75" customHeight="1">
      <c r="A1099" s="2">
        <f>HYPERLINK("https://www.shelhealth.com/products/meow-mix-classic-favorites-cat-food-variety-pack-36-pk-2-75-oz", "https://www.shelhealth.com/products/meow-mix-classic-favorites-cat-food-variety-pack-36-pk-2-75-oz")</f>
        <v/>
      </c>
      <c r="B1099" s="2">
        <f>HYPERLINK("https://www.shelhealth.com/products/meow-mix-classic-favorites-cat-food-variety-pack-36-pk-2-75-oz", "https://www.shelhealth.com/products/meow-mix-classic-favorites-cat-food-variety-pack-36-pk-2-75-oz")</f>
        <v/>
      </c>
      <c r="C1099" t="inlineStr">
        <is>
          <t>Meow Mix Classic Favorites Cat Food Variety Pack, 36 pk./2.75 oz.</t>
        </is>
      </c>
      <c r="D1099" t="inlineStr">
        <is>
          <t>Meow Mix Classic Favorites Wet Cat Food, Variety Pack, 2.75 Ounce Cup (Pack of 48)</t>
        </is>
      </c>
      <c r="E1099" s="2">
        <f>HYPERLINK("https://www.amazon.com/Meow-Mix-Classic-Favorites-2-75-Ounce/dp/B01N7H4I8C/ref=sr_1_1?keywords=Meow+Mix+Classic+Favorites+Cat+Food+Variety+Pack%2C+36+pk.%2F2.75+oz.&amp;qid=1695170315&amp;sr=8-1", "https://www.amazon.com/Meow-Mix-Classic-Favorites-2-75-Ounce/dp/B01N7H4I8C/ref=sr_1_1?keywords=Meow+Mix+Classic+Favorites+Cat+Food+Variety+Pack%2C+36+pk.%2F2.75+oz.&amp;qid=1695170315&amp;sr=8-1")</f>
        <v/>
      </c>
      <c r="F1099" t="inlineStr">
        <is>
          <t>B01N7H4I8C</t>
        </is>
      </c>
      <c r="G1099">
        <f>_xludf.IMAGE("https://www.shelhealth.com/cdn/shop/files/meow-mix-classic-favorites-cat-food-variety-pack-36-pk-2-75-oz-grocery-household-petpet-shelhealth-966.jpg?v=1686283171&amp;width=1946")</f>
        <v/>
      </c>
      <c r="H1099">
        <f>_xludf.IMAGE("https://m.media-amazon.com/images/I/81KR12lTeAL._AC_UL320_.jpg")</f>
        <v/>
      </c>
      <c r="K1099" t="inlineStr">
        <is>
          <t>36.99</t>
        </is>
      </c>
      <c r="L1099" t="n">
        <v>23.99</v>
      </c>
      <c r="M1099" s="1" t="inlineStr">
        <is>
          <t>-35.14%</t>
        </is>
      </c>
      <c r="N1099" s="3" t="n">
        <v>-35.14</v>
      </c>
      <c r="O1099" t="n">
        <v>4.5</v>
      </c>
      <c r="P1099" t="n">
        <v>353</v>
      </c>
      <c r="R1099" t="inlineStr">
        <is>
          <t>OutOfStock</t>
        </is>
      </c>
      <c r="S1099" t="inlineStr">
        <is>
          <t>36.99</t>
        </is>
      </c>
      <c r="T1099" t="inlineStr">
        <is>
          <t>4169625632820</t>
        </is>
      </c>
    </row>
    <row r="1100" hidden="1" ht="15.75" customHeight="1">
      <c r="A1100" s="2">
        <f>HYPERLINK("https://www.shelhealth.com/products/fancy-feast-purina-classic-seafood-feast-variety-cat-food-3-oz-48-cans", "https://www.shelhealth.com/products/fancy-feast-purina-classic-seafood-feast-variety-cat-food-3-oz-48-cans")</f>
        <v/>
      </c>
      <c r="B1100" s="2">
        <f>HYPERLINK("https://www.shelhealth.com/products/fancy-feast-purina-classic-seafood-feast-variety-cat-food-3-oz-48-cans", "https://www.shelhealth.com/products/fancy-feast-purina-classic-seafood-feast-variety-cat-food-3-oz-48-cans")</f>
        <v/>
      </c>
      <c r="C1100" t="inlineStr">
        <is>
          <t>Fancy Feast Purina Classic Seafood Feast Variety Cat Food 3 oz. - 48 Cans.</t>
        </is>
      </c>
      <c r="D1100" t="inlineStr">
        <is>
          <t>Purina Fancy Feast Wet Cat Food Variety Pack Gourmet Naturals Seafood - (30) 3 oz. Cans</t>
        </is>
      </c>
      <c r="E1100" s="2">
        <f>HYPERLINK("https://www.amazon.com/Purina-Fancy-Feast-Naturals-Collection/dp/B07N733LL4/ref=sr_1_9?keywords=Fancy+Feast+Purina+Classic+Seafood+Feast+Variety+Cat+Food+3+oz.+-+48+Cans.&amp;qid=1695170280&amp;sr=8-9", "https://www.amazon.com/Purina-Fancy-Feast-Naturals-Collection/dp/B07N733LL4/ref=sr_1_9?keywords=Fancy+Feast+Purina+Classic+Seafood+Feast+Variety+Cat+Food+3+oz.+-+48+Cans.&amp;qid=1695170280&amp;sr=8-9")</f>
        <v/>
      </c>
      <c r="F1100" t="inlineStr">
        <is>
          <t>B07N733LL4</t>
        </is>
      </c>
      <c r="G1100">
        <f>_xludf.IMAGE("https://www.shelhealth.com/cdn/shop/products/fancy-feast-purina-classic-seafood-variety-cat-food-3-oz-48-cans-shelhealth-451.jpg?v=1663343087&amp;width=1946")</f>
        <v/>
      </c>
      <c r="H1100">
        <f>_xludf.IMAGE("https://m.media-amazon.com/images/I/91sS0DKzczL._AC_UL320_.jpg")</f>
        <v/>
      </c>
      <c r="K1100" t="inlineStr">
        <is>
          <t>54.99</t>
        </is>
      </c>
      <c r="L1100" t="n">
        <v>35.47</v>
      </c>
      <c r="M1100" s="1" t="inlineStr">
        <is>
          <t>-35.50%</t>
        </is>
      </c>
      <c r="N1100" s="3" t="n">
        <v>-35.5</v>
      </c>
      <c r="O1100" t="n">
        <v>4.6</v>
      </c>
      <c r="P1100" t="n">
        <v>19817</v>
      </c>
      <c r="R1100" t="inlineStr">
        <is>
          <t>OutOfStock</t>
        </is>
      </c>
      <c r="S1100" t="inlineStr">
        <is>
          <t>54.99</t>
        </is>
      </c>
      <c r="T1100" t="inlineStr">
        <is>
          <t>3819424710708</t>
        </is>
      </c>
    </row>
    <row r="1101" hidden="1" ht="15.75" customHeight="1">
      <c r="A1101" s="2">
        <f>HYPERLINK("https://www.shelhealth.com/products/pedigree-wet-dog-food-variety-pack-30-pk-3-5-oz", "https://www.shelhealth.com/products/pedigree-wet-dog-food-variety-pack-30-pk-3-5-oz")</f>
        <v/>
      </c>
      <c r="B1101" s="2">
        <f>HYPERLINK("https://www.shelhealth.com/products/pedigree-wet-dog-food-variety-pack-30-pk-3-5-oz", "https://www.shelhealth.com/products/pedigree-wet-dog-food-variety-pack-30-pk-3-5-oz")</f>
        <v/>
      </c>
      <c r="C1101" t="inlineStr">
        <is>
          <t>Pedigree Wet Dog Food Variety Pack, 30 pk./3.5 oz.</t>
        </is>
      </c>
      <c r="D1101" t="inlineStr">
        <is>
          <t>PEDIGREE CHOICE CUTS IN GRAVY Adult Canned Soft Wet Dog Food Variety Pack, Prime Rib, Rice &amp; Vegetable Flavor and Roasted Chicken, Rice &amp; Vegetable Flavor, 13.2 oz. Cans (Pack of 12)</t>
        </is>
      </c>
      <c r="E1101" s="2">
        <f>HYPERLINK("https://www.amazon.com/Pedigree-Homestyle-Meals-Canned-Variety/dp/B07C3V9KLL/ref=sr_1_9?keywords=Pedigree+Wet+Dog+Food+Variety+Pack%2C+30+pk.%2F3.5+oz.&amp;qid=1695170285&amp;sr=8-9", "https://www.amazon.com/Pedigree-Homestyle-Meals-Canned-Variety/dp/B07C3V9KLL/ref=sr_1_9?keywords=Pedigree+Wet+Dog+Food+Variety+Pack%2C+30+pk.%2F3.5+oz.&amp;qid=1695170285&amp;sr=8-9")</f>
        <v/>
      </c>
      <c r="F1101" t="inlineStr">
        <is>
          <t>B07C3V9KLL</t>
        </is>
      </c>
      <c r="G1101">
        <f>_xludf.IMAGE("https://www.shelhealth.com/cdn/shop/products/pedigree-wet-dog-food-variety-pack-30-pk-3-5-oz-shelhealth-733.jpg?v=1663355669&amp;width=1946")</f>
        <v/>
      </c>
      <c r="H1101">
        <f>_xludf.IMAGE("https://m.media-amazon.com/images/I/71W5CPJ8i+L._AC_UL320_.jpg")</f>
        <v/>
      </c>
      <c r="K1101" t="inlineStr">
        <is>
          <t>30.99</t>
        </is>
      </c>
      <c r="L1101" t="n">
        <v>19.94</v>
      </c>
      <c r="M1101" s="1" t="inlineStr">
        <is>
          <t>-35.66%</t>
        </is>
      </c>
      <c r="N1101" s="3" t="n">
        <v>-35.66</v>
      </c>
      <c r="O1101" t="n">
        <v>4.7</v>
      </c>
      <c r="P1101" t="n">
        <v>11245</v>
      </c>
      <c r="R1101" t="inlineStr">
        <is>
          <t>InStock</t>
        </is>
      </c>
      <c r="S1101" t="inlineStr">
        <is>
          <t>30.99</t>
        </is>
      </c>
      <c r="T1101" t="inlineStr">
        <is>
          <t>4171294769204</t>
        </is>
      </c>
    </row>
    <row r="1102" hidden="1" ht="15.75" customHeight="1">
      <c r="A1102" s="2">
        <f>HYPERLINK("https://www.shelhealth.com/products/pedigree-wet-dog-food-variety-pack-30-pk-3-5-oz", "https://www.shelhealth.com/products/pedigree-wet-dog-food-variety-pack-30-pk-3-5-oz")</f>
        <v/>
      </c>
      <c r="B1102" s="2">
        <f>HYPERLINK("https://www.shelhealth.com/products/pedigree-wet-dog-food-variety-pack-30-pk-3-5-oz", "https://www.shelhealth.com/products/pedigree-wet-dog-food-variety-pack-30-pk-3-5-oz")</f>
        <v/>
      </c>
      <c r="C1102" t="inlineStr">
        <is>
          <t>Pedigree Wet Dog Food Variety Pack, 30 pk./3.5 oz.</t>
        </is>
      </c>
      <c r="D1102" t="inlineStr">
        <is>
          <t>PEDIGREE CHOPPED GROUND DINNER Adult Canned Soft Wet Dog Food Combo with Chicken, Liver &amp; Beef and Beef, Bacon &amp; Cheese Flavor Variety Pack, 13.2 oz. Cans (Pack of 12)</t>
        </is>
      </c>
      <c r="E1102" s="2">
        <f>HYPERLINK("https://www.amazon.com/Pedigree-Ground-Chicken-Flavors-Variety/dp/B0029NN03K/ref=sr_1_3?keywords=Pedigree+Wet+Dog+Food+Variety+Pack%2C+30+pk.%2F3.5+oz.&amp;qid=1695170285&amp;sr=8-3", "https://www.amazon.com/Pedigree-Ground-Chicken-Flavors-Variety/dp/B0029NN03K/ref=sr_1_3?keywords=Pedigree+Wet+Dog+Food+Variety+Pack%2C+30+pk.%2F3.5+oz.&amp;qid=1695170285&amp;sr=8-3")</f>
        <v/>
      </c>
      <c r="F1102" t="inlineStr">
        <is>
          <t>B0029NN03K</t>
        </is>
      </c>
      <c r="G1102">
        <f>_xludf.IMAGE("https://www.shelhealth.com/cdn/shop/products/pedigree-wet-dog-food-variety-pack-30-pk-3-5-oz-shelhealth-733.jpg?v=1663355669&amp;width=1946")</f>
        <v/>
      </c>
      <c r="H1102">
        <f>_xludf.IMAGE("https://m.media-amazon.com/images/I/71M+70WgByL._AC_UL320_.jpg")</f>
        <v/>
      </c>
      <c r="K1102" t="inlineStr">
        <is>
          <t>30.99</t>
        </is>
      </c>
      <c r="L1102" t="n">
        <v>19.94</v>
      </c>
      <c r="M1102" s="1" t="inlineStr">
        <is>
          <t>-35.66%</t>
        </is>
      </c>
      <c r="N1102" s="3" t="n">
        <v>-35.66</v>
      </c>
      <c r="O1102" t="n">
        <v>4.6</v>
      </c>
      <c r="P1102" t="n">
        <v>27450</v>
      </c>
      <c r="R1102" t="inlineStr">
        <is>
          <t>InStock</t>
        </is>
      </c>
      <c r="S1102" t="inlineStr">
        <is>
          <t>30.99</t>
        </is>
      </c>
      <c r="T1102" t="inlineStr">
        <is>
          <t>4171294769204</t>
        </is>
      </c>
    </row>
    <row r="1103" hidden="1" ht="15.75" customHeight="1">
      <c r="A1103" s="2">
        <f>HYPERLINK("https://www.shelhealth.com/products/pedigree-wet-dog-food-variety-pack-30-pk-3-5-oz", "https://www.shelhealth.com/products/pedigree-wet-dog-food-variety-pack-30-pk-3-5-oz")</f>
        <v/>
      </c>
      <c r="B1103" s="2">
        <f>HYPERLINK("https://www.shelhealth.com/products/pedigree-wet-dog-food-variety-pack-30-pk-3-5-oz", "https://www.shelhealth.com/products/pedigree-wet-dog-food-variety-pack-30-pk-3-5-oz")</f>
        <v/>
      </c>
      <c r="C1103" t="inlineStr">
        <is>
          <t>Pedigree Wet Dog Food Variety Pack, 30 pk./3.5 oz.</t>
        </is>
      </c>
      <c r="D1103" t="inlineStr">
        <is>
          <t>PEDIGREE CHOICE CUTS IN GRAVY Adult Canned Soft Wet Dog Food Variety Pack, with Beef and Country Stew, 13.2 oz. Cans (Pack of 12)</t>
        </is>
      </c>
      <c r="E1103" s="2">
        <f>HYPERLINK("https://www.amazon.com/Pedigree-Choice-Country-Canned-Variety/dp/B000SSXDBM/ref=sr_1_5?keywords=Pedigree+Wet+Dog+Food+Variety+Pack%2C+30+pk.%2F3.5+oz.&amp;qid=1695170285&amp;sr=8-5", "https://www.amazon.com/Pedigree-Choice-Country-Canned-Variety/dp/B000SSXDBM/ref=sr_1_5?keywords=Pedigree+Wet+Dog+Food+Variety+Pack%2C+30+pk.%2F3.5+oz.&amp;qid=1695170285&amp;sr=8-5")</f>
        <v/>
      </c>
      <c r="F1103" t="inlineStr">
        <is>
          <t>B000SSXDBM</t>
        </is>
      </c>
      <c r="G1103">
        <f>_xludf.IMAGE("https://www.shelhealth.com/cdn/shop/products/pedigree-wet-dog-food-variety-pack-30-pk-3-5-oz-shelhealth-733.jpg?v=1663355669&amp;width=1946")</f>
        <v/>
      </c>
      <c r="H1103">
        <f>_xludf.IMAGE("https://m.media-amazon.com/images/I/71a695sD2+L._AC_UL320_.jpg")</f>
        <v/>
      </c>
      <c r="K1103" t="inlineStr">
        <is>
          <t>30.99</t>
        </is>
      </c>
      <c r="L1103" t="n">
        <v>19.94</v>
      </c>
      <c r="M1103" s="1" t="inlineStr">
        <is>
          <t>-35.66%</t>
        </is>
      </c>
      <c r="N1103" s="3" t="n">
        <v>-35.66</v>
      </c>
      <c r="O1103" t="n">
        <v>4.7</v>
      </c>
      <c r="P1103" t="n">
        <v>6025</v>
      </c>
      <c r="R1103" t="inlineStr">
        <is>
          <t>InStock</t>
        </is>
      </c>
      <c r="S1103" t="inlineStr">
        <is>
          <t>30.99</t>
        </is>
      </c>
      <c r="T1103" t="inlineStr">
        <is>
          <t>4171294769204</t>
        </is>
      </c>
    </row>
    <row r="1104" hidden="1" ht="15.75" customHeight="1">
      <c r="A1104" s="2">
        <f>HYPERLINK("https://www.shelhealth.com/products/milk-bone-brushing-chews-daily-dental-dog-treats-46-ct", "https://www.shelhealth.com/products/milk-bone-brushing-chews-daily-dental-dog-treats-46-ct")</f>
        <v/>
      </c>
      <c r="B1104" s="2">
        <f>HYPERLINK("https://www.shelhealth.com/products/milk-bone-brushing-chews-daily-dental-dog-treats-46-ct", "https://www.shelhealth.com/products/milk-bone-brushing-chews-daily-dental-dog-treats-46-ct")</f>
        <v/>
      </c>
      <c r="C1104" t="inlineStr">
        <is>
          <t>Milk-Bone Brushing Chews Daily Dental Dog Treats, 46 ct.</t>
        </is>
      </c>
      <c r="D1104" t="inlineStr">
        <is>
          <t>Milk-Bone Original Brushing Chews, 25 Small/Medium Daily Dental Dog Treats</t>
        </is>
      </c>
      <c r="E1104" s="2">
        <f>HYPERLINK("https://www.amazon.com/Milk-Bone-Brushing-Dental-Treats-Small-Medium/dp/B07MDD9B7Q/ref=sr_1_1?keywords=Milk-Bone+Brushing+Chews+Daily+Dental+Dog+Treats%2C+46+ct.&amp;qid=1695170279&amp;sr=8-1", "https://www.amazon.com/Milk-Bone-Brushing-Dental-Treats-Small-Medium/dp/B07MDD9B7Q/ref=sr_1_1?keywords=Milk-Bone+Brushing+Chews+Daily+Dental+Dog+Treats%2C+46+ct.&amp;qid=1695170279&amp;sr=8-1")</f>
        <v/>
      </c>
      <c r="F1104" t="inlineStr">
        <is>
          <t>B07MDD9B7Q</t>
        </is>
      </c>
      <c r="G1104">
        <f>_xludf.IMAGE("https://www.shelhealth.com/cdn/shop/products/milk-bone-brushing-chews-daily-dental-dog-treats-46-ct-shelhealth-722.jpg?v=1663355051&amp;width=1946")</f>
        <v/>
      </c>
      <c r="H1104">
        <f>_xludf.IMAGE("https://m.media-amazon.com/images/I/81fIM66Xt1L._AC_UL320_.jpg")</f>
        <v/>
      </c>
      <c r="K1104" t="inlineStr">
        <is>
          <t>20.99</t>
        </is>
      </c>
      <c r="L1104" t="n">
        <v>13.49</v>
      </c>
      <c r="M1104" s="1" t="inlineStr">
        <is>
          <t>-35.73%</t>
        </is>
      </c>
      <c r="N1104" s="3" t="n">
        <v>-35.73</v>
      </c>
      <c r="O1104" t="n">
        <v>4.7</v>
      </c>
      <c r="P1104" t="n">
        <v>11876</v>
      </c>
      <c r="R1104" t="inlineStr">
        <is>
          <t>OutOfStock</t>
        </is>
      </c>
      <c r="S1104" t="inlineStr">
        <is>
          <t>20.99</t>
        </is>
      </c>
      <c r="T1104" t="inlineStr">
        <is>
          <t>4169637396532</t>
        </is>
      </c>
    </row>
    <row r="1105" hidden="1" ht="15.75" customHeight="1">
      <c r="A1105" s="2">
        <f>HYPERLINK("https://www.shelhealth.com/products/purina-fancy-feast-classic-seafood-variety-pack-48-ct", "https://www.shelhealth.com/products/purina-fancy-feast-classic-seafood-variety-pack-48-ct")</f>
        <v/>
      </c>
      <c r="B1105" s="2">
        <f>HYPERLINK("https://www.shelhealth.com/products/purina-fancy-feast-classic-seafood-variety-pack-48-ct", "https://www.shelhealth.com/products/purina-fancy-feast-classic-seafood-variety-pack-48-ct")</f>
        <v/>
      </c>
      <c r="C1105" t="inlineStr">
        <is>
          <t>Purina Fancy Feast Classic Seafood Variety Pack, 48 ct.</t>
        </is>
      </c>
      <c r="D1105" t="inlineStr">
        <is>
          <t>Purina Fancy Feast Gravy Wet Cat Food Variety Pack, Seafood Grilled and Gravy Lovers &amp; Beef Feast Collection</t>
        </is>
      </c>
      <c r="E1105" s="2">
        <f>HYPERLINK("https://www.amazon.com/Purina-Fancy-Feast-Variety-Collection/dp/B09YW31L1T/ref=sr_1_6?keywords=Purina+Fancy+Feast+Classic+Seafood+Variety+Pack%2C+48+ct.&amp;qid=1695170303&amp;sr=8-6", "https://www.amazon.com/Purina-Fancy-Feast-Variety-Collection/dp/B09YW31L1T/ref=sr_1_6?keywords=Purina+Fancy+Feast+Classic+Seafood+Variety+Pack%2C+48+ct.&amp;qid=1695170303&amp;sr=8-6")</f>
        <v/>
      </c>
      <c r="F1105" t="inlineStr">
        <is>
          <t>B09YW31L1T</t>
        </is>
      </c>
      <c r="G1105">
        <f>_xludf.IMAGE("https://www.shelhealth.com/cdn/shop/files/purina-fancy-feast-classic-seafood-variety-pack-48-ct-grocery-household-petpet-shelhealth-796.jpg?v=1686283876&amp;width=1946")</f>
        <v/>
      </c>
      <c r="H1105">
        <f>_xludf.IMAGE("https://m.media-amazon.com/images/I/61HyVBvNzCL._AC_UL320_.jpg")</f>
        <v/>
      </c>
      <c r="K1105" t="inlineStr">
        <is>
          <t>60.99</t>
        </is>
      </c>
      <c r="L1105" t="n">
        <v>38.98</v>
      </c>
      <c r="M1105" s="1" t="inlineStr">
        <is>
          <t>-36.09%</t>
        </is>
      </c>
      <c r="N1105" s="3" t="n">
        <v>-36.09</v>
      </c>
      <c r="O1105" t="n">
        <v>4.8</v>
      </c>
      <c r="P1105" t="n">
        <v>45</v>
      </c>
      <c r="R1105" t="inlineStr">
        <is>
          <t>InStock</t>
        </is>
      </c>
      <c r="S1105" t="inlineStr">
        <is>
          <t>60.99</t>
        </is>
      </c>
      <c r="T1105" t="inlineStr">
        <is>
          <t>4664135712857</t>
        </is>
      </c>
    </row>
    <row r="1106" hidden="1" ht="15.75" customHeight="1">
      <c r="A1106" s="2">
        <f>HYPERLINK("https://www.shelhealth.com/products/693804282507-buddy-biscuits-grain-free-soft-and-chewy-treats-peanut-butter-5-oz", "https://www.shelhealth.com/products/693804282507-buddy-biscuits-grain-free-soft-and-chewy-treats-peanut-butter-5-oz")</f>
        <v/>
      </c>
      <c r="B1106" s="2">
        <f>HYPERLINK("https://www.shelhealth.com/products/693804282507-buddy-biscuits-grain-free-soft-and-chewy-treats-peanut-butter-5-oz", "https://www.shelhealth.com/products/693804282507-buddy-biscuits-grain-free-soft-and-chewy-treats-peanut-butter-5-oz")</f>
        <v/>
      </c>
      <c r="C1106" t="inlineStr">
        <is>
          <t>BUDDY BISCUITS Grain Free Soft and Chewy Treats Peanut Butter, 5 oz (Case of 3)</t>
        </is>
      </c>
      <c r="D1106" t="inlineStr">
        <is>
          <t>Buddy Biscuits Grain Free Soft &amp; Chewy Dog Treats with All Natural Peanut Butter (2 Pack) 5 oz Each</t>
        </is>
      </c>
      <c r="E1106" s="2">
        <f>HYPERLINK("https://www.amazon.com/Biscuits-Treats-Natural-Peanut-Butter/dp/B07CRHCSP9/ref=sr_1_1?keywords=BUDDY+BISCUITS+Grain+Free+Soft+and+Chewy+Treats+Peanut+Butter%2C+5+oz+%28Case+of+3%29&amp;qid=1695170323&amp;sr=8-1", "https://www.amazon.com/Biscuits-Treats-Natural-Peanut-Butter/dp/B07CRHCSP9/ref=sr_1_1?keywords=BUDDY+BISCUITS+Grain+Free+Soft+and+Chewy+Treats+Peanut+Butter%2C+5+oz+%28Case+of+3%29&amp;qid=1695170323&amp;sr=8-1")</f>
        <v/>
      </c>
      <c r="F1106" t="inlineStr">
        <is>
          <t>B07CRHCSP9</t>
        </is>
      </c>
      <c r="G1106">
        <f>_xludf.IMAGE("https://www.shelhealth.com/cdn/shop/files/buddy-biscuits-grain-free-soft-and-chewy-treats-peanut-butter-5-oz-case-of-3-pet-shelhealth-793.jpg?v=1688540800&amp;width=1946")</f>
        <v/>
      </c>
      <c r="H1106">
        <f>_xludf.IMAGE("https://m.media-amazon.com/images/I/91AQ1FUYUmL._AC_UL320_.jpg")</f>
        <v/>
      </c>
      <c r="K1106" t="inlineStr">
        <is>
          <t>22.99</t>
        </is>
      </c>
      <c r="L1106" t="n">
        <v>14.35</v>
      </c>
      <c r="M1106" s="1" t="inlineStr">
        <is>
          <t>-37.58%</t>
        </is>
      </c>
      <c r="N1106" s="3" t="n">
        <v>-37.58</v>
      </c>
      <c r="O1106" t="n">
        <v>4.3</v>
      </c>
      <c r="P1106" t="n">
        <v>151</v>
      </c>
      <c r="R1106" t="inlineStr">
        <is>
          <t>InStock</t>
        </is>
      </c>
      <c r="S1106" t="inlineStr">
        <is>
          <t>22.99</t>
        </is>
      </c>
      <c r="T1106" t="inlineStr">
        <is>
          <t>7573999812840</t>
        </is>
      </c>
    </row>
    <row r="1107" hidden="1" ht="15.75" customHeight="1">
      <c r="A1107" s="2">
        <f>HYPERLINK("https://www.shelhealth.com/products/purina-fancy-feast-classic-seafood-feast-variety-cat-food-36-pk-3-oz", "https://www.shelhealth.com/products/purina-fancy-feast-classic-seafood-feast-variety-cat-food-36-pk-3-oz")</f>
        <v/>
      </c>
      <c r="B1107" s="2">
        <f>HYPERLINK("https://www.shelhealth.com/products/purina-fancy-feast-classic-seafood-feast-variety-cat-food-36-pk-3-oz", "https://www.shelhealth.com/products/purina-fancy-feast-classic-seafood-feast-variety-cat-food-36-pk-3-oz")</f>
        <v/>
      </c>
      <c r="C1107" t="inlineStr">
        <is>
          <t>Purina Fancy Feast Classic Seafood Feast Variety Cat Food, 36 pk./3 oz.</t>
        </is>
      </c>
      <c r="D1107" t="inlineStr">
        <is>
          <t>Purina Fancy Feast Seafood Classic Pate Collection Grain Free Wet Cat Food Variety Pack - (30) 3 oz. Cans</t>
        </is>
      </c>
      <c r="E1107" s="2">
        <f>HYPERLINK("https://www.amazon.com/Fancy-Feast-Sea-Variety-Pack/dp/B00JT3TP1O/ref=sr_1_1?keywords=Purina+Fancy+Feast+Classic+Seafood+Feast+Variety+Cat+Food%2C+36+pk.%2F3+oz.&amp;qid=1695170287&amp;sr=8-1", "https://www.amazon.com/Fancy-Feast-Sea-Variety-Pack/dp/B00JT3TP1O/ref=sr_1_1?keywords=Purina+Fancy+Feast+Classic+Seafood+Feast+Variety+Cat+Food%2C+36+pk.%2F3+oz.&amp;qid=1695170287&amp;sr=8-1")</f>
        <v/>
      </c>
      <c r="F1107" t="inlineStr">
        <is>
          <t>B00JT3TP1O</t>
        </is>
      </c>
      <c r="G1107">
        <f>_xludf.IMAGE("https://www.shelhealth.com/cdn/shop/products/purina-fancy-feast-classic-seafood-variety-cat-food-36-pk-3-oz-shelhealth-464.jpg?v=1663355805&amp;width=1946")</f>
        <v/>
      </c>
      <c r="H1107">
        <f>_xludf.IMAGE("https://m.media-amazon.com/images/I/813Q5x8I9qL._AC_UL320_.jpg")</f>
        <v/>
      </c>
      <c r="K1107" t="inlineStr">
        <is>
          <t>41.99</t>
        </is>
      </c>
      <c r="L1107" t="n">
        <v>25.74</v>
      </c>
      <c r="M1107" s="1" t="inlineStr">
        <is>
          <t>-38.70%</t>
        </is>
      </c>
      <c r="N1107" s="3" t="n">
        <v>-38.7</v>
      </c>
      <c r="O1107" t="n">
        <v>4.7</v>
      </c>
      <c r="P1107" t="n">
        <v>80386</v>
      </c>
      <c r="R1107" t="inlineStr">
        <is>
          <t>InStock</t>
        </is>
      </c>
      <c r="S1107" t="inlineStr">
        <is>
          <t>41.99</t>
        </is>
      </c>
      <c r="T1107" t="inlineStr">
        <is>
          <t>4171305844788</t>
        </is>
      </c>
    </row>
    <row r="1108" hidden="1" ht="15.75" customHeight="1">
      <c r="A1108" s="2">
        <f>HYPERLINK("https://www.shelhealth.com/products/pet-select-pee-pee-pads-100-ct", "https://www.shelhealth.com/products/pet-select-pee-pee-pads-100-ct")</f>
        <v/>
      </c>
      <c r="B1108" s="2">
        <f>HYPERLINK("https://www.shelhealth.com/products/pet-select-pee-pee-pads-100-ct", "https://www.shelhealth.com/products/pet-select-pee-pee-pads-100-ct")</f>
        <v/>
      </c>
      <c r="C1108" t="inlineStr">
        <is>
          <t>Pet Select Pee-Pee Pads, 100 ct.</t>
        </is>
      </c>
      <c r="D1108" t="inlineStr">
        <is>
          <t>(100-Pack) 17.8"x23.5" (45x60cm) Quick-Dry Dog and Puppy Toilet Training Pads - Ultra Absorbent Pet Pee Pads - with Leak-Proof Moisture Locking Technology - Perfect for Medium Dogs, Cats, and Rabbits</t>
        </is>
      </c>
      <c r="E1108" s="2">
        <f>HYPERLINK("https://www.amazon.com/50-Pack-45x60cm-Quick-Dry-Toilet-Training/dp/B09SYSM3LJ/ref=sr_1_3?keywords=Pet+Select+Pee-Pee+Pads%2C+100+ct.&amp;qid=1695170288&amp;sr=8-3", "https://www.amazon.com/50-Pack-45x60cm-Quick-Dry-Toilet-Training/dp/B09SYSM3LJ/ref=sr_1_3?keywords=Pet+Select+Pee-Pee+Pads%2C+100+ct.&amp;qid=1695170288&amp;sr=8-3")</f>
        <v/>
      </c>
      <c r="F1108" t="inlineStr">
        <is>
          <t>B09SYSM3LJ</t>
        </is>
      </c>
      <c r="G1108">
        <f>_xludf.IMAGE("https://www.shelhealth.com/cdn/shop/products/pet-select-pee-pads-100-ct-shelhealth-649.jpg?v=1663355122&amp;width=1946")</f>
        <v/>
      </c>
      <c r="H1108">
        <f>_xludf.IMAGE("https://m.media-amazon.com/images/I/71s6v-DEBEL._AC_UL320_.jpg")</f>
        <v/>
      </c>
      <c r="K1108" t="inlineStr">
        <is>
          <t>32.99</t>
        </is>
      </c>
      <c r="L1108" t="n">
        <v>19.79</v>
      </c>
      <c r="M1108" s="1" t="inlineStr">
        <is>
          <t>-40.01%</t>
        </is>
      </c>
      <c r="N1108" s="3" t="n">
        <v>-40.01</v>
      </c>
      <c r="O1108" t="n">
        <v>4.2</v>
      </c>
      <c r="P1108" t="n">
        <v>1391</v>
      </c>
      <c r="R1108" t="inlineStr">
        <is>
          <t>OutOfStock</t>
        </is>
      </c>
      <c r="S1108" t="inlineStr">
        <is>
          <t>32.99</t>
        </is>
      </c>
      <c r="T1108" t="inlineStr">
        <is>
          <t>4169668296756</t>
        </is>
      </c>
    </row>
    <row r="1109" hidden="1" ht="15.75" customHeight="1">
      <c r="A1109" s="2">
        <f>HYPERLINK("https://www.shelhealth.com/products/nutri-bites-freeze-dried-beef-liver-treats-17-6-oz", "https://www.shelhealth.com/products/nutri-bites-freeze-dried-beef-liver-treats-17-6-oz")</f>
        <v/>
      </c>
      <c r="B1109" s="2">
        <f>HYPERLINK("https://www.shelhealth.com/products/nutri-bites-freeze-dried-beef-liver-treats-17-6-oz", "https://www.shelhealth.com/products/nutri-bites-freeze-dried-beef-liver-treats-17-6-oz")</f>
        <v/>
      </c>
      <c r="C1109" t="inlineStr">
        <is>
          <t>Nutri Bites Freeze Dried Beef Liver Treats, 17.6 oz. (Pack of 2)</t>
        </is>
      </c>
      <c r="D1109" t="inlineStr">
        <is>
          <t>Chewmasters 100% Pure Beef Liver Bites, Healthy Freeze Dried Dog Treats, 17.6 oz, All Natural, Grain Free, High Protein &amp; Zero Additives, Made in USA, Packed with Nutrients and Vitamins</t>
        </is>
      </c>
      <c r="E1109" s="2">
        <f>HYPERLINK("https://www.amazon.com/Chewmasters-274386-Liver-Freeze-Treats/dp/B00FA4UL7S/ref=sr_1_4?keywords=Nutri+Bites+Freeze+Dried+Beef+Liver+Treats%2C+17.6+oz.+%28Pack+of+2%29&amp;qid=1695170362&amp;sr=8-4", "https://www.amazon.com/Chewmasters-274386-Liver-Freeze-Treats/dp/B00FA4UL7S/ref=sr_1_4?keywords=Nutri+Bites+Freeze+Dried+Beef+Liver+Treats%2C+17.6+oz.+%28Pack+of+2%29&amp;qid=1695170362&amp;sr=8-4")</f>
        <v/>
      </c>
      <c r="F1109" t="inlineStr">
        <is>
          <t>B00FA4UL7S</t>
        </is>
      </c>
      <c r="G1109">
        <f>_xludf.IMAGE("https://www.shelhealth.com/cdn/shop/files/nutri-bites-freeze-dried-beef-liver-treats-17-6-oz-pack-of-2-shelhealth-250.jpg?v=1685570645&amp;width=1946")</f>
        <v/>
      </c>
      <c r="H1109">
        <f>_xludf.IMAGE("https://m.media-amazon.com/images/I/61WyMvxikjL._AC_UL320_.jpg")</f>
        <v/>
      </c>
      <c r="K1109" t="inlineStr">
        <is>
          <t>49.99</t>
        </is>
      </c>
      <c r="L1109" t="n">
        <v>29.98</v>
      </c>
      <c r="M1109" s="1" t="inlineStr">
        <is>
          <t>-40.03%</t>
        </is>
      </c>
      <c r="N1109" s="3" t="n">
        <v>-40.03</v>
      </c>
      <c r="O1109" t="n">
        <v>4.6</v>
      </c>
      <c r="P1109" t="n">
        <v>1938</v>
      </c>
      <c r="R1109" t="inlineStr">
        <is>
          <t>InStock</t>
        </is>
      </c>
      <c r="S1109" t="inlineStr">
        <is>
          <t>49.99</t>
        </is>
      </c>
      <c r="T1109" t="inlineStr">
        <is>
          <t>8222814699752</t>
        </is>
      </c>
    </row>
    <row r="1110" hidden="1" ht="15.75" customHeight="1">
      <c r="A1110" s="2">
        <f>HYPERLINK("https://www.shelhealth.com/products/818575020466-tender-and-true-small-breed-organic-chicken-dry-dog-food-4-lb", "https://www.shelhealth.com/products/818575020466-tender-and-true-small-breed-organic-chicken-dry-dog-food-4-lb")</f>
        <v/>
      </c>
      <c r="B1110" s="2">
        <f>HYPERLINK("https://www.shelhealth.com/products/818575020466-tender-and-true-small-breed-organic-chicken-dry-dog-food-4-lb", "https://www.shelhealth.com/products/818575020466-tender-and-true-small-breed-organic-chicken-dry-dog-food-4-lb")</f>
        <v/>
      </c>
      <c r="C1110" t="inlineStr">
        <is>
          <t>TENDER AND TRUE Small Breed Organic Chicken Dry Dog Food, 4 lb</t>
        </is>
      </c>
      <c r="D1110" t="inlineStr">
        <is>
          <t>Tender &amp; True Pet Nutrition Small Breed Organic Chicken Recipe Dog Food, 4 lb (46003)</t>
        </is>
      </c>
      <c r="E1110" s="2">
        <f>HYPERLINK("https://www.amazon.com/Tender-True-Pet-Nutrition-43006/dp/B089T79767/ref=sr_1_1?keywords=TENDER+AND+TRUE+Small+Breed+Organic+Chicken+Dry+Dog+Food%2C+4+lb&amp;qid=1695170352&amp;sr=8-1", "https://www.amazon.com/Tender-True-Pet-Nutrition-43006/dp/B089T79767/ref=sr_1_1?keywords=TENDER+AND+TRUE+Small+Breed+Organic+Chicken+Dry+Dog+Food%2C+4+lb&amp;qid=1695170352&amp;sr=8-1")</f>
        <v/>
      </c>
      <c r="F1110" t="inlineStr">
        <is>
          <t>B089T79767</t>
        </is>
      </c>
      <c r="G1110">
        <f>_xludf.IMAGE("https://www.shelhealth.com/cdn/shop/products/tender-and-true-small-breed-organic-chicken-dry-dog-food-4-lb-shelhealth-584.jpg?v=1663787459&amp;width=1946")</f>
        <v/>
      </c>
      <c r="H1110">
        <f>_xludf.IMAGE("https://m.media-amazon.com/images/I/81iKfSyDvyL._AC_UL320_.jpg")</f>
        <v/>
      </c>
      <c r="K1110" t="inlineStr">
        <is>
          <t>31.99</t>
        </is>
      </c>
      <c r="L1110" t="n">
        <v>18.99</v>
      </c>
      <c r="M1110" s="1" t="inlineStr">
        <is>
          <t>-40.64%</t>
        </is>
      </c>
      <c r="N1110" s="3" t="n">
        <v>-40.64</v>
      </c>
      <c r="O1110" t="n">
        <v>4.5</v>
      </c>
      <c r="P1110" t="n">
        <v>299</v>
      </c>
      <c r="R1110" t="inlineStr">
        <is>
          <t>InStock</t>
        </is>
      </c>
      <c r="S1110" t="inlineStr">
        <is>
          <t>31.99</t>
        </is>
      </c>
      <c r="T1110" t="inlineStr">
        <is>
          <t>7574331752680</t>
        </is>
      </c>
    </row>
    <row r="1111" hidden="1" ht="15.75" customHeight="1">
      <c r="A1111" s="2">
        <f>HYPERLINK("https://www.shelhealth.com/products/cesar-classics-variety-dog-food-trays-40-ct-3-5-oz", "https://www.shelhealth.com/products/cesar-classics-variety-dog-food-trays-40-ct-3-5-oz")</f>
        <v/>
      </c>
      <c r="B1111" s="2">
        <f>HYPERLINK("https://www.shelhealth.com/products/cesar-classics-variety-dog-food-trays-40-ct-3-5-oz", "https://www.shelhealth.com/products/cesar-classics-variety-dog-food-trays-40-ct-3-5-oz")</f>
        <v/>
      </c>
      <c r="C1111" t="inlineStr">
        <is>
          <t>Cesar Classics Variety Dog Food Trays, 40 ct./3.5 oz.</t>
        </is>
      </c>
      <c r="D1111" t="inlineStr">
        <is>
          <t>CESAR Adult Wet Dog Food HOME DELIGHTS &amp; Classic Loaf in Sauce Variety Pack, 3.5 oz. Easy Peel Trays, 36 Count</t>
        </is>
      </c>
      <c r="E1111" s="2">
        <f>HYPERLINK("https://www.amazon.com/CESAR-DELIGHTS-Classic-Sauce-Variety/dp/B0757NV5D5/ref=sr_1_3?keywords=Cesar+Classics+Variety+Dog+Food+Trays%2C+40+ct.%2F3.5+oz.&amp;qid=1695170279&amp;sr=8-3", "https://www.amazon.com/CESAR-DELIGHTS-Classic-Sauce-Variety/dp/B0757NV5D5/ref=sr_1_3?keywords=Cesar+Classics+Variety+Dog+Food+Trays%2C+40+ct.%2F3.5+oz.&amp;qid=1695170279&amp;sr=8-3")</f>
        <v/>
      </c>
      <c r="F1111" t="inlineStr">
        <is>
          <t>B0757NV5D5</t>
        </is>
      </c>
      <c r="G1111">
        <f>_xludf.IMAGE("https://www.shelhealth.com/cdn/shop/files/cesar-classics-variety-dog-food-trays-40-ct-3-5-oz-grocery-household-petpet-shelhealth-710.jpg?v=1686283638&amp;width=1946")</f>
        <v/>
      </c>
      <c r="H1111">
        <f>_xludf.IMAGE("https://m.media-amazon.com/images/I/8178xf06shL._AC_UL320_.jpg")</f>
        <v/>
      </c>
      <c r="K1111" t="inlineStr">
        <is>
          <t>67.99</t>
        </is>
      </c>
      <c r="L1111" t="n">
        <v>39.97</v>
      </c>
      <c r="M1111" s="1" t="inlineStr">
        <is>
          <t>-41.21%</t>
        </is>
      </c>
      <c r="N1111" s="3" t="n">
        <v>-41.21</v>
      </c>
      <c r="O1111" t="n">
        <v>4.7</v>
      </c>
      <c r="P1111" t="n">
        <v>33742</v>
      </c>
      <c r="R1111" t="inlineStr">
        <is>
          <t>InStock</t>
        </is>
      </c>
      <c r="S1111" t="inlineStr">
        <is>
          <t>67.99</t>
        </is>
      </c>
      <c r="T1111" t="inlineStr">
        <is>
          <t>4167607844916</t>
        </is>
      </c>
    </row>
    <row r="1112" hidden="1" ht="15.75" customHeight="1">
      <c r="A1112" s="2">
        <f>HYPERLINK("https://www.shelhealth.com/products/pet-select-pee-pee-pads-100-ct", "https://www.shelhealth.com/products/pet-select-pee-pee-pads-100-ct")</f>
        <v/>
      </c>
      <c r="B1112" s="2">
        <f>HYPERLINK("https://www.shelhealth.com/products/pet-select-pee-pee-pads-100-ct", "https://www.shelhealth.com/products/pet-select-pee-pee-pads-100-ct")</f>
        <v/>
      </c>
      <c r="C1112" t="inlineStr">
        <is>
          <t>Pet Select Pee-Pee Pads, 100 ct.</t>
        </is>
      </c>
      <c r="D1112" t="inlineStr">
        <is>
          <t>Fhiny Rabbit Pee Pads, 13" x 18" 100 PCS Disposable Bunny Pads Charcoal Leak-Proof Super Absorbent Potty Training Pad with Quick-Dry Surface for Dogs Puppies Cats Kittens or Small Pets</t>
        </is>
      </c>
      <c r="E1112" s="2">
        <f>HYPERLINK("https://www.amazon.com/Fhiny-Disposable-Leak-Proof-Absorbent-Quick-Dry/dp/B09KLWMS6F/ref=sr_1_7?keywords=Pet+Select+Pee-Pee+Pads%2C+100+ct.&amp;qid=1695170288&amp;sr=8-7", "https://www.amazon.com/Fhiny-Disposable-Leak-Proof-Absorbent-Quick-Dry/dp/B09KLWMS6F/ref=sr_1_7?keywords=Pet+Select+Pee-Pee+Pads%2C+100+ct.&amp;qid=1695170288&amp;sr=8-7")</f>
        <v/>
      </c>
      <c r="F1112" t="inlineStr">
        <is>
          <t>B09KLWMS6F</t>
        </is>
      </c>
      <c r="G1112">
        <f>_xludf.IMAGE("https://www.shelhealth.com/cdn/shop/products/pet-select-pee-pads-100-ct-shelhealth-649.jpg?v=1663355122&amp;width=1946")</f>
        <v/>
      </c>
      <c r="H1112">
        <f>_xludf.IMAGE("https://m.media-amazon.com/images/I/81Fj-nbREeL._AC_UL320_.jpg")</f>
        <v/>
      </c>
      <c r="K1112" t="inlineStr">
        <is>
          <t>32.99</t>
        </is>
      </c>
      <c r="L1112" t="n">
        <v>19.29</v>
      </c>
      <c r="M1112" s="1" t="inlineStr">
        <is>
          <t>-41.53%</t>
        </is>
      </c>
      <c r="N1112" s="3" t="n">
        <v>-41.53</v>
      </c>
      <c r="O1112" t="n">
        <v>4.1</v>
      </c>
      <c r="P1112" t="n">
        <v>101</v>
      </c>
      <c r="R1112" t="inlineStr">
        <is>
          <t>OutOfStock</t>
        </is>
      </c>
      <c r="S1112" t="inlineStr">
        <is>
          <t>32.99</t>
        </is>
      </c>
      <c r="T1112" t="inlineStr">
        <is>
          <t>4169668296756</t>
        </is>
      </c>
    </row>
    <row r="1113" hidden="1" ht="15.75" customHeight="1">
      <c r="A1113" s="2">
        <f>HYPERLINK("https://www.shelhealth.com/products/purina-fancy-feast-classic-seafood-feast-variety-cat-food-36-pk-3-oz", "https://www.shelhealth.com/products/purina-fancy-feast-classic-seafood-feast-variety-cat-food-36-pk-3-oz")</f>
        <v/>
      </c>
      <c r="B1113" s="2">
        <f>HYPERLINK("https://www.shelhealth.com/products/purina-fancy-feast-classic-seafood-feast-variety-cat-food-36-pk-3-oz", "https://www.shelhealth.com/products/purina-fancy-feast-classic-seafood-feast-variety-cat-food-36-pk-3-oz")</f>
        <v/>
      </c>
      <c r="C1113" t="inlineStr">
        <is>
          <t>Purina Fancy Feast Classic Seafood Feast Variety Cat Food, 36 pk./3 oz.</t>
        </is>
      </c>
      <c r="D1113" t="inlineStr">
        <is>
          <t>Purina Fancy Feast Classic Pate, Seafood Wet Cat Food Variety Pack (4 Flavors),3 Cans Salmon &amp; Shrimp, 3 Cans Cod Sole &amp; Shrimp, 3 Cans Ocean Whitefish and 3 Cans Seafood,(12) 3 Oz Can</t>
        </is>
      </c>
      <c r="E1113" s="2">
        <f>HYPERLINK("https://www.amazon.com/Classic-Seafood-Variety-Flavors-Whitefish/dp/B0BXNG7BPG/ref=sr_1_2?keywords=Purina+Fancy+Feast+Classic+Seafood+Feast+Variety+Cat+Food%2C+36+pk.%2F3+oz.&amp;qid=1695170287&amp;sr=8-2", "https://www.amazon.com/Classic-Seafood-Variety-Flavors-Whitefish/dp/B0BXNG7BPG/ref=sr_1_2?keywords=Purina+Fancy+Feast+Classic+Seafood+Feast+Variety+Cat+Food%2C+36+pk.%2F3+oz.&amp;qid=1695170287&amp;sr=8-2")</f>
        <v/>
      </c>
      <c r="F1113" t="inlineStr">
        <is>
          <t>B0BXNG7BPG</t>
        </is>
      </c>
      <c r="G1113">
        <f>_xludf.IMAGE("https://www.shelhealth.com/cdn/shop/products/purina-fancy-feast-classic-seafood-variety-cat-food-36-pk-3-oz-shelhealth-464.jpg?v=1663355805&amp;width=1946")</f>
        <v/>
      </c>
      <c r="H1113">
        <f>_xludf.IMAGE("https://m.media-amazon.com/images/I/91N1Ktm1N6L._AC_UL320_.jpg")</f>
        <v/>
      </c>
      <c r="K1113" t="inlineStr">
        <is>
          <t>41.99</t>
        </is>
      </c>
      <c r="L1113" t="n">
        <v>24.05</v>
      </c>
      <c r="M1113" s="1" t="inlineStr">
        <is>
          <t>-42.72%</t>
        </is>
      </c>
      <c r="N1113" s="3" t="n">
        <v>-42.72</v>
      </c>
      <c r="O1113" t="n">
        <v>4.5</v>
      </c>
      <c r="P1113" t="n">
        <v>5</v>
      </c>
      <c r="R1113" t="inlineStr">
        <is>
          <t>InStock</t>
        </is>
      </c>
      <c r="S1113" t="inlineStr">
        <is>
          <t>41.99</t>
        </is>
      </c>
      <c r="T1113" t="inlineStr">
        <is>
          <t>4171305844788</t>
        </is>
      </c>
    </row>
    <row r="1114" hidden="1" ht="15.75" customHeight="1">
      <c r="A1114" s="2">
        <f>HYPERLINK("https://www.shelhealth.com/products/blue-buffalo-chicken-and-brown-rice-life-protection-formula-small-breed-dry-dog-food-20-lbs", "https://www.shelhealth.com/products/blue-buffalo-chicken-and-brown-rice-life-protection-formula-small-breed-dry-dog-food-20-lbs")</f>
        <v/>
      </c>
      <c r="B1114" s="2">
        <f>HYPERLINK("https://www.shelhealth.com/products/blue-buffalo-chicken-and-brown-rice-life-protection-formula-small-breed-dry-dog-food-20-lbs", "https://www.shelhealth.com/products/blue-buffalo-chicken-and-brown-rice-life-protection-formula-small-breed-dry-dog-food-20-lbs")</f>
        <v/>
      </c>
      <c r="C1114" t="inlineStr">
        <is>
          <t>Blue Buffalo Chicken and Brown Rice Life Protection Formula Small Breed Dry Dog Food, 20 lbs.</t>
        </is>
      </c>
      <c r="D1114" t="inlineStr">
        <is>
          <t>Blue Buffalo Healthy Weight Small Breed Dog Food, Life Protection Formula, Natural Chicken &amp; Brown Rice Flavor, Adult Dry Dog Food, 15 lb Bag</t>
        </is>
      </c>
      <c r="E1114" s="2">
        <f>HYPERLINK("https://www.amazon.com/Blue-Buffalo-Protection-Formula-Healthy/dp/B009LQD6PU/ref=sr_1_9?keywords=Blue+Buffalo+Chicken+and+Brown+Rice+Life+Protection+Formula+Small+Breed+Dry+Dog+Food%2C+20+lbs.&amp;qid=1695170324&amp;sr=8-9", "https://www.amazon.com/Blue-Buffalo-Protection-Formula-Healthy/dp/B009LQD6PU/ref=sr_1_9?keywords=Blue+Buffalo+Chicken+and+Brown+Rice+Life+Protection+Formula+Small+Breed+Dry+Dog+Food%2C+20+lbs.&amp;qid=1695170324&amp;sr=8-9")</f>
        <v/>
      </c>
      <c r="F1114" t="inlineStr">
        <is>
          <t>B009LQD6PU</t>
        </is>
      </c>
      <c r="G1114">
        <f>_xludf.IMAGE("https://www.shelhealth.com/cdn/shop/products/blue-buffalo-chicken-and-brown-rice-life-protection-formula-small-breed-dry-dog-food-20-lbs-shelhealth-718.jpg?v=1663370054&amp;width=1946")</f>
        <v/>
      </c>
      <c r="H1114">
        <f>_xludf.IMAGE("https://m.media-amazon.com/images/I/71kJ4p6F43L._AC_UL320_.jpg")</f>
        <v/>
      </c>
      <c r="K1114" t="inlineStr">
        <is>
          <t>66.99</t>
        </is>
      </c>
      <c r="L1114" t="n">
        <v>37.99</v>
      </c>
      <c r="M1114" s="1" t="inlineStr">
        <is>
          <t>-43.29%</t>
        </is>
      </c>
      <c r="N1114" s="3" t="n">
        <v>-43.29</v>
      </c>
      <c r="O1114" t="n">
        <v>4.7</v>
      </c>
      <c r="P1114" t="n">
        <v>5295</v>
      </c>
      <c r="R1114" t="inlineStr">
        <is>
          <t>InStock</t>
        </is>
      </c>
      <c r="S1114" t="inlineStr">
        <is>
          <t>66.99</t>
        </is>
      </c>
      <c r="T1114" t="inlineStr">
        <is>
          <t>4658728435801</t>
        </is>
      </c>
    </row>
    <row r="1115" hidden="1" ht="15.75" customHeight="1">
      <c r="A1115" s="2">
        <f>HYPERLINK("https://www.shelhealth.com/products/purina-fancy-feast-gravy-lovers-poultry-beef-feast-variety-cat-food-36-pk-3-oz", "https://www.shelhealth.com/products/purina-fancy-feast-gravy-lovers-poultry-beef-feast-variety-cat-food-36-pk-3-oz")</f>
        <v/>
      </c>
      <c r="B1115" s="2">
        <f>HYPERLINK("https://www.shelhealth.com/products/purina-fancy-feast-gravy-lovers-poultry-beef-feast-variety-cat-food-36-pk-3-oz", "https://www.shelhealth.com/products/purina-fancy-feast-gravy-lovers-poultry-beef-feast-variety-cat-food-36-pk-3-oz")</f>
        <v/>
      </c>
      <c r="C1115" t="inlineStr">
        <is>
          <t>Purina Fancy Feast Gravy Lovers Poultry &amp; Beef Feast Variety Cat Food, 36 pk./3 oz.</t>
        </is>
      </c>
      <c r="D1115" t="inlineStr">
        <is>
          <t>Purina Fancy Feast Gravy Lovers Poultry and Beef Gourmet Wet Cat Food Variety Pack - (30) 3 oz. Cans</t>
        </is>
      </c>
      <c r="E1115" s="2">
        <f>HYPERLINK("https://www.amazon.com/Purina-Fancy-Feast-Poultry-Collection/dp/B00JN9IWNG/ref=sr_1_1?keywords=Purina+Fancy+Feast+Gravy+Lovers+Poultry+%26+Beef+Feast+Variety+Cat+Food%2C+36+pk.%2F3+oz.&amp;qid=1695170300&amp;sr=8-1", "https://www.amazon.com/Purina-Fancy-Feast-Poultry-Collection/dp/B00JN9IWNG/ref=sr_1_1?keywords=Purina+Fancy+Feast+Gravy+Lovers+Poultry+%26+Beef+Feast+Variety+Cat+Food%2C+36+pk.%2F3+oz.&amp;qid=1695170300&amp;sr=8-1")</f>
        <v/>
      </c>
      <c r="F1115" t="inlineStr">
        <is>
          <t>B00JN9IWNG</t>
        </is>
      </c>
      <c r="G1115">
        <f>_xludf.IMAGE("https://www.shelhealth.com/cdn/shop/products/purina-fancy-feast-gravy-lovers-poultry-beef-variety-cat-food-36-pk-3-oz-shelhealth-499.jpg?v=1663355787&amp;width=1946")</f>
        <v/>
      </c>
      <c r="H1115">
        <f>_xludf.IMAGE("https://m.media-amazon.com/images/I/8126vmXXwkL._AC_UL320_.jpg")</f>
        <v/>
      </c>
      <c r="K1115" t="inlineStr">
        <is>
          <t>41.99</t>
        </is>
      </c>
      <c r="L1115" t="n">
        <v>23.2</v>
      </c>
      <c r="M1115" s="1" t="inlineStr">
        <is>
          <t>-44.75%</t>
        </is>
      </c>
      <c r="N1115" s="3" t="n">
        <v>-44.75</v>
      </c>
      <c r="O1115" t="n">
        <v>4.7</v>
      </c>
      <c r="P1115" t="n">
        <v>10094</v>
      </c>
      <c r="R1115" t="inlineStr">
        <is>
          <t>InStock</t>
        </is>
      </c>
      <c r="S1115" t="inlineStr">
        <is>
          <t>41.99</t>
        </is>
      </c>
      <c r="T1115" t="inlineStr">
        <is>
          <t>4171302404148</t>
        </is>
      </c>
    </row>
    <row r="1116" hidden="1" ht="15.75" customHeight="1">
      <c r="A1116" s="2">
        <f>HYPERLINK("https://www.shelhealth.com/products/716237186904-giovanni-cosmetics-pet-2-in-1-shampoo-and-conditioner-oatmeal-coconut-16-oz", "https://www.shelhealth.com/products/716237186904-giovanni-cosmetics-pet-2-in-1-shampoo-and-conditioner-oatmeal-coconut-16-oz")</f>
        <v/>
      </c>
      <c r="B1116" s="2">
        <f>HYPERLINK("https://www.shelhealth.com/products/716237186904-giovanni-cosmetics-pet-2-in-1-shampoo-and-conditioner-oatmeal-coconut-16-oz", "https://www.shelhealth.com/products/716237186904-giovanni-cosmetics-pet-2-in-1-shampoo-and-conditioner-oatmeal-coconut-16-oz")</f>
        <v/>
      </c>
      <c r="C1116" t="inlineStr">
        <is>
          <t>Giovanni Cosmetics Pet 2 In 1 Shampoo And Conditioner Oatmeal Coconut, 16 Oz (Case of 2)</t>
        </is>
      </c>
      <c r="D1116" t="inlineStr">
        <is>
          <t>GIOVANNI Professional 2-in-1 Pet Shampoo &amp; Conditioner - for Dogs &amp; Cats, Oatmeal &amp; Coconut, Helps Neutralize Odors, Deeply Cleanses, Silkens, Controls Static - 16 oz</t>
        </is>
      </c>
      <c r="E1116" s="2">
        <f>HYPERLINK("https://www.amazon.com/GIOVANNI-Professional-Pet-Shampoo-Conditioner/dp/B092MLQG5K/ref=sr_1_1?keywords=Giovanni+Cosmetics+Pet+2+In+1+Shampoo+And+Conditioner+Oatmeal+Coconut%2C+16+Oz+%28Case+of+2%29&amp;qid=1695170311&amp;sr=8-1", "https://www.amazon.com/GIOVANNI-Professional-Pet-Shampoo-Conditioner/dp/B092MLQG5K/ref=sr_1_1?keywords=Giovanni+Cosmetics+Pet+2+In+1+Shampoo+And+Conditioner+Oatmeal+Coconut%2C+16+Oz+%28Case+of+2%29&amp;qid=1695170311&amp;sr=8-1")</f>
        <v/>
      </c>
      <c r="F1116" t="inlineStr">
        <is>
          <t>B092MLQG5K</t>
        </is>
      </c>
      <c r="G1116">
        <f>_xludf.IMAGE("https://www.shelhealth.com/cdn/shop/products/giovanni-cosmetics-pet-2-in-1-shampoo-and-conditioner-oatmeal-coconut-16-oz-case-of-shelhealth-988.jpg?v=1677052267&amp;width=1946")</f>
        <v/>
      </c>
      <c r="H1116">
        <f>_xludf.IMAGE("https://m.media-amazon.com/images/I/713e1P9MMyS._AC_UL320_.jpg")</f>
        <v/>
      </c>
      <c r="K1116" t="inlineStr">
        <is>
          <t>21.99</t>
        </is>
      </c>
      <c r="L1116" t="n">
        <v>11.99</v>
      </c>
      <c r="M1116" s="1" t="inlineStr">
        <is>
          <t>-45.48%</t>
        </is>
      </c>
      <c r="N1116" s="3" t="n">
        <v>-45.48</v>
      </c>
      <c r="O1116" t="n">
        <v>4.8</v>
      </c>
      <c r="P1116" t="n">
        <v>38</v>
      </c>
      <c r="R1116" t="inlineStr">
        <is>
          <t>InStock</t>
        </is>
      </c>
      <c r="S1116" t="inlineStr">
        <is>
          <t>21.99</t>
        </is>
      </c>
      <c r="T1116" t="inlineStr">
        <is>
          <t>7241660137660</t>
        </is>
      </c>
    </row>
    <row r="1117" hidden="1" ht="15.75" customHeight="1">
      <c r="A1117" s="2">
        <f>HYPERLINK("https://www.shelhealth.com/products/854803005478-tender-and-true-chicken-and-brown-rice-dry-dog-food-4-lb", "https://www.shelhealth.com/products/854803005478-tender-and-true-chicken-and-brown-rice-dry-dog-food-4-lb")</f>
        <v/>
      </c>
      <c r="B1117" s="2">
        <f>HYPERLINK("https://www.shelhealth.com/products/854803005478-tender-and-true-chicken-and-brown-rice-dry-dog-food-4-lb", "https://www.shelhealth.com/products/854803005478-tender-and-true-chicken-and-brown-rice-dry-dog-food-4-lb")</f>
        <v/>
      </c>
      <c r="C1117" t="inlineStr">
        <is>
          <t>TENDER AND TRUE Chicken and Brown Rice Dry Dog Food, 4 lb</t>
        </is>
      </c>
      <c r="D1117" t="inlineStr">
        <is>
          <t>Blue Buffalo Life Protection Formula Natural Adult Dry Dog Food, Chicken and Brown Rice 5-lb Trial Size Bag</t>
        </is>
      </c>
      <c r="E1117" s="2">
        <f>HYPERLINK("https://www.amazon.com/Blue-Buffalo-Protection-Formula-Natural/dp/B09K8YYVWV/ref=sr_1_10?keywords=TENDER+AND+TRUE+Chicken+and+Brown+Rice+Dry+Dog+Food%2C+4+lb&amp;qid=1695170335&amp;sr=8-10", "https://www.amazon.com/Blue-Buffalo-Protection-Formula-Natural/dp/B09K8YYVWV/ref=sr_1_10?keywords=TENDER+AND+TRUE+Chicken+and+Brown+Rice+Dry+Dog+Food%2C+4+lb&amp;qid=1695170335&amp;sr=8-10")</f>
        <v/>
      </c>
      <c r="F1117" t="inlineStr">
        <is>
          <t>B09K8YYVWV</t>
        </is>
      </c>
      <c r="G1117">
        <f>_xludf.IMAGE("https://www.shelhealth.com/cdn/shop/files/tender-and-true-chicken-brown-rice-dry-dog-food-4-lb-pet-shelhealth-868.jpg?v=1686229378&amp;width=1946")</f>
        <v/>
      </c>
      <c r="H1117">
        <f>_xludf.IMAGE("https://m.media-amazon.com/images/I/81qYRubwRpL._AC_UL320_.jpg")</f>
        <v/>
      </c>
      <c r="K1117" t="inlineStr">
        <is>
          <t>27.99</t>
        </is>
      </c>
      <c r="L1117" t="n">
        <v>14.98</v>
      </c>
      <c r="M1117" s="1" t="inlineStr">
        <is>
          <t>-46.48%</t>
        </is>
      </c>
      <c r="N1117" s="3" t="n">
        <v>-46.48</v>
      </c>
      <c r="O1117" t="n">
        <v>4.7</v>
      </c>
      <c r="P1117" t="n">
        <v>30706</v>
      </c>
      <c r="R1117" t="inlineStr">
        <is>
          <t>InStock</t>
        </is>
      </c>
      <c r="S1117" t="inlineStr">
        <is>
          <t>27.99</t>
        </is>
      </c>
      <c r="T1117" t="inlineStr">
        <is>
          <t>7574330343656</t>
        </is>
      </c>
    </row>
    <row r="1118" hidden="1" ht="15.75" customHeight="1">
      <c r="A1118" s="2">
        <f>HYPERLINK("https://www.shelhealth.com/products/854803005478-tender-and-true-chicken-and-brown-rice-dry-dog-food-4-lb", "https://www.shelhealth.com/products/854803005478-tender-and-true-chicken-and-brown-rice-dry-dog-food-4-lb")</f>
        <v/>
      </c>
      <c r="B1118" s="2">
        <f>HYPERLINK("https://www.shelhealth.com/products/854803005478-tender-and-true-chicken-and-brown-rice-dry-dog-food-4-lb", "https://www.shelhealth.com/products/854803005478-tender-and-true-chicken-and-brown-rice-dry-dog-food-4-lb")</f>
        <v/>
      </c>
      <c r="C1118" t="inlineStr">
        <is>
          <t>TENDER AND TRUE Chicken and Brown Rice Dry Dog Food, 4 lb</t>
        </is>
      </c>
      <c r="D1118" t="inlineStr">
        <is>
          <t>Tender &amp; True Antibiotic-Free Chicken &amp; Brown Rice Recipe Dog Food, 4 lb</t>
        </is>
      </c>
      <c r="E1118" s="2">
        <f>HYPERLINK("https://www.amazon.com/Tender-True-854019-Antibiotic-Chicken/dp/B06WP2XP1W/ref=sr_1_1?keywords=TENDER+AND+TRUE+Chicken+and+Brown+Rice+Dry+Dog+Food%2C+4+lb&amp;qid=1695170335&amp;sr=8-1", "https://www.amazon.com/Tender-True-854019-Antibiotic-Chicken/dp/B06WP2XP1W/ref=sr_1_1?keywords=TENDER+AND+TRUE+Chicken+and+Brown+Rice+Dry+Dog+Food%2C+4+lb&amp;qid=1695170335&amp;sr=8-1")</f>
        <v/>
      </c>
      <c r="F1118" t="inlineStr">
        <is>
          <t>B06WP2XP1W</t>
        </is>
      </c>
      <c r="G1118">
        <f>_xludf.IMAGE("https://www.shelhealth.com/cdn/shop/files/tender-and-true-chicken-brown-rice-dry-dog-food-4-lb-pet-shelhealth-868.jpg?v=1686229378&amp;width=1946")</f>
        <v/>
      </c>
      <c r="H1118">
        <f>_xludf.IMAGE("https://m.media-amazon.com/images/I/81UnWFAVhpL._AC_UL320_.jpg")</f>
        <v/>
      </c>
      <c r="K1118" t="inlineStr">
        <is>
          <t>27.99</t>
        </is>
      </c>
      <c r="L1118" t="n">
        <v>14.79</v>
      </c>
      <c r="M1118" s="1" t="inlineStr">
        <is>
          <t>-47.16%</t>
        </is>
      </c>
      <c r="N1118" s="3" t="n">
        <v>-47.16</v>
      </c>
      <c r="O1118" t="n">
        <v>4.4</v>
      </c>
      <c r="P1118" t="n">
        <v>106</v>
      </c>
      <c r="R1118" t="inlineStr">
        <is>
          <t>InStock</t>
        </is>
      </c>
      <c r="S1118" t="inlineStr">
        <is>
          <t>27.99</t>
        </is>
      </c>
      <c r="T1118" t="inlineStr">
        <is>
          <t>7574330343656</t>
        </is>
      </c>
    </row>
    <row r="1119" hidden="1" ht="15.75" customHeight="1">
      <c r="A1119" s="2">
        <f>HYPERLINK("https://www.shelhealth.com/products/854803005393-tender-and-true-organic-chicken-and-liver-dry-dog-food-4-lb", "https://www.shelhealth.com/products/854803005393-tender-and-true-organic-chicken-and-liver-dry-dog-food-4-lb")</f>
        <v/>
      </c>
      <c r="B1119" s="2">
        <f>HYPERLINK("https://www.shelhealth.com/products/854803005393-tender-and-true-organic-chicken-and-liver-dry-dog-food-4-lb", "https://www.shelhealth.com/products/854803005393-tender-and-true-organic-chicken-and-liver-dry-dog-food-4-lb")</f>
        <v/>
      </c>
      <c r="C1119" t="inlineStr">
        <is>
          <t>TENDER AND TRUE Organic Chicken and Liver Dry Dog Food, 4 lb</t>
        </is>
      </c>
      <c r="D1119" t="inlineStr">
        <is>
          <t>Tender &amp; True Organic Chicken &amp; Liver Recipe Dog Food, 4 lb</t>
        </is>
      </c>
      <c r="E1119" s="2">
        <f>HYPERLINK("https://www.amazon.com/Tender-True-854003-Organic-Chicken/dp/B06VT3D9GT/ref=sr_1_1?keywords=TENDER+AND+TRUE+Organic+Chicken+and+Liver+Dry+Dog+Food%2C+4+lb&amp;qid=1695170339&amp;sr=8-1", "https://www.amazon.com/Tender-True-854003-Organic-Chicken/dp/B06VT3D9GT/ref=sr_1_1?keywords=TENDER+AND+TRUE+Organic+Chicken+and+Liver+Dry+Dog+Food%2C+4+lb&amp;qid=1695170339&amp;sr=8-1")</f>
        <v/>
      </c>
      <c r="F1119" t="inlineStr">
        <is>
          <t>B06VT3D9GT</t>
        </is>
      </c>
      <c r="G1119">
        <f>_xludf.IMAGE("https://www.shelhealth.com/cdn/shop/products/tender-and-true-organic-chicken-liver-dry-dog-food-4-lb-shelhealth-273.jpg?v=1663787414&amp;width=1946")</f>
        <v/>
      </c>
      <c r="H1119">
        <f>_xludf.IMAGE("https://m.media-amazon.com/images/I/81OD2eOZMLS._AC_UL320_.jpg")</f>
        <v/>
      </c>
      <c r="K1119" t="inlineStr">
        <is>
          <t>35.99</t>
        </is>
      </c>
      <c r="L1119" t="n">
        <v>18.99</v>
      </c>
      <c r="M1119" s="1" t="inlineStr">
        <is>
          <t>-47.24%</t>
        </is>
      </c>
      <c r="N1119" s="3" t="n">
        <v>-47.24</v>
      </c>
      <c r="O1119" t="n">
        <v>4.5</v>
      </c>
      <c r="P1119" t="n">
        <v>203</v>
      </c>
      <c r="R1119" t="inlineStr">
        <is>
          <t>InStock</t>
        </is>
      </c>
      <c r="S1119" t="inlineStr">
        <is>
          <t>35.99</t>
        </is>
      </c>
      <c r="T1119" t="inlineStr">
        <is>
          <t>7574331425000</t>
        </is>
      </c>
    </row>
    <row r="1120" hidden="1" ht="15.75" customHeight="1">
      <c r="A1120" s="2">
        <f>HYPERLINK("https://www.shelhealth.com/products/purina-friskies-prime-filets-cat-food-variety-pack-48-pk-5-5-oz", "https://www.shelhealth.com/products/purina-friskies-prime-filets-cat-food-variety-pack-48-pk-5-5-oz")</f>
        <v/>
      </c>
      <c r="B1120" s="2">
        <f>HYPERLINK("https://www.shelhealth.com/products/purina-friskies-prime-filets-cat-food-variety-pack-48-pk-5-5-oz", "https://www.shelhealth.com/products/purina-friskies-prime-filets-cat-food-variety-pack-48-pk-5-5-oz")</f>
        <v/>
      </c>
      <c r="C1120" t="inlineStr">
        <is>
          <t>Purina Friskies Prime Filets Cat Food Variety Pack, 48 pk./5.5 oz.</t>
        </is>
      </c>
      <c r="D1120" t="inlineStr">
        <is>
          <t>Purina Friskies Wet Cat Food Variety Pack, Surfin' &amp; Turfin' Prime Filets Favorites - (40) 5.5 oz. Cans</t>
        </is>
      </c>
      <c r="E1120" s="2">
        <f>HYPERLINK("https://www.amazon.com/Purina-Friskies-Surfin-Favorites-Variety/dp/B0777J8V5J/ref=sr_1_7?keywords=Purina+Friskies+Prime+Filets+Cat+Food+Variety+Pack%2C+48+pk.%2F5.5+oz.&amp;qid=1695170282&amp;sr=8-7", "https://www.amazon.com/Purina-Friskies-Surfin-Favorites-Variety/dp/B0777J8V5J/ref=sr_1_7?keywords=Purina+Friskies+Prime+Filets+Cat+Food+Variety+Pack%2C+48+pk.%2F5.5+oz.&amp;qid=1695170282&amp;sr=8-7")</f>
        <v/>
      </c>
      <c r="F1120" t="inlineStr">
        <is>
          <t>B0777J8V5J</t>
        </is>
      </c>
      <c r="G1120">
        <f>_xludf.IMAGE("https://www.shelhealth.com/cdn/shop/products/purina-friskies-prime-filets-cat-food-variety-pack-48-pk-5-oz-shelhealth-954.jpg?v=1663354447&amp;width=1946")</f>
        <v/>
      </c>
      <c r="H1120">
        <f>_xludf.IMAGE("https://m.media-amazon.com/images/I/81STyYYmiNL._AC_UL320_.jpg")</f>
        <v/>
      </c>
      <c r="K1120" t="inlineStr">
        <is>
          <t>54.99</t>
        </is>
      </c>
      <c r="L1120" t="n">
        <v>27.54</v>
      </c>
      <c r="M1120" s="1" t="inlineStr">
        <is>
          <t>-49.92%</t>
        </is>
      </c>
      <c r="N1120" s="3" t="n">
        <v>-49.92</v>
      </c>
      <c r="O1120" t="n">
        <v>4.7</v>
      </c>
      <c r="P1120" t="n">
        <v>12042</v>
      </c>
      <c r="R1120" t="inlineStr">
        <is>
          <t>InStock</t>
        </is>
      </c>
      <c r="S1120" t="inlineStr">
        <is>
          <t>54.99</t>
        </is>
      </c>
      <c r="T1120" t="inlineStr">
        <is>
          <t>4167590740020</t>
        </is>
      </c>
    </row>
    <row r="1121" hidden="1" ht="15.75" customHeight="1">
      <c r="A1121" s="2">
        <f>HYPERLINK("https://www.shelhealth.com/products/purina-fancy-feast-gravy-lovers-poultry-beef-feast-variety-cat-food-36-pk-3-oz", "https://www.shelhealth.com/products/purina-fancy-feast-gravy-lovers-poultry-beef-feast-variety-cat-food-36-pk-3-oz")</f>
        <v/>
      </c>
      <c r="B1121" s="2">
        <f>HYPERLINK("https://www.shelhealth.com/products/purina-fancy-feast-gravy-lovers-poultry-beef-feast-variety-cat-food-36-pk-3-oz", "https://www.shelhealth.com/products/purina-fancy-feast-gravy-lovers-poultry-beef-feast-variety-cat-food-36-pk-3-oz")</f>
        <v/>
      </c>
      <c r="C1121" t="inlineStr">
        <is>
          <t>Purina Fancy Feast Gravy Lovers Poultry &amp; Beef Feast Variety Cat Food, 36 pk./3 oz.</t>
        </is>
      </c>
      <c r="D1121" t="inlineStr">
        <is>
          <t>Purina Fancy Feast Gravy Lovers Poultry and Beef Gourmet Wet Cat Food Variety Pack - (24) 3 oz. Cans</t>
        </is>
      </c>
      <c r="E1121" s="2">
        <f>HYPERLINK("https://www.amazon.com/Purina-Fancy-Feast-Poultry-Collection/dp/B005OB3E30/ref=sr_1_2?keywords=Purina+Fancy+Feast+Gravy+Lovers+Poultry+%26+Beef+Feast+Variety+Cat+Food%2C+36+pk.%2F3+oz.&amp;qid=1695170300&amp;sr=8-2", "https://www.amazon.com/Purina-Fancy-Feast-Poultry-Collection/dp/B005OB3E30/ref=sr_1_2?keywords=Purina+Fancy+Feast+Gravy+Lovers+Poultry+%26+Beef+Feast+Variety+Cat+Food%2C+36+pk.%2F3+oz.&amp;qid=1695170300&amp;sr=8-2")</f>
        <v/>
      </c>
      <c r="F1121" t="inlineStr">
        <is>
          <t>B005OB3E30</t>
        </is>
      </c>
      <c r="G1121">
        <f>_xludf.IMAGE("https://www.shelhealth.com/cdn/shop/products/purina-fancy-feast-gravy-lovers-poultry-beef-variety-cat-food-36-pk-3-oz-shelhealth-499.jpg?v=1663355787&amp;width=1946")</f>
        <v/>
      </c>
      <c r="H1121">
        <f>_xludf.IMAGE("https://m.media-amazon.com/images/I/81fTqbIlN0L._AC_UL320_.jpg")</f>
        <v/>
      </c>
      <c r="K1121" t="inlineStr">
        <is>
          <t>41.99</t>
        </is>
      </c>
      <c r="L1121" t="n">
        <v>20.99</v>
      </c>
      <c r="M1121" s="1" t="inlineStr">
        <is>
          <t>-50.01%</t>
        </is>
      </c>
      <c r="N1121" s="3" t="n">
        <v>-50.01</v>
      </c>
      <c r="O1121" t="n">
        <v>4.7</v>
      </c>
      <c r="P1121" t="n">
        <v>35681</v>
      </c>
      <c r="R1121" t="inlineStr">
        <is>
          <t>InStock</t>
        </is>
      </c>
      <c r="S1121" t="inlineStr">
        <is>
          <t>41.99</t>
        </is>
      </c>
      <c r="T1121" t="inlineStr">
        <is>
          <t>4171302404148</t>
        </is>
      </c>
    </row>
    <row r="1122" hidden="1" ht="15.75" customHeight="1">
      <c r="A1122" s="2">
        <f>HYPERLINK("https://www.shelhealth.com/products/854803005416-tender-and-true-organic-turkey-and-liver-dry-dog-food-4-lb", "https://www.shelhealth.com/products/854803005416-tender-and-true-organic-turkey-and-liver-dry-dog-food-4-lb")</f>
        <v/>
      </c>
      <c r="B1122" s="2">
        <f>HYPERLINK("https://www.shelhealth.com/products/854803005416-tender-and-true-organic-turkey-and-liver-dry-dog-food-4-lb", "https://www.shelhealth.com/products/854803005416-tender-and-true-organic-turkey-and-liver-dry-dog-food-4-lb")</f>
        <v/>
      </c>
      <c r="C1122" t="inlineStr">
        <is>
          <t>TENDER AND TRUE Organic Turkey and Liver Dry Dog Food, 4 lb</t>
        </is>
      </c>
      <c r="D1122" t="inlineStr">
        <is>
          <t>Tender &amp; True Organic Turkey &amp; Liver Recipe Dog Food, 4 lb</t>
        </is>
      </c>
      <c r="E1122" s="2">
        <f>HYPERLINK("https://www.amazon.com/Tender-True-854006-Organic-Turkey/dp/B06WRNHXYJ/ref=sr_1_1?keywords=TENDER+AND+TRUE+Organic+Turkey+and+Liver+Dry+Dog+Food%2C+4+lb&amp;qid=1695170349&amp;sr=8-1", "https://www.amazon.com/Tender-True-854006-Organic-Turkey/dp/B06WRNHXYJ/ref=sr_1_1?keywords=TENDER+AND+TRUE+Organic+Turkey+and+Liver+Dry+Dog+Food%2C+4+lb&amp;qid=1695170349&amp;sr=8-1")</f>
        <v/>
      </c>
      <c r="F1122" t="inlineStr">
        <is>
          <t>B06WRNHXYJ</t>
        </is>
      </c>
      <c r="G1122">
        <f>_xludf.IMAGE("https://www.shelhealth.com/cdn/shop/products/tender-and-true-organic-turkey-liver-dry-dog-food-4-lb-shelhealth-391.jpg?v=1663787429&amp;width=1946")</f>
        <v/>
      </c>
      <c r="H1122">
        <f>_xludf.IMAGE("https://m.media-amazon.com/images/I/81b5ivePx8L._AC_UL320_.jpg")</f>
        <v/>
      </c>
      <c r="K1122" t="inlineStr">
        <is>
          <t>31.99</t>
        </is>
      </c>
      <c r="L1122" t="n">
        <v>15.99</v>
      </c>
      <c r="M1122" s="1" t="inlineStr">
        <is>
          <t>-50.02%</t>
        </is>
      </c>
      <c r="N1122" s="3" t="n">
        <v>-50.02</v>
      </c>
      <c r="O1122" t="n">
        <v>4.4</v>
      </c>
      <c r="P1122" t="n">
        <v>104</v>
      </c>
      <c r="R1122" t="inlineStr">
        <is>
          <t>InStock</t>
        </is>
      </c>
      <c r="S1122" t="inlineStr">
        <is>
          <t>31.99</t>
        </is>
      </c>
      <c r="T1122" t="inlineStr">
        <is>
          <t>7574331556072</t>
        </is>
      </c>
    </row>
    <row r="1123" hidden="1" ht="15.75" customHeight="1">
      <c r="A1123" s="2">
        <f>HYPERLINK("https://www.shelhealth.com/products/milk-bone-soft-chewy-beef-recipe-dog-snacks-37-oz", "https://www.shelhealth.com/products/milk-bone-soft-chewy-beef-recipe-dog-snacks-37-oz")</f>
        <v/>
      </c>
      <c r="B1123" s="2">
        <f>HYPERLINK("https://www.shelhealth.com/products/milk-bone-soft-chewy-beef-recipe-dog-snacks-37-oz", "https://www.shelhealth.com/products/milk-bone-soft-chewy-beef-recipe-dog-snacks-37-oz")</f>
        <v/>
      </c>
      <c r="C1123" t="inlineStr">
        <is>
          <t>Milk-Bone Soft &amp; Chewy Beef Recipe Dog Snacks, 37 oz.</t>
        </is>
      </c>
      <c r="D1123" t="inlineStr">
        <is>
          <t>Milk-Bone Soft &amp; Chewy Dog Treats, Beef &amp; Filet Mignon Recipe, 25 Ounce</t>
        </is>
      </c>
      <c r="E1123" s="2">
        <f>HYPERLINK("https://www.amazon.com/Milk-Bone-Mignon-Recipe-Treats-25-Ounce/dp/B006HKA6II/ref=sr_1_6?keywords=Milk-Bone+Soft+%26+Chewy+Beef+Recipe+Dog+Snacks%2C+37+oz.&amp;qid=1695170279&amp;sr=8-6", "https://www.amazon.com/Milk-Bone-Mignon-Recipe-Treats-25-Ounce/dp/B006HKA6II/ref=sr_1_6?keywords=Milk-Bone+Soft+%26+Chewy+Beef+Recipe+Dog+Snacks%2C+37+oz.&amp;qid=1695170279&amp;sr=8-6")</f>
        <v/>
      </c>
      <c r="F1123" t="inlineStr">
        <is>
          <t>B006HKA6II</t>
        </is>
      </c>
      <c r="G1123">
        <f>_xludf.IMAGE("https://www.shelhealth.com/cdn/shop/files/milk-bone-soft-chewy-beef-recipe-dog-snacks-37-oz-grocery-household-petpet-shelhealth-128.jpg?v=1686283179&amp;width=1946")</f>
        <v/>
      </c>
      <c r="H1123">
        <f>_xludf.IMAGE("https://m.media-amazon.com/images/I/81YSdPdKGHL._AC_UL320_.jpg")</f>
        <v/>
      </c>
      <c r="K1123" t="inlineStr">
        <is>
          <t>28.99</t>
        </is>
      </c>
      <c r="L1123" t="n">
        <v>14.48</v>
      </c>
      <c r="M1123" s="1" t="inlineStr">
        <is>
          <t>-50.05%</t>
        </is>
      </c>
      <c r="N1123" s="3" t="n">
        <v>-50.05</v>
      </c>
      <c r="O1123" t="n">
        <v>4.7</v>
      </c>
      <c r="P1123" t="n">
        <v>45624</v>
      </c>
      <c r="R1123" t="inlineStr">
        <is>
          <t>InStock</t>
        </is>
      </c>
      <c r="S1123" t="inlineStr">
        <is>
          <t>28.99</t>
        </is>
      </c>
      <c r="T1123" t="inlineStr">
        <is>
          <t>4169605283892</t>
        </is>
      </c>
    </row>
    <row r="1124" hidden="1" ht="15.75" customHeight="1">
      <c r="A1124" s="2">
        <f>HYPERLINK("https://www.shelhealth.com/products/cadet-dog-treats-pork-hide-twists-40-count", "https://www.shelhealth.com/products/cadet-dog-treats-pork-hide-twists-40-count")</f>
        <v/>
      </c>
      <c r="B1124" s="2">
        <f>HYPERLINK("https://www.shelhealth.com/products/cadet-dog-treats-pork-hide-twists-40-count", "https://www.shelhealth.com/products/cadet-dog-treats-pork-hide-twists-40-count")</f>
        <v/>
      </c>
      <c r="C1124" t="inlineStr">
        <is>
          <t>Cadet Dog Treats Pork Hide Twists, 40 Count</t>
        </is>
      </c>
      <c r="D1124" t="inlineStr">
        <is>
          <t>Cadet Gourmet Pork Hide &amp; Chicken Twists Dog Treats - Healthy &amp; Natural Dog Treats for Small &amp; Large Dogs - Inspected &amp; Tested in USA, 5 In. (22 Count)</t>
        </is>
      </c>
      <c r="E1124" s="2">
        <f>HYPERLINK("https://www.amazon.com/Cadet-Gourmet-Twists-Lasting-Chicken/dp/B09DT1LXT9/ref=sr_1_2?keywords=Cadet+Dog+Treats+Pork+Hide+Twists%2C+40+Count&amp;qid=1695170339&amp;sr=8-2", "https://www.amazon.com/Cadet-Gourmet-Twists-Lasting-Chicken/dp/B09DT1LXT9/ref=sr_1_2?keywords=Cadet+Dog+Treats+Pork+Hide+Twists%2C+40+Count&amp;qid=1695170339&amp;sr=8-2")</f>
        <v/>
      </c>
      <c r="F1124" t="inlineStr">
        <is>
          <t>B09DT1LXT9</t>
        </is>
      </c>
      <c r="G1124">
        <f>_xludf.IMAGE("https://www.shelhealth.com/cdn/shop/products/cadet-dog-treats-pork-hide-twists-40-count-shelhealth-716.jpg?v=1663359874&amp;width=1946")</f>
        <v/>
      </c>
      <c r="H1124">
        <f>_xludf.IMAGE("https://m.media-amazon.com/images/I/81XZx4O4iKL._AC_UL320_.jpg")</f>
        <v/>
      </c>
      <c r="K1124" t="inlineStr">
        <is>
          <t>19.99</t>
        </is>
      </c>
      <c r="L1124" t="n">
        <v>9.789999999999999</v>
      </c>
      <c r="M1124" s="1" t="inlineStr">
        <is>
          <t>-51.03%</t>
        </is>
      </c>
      <c r="N1124" s="3" t="n">
        <v>-51.03</v>
      </c>
      <c r="O1124" t="n">
        <v>4.4</v>
      </c>
      <c r="P1124" t="n">
        <v>1788</v>
      </c>
      <c r="R1124" t="inlineStr">
        <is>
          <t>OutOfStock</t>
        </is>
      </c>
      <c r="S1124" t="inlineStr">
        <is>
          <t>19.99</t>
        </is>
      </c>
      <c r="T1124" t="inlineStr">
        <is>
          <t>4387812507737</t>
        </is>
      </c>
    </row>
    <row r="1125" hidden="1" ht="15.75" customHeight="1">
      <c r="A1125" s="2">
        <f>HYPERLINK("https://www.shelhealth.com/products/fancy-feast-purina-classic-seafood-feast-variety-cat-food-3-oz-48-cans", "https://www.shelhealth.com/products/fancy-feast-purina-classic-seafood-feast-variety-cat-food-3-oz-48-cans")</f>
        <v/>
      </c>
      <c r="B1125" s="2">
        <f>HYPERLINK("https://www.shelhealth.com/products/fancy-feast-purina-classic-seafood-feast-variety-cat-food-3-oz-48-cans", "https://www.shelhealth.com/products/fancy-feast-purina-classic-seafood-feast-variety-cat-food-3-oz-48-cans")</f>
        <v/>
      </c>
      <c r="C1125" t="inlineStr">
        <is>
          <t>Fancy Feast Purina Classic Seafood Feast Variety Cat Food 3 oz. - 48 Cans.</t>
        </is>
      </c>
      <c r="D1125" t="inlineStr">
        <is>
          <t>Fancy Feast Classic Pate Seafood Wet Canned Cat Food Variety Pack - 4 Flavor 3 Oz Cans - Pack of 12 Plus Weatherproof Paw Sticker</t>
        </is>
      </c>
      <c r="E1125" s="2">
        <f>HYPERLINK("https://www.amazon.com/Purina-Fancy-Feast-Kitten-Variety/dp/B07GSBXSRL/ref=sr_1_3?keywords=Fancy+Feast+Purina+Classic+Seafood+Feast+Variety+Cat+Food+3+oz.+-+48+Cans.&amp;qid=1695170280&amp;sr=8-3", "https://www.amazon.com/Purina-Fancy-Feast-Kitten-Variety/dp/B07GSBXSRL/ref=sr_1_3?keywords=Fancy+Feast+Purina+Classic+Seafood+Feast+Variety+Cat+Food+3+oz.+-+48+Cans.&amp;qid=1695170280&amp;sr=8-3")</f>
        <v/>
      </c>
      <c r="F1125" t="inlineStr">
        <is>
          <t>B07GSBXSRL</t>
        </is>
      </c>
      <c r="G1125">
        <f>_xludf.IMAGE("https://www.shelhealth.com/cdn/shop/products/fancy-feast-purina-classic-seafood-variety-cat-food-3-oz-48-cans-shelhealth-451.jpg?v=1663343087&amp;width=1946")</f>
        <v/>
      </c>
      <c r="H1125">
        <f>_xludf.IMAGE("https://m.media-amazon.com/images/I/41dtzXyocDL._AC_UL320_.jpg")</f>
        <v/>
      </c>
      <c r="K1125" t="inlineStr">
        <is>
          <t>54.99</t>
        </is>
      </c>
      <c r="L1125" t="n">
        <v>26.9</v>
      </c>
      <c r="M1125" s="1" t="inlineStr">
        <is>
          <t>-51.08%</t>
        </is>
      </c>
      <c r="N1125" s="3" t="n">
        <v>-51.08</v>
      </c>
      <c r="O1125" t="n">
        <v>4.1</v>
      </c>
      <c r="P1125" t="n">
        <v>46</v>
      </c>
      <c r="R1125" t="inlineStr">
        <is>
          <t>OutOfStock</t>
        </is>
      </c>
      <c r="S1125" t="inlineStr">
        <is>
          <t>54.99</t>
        </is>
      </c>
      <c r="T1125" t="inlineStr">
        <is>
          <t>3819424710708</t>
        </is>
      </c>
    </row>
    <row r="1126" hidden="1" ht="15.75" customHeight="1">
      <c r="A1126" s="2">
        <f>HYPERLINK("https://www.shelhealth.com/products/854803005423-tender-and-true-kibble-dog-turkey-liver-11-lb", "https://www.shelhealth.com/products/854803005423-tender-and-true-kibble-dog-turkey-liver-11-lb")</f>
        <v/>
      </c>
      <c r="B1126" s="2">
        <f>HYPERLINK("https://www.shelhealth.com/products/854803005423-tender-and-true-kibble-dog-turkey-liver-11-lb", "https://www.shelhealth.com/products/854803005423-tender-and-true-kibble-dog-turkey-liver-11-lb")</f>
        <v/>
      </c>
      <c r="C1126" t="inlineStr">
        <is>
          <t>TENDER AND TRUE Kibble Dog Turkey &amp; Liver, 11 lb</t>
        </is>
      </c>
      <c r="D1126" t="inlineStr">
        <is>
          <t>Tender &amp; True Organic Turkey &amp; Liver Recipe Dog Food, 11 lb</t>
        </is>
      </c>
      <c r="E1126" s="2">
        <f>HYPERLINK("https://www.amazon.com/Tender-True-854007-Organic-Turkey/dp/B06WGMD3ZT/ref=sr_1_3?keywords=TENDER+AND+TRUE+Kibble+Dog+Turkey&amp;qid=1695170350&amp;sr=8-3", "https://www.amazon.com/Tender-True-854007-Organic-Turkey/dp/B06WGMD3ZT/ref=sr_1_3?keywords=TENDER+AND+TRUE+Kibble+Dog+Turkey&amp;qid=1695170350&amp;sr=8-3")</f>
        <v/>
      </c>
      <c r="F1126" t="inlineStr">
        <is>
          <t>B06WGMD3ZT</t>
        </is>
      </c>
      <c r="G1126">
        <f>_xludf.IMAGE("https://www.shelhealth.com/cdn/shop/files/tender-and-true-kibble-dog-turkey-liver-11-lb-pet-shelhealth-818.jpg?v=1686229291&amp;width=1946")</f>
        <v/>
      </c>
      <c r="H1126">
        <f>_xludf.IMAGE("https://m.media-amazon.com/images/I/81QhAzU+NVL._AC_UL320_.jpg")</f>
        <v/>
      </c>
      <c r="K1126" t="inlineStr">
        <is>
          <t>66.99</t>
        </is>
      </c>
      <c r="L1126" t="n">
        <v>32.49</v>
      </c>
      <c r="M1126" s="1" t="inlineStr">
        <is>
          <t>-51.50%</t>
        </is>
      </c>
      <c r="N1126" s="3" t="n">
        <v>-51.5</v>
      </c>
      <c r="O1126" t="n">
        <v>4.4</v>
      </c>
      <c r="P1126" t="n">
        <v>27</v>
      </c>
      <c r="R1126" t="inlineStr">
        <is>
          <t>OutOfStock</t>
        </is>
      </c>
      <c r="S1126" t="inlineStr">
        <is>
          <t>66.99</t>
        </is>
      </c>
      <c r="T1126" t="inlineStr">
        <is>
          <t>7574331064552</t>
        </is>
      </c>
    </row>
    <row r="1127" hidden="1" ht="15.75" customHeight="1">
      <c r="A1127" s="2">
        <f>HYPERLINK("https://www.shelhealth.com/products/arm-and-hammer-multi-cat-unscented-clumping-cat-litter-39-lbs", "https://www.shelhealth.com/products/arm-and-hammer-multi-cat-unscented-clumping-cat-litter-39-lbs")</f>
        <v/>
      </c>
      <c r="B1127" s="2">
        <f>HYPERLINK("https://www.shelhealth.com/products/arm-and-hammer-multi-cat-unscented-clumping-cat-litter-39-lbs", "https://www.shelhealth.com/products/arm-and-hammer-multi-cat-unscented-clumping-cat-litter-39-lbs")</f>
        <v/>
      </c>
      <c r="C1127" t="inlineStr">
        <is>
          <t>Arm and Hammer Multi Cat Unscented Clumping Cat Litter, 39 lbs.</t>
        </is>
      </c>
      <c r="D1127" t="inlineStr">
        <is>
          <t>Arm &amp; Hammer Arm Hammer Ultra Last Unscented Clumping Cat Litter, MultiCat 18lb, Pet Friendly with Baking Soda</t>
        </is>
      </c>
      <c r="E1127" s="2">
        <f>HYPERLINK("https://www.amazon.com/Arm-Hammer-Unscented-Clumping-MultiCat/dp/B09F8CP448/ref=sr_1_5?keywords=Arm+and+Hammer+Multi+Cat+Unscented+Clumping+Cat+Litter%2C+39+lbs.&amp;qid=1695170302&amp;sr=8-5", "https://www.amazon.com/Arm-Hammer-Unscented-Clumping-MultiCat/dp/B09F8CP448/ref=sr_1_5?keywords=Arm+and+Hammer+Multi+Cat+Unscented+Clumping+Cat+Litter%2C+39+lbs.&amp;qid=1695170302&amp;sr=8-5")</f>
        <v/>
      </c>
      <c r="F1127" t="inlineStr">
        <is>
          <t>B09F8CP448</t>
        </is>
      </c>
      <c r="G1127">
        <f>_xludf.IMAGE("https://www.shelhealth.com/cdn/shop/products/arm-and-hammer-multi-cat-unscented-clumping-litter-39-lbs-shelhealth-153.jpg?v=1663370398&amp;width=1946")</f>
        <v/>
      </c>
      <c r="H1127">
        <f>_xludf.IMAGE("https://m.media-amazon.com/images/I/81y-fbbK7pL._AC_UL320_.jpg")</f>
        <v/>
      </c>
      <c r="K1127" t="inlineStr">
        <is>
          <t>32.99</t>
        </is>
      </c>
      <c r="L1127" t="n">
        <v>15.99</v>
      </c>
      <c r="M1127" s="1" t="inlineStr">
        <is>
          <t>-51.53%</t>
        </is>
      </c>
      <c r="N1127" s="3" t="n">
        <v>-51.53</v>
      </c>
      <c r="O1127" t="n">
        <v>4.2</v>
      </c>
      <c r="P1127" t="n">
        <v>3510</v>
      </c>
      <c r="R1127" t="inlineStr">
        <is>
          <t>InStock</t>
        </is>
      </c>
      <c r="S1127" t="inlineStr">
        <is>
          <t>32.99</t>
        </is>
      </c>
      <c r="T1127" t="inlineStr">
        <is>
          <t>4664137416793</t>
        </is>
      </c>
    </row>
    <row r="1128" hidden="1" ht="15.75" customHeight="1">
      <c r="A1128" s="2">
        <f>HYPERLINK("https://www.shelhealth.com/products/cadet-dog-treats-pork-hide-twists-40-count", "https://www.shelhealth.com/products/cadet-dog-treats-pork-hide-twists-40-count")</f>
        <v/>
      </c>
      <c r="B1128" s="2">
        <f>HYPERLINK("https://www.shelhealth.com/products/cadet-dog-treats-pork-hide-twists-40-count", "https://www.shelhealth.com/products/cadet-dog-treats-pork-hide-twists-40-count")</f>
        <v/>
      </c>
      <c r="C1128" t="inlineStr">
        <is>
          <t>Cadet Dog Treats Pork Hide Twists, 40 Count</t>
        </is>
      </c>
      <c r="D1128" t="inlineStr">
        <is>
          <t>Cadet Gourmet Triple Chews Pork Hide, Sweet Potato, &amp; Chicken Dog Treats - Healthy Dog Treats for Small &amp; Large Dogs - Inspected &amp; Tested in USA (6 Count)</t>
        </is>
      </c>
      <c r="E1128" s="2">
        <f>HYPERLINK("https://www.amazon.com/Pennington-Gourmet-Triple-Twists-Chicken/dp/B005BUZXDS/ref=sr_1_1?keywords=Cadet+Dog+Treats+Pork+Hide+Twists%2C+40+Count&amp;qid=1695170339&amp;sr=8-1", "https://www.amazon.com/Pennington-Gourmet-Triple-Twists-Chicken/dp/B005BUZXDS/ref=sr_1_1?keywords=Cadet+Dog+Treats+Pork+Hide+Twists%2C+40+Count&amp;qid=1695170339&amp;sr=8-1")</f>
        <v/>
      </c>
      <c r="F1128" t="inlineStr">
        <is>
          <t>B005BUZXDS</t>
        </is>
      </c>
      <c r="G1128">
        <f>_xludf.IMAGE("https://www.shelhealth.com/cdn/shop/products/cadet-dog-treats-pork-hide-twists-40-count-shelhealth-716.jpg?v=1663359874&amp;width=1946")</f>
        <v/>
      </c>
      <c r="H1128">
        <f>_xludf.IMAGE("https://m.media-amazon.com/images/I/914U2isMZ9L._AC_UL320_.jpg")</f>
        <v/>
      </c>
      <c r="K1128" t="inlineStr">
        <is>
          <t>19.99</t>
        </is>
      </c>
      <c r="L1128" t="n">
        <v>9.57</v>
      </c>
      <c r="M1128" s="1" t="inlineStr">
        <is>
          <t>-52.13%</t>
        </is>
      </c>
      <c r="N1128" s="3" t="n">
        <v>-52.13</v>
      </c>
      <c r="O1128" t="n">
        <v>4.3</v>
      </c>
      <c r="P1128" t="n">
        <v>3524</v>
      </c>
      <c r="R1128" t="inlineStr">
        <is>
          <t>OutOfStock</t>
        </is>
      </c>
      <c r="S1128" t="inlineStr">
        <is>
          <t>19.99</t>
        </is>
      </c>
      <c r="T1128" t="inlineStr">
        <is>
          <t>4387812507737</t>
        </is>
      </c>
    </row>
    <row r="1129" hidden="1" ht="15.75" customHeight="1">
      <c r="A1129" s="2">
        <f>HYPERLINK("https://www.shelhealth.com/products/purina-moist-meaty-burger-with-cheddar-cheese-flavor-dog-food-60-ct-6-oz", "https://www.shelhealth.com/products/purina-moist-meaty-burger-with-cheddar-cheese-flavor-dog-food-60-ct-6-oz")</f>
        <v/>
      </c>
      <c r="B1129" s="2">
        <f>HYPERLINK("https://www.shelhealth.com/products/purina-moist-meaty-burger-with-cheddar-cheese-flavor-dog-food-60-ct-6-oz", "https://www.shelhealth.com/products/purina-moist-meaty-burger-with-cheddar-cheese-flavor-dog-food-60-ct-6-oz")</f>
        <v/>
      </c>
      <c r="C1129" t="inlineStr">
        <is>
          <t>Purina Moist &amp; Meaty Burger with Cheddar Cheese Flavor Dog Food, 60 ct./6 oz.</t>
        </is>
      </c>
      <c r="D1129" t="inlineStr">
        <is>
          <t>Purina Moist &amp; Meaty Moist and Meaty Burger With Cheddar Cheese Flavor Dry Soft Dog Food Pouches - 36 Ct. Pouch</t>
        </is>
      </c>
      <c r="E1129" s="2">
        <f>HYPERLINK("https://www.amazon.com/Purina-Moist-Meaty-Burger-Cheddar/dp/B0007A67SC/ref=sr_1_5?keywords=Purina+Moist&amp;qid=1695170352&amp;sr=8-5", "https://www.amazon.com/Purina-Moist-Meaty-Burger-Cheddar/dp/B0007A67SC/ref=sr_1_5?keywords=Purina+Moist&amp;qid=1695170352&amp;sr=8-5")</f>
        <v/>
      </c>
      <c r="F1129" t="inlineStr">
        <is>
          <t>B0007A67SC</t>
        </is>
      </c>
      <c r="G1129">
        <f>_xludf.IMAGE("https://www.shelhealth.com/cdn/shop/files/purina-moist-meaty-burger-with-cheddar-cheese-flavor-dog-food-60-ct-6-oz-grocery-household-petpet-shelhealth-981.jpg?v=1686283998&amp;width=1946")</f>
        <v/>
      </c>
      <c r="H1129">
        <f>_xludf.IMAGE("https://m.media-amazon.com/images/I/81vUspY-ixL._AC_UL320_.jpg")</f>
        <v/>
      </c>
      <c r="K1129" t="inlineStr">
        <is>
          <t>38.99</t>
        </is>
      </c>
      <c r="L1129" t="n">
        <v>18.49</v>
      </c>
      <c r="M1129" s="1" t="inlineStr">
        <is>
          <t>-52.58%</t>
        </is>
      </c>
      <c r="N1129" s="3" t="n">
        <v>-52.58</v>
      </c>
      <c r="O1129" t="n">
        <v>4.6</v>
      </c>
      <c r="P1129" t="n">
        <v>13661</v>
      </c>
      <c r="R1129" t="inlineStr">
        <is>
          <t>InStock</t>
        </is>
      </c>
      <c r="S1129" t="inlineStr">
        <is>
          <t>38.99</t>
        </is>
      </c>
      <c r="T1129" t="inlineStr">
        <is>
          <t>4169899802676</t>
        </is>
      </c>
    </row>
    <row r="1130" hidden="1" ht="15.75" customHeight="1">
      <c r="A1130" s="2">
        <f>HYPERLINK("https://www.shelhealth.com/products/purina-fancy-feast-classic-seafood-feast-variety-cat-food-36-pk-3-oz", "https://www.shelhealth.com/products/purina-fancy-feast-classic-seafood-feast-variety-cat-food-36-pk-3-oz")</f>
        <v/>
      </c>
      <c r="B1130" s="2">
        <f>HYPERLINK("https://www.shelhealth.com/products/purina-fancy-feast-classic-seafood-feast-variety-cat-food-36-pk-3-oz", "https://www.shelhealth.com/products/purina-fancy-feast-classic-seafood-feast-variety-cat-food-36-pk-3-oz")</f>
        <v/>
      </c>
      <c r="C1130" t="inlineStr">
        <is>
          <t>Purina Fancy Feast Classic Seafood Feast Variety Cat Food, 36 pk./3 oz.</t>
        </is>
      </c>
      <c r="D1130" t="inlineStr">
        <is>
          <t>Purina Fancy Feast Seafood Classic Pate Collection Grain Free Wet Cat Food Variety Pack - (2 Packs of 12) 3 Oz. Cans</t>
        </is>
      </c>
      <c r="E1130" s="2">
        <f>HYPERLINK("https://www.amazon.com/Purina-Fancy-Feast-Seafood-Classic/dp/B0012KK45S/ref=sr_1_3?keywords=Purina+Fancy+Feast+Classic+Seafood+Feast+Variety+Cat+Food%2C+36+pk.%2F3+oz.&amp;qid=1695170287&amp;sr=8-3", "https://www.amazon.com/Purina-Fancy-Feast-Seafood-Classic/dp/B0012KK45S/ref=sr_1_3?keywords=Purina+Fancy+Feast+Classic+Seafood+Feast+Variety+Cat+Food%2C+36+pk.%2F3+oz.&amp;qid=1695170287&amp;sr=8-3")</f>
        <v/>
      </c>
      <c r="F1130" t="inlineStr">
        <is>
          <t>B0012KK45S</t>
        </is>
      </c>
      <c r="G1130">
        <f>_xludf.IMAGE("https://www.shelhealth.com/cdn/shop/products/purina-fancy-feast-classic-seafood-variety-cat-food-36-pk-3-oz-shelhealth-464.jpg?v=1663355805&amp;width=1946")</f>
        <v/>
      </c>
      <c r="H1130">
        <f>_xludf.IMAGE("https://m.media-amazon.com/images/I/711WHKa04GL._AC_UL320_.jpg")</f>
        <v/>
      </c>
      <c r="K1130" t="inlineStr">
        <is>
          <t>41.99</t>
        </is>
      </c>
      <c r="L1130" t="n">
        <v>19.9</v>
      </c>
      <c r="M1130" s="1" t="inlineStr">
        <is>
          <t>-52.61%</t>
        </is>
      </c>
      <c r="N1130" s="3" t="n">
        <v>-52.61</v>
      </c>
      <c r="O1130" t="n">
        <v>4.7</v>
      </c>
      <c r="P1130" t="n">
        <v>6094</v>
      </c>
      <c r="R1130" t="inlineStr">
        <is>
          <t>InStock</t>
        </is>
      </c>
      <c r="S1130" t="inlineStr">
        <is>
          <t>41.99</t>
        </is>
      </c>
      <c r="T1130" t="inlineStr">
        <is>
          <t>4171305844788</t>
        </is>
      </c>
    </row>
    <row r="1131" hidden="1" ht="15.75" customHeight="1">
      <c r="A1131" s="2">
        <f>HYPERLINK("https://www.shelhealth.com/products/purina-fancy-feast-gravy-lovers-poultry-beef-feast-variety-cat-food-36-pk-3-oz", "https://www.shelhealth.com/products/purina-fancy-feast-gravy-lovers-poultry-beef-feast-variety-cat-food-36-pk-3-oz")</f>
        <v/>
      </c>
      <c r="B1131" s="2">
        <f>HYPERLINK("https://www.shelhealth.com/products/purina-fancy-feast-gravy-lovers-poultry-beef-feast-variety-cat-food-36-pk-3-oz", "https://www.shelhealth.com/products/purina-fancy-feast-gravy-lovers-poultry-beef-feast-variety-cat-food-36-pk-3-oz")</f>
        <v/>
      </c>
      <c r="C1131" t="inlineStr">
        <is>
          <t>Purina Fancy Feast Gravy Lovers Poultry &amp; Beef Feast Variety Cat Food, 36 pk./3 oz.</t>
        </is>
      </c>
      <c r="D1131" t="inlineStr">
        <is>
          <t>Purina Fancy Feast Gravy Wet Cat Food, Gravy Lovers Chicken &amp; Beef in Grilled Chicken Flavor Gravy - 3 oz. Can</t>
        </is>
      </c>
      <c r="E1131" s="2">
        <f>HYPERLINK("https://www.amazon.com/Purina-Fancy-Feast-Chicken-Grilled/dp/B00HMZDHAQ/ref=sr_1_5?keywords=Purina+Fancy+Feast+Gravy+Lovers+Poultry+%26+Beef+Feast+Variety+Cat+Food%2C+36+pk.%2F3+oz.&amp;qid=1695170300&amp;sr=8-5", "https://www.amazon.com/Purina-Fancy-Feast-Chicken-Grilled/dp/B00HMZDHAQ/ref=sr_1_5?keywords=Purina+Fancy+Feast+Gravy+Lovers+Poultry+%26+Beef+Feast+Variety+Cat+Food%2C+36+pk.%2F3+oz.&amp;qid=1695170300&amp;sr=8-5")</f>
        <v/>
      </c>
      <c r="F1131" t="inlineStr">
        <is>
          <t>B00HMZDHAQ</t>
        </is>
      </c>
      <c r="G1131">
        <f>_xludf.IMAGE("https://www.shelhealth.com/cdn/shop/products/purina-fancy-feast-gravy-lovers-poultry-beef-variety-cat-food-36-pk-3-oz-shelhealth-499.jpg?v=1663355787&amp;width=1946")</f>
        <v/>
      </c>
      <c r="H1131">
        <f>_xludf.IMAGE("https://m.media-amazon.com/images/I/81-UaucTJFL._AC_UL320_.jpg")</f>
        <v/>
      </c>
      <c r="K1131" t="inlineStr">
        <is>
          <t>41.99</t>
        </is>
      </c>
      <c r="L1131" t="n">
        <v>19.89</v>
      </c>
      <c r="M1131" s="1" t="inlineStr">
        <is>
          <t>-52.63%</t>
        </is>
      </c>
      <c r="N1131" s="3" t="n">
        <v>-52.63</v>
      </c>
      <c r="O1131" t="n">
        <v>4.7</v>
      </c>
      <c r="P1131" t="n">
        <v>5436</v>
      </c>
      <c r="R1131" t="inlineStr">
        <is>
          <t>InStock</t>
        </is>
      </c>
      <c r="S1131" t="inlineStr">
        <is>
          <t>41.99</t>
        </is>
      </c>
      <c r="T1131" t="inlineStr">
        <is>
          <t>4171302404148</t>
        </is>
      </c>
    </row>
    <row r="1132" hidden="1" ht="15.75" customHeight="1">
      <c r="A1132" s="2">
        <f>HYPERLINK("https://www.shelhealth.com/products/fancy-feast-purina-classic-seafood-feast-variety-cat-food-3-oz-48-cans", "https://www.shelhealth.com/products/fancy-feast-purina-classic-seafood-feast-variety-cat-food-3-oz-48-cans")</f>
        <v/>
      </c>
      <c r="B1132" s="2">
        <f>HYPERLINK("https://www.shelhealth.com/products/fancy-feast-purina-classic-seafood-feast-variety-cat-food-3-oz-48-cans", "https://www.shelhealth.com/products/fancy-feast-purina-classic-seafood-feast-variety-cat-food-3-oz-48-cans")</f>
        <v/>
      </c>
      <c r="C1132" t="inlineStr">
        <is>
          <t>Fancy Feast Purina Classic Seafood Feast Variety Cat Food 3 oz. - 48 Cans.</t>
        </is>
      </c>
      <c r="D1132" t="inlineStr">
        <is>
          <t>Purina Fancy Feast Seafood Classic Pate Collection Grain Free Wet Cat Food Variety Pack - (30) 3 oz. Cans</t>
        </is>
      </c>
      <c r="E1132" s="2">
        <f>HYPERLINK("https://www.amazon.com/Fancy-Feast-Sea-Variety-Pack/dp/B00JT3TP1O/ref=sr_1_1?keywords=Fancy+Feast+Purina+Classic+Seafood+Feast+Variety+Cat+Food+3+oz.+-+48+Cans.&amp;qid=1695170280&amp;sr=8-1", "https://www.amazon.com/Fancy-Feast-Sea-Variety-Pack/dp/B00JT3TP1O/ref=sr_1_1?keywords=Fancy+Feast+Purina+Classic+Seafood+Feast+Variety+Cat+Food+3+oz.+-+48+Cans.&amp;qid=1695170280&amp;sr=8-1")</f>
        <v/>
      </c>
      <c r="F1132" t="inlineStr">
        <is>
          <t>B00JT3TP1O</t>
        </is>
      </c>
      <c r="G1132">
        <f>_xludf.IMAGE("https://www.shelhealth.com/cdn/shop/products/fancy-feast-purina-classic-seafood-variety-cat-food-3-oz-48-cans-shelhealth-451.jpg?v=1663343087&amp;width=1946")</f>
        <v/>
      </c>
      <c r="H1132">
        <f>_xludf.IMAGE("https://m.media-amazon.com/images/I/813Q5x8I9qL._AC_UL320_.jpg")</f>
        <v/>
      </c>
      <c r="K1132" t="inlineStr">
        <is>
          <t>54.99</t>
        </is>
      </c>
      <c r="L1132" t="n">
        <v>25.74</v>
      </c>
      <c r="M1132" s="1" t="inlineStr">
        <is>
          <t>-53.19%</t>
        </is>
      </c>
      <c r="N1132" s="3" t="n">
        <v>-53.19</v>
      </c>
      <c r="O1132" t="n">
        <v>4.7</v>
      </c>
      <c r="P1132" t="n">
        <v>80386</v>
      </c>
      <c r="R1132" t="inlineStr">
        <is>
          <t>OutOfStock</t>
        </is>
      </c>
      <c r="S1132" t="inlineStr">
        <is>
          <t>54.99</t>
        </is>
      </c>
      <c r="T1132" t="inlineStr">
        <is>
          <t>3819424710708</t>
        </is>
      </c>
    </row>
    <row r="1133" hidden="1" ht="15.75" customHeight="1">
      <c r="A1133" s="2">
        <f>HYPERLINK("https://www.shelhealth.com/products/purina-fancy-feast-grilled-poultry-beef-feast-variety-cat-food-36-pk-3-oz", "https://www.shelhealth.com/products/purina-fancy-feast-grilled-poultry-beef-feast-variety-cat-food-36-pk-3-oz")</f>
        <v/>
      </c>
      <c r="B1133" s="2">
        <f>HYPERLINK("https://www.shelhealth.com/products/purina-fancy-feast-grilled-poultry-beef-feast-variety-cat-food-36-pk-3-oz", "https://www.shelhealth.com/products/purina-fancy-feast-grilled-poultry-beef-feast-variety-cat-food-36-pk-3-oz")</f>
        <v/>
      </c>
      <c r="C1133" t="inlineStr">
        <is>
          <t>Purina Fancy Feast Grilled Poultry &amp; Beef Feast Variety Cat Food, 36 pk./3 oz.</t>
        </is>
      </c>
      <c r="D1133" t="inlineStr">
        <is>
          <t>Purina Fancy Feast Grilled Wet Cat Food Poultry and Beef Collection Wet Cat Food Variety Pack - (24) 3 Oz. Cans</t>
        </is>
      </c>
      <c r="E1133" s="2">
        <f>HYPERLINK("https://www.amazon.com/Purina-Fancy-Feast-Grilled-Collection/dp/B0010B6IFY/ref=sr_1_1?keywords=Purina+Fancy+Feast+Grilled+Poultry&amp;qid=1695170288&amp;sr=8-1", "https://www.amazon.com/Purina-Fancy-Feast-Grilled-Collection/dp/B0010B6IFY/ref=sr_1_1?keywords=Purina+Fancy+Feast+Grilled+Poultry&amp;qid=1695170288&amp;sr=8-1")</f>
        <v/>
      </c>
      <c r="F1133" t="inlineStr">
        <is>
          <t>B0010B6IFY</t>
        </is>
      </c>
      <c r="G1133">
        <f>_xludf.IMAGE("https://www.shelhealth.com/cdn/shop/products/purina-fancy-feast-grilled-poultry-beef-variety-cat-food-36-pk-3-oz-shelhealth-956.jpg?v=1663355799&amp;width=1946")</f>
        <v/>
      </c>
      <c r="H1133">
        <f>_xludf.IMAGE("https://m.media-amazon.com/images/I/81JxOnaw0pL._AC_UL320_.jpg")</f>
        <v/>
      </c>
      <c r="K1133" t="inlineStr">
        <is>
          <t>41.99</t>
        </is>
      </c>
      <c r="L1133" t="n">
        <v>19.44</v>
      </c>
      <c r="M1133" s="1" t="inlineStr">
        <is>
          <t>-53.70%</t>
        </is>
      </c>
      <c r="N1133" s="3" t="n">
        <v>-53.7</v>
      </c>
      <c r="O1133" t="n">
        <v>4.7</v>
      </c>
      <c r="P1133" t="n">
        <v>80386</v>
      </c>
      <c r="R1133" t="inlineStr">
        <is>
          <t>InStock</t>
        </is>
      </c>
      <c r="S1133" t="inlineStr">
        <is>
          <t>41.99</t>
        </is>
      </c>
      <c r="T1133" t="inlineStr">
        <is>
          <t>4171302928436</t>
        </is>
      </c>
    </row>
    <row r="1134" hidden="1" ht="15.75" customHeight="1">
      <c r="A1134" s="2">
        <f>HYPERLINK("https://www.shelhealth.com/products/burts-bees-for-dogs-oatmeal-dog-shampoo-2-x-32-oz", "https://www.shelhealth.com/products/burts-bees-for-dogs-oatmeal-dog-shampoo-2-x-32-oz")</f>
        <v/>
      </c>
      <c r="B1134" s="2">
        <f>HYPERLINK("https://www.shelhealth.com/products/burts-bees-for-dogs-oatmeal-dog-shampoo-2-x-32-oz", "https://www.shelhealth.com/products/burts-bees-for-dogs-oatmeal-dog-shampoo-2-x-32-oz")</f>
        <v/>
      </c>
      <c r="C1134" t="inlineStr">
        <is>
          <t>Burt's Bees for Dogs Oatmeal Dog Shampoo, 2 x 32 oz.</t>
        </is>
      </c>
      <c r="D1134" t="inlineStr">
        <is>
          <t>Burt's Bees for Pets Dogs Natural Oatmeal Shampoo with Colloidal Oat Flour and Honey| Oatmeal Dog Shampoo | Soothing and Cleansing Oatmeal Shampoo for Dogs | 4 Fl oz - 2 Pack</t>
        </is>
      </c>
      <c r="E1134" s="2">
        <f>HYPERLINK("https://www.amazon.com/Burts-Bees-Colloidal-Soothing-Cleansing/dp/B09NW9YD2L/ref=sr_1_3?keywords=Burt%27s+Bees+for+Dogs+Oatmeal+Dog+Shampoo%2C+2+x+32+oz.&amp;qid=1695170353&amp;sr=8-3", "https://www.amazon.com/Burts-Bees-Colloidal-Soothing-Cleansing/dp/B09NW9YD2L/ref=sr_1_3?keywords=Burt%27s+Bees+for+Dogs+Oatmeal+Dog+Shampoo%2C+2+x+32+oz.&amp;qid=1695170353&amp;sr=8-3")</f>
        <v/>
      </c>
      <c r="F1134" t="inlineStr">
        <is>
          <t>B09NW9YD2L</t>
        </is>
      </c>
      <c r="G1134">
        <f>_xludf.IMAGE("https://www.shelhealth.com/cdn/shop/products/burts-bees-for-dogs-oatmeal-dog-shampoo-2-x-32-oz-shelhealth-608.jpg?v=1673939750&amp;width=1946")</f>
        <v/>
      </c>
      <c r="H1134">
        <f>_xludf.IMAGE("https://m.media-amazon.com/images/I/71KozYGWCnL._AC_UL320_.jpg")</f>
        <v/>
      </c>
      <c r="K1134" t="inlineStr">
        <is>
          <t>25.99</t>
        </is>
      </c>
      <c r="L1134" t="n">
        <v>11.99</v>
      </c>
      <c r="M1134" s="1" t="inlineStr">
        <is>
          <t>-53.87%</t>
        </is>
      </c>
      <c r="N1134" s="3" t="n">
        <v>-53.87</v>
      </c>
      <c r="O1134" t="n">
        <v>4.4</v>
      </c>
      <c r="P1134" t="n">
        <v>9953</v>
      </c>
      <c r="R1134" t="inlineStr">
        <is>
          <t>InStock</t>
        </is>
      </c>
      <c r="S1134" t="inlineStr">
        <is>
          <t>25.99</t>
        </is>
      </c>
      <c r="T1134" t="inlineStr">
        <is>
          <t>8090464682216</t>
        </is>
      </c>
    </row>
    <row r="1135" hidden="1" ht="15.75" customHeight="1">
      <c r="A1135" s="2">
        <f>HYPERLINK("https://www.shelhealth.com/products/9-lives-gravy-classics-wet-cat-food-variety-pack-48-pk", "https://www.shelhealth.com/products/9-lives-gravy-classics-wet-cat-food-variety-pack-48-pk")</f>
        <v/>
      </c>
      <c r="B1135" s="2">
        <f>HYPERLINK("https://www.shelhealth.com/products/9-lives-gravy-classics-wet-cat-food-variety-pack-48-pk", "https://www.shelhealth.com/products/9-lives-gravy-classics-wet-cat-food-variety-pack-48-pk")</f>
        <v/>
      </c>
      <c r="C1135" t="inlineStr">
        <is>
          <t>9 Lives Gravy Classics Wet Cat Food Variety Pack, 48 pk.</t>
        </is>
      </c>
      <c r="D1135" t="inlineStr">
        <is>
          <t>9Lives Hearty Cuts Gravy Favorites Wet Cat Food Variety Pack, 5.5-Ounce Cans (Pack of 12) 4 each: Real Chicken &amp; Fish In Gravy, Real Veal In Gravy, Real Beef &amp; Chicken In Gravy</t>
        </is>
      </c>
      <c r="E1135" s="2">
        <f>HYPERLINK("https://www.amazon.com/9Lives-Hearty-Favorites-Variety-5-5-Ounce/dp/B01FLNWUOO/ref=sr_1_4?keywords=9+Lives+Gravy+Classics+Wet+Cat+Food+Variety+Pack%2C+48+pk.&amp;qid=1695170295&amp;sr=8-4", "https://www.amazon.com/9Lives-Hearty-Favorites-Variety-5-5-Ounce/dp/B01FLNWUOO/ref=sr_1_4?keywords=9+Lives+Gravy+Classics+Wet+Cat+Food+Variety+Pack%2C+48+pk.&amp;qid=1695170295&amp;sr=8-4")</f>
        <v/>
      </c>
      <c r="F1135" t="inlineStr">
        <is>
          <t>B01FLNWUOO</t>
        </is>
      </c>
      <c r="G1135">
        <f>_xludf.IMAGE("https://www.shelhealth.com/cdn/shop/files/9-lives-gravy-classics-wet-cat-food-variety-pack-48-pk-grocery-household-petpet-shelhealth-916.jpg?v=1686283874&amp;width=1946")</f>
        <v/>
      </c>
      <c r="H1135">
        <f>_xludf.IMAGE("https://m.media-amazon.com/images/I/71MtD3loH9S._AC_UL320_.jpg")</f>
        <v/>
      </c>
      <c r="K1135" t="inlineStr">
        <is>
          <t>47.99</t>
        </is>
      </c>
      <c r="L1135" t="n">
        <v>21.98</v>
      </c>
      <c r="M1135" s="1" t="inlineStr">
        <is>
          <t>-54.20%</t>
        </is>
      </c>
      <c r="N1135" s="3" t="n">
        <v>-54.2</v>
      </c>
      <c r="O1135" t="n">
        <v>4.4</v>
      </c>
      <c r="P1135" t="n">
        <v>472</v>
      </c>
      <c r="R1135" t="inlineStr">
        <is>
          <t>InStock</t>
        </is>
      </c>
      <c r="S1135" t="inlineStr">
        <is>
          <t>47.99</t>
        </is>
      </c>
      <c r="T1135" t="inlineStr">
        <is>
          <t>4664136630361</t>
        </is>
      </c>
    </row>
    <row r="1136" hidden="1" ht="15.75" customHeight="1">
      <c r="A1136" s="2">
        <f>HYPERLINK("https://www.shelhealth.com/products/purina-friskies-prime-filets-cat-food-variety-pack-48-pk-5-5-oz", "https://www.shelhealth.com/products/purina-friskies-prime-filets-cat-food-variety-pack-48-pk-5-5-oz")</f>
        <v/>
      </c>
      <c r="B1136" s="2">
        <f>HYPERLINK("https://www.shelhealth.com/products/purina-friskies-prime-filets-cat-food-variety-pack-48-pk-5-5-oz", "https://www.shelhealth.com/products/purina-friskies-prime-filets-cat-food-variety-pack-48-pk-5-5-oz")</f>
        <v/>
      </c>
      <c r="C1136" t="inlineStr">
        <is>
          <t>Purina Friskies Prime Filets Cat Food Variety Pack, 48 pk./5.5 oz.</t>
        </is>
      </c>
      <c r="D1136" t="inlineStr">
        <is>
          <t>Purina Friskies Wet Cat Food Variety Pack, Oceans of Delight Flaked &amp; Prime Filets - (40) 5.5 oz. Cans</t>
        </is>
      </c>
      <c r="E1136" s="2">
        <f>HYPERLINK("https://www.amazon.com/Purina-Friskies-Variety-Oceans-Delight/dp/B07K9CCRW2/ref=sr_1_2?keywords=Purina+Friskies+Prime+Filets+Cat+Food+Variety+Pack%2C+48+pk.%2F5.5+oz.&amp;qid=1695170282&amp;sr=8-2", "https://www.amazon.com/Purina-Friskies-Variety-Oceans-Delight/dp/B07K9CCRW2/ref=sr_1_2?keywords=Purina+Friskies+Prime+Filets+Cat+Food+Variety+Pack%2C+48+pk.%2F5.5+oz.&amp;qid=1695170282&amp;sr=8-2")</f>
        <v/>
      </c>
      <c r="F1136" t="inlineStr">
        <is>
          <t>B07K9CCRW2</t>
        </is>
      </c>
      <c r="G1136">
        <f>_xludf.IMAGE("https://www.shelhealth.com/cdn/shop/products/purina-friskies-prime-filets-cat-food-variety-pack-48-pk-5-oz-shelhealth-954.jpg?v=1663354447&amp;width=1946")</f>
        <v/>
      </c>
      <c r="H1136">
        <f>_xludf.IMAGE("https://m.media-amazon.com/images/I/81tTW8LBBNL._AC_UL320_.jpg")</f>
        <v/>
      </c>
      <c r="K1136" t="inlineStr">
        <is>
          <t>54.99</t>
        </is>
      </c>
      <c r="L1136" t="n">
        <v>25.18</v>
      </c>
      <c r="M1136" s="1" t="inlineStr">
        <is>
          <t>-54.21%</t>
        </is>
      </c>
      <c r="N1136" s="3" t="n">
        <v>-54.21</v>
      </c>
      <c r="O1136" t="n">
        <v>4.7</v>
      </c>
      <c r="P1136" t="n">
        <v>17230</v>
      </c>
      <c r="R1136" t="inlineStr">
        <is>
          <t>InStock</t>
        </is>
      </c>
      <c r="S1136" t="inlineStr">
        <is>
          <t>54.99</t>
        </is>
      </c>
      <c r="T1136" t="inlineStr">
        <is>
          <t>4167590740020</t>
        </is>
      </c>
    </row>
    <row r="1137" hidden="1" ht="15.75" customHeight="1">
      <c r="A1137" s="2">
        <f>HYPERLINK("https://www.shelhealth.com/products/nylabone-dog-treat-broth-bones-54-treats", "https://www.shelhealth.com/products/nylabone-dog-treat-broth-bones-54-treats")</f>
        <v/>
      </c>
      <c r="B1137" s="2">
        <f>HYPERLINK("https://www.shelhealth.com/products/nylabone-dog-treat-broth-bones-54-treats", "https://www.shelhealth.com/products/nylabone-dog-treat-broth-bones-54-treats")</f>
        <v/>
      </c>
      <c r="C1137" t="inlineStr">
        <is>
          <t>Nylabone Dog Treat Broth Bones. 54 Treats</t>
        </is>
      </c>
      <c r="D1137" t="inlineStr">
        <is>
          <t>Nylabone Healthy Edibles Broth Bone All Natural Dog Treats Made With Real Bone Broth Small/Regular (16 count)</t>
        </is>
      </c>
      <c r="E1137" s="2">
        <f>HYPERLINK("https://www.amazon.com/Nylabone-Healthy-Edibles-Natural-Treats/dp/B07R9GV8PK/ref=sr_1_1?keywords=Nylabone+Dog+Treat+Broth+Bones.+54+Treats&amp;qid=1695170296&amp;sr=8-1", "https://www.amazon.com/Nylabone-Healthy-Edibles-Natural-Treats/dp/B07R9GV8PK/ref=sr_1_1?keywords=Nylabone+Dog+Treat+Broth+Bones.+54+Treats&amp;qid=1695170296&amp;sr=8-1")</f>
        <v/>
      </c>
      <c r="F1137" t="inlineStr">
        <is>
          <t>B07R9GV8PK</t>
        </is>
      </c>
      <c r="G1137">
        <f>_xludf.IMAGE("https://www.shelhealth.com/cdn/shop/products/nylabone-dog-treat-broth-bones-54-treats-shelhealth-120.jpg?v=1663658073&amp;width=1946")</f>
        <v/>
      </c>
      <c r="H1137">
        <f>_xludf.IMAGE("https://m.media-amazon.com/images/I/810e9ndr-uL._AC_UL320_.jpg")</f>
        <v/>
      </c>
      <c r="K1137" t="inlineStr">
        <is>
          <t>27.99</t>
        </is>
      </c>
      <c r="L1137" t="n">
        <v>12.68</v>
      </c>
      <c r="M1137" s="1" t="inlineStr">
        <is>
          <t>-54.70%</t>
        </is>
      </c>
      <c r="N1137" s="3" t="n">
        <v>-54.7</v>
      </c>
      <c r="O1137" t="n">
        <v>4.2</v>
      </c>
      <c r="P1137" t="n">
        <v>38541</v>
      </c>
      <c r="R1137" t="inlineStr">
        <is>
          <t>OutOfStock</t>
        </is>
      </c>
      <c r="S1137" t="inlineStr">
        <is>
          <t>27.99</t>
        </is>
      </c>
      <c r="T1137" t="inlineStr">
        <is>
          <t>6083792797884</t>
        </is>
      </c>
    </row>
    <row r="1138" hidden="1" ht="15.75" customHeight="1">
      <c r="A1138" s="2">
        <f>HYPERLINK("https://www.shelhealth.com/products/purina-friskies-gravy-pleasers-cat-food-variety-pack-48-ct-5-5-oz", "https://www.shelhealth.com/products/purina-friskies-gravy-pleasers-cat-food-variety-pack-48-ct-5-5-oz")</f>
        <v/>
      </c>
      <c r="B1138" s="2">
        <f>HYPERLINK("https://www.shelhealth.com/products/purina-friskies-gravy-pleasers-cat-food-variety-pack-48-ct-5-5-oz", "https://www.shelhealth.com/products/purina-friskies-gravy-pleasers-cat-food-variety-pack-48-ct-5-5-oz")</f>
        <v/>
      </c>
      <c r="C1138" t="inlineStr">
        <is>
          <t>Purina Friskies Gravy Pleasers Cat Food Variety Pack, 48 ct./5.5 oz.</t>
        </is>
      </c>
      <c r="D1138" t="inlineStr">
        <is>
          <t>Purina Friskies Gravy Wet Cat Food Variety Pack, TurChicken Extra Gravy Chunky, Meaty Bits &amp; Shreds - (40) 5.5 oz. Cans</t>
        </is>
      </c>
      <c r="E1138" s="2">
        <f>HYPERLINK("https://www.amazon.com/Purina-Friskies-Variety-TurChicken-Chunky/dp/B07K9857YH/ref=sr_1_2?keywords=Purina+Friskies+Gravy+Pleasers+Cat+Food+Variety+Pack%2C+48+ct.%2F5.5+oz.&amp;qid=1695170289&amp;sr=8-2", "https://www.amazon.com/Purina-Friskies-Variety-TurChicken-Chunky/dp/B07K9857YH/ref=sr_1_2?keywords=Purina+Friskies+Gravy+Pleasers+Cat+Food+Variety+Pack%2C+48+ct.%2F5.5+oz.&amp;qid=1695170289&amp;sr=8-2")</f>
        <v/>
      </c>
      <c r="F1138" t="inlineStr">
        <is>
          <t>B07K9857YH</t>
        </is>
      </c>
      <c r="G1138">
        <f>_xludf.IMAGE("https://www.shelhealth.com/cdn/shop/products/purina-friskies-gravy-pleasers-cat-food-variety-pack-48-ct-5-oz-shelhealth-538.jpg?v=1675334250&amp;width=1946")</f>
        <v/>
      </c>
      <c r="H1138">
        <f>_xludf.IMAGE("https://m.media-amazon.com/images/I/91waUpUn29L._AC_UL320_.jpg")</f>
        <v/>
      </c>
      <c r="K1138" t="inlineStr">
        <is>
          <t>55.99</t>
        </is>
      </c>
      <c r="L1138" t="n">
        <v>25.18</v>
      </c>
      <c r="M1138" s="1" t="inlineStr">
        <is>
          <t>-55.03%</t>
        </is>
      </c>
      <c r="N1138" s="3" t="n">
        <v>-55.03</v>
      </c>
      <c r="O1138" t="n">
        <v>4.6</v>
      </c>
      <c r="P1138" t="n">
        <v>7973</v>
      </c>
      <c r="R1138" t="inlineStr">
        <is>
          <t>InStock</t>
        </is>
      </c>
      <c r="S1138" t="inlineStr">
        <is>
          <t>55.99</t>
        </is>
      </c>
      <c r="T1138" t="inlineStr">
        <is>
          <t>4664134959193</t>
        </is>
      </c>
    </row>
    <row r="1139" hidden="1" ht="15.75" customHeight="1">
      <c r="A1139" s="2">
        <f>HYPERLINK("https://www.shelhealth.com/products/716237186881-giovanni-cosmetics-pet-shampoo-oatmeal-coconut-16-oz", "https://www.shelhealth.com/products/716237186881-giovanni-cosmetics-pet-shampoo-oatmeal-coconut-16-oz")</f>
        <v/>
      </c>
      <c r="B1139" s="2">
        <f>HYPERLINK("https://www.shelhealth.com/products/716237186881-giovanni-cosmetics-pet-shampoo-oatmeal-coconut-16-oz", "https://www.shelhealth.com/products/716237186881-giovanni-cosmetics-pet-shampoo-oatmeal-coconut-16-oz")</f>
        <v/>
      </c>
      <c r="C1139" t="inlineStr">
        <is>
          <t>Giovanni Cosmetics Pet Shampoo Oatmeal Coconut, 16 Oz (Case of 2)</t>
        </is>
      </c>
      <c r="D1139" t="inlineStr">
        <is>
          <t>GIOVANNI Professional 2-in-1 Pet Shampoo &amp; Conditioner - for Dogs &amp; Cats, Oatmeal &amp; Coconut, Helps Neutralize Odors, Deeply Cleanses, Silkens, Controls Static - 16 oz</t>
        </is>
      </c>
      <c r="E1139" s="2">
        <f>HYPERLINK("https://www.amazon.com/GIOVANNI-Professional-Pet-Shampoo-Conditioner/dp/B092MLQG5K/ref=sr_1_2?keywords=Giovanni+Cosmetics+Pet+Shampoo+Oatmeal+Coconut%2C+16+Oz+%28Case+of+2%29&amp;qid=1695170307&amp;sr=8-2", "https://www.amazon.com/GIOVANNI-Professional-Pet-Shampoo-Conditioner/dp/B092MLQG5K/ref=sr_1_2?keywords=Giovanni+Cosmetics+Pet+Shampoo+Oatmeal+Coconut%2C+16+Oz+%28Case+of+2%29&amp;qid=1695170307&amp;sr=8-2")</f>
        <v/>
      </c>
      <c r="F1139" t="inlineStr">
        <is>
          <t>B092MLQG5K</t>
        </is>
      </c>
      <c r="G1139">
        <f>_xludf.IMAGE("https://www.shelhealth.com/cdn/shop/products/giovanni-cosmetics-pet-shampoo-oatmeal-coconut-16-oz-case-of-2-shelhealth-886.jpg?v=1677052282&amp;width=1946")</f>
        <v/>
      </c>
      <c r="H1139">
        <f>_xludf.IMAGE("https://m.media-amazon.com/images/I/713e1P9MMyS._AC_UL320_.jpg")</f>
        <v/>
      </c>
      <c r="K1139" t="inlineStr">
        <is>
          <t>26.99</t>
        </is>
      </c>
      <c r="L1139" t="n">
        <v>11.99</v>
      </c>
      <c r="M1139" s="1" t="inlineStr">
        <is>
          <t>-55.58%</t>
        </is>
      </c>
      <c r="N1139" s="3" t="n">
        <v>-55.58</v>
      </c>
      <c r="O1139" t="n">
        <v>4.8</v>
      </c>
      <c r="P1139" t="n">
        <v>38</v>
      </c>
      <c r="R1139" t="inlineStr">
        <is>
          <t>InStock</t>
        </is>
      </c>
      <c r="S1139" t="inlineStr">
        <is>
          <t>26.99</t>
        </is>
      </c>
      <c r="T1139" t="inlineStr">
        <is>
          <t>7241660203196</t>
        </is>
      </c>
    </row>
    <row r="1140" hidden="1" ht="15.75" customHeight="1">
      <c r="A1140" s="2">
        <f>HYPERLINK("https://www.shelhealth.com/products/purina-friskies-prime-filets-cat-food-variety-pack-48-pk-5-5-oz", "https://www.shelhealth.com/products/purina-friskies-prime-filets-cat-food-variety-pack-48-pk-5-5-oz")</f>
        <v/>
      </c>
      <c r="B1140" s="2">
        <f>HYPERLINK("https://www.shelhealth.com/products/purina-friskies-prime-filets-cat-food-variety-pack-48-pk-5-5-oz", "https://www.shelhealth.com/products/purina-friskies-prime-filets-cat-food-variety-pack-48-pk-5-5-oz")</f>
        <v/>
      </c>
      <c r="C1140" t="inlineStr">
        <is>
          <t>Purina Friskies Prime Filets Cat Food Variety Pack, 48 pk./5.5 oz.</t>
        </is>
      </c>
      <c r="D1140" t="inlineStr">
        <is>
          <t>Purina Friskies Gravy Wet Cat Food Variety Pack, Poultry Shreds, Meaty Bits &amp; Prime Filets - (32) 5.5 oz. Cans</t>
        </is>
      </c>
      <c r="E1140" s="2">
        <f>HYPERLINK("https://www.amazon.com/Purina-Friskies-Poultry-Adult-Variety/dp/B00283MYSI/ref=sr_1_10?keywords=Purina+Friskies+Prime+Filets+Cat+Food+Variety+Pack%2C+48+pk.%2F5.5+oz.&amp;qid=1695170282&amp;sr=8-10", "https://www.amazon.com/Purina-Friskies-Poultry-Adult-Variety/dp/B00283MYSI/ref=sr_1_10?keywords=Purina+Friskies+Prime+Filets+Cat+Food+Variety+Pack%2C+48+pk.%2F5.5+oz.&amp;qid=1695170282&amp;sr=8-10")</f>
        <v/>
      </c>
      <c r="F1140" t="inlineStr">
        <is>
          <t>B00283MYSI</t>
        </is>
      </c>
      <c r="G1140">
        <f>_xludf.IMAGE("https://www.shelhealth.com/cdn/shop/products/purina-friskies-prime-filets-cat-food-variety-pack-48-pk-5-oz-shelhealth-954.jpg?v=1663354447&amp;width=1946")</f>
        <v/>
      </c>
      <c r="H1140">
        <f>_xludf.IMAGE("https://m.media-amazon.com/images/I/81iIQO3FF2L._AC_UL320_.jpg")</f>
        <v/>
      </c>
      <c r="K1140" t="inlineStr">
        <is>
          <t>54.99</t>
        </is>
      </c>
      <c r="L1140" t="n">
        <v>23.99</v>
      </c>
      <c r="M1140" s="1" t="inlineStr">
        <is>
          <t>-56.37%</t>
        </is>
      </c>
      <c r="N1140" s="3" t="n">
        <v>-56.37</v>
      </c>
      <c r="O1140" t="n">
        <v>4.7</v>
      </c>
      <c r="P1140" t="n">
        <v>31922</v>
      </c>
      <c r="R1140" t="inlineStr">
        <is>
          <t>InStock</t>
        </is>
      </c>
      <c r="S1140" t="inlineStr">
        <is>
          <t>54.99</t>
        </is>
      </c>
      <c r="T1140" t="inlineStr">
        <is>
          <t>4167590740020</t>
        </is>
      </c>
    </row>
    <row r="1141" hidden="1" ht="15.75" customHeight="1">
      <c r="A1141" s="2">
        <f>HYPERLINK("https://www.shelhealth.com/products/milos-kitchen-chicken-meatballs-dog-treats-30-oz", "https://www.shelhealth.com/products/milos-kitchen-chicken-meatballs-dog-treats-30-oz")</f>
        <v/>
      </c>
      <c r="B1141" s="2">
        <f>HYPERLINK("https://www.shelhealth.com/products/milos-kitchen-chicken-meatballs-dog-treats-30-oz", "https://www.shelhealth.com/products/milos-kitchen-chicken-meatballs-dog-treats-30-oz")</f>
        <v/>
      </c>
      <c r="C1141" t="inlineStr">
        <is>
          <t>Milo's Kitchen Chicken Meatballs Dog Treats, 30 oz.</t>
        </is>
      </c>
      <c r="D1141" t="inlineStr">
        <is>
          <t>Milo's Kitchen Dog Treats, Chicken Meatballs, 18 Ounce</t>
        </is>
      </c>
      <c r="E1141" s="2">
        <f>HYPERLINK("https://www.amazon.com/Milos-Kitchen-Chicken-Meatballs-18-Ounce/dp/B00CV9ICIA/ref=sr_1_6?keywords=Milos+Kitchen+Chicken+Meatballs+Dog+Treats%2C+30+oz.&amp;qid=1695170280&amp;sr=8-6", "https://www.amazon.com/Milos-Kitchen-Chicken-Meatballs-18-Ounce/dp/B00CV9ICIA/ref=sr_1_6?keywords=Milos+Kitchen+Chicken+Meatballs+Dog+Treats%2C+30+oz.&amp;qid=1695170280&amp;sr=8-6")</f>
        <v/>
      </c>
      <c r="F1141" t="inlineStr">
        <is>
          <t>B00CV9ICIA</t>
        </is>
      </c>
      <c r="G1141">
        <f>_xludf.IMAGE("https://www.shelhealth.com/cdn/shop/products/milos-kitchen-chicken-meatballs-dog-treats-30-oz-shelhealth-925.jpg?v=1663355045&amp;width=1946")</f>
        <v/>
      </c>
      <c r="H1141">
        <f>_xludf.IMAGE("https://m.media-amazon.com/images/I/81lbjhqUfpL._AC_UL320_.jpg")</f>
        <v/>
      </c>
      <c r="K1141" t="inlineStr">
        <is>
          <t>29.99</t>
        </is>
      </c>
      <c r="L1141" t="n">
        <v>12.99</v>
      </c>
      <c r="M1141" s="1" t="inlineStr">
        <is>
          <t>-56.69%</t>
        </is>
      </c>
      <c r="N1141" s="3" t="n">
        <v>-56.69</v>
      </c>
      <c r="O1141" t="n">
        <v>4.7</v>
      </c>
      <c r="P1141" t="n">
        <v>14834</v>
      </c>
      <c r="R1141" t="inlineStr">
        <is>
          <t>OutOfStock</t>
        </is>
      </c>
      <c r="S1141" t="inlineStr">
        <is>
          <t>29.99</t>
        </is>
      </c>
      <c r="T1141" t="inlineStr">
        <is>
          <t>4169635758132</t>
        </is>
      </c>
    </row>
    <row r="1142" hidden="1" ht="15.75" customHeight="1">
      <c r="A1142" s="2">
        <f>HYPERLINK("https://www.shelhealth.com/products/purina-friskies-gravy-pleasers-cat-food-variety-pack-48-ct-5-5-oz", "https://www.shelhealth.com/products/purina-friskies-gravy-pleasers-cat-food-variety-pack-48-ct-5-5-oz")</f>
        <v/>
      </c>
      <c r="B1142" s="2">
        <f>HYPERLINK("https://www.shelhealth.com/products/purina-friskies-gravy-pleasers-cat-food-variety-pack-48-ct-5-5-oz", "https://www.shelhealth.com/products/purina-friskies-gravy-pleasers-cat-food-variety-pack-48-ct-5-5-oz")</f>
        <v/>
      </c>
      <c r="C1142" t="inlineStr">
        <is>
          <t>Purina Friskies Gravy Pleasers Cat Food Variety Pack, 48 ct./5.5 oz.</t>
        </is>
      </c>
      <c r="D1142" t="inlineStr">
        <is>
          <t>Purina Friskies Gravy Wet Cat Food Variety Pack, Poultry Shreds, Meaty Bits &amp; Prime Filets - (32) 5.5 oz. Cans</t>
        </is>
      </c>
      <c r="E1142" s="2">
        <f>HYPERLINK("https://www.amazon.com/Purina-Friskies-Poultry-Adult-Variety/dp/B00283MYSI/ref=sr_1_8?keywords=Purina+Friskies+Gravy+Pleasers+Cat+Food+Variety+Pack%2C+48+ct.%2F5.5+oz.&amp;qid=1695170289&amp;sr=8-8", "https://www.amazon.com/Purina-Friskies-Poultry-Adult-Variety/dp/B00283MYSI/ref=sr_1_8?keywords=Purina+Friskies+Gravy+Pleasers+Cat+Food+Variety+Pack%2C+48+ct.%2F5.5+oz.&amp;qid=1695170289&amp;sr=8-8")</f>
        <v/>
      </c>
      <c r="F1142" t="inlineStr">
        <is>
          <t>B00283MYSI</t>
        </is>
      </c>
      <c r="G1142">
        <f>_xludf.IMAGE("https://www.shelhealth.com/cdn/shop/products/purina-friskies-gravy-pleasers-cat-food-variety-pack-48-ct-5-oz-shelhealth-538.jpg?v=1675334250&amp;width=1946")</f>
        <v/>
      </c>
      <c r="H1142">
        <f>_xludf.IMAGE("https://m.media-amazon.com/images/I/81iIQO3FF2L._AC_UL320_.jpg")</f>
        <v/>
      </c>
      <c r="K1142" t="inlineStr">
        <is>
          <t>55.99</t>
        </is>
      </c>
      <c r="L1142" t="n">
        <v>23.99</v>
      </c>
      <c r="M1142" s="1" t="inlineStr">
        <is>
          <t>-57.15%</t>
        </is>
      </c>
      <c r="N1142" s="3" t="n">
        <v>-57.15</v>
      </c>
      <c r="O1142" t="n">
        <v>4.7</v>
      </c>
      <c r="P1142" t="n">
        <v>31922</v>
      </c>
      <c r="R1142" t="inlineStr">
        <is>
          <t>InStock</t>
        </is>
      </c>
      <c r="S1142" t="inlineStr">
        <is>
          <t>55.99</t>
        </is>
      </c>
      <c r="T1142" t="inlineStr">
        <is>
          <t>4664134959193</t>
        </is>
      </c>
    </row>
    <row r="1143" hidden="1" ht="15.75" customHeight="1">
      <c r="A1143" s="2">
        <f>HYPERLINK("https://www.shelhealth.com/products/purina-friskies-prime-filets-cat-food-variety-pack-48-pk-5-5-oz", "https://www.shelhealth.com/products/purina-friskies-prime-filets-cat-food-variety-pack-48-pk-5-5-oz")</f>
        <v/>
      </c>
      <c r="B1143" s="2">
        <f>HYPERLINK("https://www.shelhealth.com/products/purina-friskies-prime-filets-cat-food-variety-pack-48-pk-5-5-oz", "https://www.shelhealth.com/products/purina-friskies-prime-filets-cat-food-variety-pack-48-pk-5-5-oz")</f>
        <v/>
      </c>
      <c r="C1143" t="inlineStr">
        <is>
          <t>Purina Friskies Prime Filets Cat Food Variety Pack, 48 pk./5.5 oz.</t>
        </is>
      </c>
      <c r="D1143" t="inlineStr">
        <is>
          <t>Purina Friskies Wet Cat Food Variety Pack, Fish-A-Licious Shreds, Prime Filets &amp; Tasty Treasures - (32) 5.5 Oz. Cans</t>
        </is>
      </c>
      <c r="E1143" s="2">
        <f>HYPERLINK("https://www.amazon.com/Purina-Friskies-Fish-Licious-Variety/dp/B00JT3U5GI/ref=sr_1_9?keywords=Purina+Friskies+Prime+Filets+Cat+Food+Variety+Pack%2C+48+pk.%2F5.5+oz.&amp;qid=1695170282&amp;sr=8-9", "https://www.amazon.com/Purina-Friskies-Fish-Licious-Variety/dp/B00JT3U5GI/ref=sr_1_9?keywords=Purina+Friskies+Prime+Filets+Cat+Food+Variety+Pack%2C+48+pk.%2F5.5+oz.&amp;qid=1695170282&amp;sr=8-9")</f>
        <v/>
      </c>
      <c r="F1143" t="inlineStr">
        <is>
          <t>B00JT3U5GI</t>
        </is>
      </c>
      <c r="G1143">
        <f>_xludf.IMAGE("https://www.shelhealth.com/cdn/shop/products/purina-friskies-prime-filets-cat-food-variety-pack-48-pk-5-oz-shelhealth-954.jpg?v=1663354447&amp;width=1946")</f>
        <v/>
      </c>
      <c r="H1143">
        <f>_xludf.IMAGE("https://m.media-amazon.com/images/I/81Ls1bUiiKL._AC_UL320_.jpg")</f>
        <v/>
      </c>
      <c r="K1143" t="inlineStr">
        <is>
          <t>54.99</t>
        </is>
      </c>
      <c r="L1143" t="n">
        <v>23.36</v>
      </c>
      <c r="M1143" s="1" t="inlineStr">
        <is>
          <t>-57.52%</t>
        </is>
      </c>
      <c r="N1143" s="3" t="n">
        <v>-57.52</v>
      </c>
      <c r="O1143" t="n">
        <v>4.7</v>
      </c>
      <c r="P1143" t="n">
        <v>11992</v>
      </c>
      <c r="R1143" t="inlineStr">
        <is>
          <t>InStock</t>
        </is>
      </c>
      <c r="S1143" t="inlineStr">
        <is>
          <t>54.99</t>
        </is>
      </c>
      <c r="T1143" t="inlineStr">
        <is>
          <t>4167590740020</t>
        </is>
      </c>
    </row>
    <row r="1144" hidden="1" ht="15.75" customHeight="1">
      <c r="A1144" s="2">
        <f>HYPERLINK("https://www.shelhealth.com/products/purina-fancy-feast-classic-seafood-variety-pack-48-ct", "https://www.shelhealth.com/products/purina-fancy-feast-classic-seafood-variety-pack-48-ct")</f>
        <v/>
      </c>
      <c r="B1144" s="2">
        <f>HYPERLINK("https://www.shelhealth.com/products/purina-fancy-feast-classic-seafood-variety-pack-48-ct", "https://www.shelhealth.com/products/purina-fancy-feast-classic-seafood-variety-pack-48-ct")</f>
        <v/>
      </c>
      <c r="C1144" t="inlineStr">
        <is>
          <t>Purina Fancy Feast Classic Seafood Variety Pack, 48 ct.</t>
        </is>
      </c>
      <c r="D1144" t="inlineStr">
        <is>
          <t>Purina Fancy Feast Seafood Classic Pate Collection Grain Free Wet Cat Food Variety Pack - (30) 3 oz. Cans</t>
        </is>
      </c>
      <c r="E1144" s="2">
        <f>HYPERLINK("https://www.amazon.com/Fancy-Feast-Sea-Variety-Pack/dp/B00JT3TP1O/ref=sr_1_1?keywords=Purina+Fancy+Feast+Classic+Seafood+Variety+Pack%2C+48+ct.&amp;qid=1695170303&amp;sr=8-1", "https://www.amazon.com/Fancy-Feast-Sea-Variety-Pack/dp/B00JT3TP1O/ref=sr_1_1?keywords=Purina+Fancy+Feast+Classic+Seafood+Variety+Pack%2C+48+ct.&amp;qid=1695170303&amp;sr=8-1")</f>
        <v/>
      </c>
      <c r="F1144" t="inlineStr">
        <is>
          <t>B00JT3TP1O</t>
        </is>
      </c>
      <c r="G1144">
        <f>_xludf.IMAGE("https://www.shelhealth.com/cdn/shop/files/purina-fancy-feast-classic-seafood-variety-pack-48-ct-grocery-household-petpet-shelhealth-796.jpg?v=1686283876&amp;width=1946")</f>
        <v/>
      </c>
      <c r="H1144">
        <f>_xludf.IMAGE("https://m.media-amazon.com/images/I/813Q5x8I9qL._AC_UL320_.jpg")</f>
        <v/>
      </c>
      <c r="K1144" t="inlineStr">
        <is>
          <t>60.99</t>
        </is>
      </c>
      <c r="L1144" t="n">
        <v>25.74</v>
      </c>
      <c r="M1144" s="1" t="inlineStr">
        <is>
          <t>-57.80%</t>
        </is>
      </c>
      <c r="N1144" s="3" t="n">
        <v>-57.8</v>
      </c>
      <c r="O1144" t="n">
        <v>4.7</v>
      </c>
      <c r="P1144" t="n">
        <v>80386</v>
      </c>
      <c r="R1144" t="inlineStr">
        <is>
          <t>InStock</t>
        </is>
      </c>
      <c r="S1144" t="inlineStr">
        <is>
          <t>60.99</t>
        </is>
      </c>
      <c r="T1144" t="inlineStr">
        <is>
          <t>4664135712857</t>
        </is>
      </c>
    </row>
    <row r="1145" hidden="1" ht="15.75" customHeight="1">
      <c r="A1145" s="2">
        <f>HYPERLINK("https://www.shelhealth.com/products/fancy-feast-purina-classic-seafood-feast-variety-cat-food-3-oz-48-cans", "https://www.shelhealth.com/products/fancy-feast-purina-classic-seafood-feast-variety-cat-food-3-oz-48-cans")</f>
        <v/>
      </c>
      <c r="B1145" s="2">
        <f>HYPERLINK("https://www.shelhealth.com/products/fancy-feast-purina-classic-seafood-feast-variety-cat-food-3-oz-48-cans", "https://www.shelhealth.com/products/fancy-feast-purina-classic-seafood-feast-variety-cat-food-3-oz-48-cans")</f>
        <v/>
      </c>
      <c r="C1145" t="inlineStr">
        <is>
          <t>Fancy Feast Purina Classic Seafood Feast Variety Cat Food 3 oz. - 48 Cans.</t>
        </is>
      </c>
      <c r="D1145" t="inlineStr">
        <is>
          <t>Fancy Feast Poultry and Beef Feast Classic Pate Collection Grain Free Wet Cat Food Variety Pack - (30) 3 oz. Cans</t>
        </is>
      </c>
      <c r="E1145" s="2">
        <f>HYPERLINK("https://www.amazon.com/Purina-Fancy-Feast-Variety-Collection/dp/B01ALT2IRM/ref=sr_1_4?keywords=Fancy+Feast+Purina+Classic+Seafood+Feast+Variety+Cat+Food+3+oz.+-+48+Cans.&amp;qid=1695170280&amp;sr=8-4", "https://www.amazon.com/Purina-Fancy-Feast-Variety-Collection/dp/B01ALT2IRM/ref=sr_1_4?keywords=Fancy+Feast+Purina+Classic+Seafood+Feast+Variety+Cat+Food+3+oz.+-+48+Cans.&amp;qid=1695170280&amp;sr=8-4")</f>
        <v/>
      </c>
      <c r="F1145" t="inlineStr">
        <is>
          <t>B01ALT2IRM</t>
        </is>
      </c>
      <c r="G1145">
        <f>_xludf.IMAGE("https://www.shelhealth.com/cdn/shop/products/fancy-feast-purina-classic-seafood-variety-cat-food-3-oz-48-cans-shelhealth-451.jpg?v=1663343087&amp;width=1946")</f>
        <v/>
      </c>
      <c r="H1145">
        <f>_xludf.IMAGE("https://m.media-amazon.com/images/I/81sGVUT6RSL._AC_UL320_.jpg")</f>
        <v/>
      </c>
      <c r="K1145" t="inlineStr">
        <is>
          <t>54.99</t>
        </is>
      </c>
      <c r="L1145" t="n">
        <v>23.2</v>
      </c>
      <c r="M1145" s="1" t="inlineStr">
        <is>
          <t>-57.81%</t>
        </is>
      </c>
      <c r="N1145" s="3" t="n">
        <v>-57.81</v>
      </c>
      <c r="O1145" t="n">
        <v>4.7</v>
      </c>
      <c r="P1145" t="n">
        <v>4368</v>
      </c>
      <c r="R1145" t="inlineStr">
        <is>
          <t>OutOfStock</t>
        </is>
      </c>
      <c r="S1145" t="inlineStr">
        <is>
          <t>54.99</t>
        </is>
      </c>
      <c r="T1145" t="inlineStr">
        <is>
          <t>3819424710708</t>
        </is>
      </c>
    </row>
    <row r="1146" hidden="1" ht="15.75" customHeight="1">
      <c r="A1146" s="2">
        <f>HYPERLINK("https://www.shelhealth.com/products/purina-friskies-gravy-pleasers-cat-food-variety-pack-48-ct-5-5-oz", "https://www.shelhealth.com/products/purina-friskies-gravy-pleasers-cat-food-variety-pack-48-ct-5-5-oz")</f>
        <v/>
      </c>
      <c r="B1146" s="2">
        <f>HYPERLINK("https://www.shelhealth.com/products/purina-friskies-gravy-pleasers-cat-food-variety-pack-48-ct-5-5-oz", "https://www.shelhealth.com/products/purina-friskies-gravy-pleasers-cat-food-variety-pack-48-ct-5-5-oz")</f>
        <v/>
      </c>
      <c r="C1146" t="inlineStr">
        <is>
          <t>Purina Friskies Gravy Pleasers Cat Food Variety Pack, 48 ct./5.5 oz.</t>
        </is>
      </c>
      <c r="D1146" t="inlineStr">
        <is>
          <t>Purina Friskies Gravy Wet Cat Food Variety Pack, Savory Shreds - (32) 5.5 oz. Cans</t>
        </is>
      </c>
      <c r="E1146" s="2">
        <f>HYPERLINK("https://www.amazon.com/Purina-Friskies-Savory-Shreds-Variety/dp/B01H015JKM/ref=sr_1_3?keywords=Purina+Friskies+Gravy+Pleasers+Cat+Food+Variety+Pack%2C+48+ct.%2F5.5+oz.&amp;qid=1695170289&amp;sr=8-3", "https://www.amazon.com/Purina-Friskies-Savory-Shreds-Variety/dp/B01H015JKM/ref=sr_1_3?keywords=Purina+Friskies+Gravy+Pleasers+Cat+Food+Variety+Pack%2C+48+ct.%2F5.5+oz.&amp;qid=1695170289&amp;sr=8-3")</f>
        <v/>
      </c>
      <c r="F1146" t="inlineStr">
        <is>
          <t>B01H015JKM</t>
        </is>
      </c>
      <c r="G1146">
        <f>_xludf.IMAGE("https://www.shelhealth.com/cdn/shop/products/purina-friskies-gravy-pleasers-cat-food-variety-pack-48-ct-5-oz-shelhealth-538.jpg?v=1675334250&amp;width=1946")</f>
        <v/>
      </c>
      <c r="H1146">
        <f>_xludf.IMAGE("https://m.media-amazon.com/images/I/81LQeaiXirL._AC_UL320_.jpg")</f>
        <v/>
      </c>
      <c r="K1146" t="inlineStr">
        <is>
          <t>55.99</t>
        </is>
      </c>
      <c r="L1146" t="n">
        <v>23.36</v>
      </c>
      <c r="M1146" s="1" t="inlineStr">
        <is>
          <t>-58.28%</t>
        </is>
      </c>
      <c r="N1146" s="3" t="n">
        <v>-58.28</v>
      </c>
      <c r="O1146" t="n">
        <v>4.7</v>
      </c>
      <c r="P1146" t="n">
        <v>6915</v>
      </c>
      <c r="R1146" t="inlineStr">
        <is>
          <t>InStock</t>
        </is>
      </c>
      <c r="S1146" t="inlineStr">
        <is>
          <t>55.99</t>
        </is>
      </c>
      <c r="T1146" t="inlineStr">
        <is>
          <t>4664134959193</t>
        </is>
      </c>
    </row>
    <row r="1147" hidden="1" ht="15.75" customHeight="1">
      <c r="A1147" s="2">
        <f>HYPERLINK("https://www.shelhealth.com/products/716237186881-giovanni-cosmetics-pet-shampoo-oatmeal-coconut-16-oz", "https://www.shelhealth.com/products/716237186881-giovanni-cosmetics-pet-shampoo-oatmeal-coconut-16-oz")</f>
        <v/>
      </c>
      <c r="B1147" s="2">
        <f>HYPERLINK("https://www.shelhealth.com/products/716237186881-giovanni-cosmetics-pet-shampoo-oatmeal-coconut-16-oz", "https://www.shelhealth.com/products/716237186881-giovanni-cosmetics-pet-shampoo-oatmeal-coconut-16-oz")</f>
        <v/>
      </c>
      <c r="C1147" t="inlineStr">
        <is>
          <t>Giovanni Cosmetics Pet Shampoo Oatmeal Coconut, 16 Oz (Case of 2)</t>
        </is>
      </c>
      <c r="D1147" t="inlineStr">
        <is>
          <t>GIOVANNI Professional Pet Shampoo - Oatmeal &amp; Coconut, Aloe Vera, for All Dog Fur Types, Deeply Cleanses, Silkens, Helps Neutralize Odors, Controls Static - 16 oz</t>
        </is>
      </c>
      <c r="E1147" s="2">
        <f>HYPERLINK("https://www.amazon.com/GIOVANNI-Professional-Pet-Shampoo-oz/dp/B092MN7WVD/ref=sr_1_1?keywords=Giovanni+Cosmetics+Pet+Shampoo+Oatmeal+Coconut%2C+16+Oz+%28Case+of+2%29&amp;qid=1695170307&amp;sr=8-1", "https://www.amazon.com/GIOVANNI-Professional-Pet-Shampoo-oz/dp/B092MN7WVD/ref=sr_1_1?keywords=Giovanni+Cosmetics+Pet+Shampoo+Oatmeal+Coconut%2C+16+Oz+%28Case+of+2%29&amp;qid=1695170307&amp;sr=8-1")</f>
        <v/>
      </c>
      <c r="F1147" t="inlineStr">
        <is>
          <t>B092MN7WVD</t>
        </is>
      </c>
      <c r="G1147">
        <f>_xludf.IMAGE("https://www.shelhealth.com/cdn/shop/products/giovanni-cosmetics-pet-shampoo-oatmeal-coconut-16-oz-case-of-2-shelhealth-886.jpg?v=1677052282&amp;width=1946")</f>
        <v/>
      </c>
      <c r="H1147">
        <f>_xludf.IMAGE("https://m.media-amazon.com/images/I/715K4t9zdTS._AC_UL320_.jpg")</f>
        <v/>
      </c>
      <c r="K1147" t="inlineStr">
        <is>
          <t>26.99</t>
        </is>
      </c>
      <c r="L1147" t="n">
        <v>10.99</v>
      </c>
      <c r="M1147" s="1" t="inlineStr">
        <is>
          <t>-59.28%</t>
        </is>
      </c>
      <c r="N1147" s="3" t="n">
        <v>-59.28</v>
      </c>
      <c r="O1147" t="n">
        <v>4.7</v>
      </c>
      <c r="P1147" t="n">
        <v>15</v>
      </c>
      <c r="R1147" t="inlineStr">
        <is>
          <t>InStock</t>
        </is>
      </c>
      <c r="S1147" t="inlineStr">
        <is>
          <t>26.99</t>
        </is>
      </c>
      <c r="T1147" t="inlineStr">
        <is>
          <t>7241660203196</t>
        </is>
      </c>
    </row>
    <row r="1148" hidden="1" ht="15.75" customHeight="1">
      <c r="A1148" s="2">
        <f>HYPERLINK("https://www.shelhealth.com/products/blue-buffalo-health-bars-natural-crunchy-dog-treats-biscuits-bacon-egg-cheese-5-lbs", "https://www.shelhealth.com/products/blue-buffalo-health-bars-natural-crunchy-dog-treats-biscuits-bacon-egg-cheese-5-lbs")</f>
        <v/>
      </c>
      <c r="B1148" s="2">
        <f>HYPERLINK("https://www.shelhealth.com/products/blue-buffalo-health-bars-natural-crunchy-dog-treats-biscuits-bacon-egg-cheese-5-lbs", "https://www.shelhealth.com/products/blue-buffalo-health-bars-natural-crunchy-dog-treats-biscuits-bacon-egg-cheese-5-lbs")</f>
        <v/>
      </c>
      <c r="C1148" t="inlineStr">
        <is>
          <t>Blue Buffalo Health Bars Natural Crunchy Dog Treats Biscuits, Bacon, Egg &amp; Cheese, 5 lbs.</t>
        </is>
      </c>
      <c r="D1148" t="inlineStr">
        <is>
          <t>Blue Buffalo Health Bars Natural Crunchy Dog Treats Biscuits, Bacon, Egg &amp; Cheese 56-oz Box</t>
        </is>
      </c>
      <c r="E1148" s="2">
        <f>HYPERLINK("https://www.amazon.com/Blue-Buffalo-Natural-Crunchy-Biscuits/dp/B08XY8RGNJ/ref=sr_1_1?keywords=Blue+Buffalo+Health+Bars+Natural+Crunchy+Dog+Treats+Biscuits%2C+Bacon%2C+Egg&amp;qid=1695170278&amp;sr=8-1", "https://www.amazon.com/Blue-Buffalo-Natural-Crunchy-Biscuits/dp/B08XY8RGNJ/ref=sr_1_1?keywords=Blue+Buffalo+Health+Bars+Natural+Crunchy+Dog+Treats+Biscuits%2C+Bacon%2C+Egg&amp;qid=1695170278&amp;sr=8-1")</f>
        <v/>
      </c>
      <c r="F1148" t="inlineStr">
        <is>
          <t>B08XY8RGNJ</t>
        </is>
      </c>
      <c r="G1148">
        <f>_xludf.IMAGE("https://www.shelhealth.com/cdn/shop/files/blue-buffalo-health-bars-natural-crunchy-dog-treats-biscuits-bacon-egg-cheese-5-lbs-grocery-household-petpet-shelhealth-665.jpg?v=1686283643&amp;width=1946")</f>
        <v/>
      </c>
      <c r="H1148">
        <f>_xludf.IMAGE("https://m.media-amazon.com/images/I/81LX2YUWqDL._AC_UL320_.jpg")</f>
        <v/>
      </c>
      <c r="K1148" t="inlineStr">
        <is>
          <t>36.99</t>
        </is>
      </c>
      <c r="L1148" t="n">
        <v>14.98</v>
      </c>
      <c r="M1148" s="1" t="inlineStr">
        <is>
          <t>-59.50%</t>
        </is>
      </c>
      <c r="N1148" s="3" t="n">
        <v>-59.5</v>
      </c>
      <c r="O1148" t="n">
        <v>4.7</v>
      </c>
      <c r="P1148" t="n">
        <v>29891</v>
      </c>
      <c r="R1148" t="inlineStr">
        <is>
          <t>InStock</t>
        </is>
      </c>
      <c r="S1148" t="inlineStr">
        <is>
          <t>36.99</t>
        </is>
      </c>
      <c r="T1148" t="inlineStr">
        <is>
          <t>4167580549172</t>
        </is>
      </c>
    </row>
    <row r="1149" hidden="1" ht="15.75" customHeight="1">
      <c r="A1149" s="2">
        <f>HYPERLINK("https://www.shelhealth.com/products/fancy-feast-purina-classic-seafood-feast-variety-cat-food-3-oz-48-cans", "https://www.shelhealth.com/products/fancy-feast-purina-classic-seafood-feast-variety-cat-food-3-oz-48-cans")</f>
        <v/>
      </c>
      <c r="B1149" s="2">
        <f>HYPERLINK("https://www.shelhealth.com/products/fancy-feast-purina-classic-seafood-feast-variety-cat-food-3-oz-48-cans", "https://www.shelhealth.com/products/fancy-feast-purina-classic-seafood-feast-variety-cat-food-3-oz-48-cans")</f>
        <v/>
      </c>
      <c r="C1149" t="inlineStr">
        <is>
          <t>Fancy Feast Purina Classic Seafood Feast Variety Cat Food 3 oz. - 48 Cans.</t>
        </is>
      </c>
      <c r="D1149" t="inlineStr">
        <is>
          <t>Purina Fancy Feast Classic Grain Free Wet Cat Food Pate - (24) 3 oz. Cans</t>
        </is>
      </c>
      <c r="E1149" s="2">
        <f>HYPERLINK("https://www.amazon.com/Purina-Fancy-Feast-Classic-Seafood/dp/B0012KK4AI/ref=sr_1_10?keywords=Fancy+Feast+Purina+Classic+Seafood+Feast+Variety+Cat+Food+3+oz.+-+48+Cans.&amp;qid=1695170280&amp;sr=8-10", "https://www.amazon.com/Purina-Fancy-Feast-Classic-Seafood/dp/B0012KK4AI/ref=sr_1_10?keywords=Fancy+Feast+Purina+Classic+Seafood+Feast+Variety+Cat+Food+3+oz.+-+48+Cans.&amp;qid=1695170280&amp;sr=8-10")</f>
        <v/>
      </c>
      <c r="F1149" t="inlineStr">
        <is>
          <t>B0012KK4AI</t>
        </is>
      </c>
      <c r="G1149">
        <f>_xludf.IMAGE("https://www.shelhealth.com/cdn/shop/products/fancy-feast-purina-classic-seafood-variety-cat-food-3-oz-48-cans-shelhealth-451.jpg?v=1663343087&amp;width=1946")</f>
        <v/>
      </c>
      <c r="H1149">
        <f>_xludf.IMAGE("https://m.media-amazon.com/images/I/81x11wMydWL._AC_UL320_.jpg")</f>
        <v/>
      </c>
      <c r="K1149" t="inlineStr">
        <is>
          <t>54.99</t>
        </is>
      </c>
      <c r="L1149" t="n">
        <v>21.12</v>
      </c>
      <c r="M1149" s="1" t="inlineStr">
        <is>
          <t>-61.59%</t>
        </is>
      </c>
      <c r="N1149" s="3" t="n">
        <v>-61.59</v>
      </c>
      <c r="O1149" t="n">
        <v>4.7</v>
      </c>
      <c r="P1149" t="n">
        <v>3175</v>
      </c>
      <c r="R1149" t="inlineStr">
        <is>
          <t>OutOfStock</t>
        </is>
      </c>
      <c r="S1149" t="inlineStr">
        <is>
          <t>54.99</t>
        </is>
      </c>
      <c r="T1149" t="inlineStr">
        <is>
          <t>3819424710708</t>
        </is>
      </c>
    </row>
    <row r="1150" hidden="1" ht="15.75" customHeight="1">
      <c r="A1150" s="2">
        <f>HYPERLINK("https://www.shelhealth.com/products/fancy-feast-purina-classic-seafood-feast-variety-cat-food-3-oz-48-cans", "https://www.shelhealth.com/products/fancy-feast-purina-classic-seafood-feast-variety-cat-food-3-oz-48-cans")</f>
        <v/>
      </c>
      <c r="B1150" s="2">
        <f>HYPERLINK("https://www.shelhealth.com/products/fancy-feast-purina-classic-seafood-feast-variety-cat-food-3-oz-48-cans", "https://www.shelhealth.com/products/fancy-feast-purina-classic-seafood-feast-variety-cat-food-3-oz-48-cans")</f>
        <v/>
      </c>
      <c r="C1150" t="inlineStr">
        <is>
          <t>Fancy Feast Purina Classic Seafood Feast Variety Cat Food 3 oz. - 48 Cans.</t>
        </is>
      </c>
      <c r="D1150" t="inlineStr">
        <is>
          <t>Purina Fancy Feast Gravy Lovers Poultry and Beef Gourmet Wet Cat Food Variety Pack - (24) 3 oz. Cans</t>
        </is>
      </c>
      <c r="E1150" s="2">
        <f>HYPERLINK("https://www.amazon.com/Purina-Fancy-Feast-Poultry-Collection/dp/B005OB3E30/ref=sr_1_5?keywords=Fancy+Feast+Purina+Classic+Seafood+Feast+Variety+Cat+Food+3+oz.+-+48+Cans.&amp;qid=1695170280&amp;sr=8-5", "https://www.amazon.com/Purina-Fancy-Feast-Poultry-Collection/dp/B005OB3E30/ref=sr_1_5?keywords=Fancy+Feast+Purina+Classic+Seafood+Feast+Variety+Cat+Food+3+oz.+-+48+Cans.&amp;qid=1695170280&amp;sr=8-5")</f>
        <v/>
      </c>
      <c r="F1150" t="inlineStr">
        <is>
          <t>B005OB3E30</t>
        </is>
      </c>
      <c r="G1150">
        <f>_xludf.IMAGE("https://www.shelhealth.com/cdn/shop/products/fancy-feast-purina-classic-seafood-variety-cat-food-3-oz-48-cans-shelhealth-451.jpg?v=1663343087&amp;width=1946")</f>
        <v/>
      </c>
      <c r="H1150">
        <f>_xludf.IMAGE("https://m.media-amazon.com/images/I/81fTqbIlN0L._AC_UL320_.jpg")</f>
        <v/>
      </c>
      <c r="K1150" t="inlineStr">
        <is>
          <t>54.99</t>
        </is>
      </c>
      <c r="L1150" t="n">
        <v>20.99</v>
      </c>
      <c r="M1150" s="1" t="inlineStr">
        <is>
          <t>-61.83%</t>
        </is>
      </c>
      <c r="N1150" s="3" t="n">
        <v>-61.83</v>
      </c>
      <c r="O1150" t="n">
        <v>4.7</v>
      </c>
      <c r="P1150" t="n">
        <v>35681</v>
      </c>
      <c r="R1150" t="inlineStr">
        <is>
          <t>OutOfStock</t>
        </is>
      </c>
      <c r="S1150" t="inlineStr">
        <is>
          <t>54.99</t>
        </is>
      </c>
      <c r="T1150" t="inlineStr">
        <is>
          <t>3819424710708</t>
        </is>
      </c>
    </row>
    <row r="1151" hidden="1" ht="15.75" customHeight="1">
      <c r="A1151" s="2">
        <f>HYPERLINK("https://www.shelhealth.com/products/blue-buffalo-health-bars-natural-crunchy-dog-treats-biscuits-bacon-egg-cheese-5-lbs", "https://www.shelhealth.com/products/blue-buffalo-health-bars-natural-crunchy-dog-treats-biscuits-bacon-egg-cheese-5-lbs")</f>
        <v/>
      </c>
      <c r="B1151" s="2">
        <f>HYPERLINK("https://www.shelhealth.com/products/blue-buffalo-health-bars-natural-crunchy-dog-treats-biscuits-bacon-egg-cheese-5-lbs", "https://www.shelhealth.com/products/blue-buffalo-health-bars-natural-crunchy-dog-treats-biscuits-bacon-egg-cheese-5-lbs")</f>
        <v/>
      </c>
      <c r="C1151" t="inlineStr">
        <is>
          <t>Blue Buffalo Health Bars Natural Crunchy Dog Treats Biscuits, Bacon, Egg &amp; Cheese, 5 lbs.</t>
        </is>
      </c>
      <c r="D1151" t="inlineStr">
        <is>
          <t>Blue Buffalo Health Bars Natural Crunchy Dog Treats TO-GO, Mini Biscuits, Bacon, Egg &amp; Cheese 1-oz Bags (Pack of 12)</t>
        </is>
      </c>
      <c r="E1151" s="2">
        <f>HYPERLINK("https://www.amazon.com/Blue-Buffalo-Natural-Crunchy-Biscuits/dp/B09S6QJSMJ/ref=sr_1_2?keywords=Blue+Buffalo+Health+Bars+Natural+Crunchy+Dog+Treats+Biscuits%2C+Bacon%2C+Egg&amp;qid=1695170278&amp;sr=8-2", "https://www.amazon.com/Blue-Buffalo-Natural-Crunchy-Biscuits/dp/B09S6QJSMJ/ref=sr_1_2?keywords=Blue+Buffalo+Health+Bars+Natural+Crunchy+Dog+Treats+Biscuits%2C+Bacon%2C+Egg&amp;qid=1695170278&amp;sr=8-2")</f>
        <v/>
      </c>
      <c r="F1151" t="inlineStr">
        <is>
          <t>B09S6QJSMJ</t>
        </is>
      </c>
      <c r="G1151">
        <f>_xludf.IMAGE("https://www.shelhealth.com/cdn/shop/files/blue-buffalo-health-bars-natural-crunchy-dog-treats-biscuits-bacon-egg-cheese-5-lbs-grocery-household-petpet-shelhealth-665.jpg?v=1686283643&amp;width=1946")</f>
        <v/>
      </c>
      <c r="H1151">
        <f>_xludf.IMAGE("https://m.media-amazon.com/images/I/8115gjP-1XL._AC_UL320_.jpg")</f>
        <v/>
      </c>
      <c r="K1151" t="inlineStr">
        <is>
          <t>36.99</t>
        </is>
      </c>
      <c r="L1151" t="n">
        <v>13.98</v>
      </c>
      <c r="M1151" s="1" t="inlineStr">
        <is>
          <t>-62.21%</t>
        </is>
      </c>
      <c r="N1151" s="3" t="n">
        <v>-62.21</v>
      </c>
      <c r="O1151" t="n">
        <v>4.6</v>
      </c>
      <c r="P1151" t="n">
        <v>404</v>
      </c>
      <c r="R1151" t="inlineStr">
        <is>
          <t>InStock</t>
        </is>
      </c>
      <c r="S1151" t="inlineStr">
        <is>
          <t>36.99</t>
        </is>
      </c>
      <c r="T1151" t="inlineStr">
        <is>
          <t>4167580549172</t>
        </is>
      </c>
    </row>
    <row r="1152" hidden="1" ht="15.75" customHeight="1">
      <c r="A1152" s="2">
        <f>HYPERLINK("https://www.shelhealth.com/products/purina-friskies-cat-treats-party-mix-2-pk-20-oz", "https://www.shelhealth.com/products/purina-friskies-cat-treats-party-mix-2-pk-20-oz")</f>
        <v/>
      </c>
      <c r="B1152" s="2">
        <f>HYPERLINK("https://www.shelhealth.com/products/purina-friskies-cat-treats-party-mix-2-pk-20-oz", "https://www.shelhealth.com/products/purina-friskies-cat-treats-party-mix-2-pk-20-oz")</f>
        <v/>
      </c>
      <c r="C1152" t="inlineStr">
        <is>
          <t>Purina Friskies Cat Treats Party Mix, 2 pk./20 oz.</t>
        </is>
      </c>
      <c r="D1152" t="inlineStr">
        <is>
          <t>Friskies Purina Friskies Made in USA Facilities Cat Treats, Party Mix Original Crunch - 20 oz. Pouch</t>
        </is>
      </c>
      <c r="E1152" s="2">
        <f>HYPERLINK("https://www.amazon.com/Purina-Friskies-Facilities-Treats-Original/dp/B08ZJZJ44K/ref=sr_1_1?keywords=Purina+Friskies+Cat+Treats+Party+Mix%2C+2+pk.%2F20+oz.&amp;qid=1695170281&amp;sr=8-1", "https://www.amazon.com/Purina-Friskies-Facilities-Treats-Original/dp/B08ZJZJ44K/ref=sr_1_1?keywords=Purina+Friskies+Cat+Treats+Party+Mix%2C+2+pk.%2F20+oz.&amp;qid=1695170281&amp;sr=8-1")</f>
        <v/>
      </c>
      <c r="F1152" t="inlineStr">
        <is>
          <t>B08ZJZJ44K</t>
        </is>
      </c>
      <c r="G1152">
        <f>_xludf.IMAGE("https://www.shelhealth.com/cdn/shop/files/purina-friskies-cat-treats-party-mix-2-pk-20-oz-grocery-household-petpet-shelhealth-937.jpg?v=1686284201&amp;width=1946")</f>
        <v/>
      </c>
      <c r="H1152">
        <f>_xludf.IMAGE("https://m.media-amazon.com/images/I/81ewlVlN1UL._AC_UL320_.jpg")</f>
        <v/>
      </c>
      <c r="K1152" t="inlineStr">
        <is>
          <t>27.99</t>
        </is>
      </c>
      <c r="L1152" t="n">
        <v>10.29</v>
      </c>
      <c r="M1152" s="1" t="inlineStr">
        <is>
          <t>-63.24%</t>
        </is>
      </c>
      <c r="N1152" s="3" t="n">
        <v>-63.24</v>
      </c>
      <c r="O1152" t="n">
        <v>4.8</v>
      </c>
      <c r="P1152" t="n">
        <v>19080</v>
      </c>
      <c r="R1152" t="inlineStr">
        <is>
          <t>InStock</t>
        </is>
      </c>
      <c r="S1152" t="inlineStr">
        <is>
          <t>27.99</t>
        </is>
      </c>
      <c r="T1152" t="inlineStr">
        <is>
          <t>4169615933492</t>
        </is>
      </c>
    </row>
    <row r="1153" hidden="1" ht="15.75" customHeight="1">
      <c r="A1153" s="2">
        <f>HYPERLINK("https://www.shelhealth.com/products/fancy-feast-purina-classic-seafood-feast-variety-cat-food-3-oz-48-cans", "https://www.shelhealth.com/products/fancy-feast-purina-classic-seafood-feast-variety-cat-food-3-oz-48-cans")</f>
        <v/>
      </c>
      <c r="B1153" s="2">
        <f>HYPERLINK("https://www.shelhealth.com/products/fancy-feast-purina-classic-seafood-feast-variety-cat-food-3-oz-48-cans", "https://www.shelhealth.com/products/fancy-feast-purina-classic-seafood-feast-variety-cat-food-3-oz-48-cans")</f>
        <v/>
      </c>
      <c r="C1153" t="inlineStr">
        <is>
          <t>Fancy Feast Purina Classic Seafood Feast Variety Cat Food 3 oz. - 48 Cans.</t>
        </is>
      </c>
      <c r="D1153" t="inlineStr">
        <is>
          <t>Purina Fancy Feast Grilled Wet Cat Food Seafood Feast in Wet Cat Food Gravy - (24) 3 oz. Cans</t>
        </is>
      </c>
      <c r="E1153" s="2">
        <f>HYPERLINK("https://www.amazon.com/Purina-Fancy-Feast-Grilled-Seafood/dp/B0012KB4BG/ref=sr_1_6?keywords=Fancy+Feast+Purina+Classic+Seafood+Feast+Variety+Cat+Food+3+oz.+-+48+Cans.&amp;qid=1695170280&amp;sr=8-6", "https://www.amazon.com/Purina-Fancy-Feast-Grilled-Seafood/dp/B0012KB4BG/ref=sr_1_6?keywords=Fancy+Feast+Purina+Classic+Seafood+Feast+Variety+Cat+Food+3+oz.+-+48+Cans.&amp;qid=1695170280&amp;sr=8-6")</f>
        <v/>
      </c>
      <c r="F1153" t="inlineStr">
        <is>
          <t>B0012KB4BG</t>
        </is>
      </c>
      <c r="G1153">
        <f>_xludf.IMAGE("https://www.shelhealth.com/cdn/shop/products/fancy-feast-purina-classic-seafood-variety-cat-food-3-oz-48-cans-shelhealth-451.jpg?v=1663343087&amp;width=1946")</f>
        <v/>
      </c>
      <c r="H1153">
        <f>_xludf.IMAGE("https://m.media-amazon.com/images/I/8152+ZkdP+L._AC_UL320_.jpg")</f>
        <v/>
      </c>
      <c r="K1153" t="inlineStr">
        <is>
          <t>54.99</t>
        </is>
      </c>
      <c r="L1153" t="n">
        <v>19.92</v>
      </c>
      <c r="M1153" s="1" t="inlineStr">
        <is>
          <t>-63.78%</t>
        </is>
      </c>
      <c r="N1153" s="3" t="n">
        <v>-63.78</v>
      </c>
      <c r="O1153" t="n">
        <v>4.7</v>
      </c>
      <c r="P1153" t="n">
        <v>622</v>
      </c>
      <c r="R1153" t="inlineStr">
        <is>
          <t>OutOfStock</t>
        </is>
      </c>
      <c r="S1153" t="inlineStr">
        <is>
          <t>54.99</t>
        </is>
      </c>
      <c r="T1153" t="inlineStr">
        <is>
          <t>3819424710708</t>
        </is>
      </c>
    </row>
    <row r="1154" hidden="1" ht="15.75" customHeight="1">
      <c r="A1154" s="2">
        <f>HYPERLINK("https://www.shelhealth.com/products/fancy-feast-purina-classic-seafood-feast-variety-cat-food-3-oz-48-cans", "https://www.shelhealth.com/products/fancy-feast-purina-classic-seafood-feast-variety-cat-food-3-oz-48-cans")</f>
        <v/>
      </c>
      <c r="B1154" s="2">
        <f>HYPERLINK("https://www.shelhealth.com/products/fancy-feast-purina-classic-seafood-feast-variety-cat-food-3-oz-48-cans", "https://www.shelhealth.com/products/fancy-feast-purina-classic-seafood-feast-variety-cat-food-3-oz-48-cans")</f>
        <v/>
      </c>
      <c r="C1154" t="inlineStr">
        <is>
          <t>Fancy Feast Purina Classic Seafood Feast Variety Cat Food 3 oz. - 48 Cans.</t>
        </is>
      </c>
      <c r="D1154" t="inlineStr">
        <is>
          <t>Purina Fancy Feast Seafood Classic Pate Collection Grain Free Wet Cat Food Variety Pack - (2 Packs of 12) 3 Oz. Cans</t>
        </is>
      </c>
      <c r="E1154" s="2">
        <f>HYPERLINK("https://www.amazon.com/Purina-Fancy-Feast-Seafood-Classic/dp/B0012KK45S/ref=sr_1_2?keywords=Fancy+Feast+Purina+Classic+Seafood+Feast+Variety+Cat+Food+3+oz.+-+48+Cans.&amp;qid=1695170280&amp;sr=8-2", "https://www.amazon.com/Purina-Fancy-Feast-Seafood-Classic/dp/B0012KK45S/ref=sr_1_2?keywords=Fancy+Feast+Purina+Classic+Seafood+Feast+Variety+Cat+Food+3+oz.+-+48+Cans.&amp;qid=1695170280&amp;sr=8-2")</f>
        <v/>
      </c>
      <c r="F1154" t="inlineStr">
        <is>
          <t>B0012KK45S</t>
        </is>
      </c>
      <c r="G1154">
        <f>_xludf.IMAGE("https://www.shelhealth.com/cdn/shop/products/fancy-feast-purina-classic-seafood-variety-cat-food-3-oz-48-cans-shelhealth-451.jpg?v=1663343087&amp;width=1946")</f>
        <v/>
      </c>
      <c r="H1154">
        <f>_xludf.IMAGE("https://m.media-amazon.com/images/I/711WHKa04GL._AC_UL320_.jpg")</f>
        <v/>
      </c>
      <c r="K1154" t="inlineStr">
        <is>
          <t>54.99</t>
        </is>
      </c>
      <c r="L1154" t="n">
        <v>19.9</v>
      </c>
      <c r="M1154" s="1" t="inlineStr">
        <is>
          <t>-63.81%</t>
        </is>
      </c>
      <c r="N1154" s="3" t="n">
        <v>-63.81</v>
      </c>
      <c r="O1154" t="n">
        <v>4.7</v>
      </c>
      <c r="P1154" t="n">
        <v>6094</v>
      </c>
      <c r="R1154" t="inlineStr">
        <is>
          <t>OutOfStock</t>
        </is>
      </c>
      <c r="S1154" t="inlineStr">
        <is>
          <t>54.99</t>
        </is>
      </c>
      <c r="T1154" t="inlineStr">
        <is>
          <t>3819424710708</t>
        </is>
      </c>
    </row>
    <row r="1155" hidden="1" ht="15.75" customHeight="1">
      <c r="A1155" s="2">
        <f>HYPERLINK("https://www.shelhealth.com/products/854803005362-tender-and-true-ocean-whitefish-and-potato-dry-dog-food-4-lb", "https://www.shelhealth.com/products/854803005362-tender-and-true-ocean-whitefish-and-potato-dry-dog-food-4-lb")</f>
        <v/>
      </c>
      <c r="B1155" s="2">
        <f>HYPERLINK("https://www.shelhealth.com/products/854803005362-tender-and-true-ocean-whitefish-and-potato-dry-dog-food-4-lb", "https://www.shelhealth.com/products/854803005362-tender-and-true-ocean-whitefish-and-potato-dry-dog-food-4-lb")</f>
        <v/>
      </c>
      <c r="C1155" t="inlineStr">
        <is>
          <t>TENDER AND TRUE Ocean Whitefish and Potato Dry Dog Food, 4 lb</t>
        </is>
      </c>
      <c r="D1155" t="inlineStr">
        <is>
          <t>Tender &amp; True Ocean Whitefish &amp; Potato Recipe Dog Food, 4 lb</t>
        </is>
      </c>
      <c r="E1155" s="2">
        <f>HYPERLINK("https://www.amazon.com/Tender-True-854025-Sustainable-Whitefish/dp/B06WRNGVX2/ref=sr_1_1?keywords=TENDER+AND+TRUE+Ocean+Whitefish+and+Potato+Dry+Dog+Food%2C+4+lb&amp;qid=1695170363&amp;sr=8-1", "https://www.amazon.com/Tender-True-854025-Sustainable-Whitefish/dp/B06WRNGVX2/ref=sr_1_1?keywords=TENDER+AND+TRUE+Ocean+Whitefish+and+Potato+Dry+Dog+Food%2C+4+lb&amp;qid=1695170363&amp;sr=8-1")</f>
        <v/>
      </c>
      <c r="F1155" t="inlineStr">
        <is>
          <t>B06WRNGVX2</t>
        </is>
      </c>
      <c r="G1155">
        <f>_xludf.IMAGE("https://www.shelhealth.com/cdn/shop/files/tender-and-true-ocean-whitefish-potato-dry-dog-food-4-lb-pet-shelhealth-876.jpg?v=1686229275&amp;width=1946")</f>
        <v/>
      </c>
      <c r="H1155">
        <f>_xludf.IMAGE("https://m.media-amazon.com/images/I/81SNZB515pL._AC_UL320_.jpg")</f>
        <v/>
      </c>
      <c r="K1155" t="inlineStr">
        <is>
          <t>28.99</t>
        </is>
      </c>
      <c r="L1155" t="n">
        <v>10.29</v>
      </c>
      <c r="M1155" s="1" t="inlineStr">
        <is>
          <t>-64.51%</t>
        </is>
      </c>
      <c r="N1155" s="3" t="n">
        <v>-64.51000000000001</v>
      </c>
      <c r="O1155" t="n">
        <v>4.4</v>
      </c>
      <c r="P1155" t="n">
        <v>84</v>
      </c>
      <c r="R1155" t="inlineStr">
        <is>
          <t>InStock</t>
        </is>
      </c>
      <c r="S1155" t="inlineStr">
        <is>
          <t>28.99</t>
        </is>
      </c>
      <c r="T1155" t="inlineStr">
        <is>
          <t>7574331293928</t>
        </is>
      </c>
    </row>
    <row r="1156" hidden="1" ht="15.75" customHeight="1">
      <c r="A1156" s="2">
        <f>HYPERLINK("https://www.shelhealth.com/products/purina-fancy-feast-classic-seafood-variety-pack-48-ct", "https://www.shelhealth.com/products/purina-fancy-feast-classic-seafood-variety-pack-48-ct")</f>
        <v/>
      </c>
      <c r="B1156" s="2">
        <f>HYPERLINK("https://www.shelhealth.com/products/purina-fancy-feast-classic-seafood-variety-pack-48-ct", "https://www.shelhealth.com/products/purina-fancy-feast-classic-seafood-variety-pack-48-ct")</f>
        <v/>
      </c>
      <c r="C1156" t="inlineStr">
        <is>
          <t>Purina Fancy Feast Classic Seafood Variety Pack, 48 ct.</t>
        </is>
      </c>
      <c r="D1156" t="inlineStr">
        <is>
          <t>Purina Fancy Feast Grain Free Pate Wet Kitten Food Variety Pack, Kitten Classic Pate Collection, 4 Flavors - (24) 3 oz. Boxes</t>
        </is>
      </c>
      <c r="E1156" s="2">
        <f>HYPERLINK("https://www.amazon.com/Purina-Fancy-Feast-Variety-Collection/dp/B07JG87X5P/ref=sr_1_5?keywords=Purina+Fancy+Feast+Classic+Seafood+Variety+Pack%2C+48+ct.&amp;qid=1695170303&amp;sr=8-5", "https://www.amazon.com/Purina-Fancy-Feast-Variety-Collection/dp/B07JG87X5P/ref=sr_1_5?keywords=Purina+Fancy+Feast+Classic+Seafood+Variety+Pack%2C+48+ct.&amp;qid=1695170303&amp;sr=8-5")</f>
        <v/>
      </c>
      <c r="F1156" t="inlineStr">
        <is>
          <t>B07JG87X5P</t>
        </is>
      </c>
      <c r="G1156">
        <f>_xludf.IMAGE("https://www.shelhealth.com/cdn/shop/files/purina-fancy-feast-classic-seafood-variety-pack-48-ct-grocery-household-petpet-shelhealth-796.jpg?v=1686283876&amp;width=1946")</f>
        <v/>
      </c>
      <c r="H1156">
        <f>_xludf.IMAGE("https://m.media-amazon.com/images/I/817jbhS0QpL._AC_UL320_.jpg")</f>
        <v/>
      </c>
      <c r="K1156" t="inlineStr">
        <is>
          <t>60.99</t>
        </is>
      </c>
      <c r="L1156" t="n">
        <v>20.99</v>
      </c>
      <c r="M1156" s="1" t="inlineStr">
        <is>
          <t>-65.58%</t>
        </is>
      </c>
      <c r="N1156" s="3" t="n">
        <v>-65.58</v>
      </c>
      <c r="O1156" t="n">
        <v>4.7</v>
      </c>
      <c r="P1156" t="n">
        <v>25835</v>
      </c>
      <c r="R1156" t="inlineStr">
        <is>
          <t>InStock</t>
        </is>
      </c>
      <c r="S1156" t="inlineStr">
        <is>
          <t>60.99</t>
        </is>
      </c>
      <c r="T1156" t="inlineStr">
        <is>
          <t>4664135712857</t>
        </is>
      </c>
    </row>
    <row r="1157" hidden="1" ht="15.75" customHeight="1">
      <c r="A1157" s="2">
        <f>HYPERLINK("https://www.shelhealth.com/products/zoe-super-bars-beef-recipe-dog-treats-32-oz", "https://www.shelhealth.com/products/zoe-super-bars-beef-recipe-dog-treats-32-oz")</f>
        <v/>
      </c>
      <c r="B1157" s="2">
        <f>HYPERLINK("https://www.shelhealth.com/products/zoe-super-bars-beef-recipe-dog-treats-32-oz", "https://www.shelhealth.com/products/zoe-super-bars-beef-recipe-dog-treats-32-oz")</f>
        <v/>
      </c>
      <c r="C1157" t="inlineStr">
        <is>
          <t>Zoe Super Bars Beef Recipe Dog Treats, 32 oz.</t>
        </is>
      </c>
      <c r="D1157" t="inlineStr">
        <is>
          <t>Zoe Super Bar Natural Dog Treats, Protein-Packed, Grain-Free and Gluten-Free, Made in The USA Only, Beef Recipe, 6 oz, 92017</t>
        </is>
      </c>
      <c r="E1157" s="2">
        <f>HYPERLINK("https://www.amazon.com/Zoe-Treats-Protein-Grain-Free-Gluten-Free/dp/B07LHLNYRS/ref=sr_1_2?keywords=Zoe+Super+Bars+Beef+Recipe+Dog+Treats%2C+32+oz.&amp;qid=1695170318&amp;sr=8-2", "https://www.amazon.com/Zoe-Treats-Protein-Grain-Free-Gluten-Free/dp/B07LHLNYRS/ref=sr_1_2?keywords=Zoe+Super+Bars+Beef+Recipe+Dog+Treats%2C+32+oz.&amp;qid=1695170318&amp;sr=8-2")</f>
        <v/>
      </c>
      <c r="F1157" t="inlineStr">
        <is>
          <t>B07LHLNYRS</t>
        </is>
      </c>
      <c r="G1157">
        <f>_xludf.IMAGE("https://www.shelhealth.com/cdn/shop/products/zoe-super-bars-beef-recipe-dog-treats-32-oz-shelhealth-461.jpg?v=1663817407&amp;width=1946")</f>
        <v/>
      </c>
      <c r="H1157">
        <f>_xludf.IMAGE("https://m.media-amazon.com/images/I/71ZHwrv3WOL._AC_UL320_.jpg")</f>
        <v/>
      </c>
      <c r="K1157" t="inlineStr">
        <is>
          <t>22.99</t>
        </is>
      </c>
      <c r="L1157" t="n">
        <v>7.86</v>
      </c>
      <c r="M1157" s="1" t="inlineStr">
        <is>
          <t>-65.81%</t>
        </is>
      </c>
      <c r="N1157" s="3" t="n">
        <v>-65.81</v>
      </c>
      <c r="O1157" t="n">
        <v>3.9</v>
      </c>
      <c r="P1157" t="n">
        <v>427</v>
      </c>
      <c r="R1157" t="inlineStr">
        <is>
          <t>OutOfStock</t>
        </is>
      </c>
      <c r="S1157" t="inlineStr">
        <is>
          <t>22.99</t>
        </is>
      </c>
      <c r="T1157" t="inlineStr">
        <is>
          <t>7653321572584</t>
        </is>
      </c>
    </row>
    <row r="1158" hidden="1" ht="15.75" customHeight="1">
      <c r="A1158" s="2">
        <f>HYPERLINK("https://www.shelhealth.com/products/frontline-plus-flea-and-tick-treatment-for-cats-8-month-supply", "https://www.shelhealth.com/products/frontline-plus-flea-and-tick-treatment-for-cats-8-month-supply")</f>
        <v/>
      </c>
      <c r="B1158" s="2">
        <f>HYPERLINK("https://www.shelhealth.com/products/frontline-plus-flea-and-tick-treatment-for-cats-8-month-supply", "https://www.shelhealth.com/products/frontline-plus-flea-and-tick-treatment-for-cats-8-month-supply")</f>
        <v/>
      </c>
      <c r="C1158" t="inlineStr">
        <is>
          <t>Frontline Plus Flea and Tick Treatment for Cats, 8 Month Supply</t>
        </is>
      </c>
      <c r="D1158" t="inlineStr">
        <is>
          <t>FRONTLINE Plus Flea and Tick Treatment for Large Dogs Up to 45 to 88 lbs., 3 Treatments</t>
        </is>
      </c>
      <c r="E1158" s="2">
        <f>HYPERLINK("https://www.amazon.com/Frontline-Large-pounds-Treatment-Doses/dp/B0002J1FOE/ref=sr_1_4?keywords=Frontline+Plus+Flea+and+Tick+Treatment+for+Cats%2C+8+Month+Supply&amp;qid=1695170278&amp;sr=8-4", "https://www.amazon.com/Frontline-Large-pounds-Treatment-Doses/dp/B0002J1FOE/ref=sr_1_4?keywords=Frontline+Plus+Flea+and+Tick+Treatment+for+Cats%2C+8+Month+Supply&amp;qid=1695170278&amp;sr=8-4")</f>
        <v/>
      </c>
      <c r="F1158" t="inlineStr">
        <is>
          <t>B0002J1FOE</t>
        </is>
      </c>
      <c r="G1158">
        <f>_xludf.IMAGE("https://www.shelhealth.com/cdn/shop/products/frontline-plus-flea-and-tick-treatment-for-cats-8-month-supply-shelhealth-499.jpg?v=1663340526&amp;width=1946")</f>
        <v/>
      </c>
      <c r="H1158">
        <f>_xludf.IMAGE("https://m.media-amazon.com/images/I/71aRBAACK7L._AC_UL320_.jpg")</f>
        <v/>
      </c>
      <c r="K1158" t="inlineStr">
        <is>
          <t>99.99</t>
        </is>
      </c>
      <c r="L1158" t="n">
        <v>33.99</v>
      </c>
      <c r="M1158" s="1" t="inlineStr">
        <is>
          <t>-66.01%</t>
        </is>
      </c>
      <c r="N1158" s="3" t="n">
        <v>-66.01000000000001</v>
      </c>
      <c r="O1158" t="n">
        <v>4.5</v>
      </c>
      <c r="P1158" t="n">
        <v>41702</v>
      </c>
      <c r="R1158" t="inlineStr">
        <is>
          <t>InStock</t>
        </is>
      </c>
      <c r="S1158" t="inlineStr">
        <is>
          <t>99.99</t>
        </is>
      </c>
      <c r="T1158" t="inlineStr">
        <is>
          <t>3805310681140</t>
        </is>
      </c>
    </row>
    <row r="1159" hidden="1" ht="15.75" customHeight="1">
      <c r="A1159" s="2">
        <f>HYPERLINK("https://www.shelhealth.com/products/purina-friskies-gravy-pleasers-cat-food-variety-pack-48-ct-5-5-oz", "https://www.shelhealth.com/products/purina-friskies-gravy-pleasers-cat-food-variety-pack-48-ct-5-5-oz")</f>
        <v/>
      </c>
      <c r="B1159" s="2">
        <f>HYPERLINK("https://www.shelhealth.com/products/purina-friskies-gravy-pleasers-cat-food-variety-pack-48-ct-5-5-oz", "https://www.shelhealth.com/products/purina-friskies-gravy-pleasers-cat-food-variety-pack-48-ct-5-5-oz")</f>
        <v/>
      </c>
      <c r="C1159" t="inlineStr">
        <is>
          <t>Purina Friskies Gravy Pleasers Cat Food Variety Pack, 48 ct./5.5 oz.</t>
        </is>
      </c>
      <c r="D1159" t="inlineStr">
        <is>
          <t>Purina Friskies Gravy Wet Cat Food Variety Pack, Meaty Bits - (24) 5.5 oz. Cans</t>
        </is>
      </c>
      <c r="E1159" s="2">
        <f>HYPERLINK("https://www.amazon.com/Purina-Friskies-Meaty-Adult-Variety/dp/B002CJG2H2/ref=sr_1_6?keywords=Purina+Friskies+Gravy+Pleasers+Cat+Food+Variety+Pack%2C+48+ct.%2F5.5+oz.&amp;qid=1695170289&amp;sr=8-6", "https://www.amazon.com/Purina-Friskies-Meaty-Adult-Variety/dp/B002CJG2H2/ref=sr_1_6?keywords=Purina+Friskies+Gravy+Pleasers+Cat+Food+Variety+Pack%2C+48+ct.%2F5.5+oz.&amp;qid=1695170289&amp;sr=8-6")</f>
        <v/>
      </c>
      <c r="F1159" t="inlineStr">
        <is>
          <t>B002CJG2H2</t>
        </is>
      </c>
      <c r="G1159">
        <f>_xludf.IMAGE("https://www.shelhealth.com/cdn/shop/products/purina-friskies-gravy-pleasers-cat-food-variety-pack-48-ct-5-oz-shelhealth-538.jpg?v=1675334250&amp;width=1946")</f>
        <v/>
      </c>
      <c r="H1159">
        <f>_xludf.IMAGE("https://m.media-amazon.com/images/I/917wO-RUipL._AC_UL320_.jpg")</f>
        <v/>
      </c>
      <c r="K1159" t="inlineStr">
        <is>
          <t>55.99</t>
        </is>
      </c>
      <c r="L1159" t="n">
        <v>18.59</v>
      </c>
      <c r="M1159" s="1" t="inlineStr">
        <is>
          <t>-66.80%</t>
        </is>
      </c>
      <c r="N1159" s="3" t="n">
        <v>-66.8</v>
      </c>
      <c r="O1159" t="n">
        <v>4.6</v>
      </c>
      <c r="P1159" t="n">
        <v>11181</v>
      </c>
      <c r="R1159" t="inlineStr">
        <is>
          <t>InStock</t>
        </is>
      </c>
      <c r="S1159" t="inlineStr">
        <is>
          <t>55.99</t>
        </is>
      </c>
      <c r="T1159" t="inlineStr">
        <is>
          <t>4664134959193</t>
        </is>
      </c>
    </row>
    <row r="1160" hidden="1" ht="15.75" customHeight="1">
      <c r="A1160" s="2">
        <f>HYPERLINK("https://www.shelhealth.com/products/purina-friskies-gravy-pleasers-cat-food-variety-pack-48-ct-5-5-oz", "https://www.shelhealth.com/products/purina-friskies-gravy-pleasers-cat-food-variety-pack-48-ct-5-5-oz")</f>
        <v/>
      </c>
      <c r="B1160" s="2">
        <f>HYPERLINK("https://www.shelhealth.com/products/purina-friskies-gravy-pleasers-cat-food-variety-pack-48-ct-5-5-oz", "https://www.shelhealth.com/products/purina-friskies-gravy-pleasers-cat-food-variety-pack-48-ct-5-5-oz")</f>
        <v/>
      </c>
      <c r="C1160" t="inlineStr">
        <is>
          <t>Purina Friskies Gravy Pleasers Cat Food Variety Pack, 48 ct./5.5 oz.</t>
        </is>
      </c>
      <c r="D1160" t="inlineStr">
        <is>
          <t>Purina Friskies Gravy Wet Cat Food Variety Pack, Extra Gravy Chunky - (24) 5.5 oz. Cans</t>
        </is>
      </c>
      <c r="E1160" s="2">
        <f>HYPERLINK("https://www.amazon.com/Purina-Friskies-Extra-Chunky-Variety/dp/B07D1HRQNK/ref=sr_1_1?keywords=Purina+Friskies+Gravy+Pleasers+Cat+Food+Variety+Pack%2C+48+ct.%2F5.5+oz.&amp;qid=1695170289&amp;sr=8-1", "https://www.amazon.com/Purina-Friskies-Extra-Chunky-Variety/dp/B07D1HRQNK/ref=sr_1_1?keywords=Purina+Friskies+Gravy+Pleasers+Cat+Food+Variety+Pack%2C+48+ct.%2F5.5+oz.&amp;qid=1695170289&amp;sr=8-1")</f>
        <v/>
      </c>
      <c r="F1160" t="inlineStr">
        <is>
          <t>B07D1HRQNK</t>
        </is>
      </c>
      <c r="G1160">
        <f>_xludf.IMAGE("https://www.shelhealth.com/cdn/shop/products/purina-friskies-gravy-pleasers-cat-food-variety-pack-48-ct-5-oz-shelhealth-538.jpg?v=1675334250&amp;width=1946")</f>
        <v/>
      </c>
      <c r="H1160">
        <f>_xludf.IMAGE("https://m.media-amazon.com/images/I/91gjKY0ovLL._AC_UL320_.jpg")</f>
        <v/>
      </c>
      <c r="K1160" t="inlineStr">
        <is>
          <t>55.99</t>
        </is>
      </c>
      <c r="L1160" t="n">
        <v>18.59</v>
      </c>
      <c r="M1160" s="1" t="inlineStr">
        <is>
          <t>-66.80%</t>
        </is>
      </c>
      <c r="N1160" s="3" t="n">
        <v>-66.8</v>
      </c>
      <c r="O1160" t="n">
        <v>4.6</v>
      </c>
      <c r="P1160" t="n">
        <v>17381</v>
      </c>
      <c r="R1160" t="inlineStr">
        <is>
          <t>InStock</t>
        </is>
      </c>
      <c r="S1160" t="inlineStr">
        <is>
          <t>55.99</t>
        </is>
      </c>
      <c r="T1160" t="inlineStr">
        <is>
          <t>4664134959193</t>
        </is>
      </c>
    </row>
    <row r="1161" hidden="1" ht="15.75" customHeight="1">
      <c r="A1161" s="2">
        <f>HYPERLINK("https://www.shelhealth.com/products/fancy-feast-purina-classic-seafood-feast-variety-cat-food-3-oz-48-cans", "https://www.shelhealth.com/products/fancy-feast-purina-classic-seafood-feast-variety-cat-food-3-oz-48-cans")</f>
        <v/>
      </c>
      <c r="B1161" s="2">
        <f>HYPERLINK("https://www.shelhealth.com/products/fancy-feast-purina-classic-seafood-feast-variety-cat-food-3-oz-48-cans", "https://www.shelhealth.com/products/fancy-feast-purina-classic-seafood-feast-variety-cat-food-3-oz-48-cans")</f>
        <v/>
      </c>
      <c r="C1161" t="inlineStr">
        <is>
          <t>Fancy Feast Purina Classic Seafood Feast Variety Cat Food 3 oz. - 48 Cans.</t>
        </is>
      </c>
      <c r="D1161" t="inlineStr">
        <is>
          <t>Purina Fancy Feast Grilled Wet Cat Food Seafood Collection in Wet Cat Food Variety Pack - (24) 3 oz. Cans</t>
        </is>
      </c>
      <c r="E1161" s="2">
        <f>HYPERLINK("https://www.amazon.com/Purina-Fancy-Feast-Grilled-Collection/dp/B001STX13U/ref=sr_1_8?keywords=Fancy+Feast+Purina+Classic+Seafood+Feast+Variety+Cat+Food+3+oz.+-+48+Cans.&amp;qid=1695170280&amp;sr=8-8", "https://www.amazon.com/Purina-Fancy-Feast-Grilled-Collection/dp/B001STX13U/ref=sr_1_8?keywords=Fancy+Feast+Purina+Classic+Seafood+Feast+Variety+Cat+Food+3+oz.+-+48+Cans.&amp;qid=1695170280&amp;sr=8-8")</f>
        <v/>
      </c>
      <c r="F1161" t="inlineStr">
        <is>
          <t>B001STX13U</t>
        </is>
      </c>
      <c r="G1161">
        <f>_xludf.IMAGE("https://www.shelhealth.com/cdn/shop/products/fancy-feast-purina-classic-seafood-variety-cat-food-3-oz-48-cans-shelhealth-451.jpg?v=1663343087&amp;width=1946")</f>
        <v/>
      </c>
      <c r="H1161">
        <f>_xludf.IMAGE("https://m.media-amazon.com/images/I/81K7YvcfLpL._AC_UL320_.jpg")</f>
        <v/>
      </c>
      <c r="K1161" t="inlineStr">
        <is>
          <t>54.99</t>
        </is>
      </c>
      <c r="L1161" t="n">
        <v>17.99</v>
      </c>
      <c r="M1161" s="1" t="inlineStr">
        <is>
          <t>-67.28%</t>
        </is>
      </c>
      <c r="N1161" s="3" t="n">
        <v>-67.28</v>
      </c>
      <c r="O1161" t="n">
        <v>4.7</v>
      </c>
      <c r="P1161" t="n">
        <v>24753</v>
      </c>
      <c r="R1161" t="inlineStr">
        <is>
          <t>OutOfStock</t>
        </is>
      </c>
      <c r="S1161" t="inlineStr">
        <is>
          <t>54.99</t>
        </is>
      </c>
      <c r="T1161" t="inlineStr">
        <is>
          <t>3819424710708</t>
        </is>
      </c>
    </row>
    <row r="1162" hidden="1" ht="15.75" customHeight="1">
      <c r="A1162" s="2">
        <f>HYPERLINK("https://www.shelhealth.com/products/purina-fancy-feast-classic-seafood-variety-pack-48-ct", "https://www.shelhealth.com/products/purina-fancy-feast-classic-seafood-variety-pack-48-ct")</f>
        <v/>
      </c>
      <c r="B1162" s="2">
        <f>HYPERLINK("https://www.shelhealth.com/products/purina-fancy-feast-classic-seafood-variety-pack-48-ct", "https://www.shelhealth.com/products/purina-fancy-feast-classic-seafood-variety-pack-48-ct")</f>
        <v/>
      </c>
      <c r="C1162" t="inlineStr">
        <is>
          <t>Purina Fancy Feast Classic Seafood Variety Pack, 48 ct.</t>
        </is>
      </c>
      <c r="D1162" t="inlineStr">
        <is>
          <t>Purina Fancy Feast Seafood Classic Pate Collection Grain Free Wet Cat Food Variety Pack - (2 Packs of 12) 3 Oz. Cans</t>
        </is>
      </c>
      <c r="E1162" s="2">
        <f>HYPERLINK("https://www.amazon.com/Purina-Fancy-Feast-Seafood-Classic/dp/B0012KK45S/ref=sr_1_4?keywords=Purina+Fancy+Feast+Classic+Seafood+Variety+Pack%2C+48+ct.&amp;qid=1695170303&amp;sr=8-4", "https://www.amazon.com/Purina-Fancy-Feast-Seafood-Classic/dp/B0012KK45S/ref=sr_1_4?keywords=Purina+Fancy+Feast+Classic+Seafood+Variety+Pack%2C+48+ct.&amp;qid=1695170303&amp;sr=8-4")</f>
        <v/>
      </c>
      <c r="F1162" t="inlineStr">
        <is>
          <t>B0012KK45S</t>
        </is>
      </c>
      <c r="G1162">
        <f>_xludf.IMAGE("https://www.shelhealth.com/cdn/shop/files/purina-fancy-feast-classic-seafood-variety-pack-48-ct-grocery-household-petpet-shelhealth-796.jpg?v=1686283876&amp;width=1946")</f>
        <v/>
      </c>
      <c r="H1162">
        <f>_xludf.IMAGE("https://m.media-amazon.com/images/I/711WHKa04GL._AC_UL320_.jpg")</f>
        <v/>
      </c>
      <c r="K1162" t="inlineStr">
        <is>
          <t>60.99</t>
        </is>
      </c>
      <c r="L1162" t="n">
        <v>19.9</v>
      </c>
      <c r="M1162" s="1" t="inlineStr">
        <is>
          <t>-67.37%</t>
        </is>
      </c>
      <c r="N1162" s="3" t="n">
        <v>-67.37</v>
      </c>
      <c r="O1162" t="n">
        <v>4.7</v>
      </c>
      <c r="P1162" t="n">
        <v>6094</v>
      </c>
      <c r="R1162" t="inlineStr">
        <is>
          <t>InStock</t>
        </is>
      </c>
      <c r="S1162" t="inlineStr">
        <is>
          <t>60.99</t>
        </is>
      </c>
      <c r="T1162" t="inlineStr">
        <is>
          <t>4664135712857</t>
        </is>
      </c>
    </row>
    <row r="1163" hidden="1" ht="15.75" customHeight="1">
      <c r="A1163" s="2">
        <f>HYPERLINK("https://www.shelhealth.com/products/blue-buffalo-chicken-and-brown-rice-life-protection-formula-small-breed-dry-dog-food-20-lbs", "https://www.shelhealth.com/products/blue-buffalo-chicken-and-brown-rice-life-protection-formula-small-breed-dry-dog-food-20-lbs")</f>
        <v/>
      </c>
      <c r="B1163" s="2">
        <f>HYPERLINK("https://www.shelhealth.com/products/blue-buffalo-chicken-and-brown-rice-life-protection-formula-small-breed-dry-dog-food-20-lbs", "https://www.shelhealth.com/products/blue-buffalo-chicken-and-brown-rice-life-protection-formula-small-breed-dry-dog-food-20-lbs")</f>
        <v/>
      </c>
      <c r="C1163" t="inlineStr">
        <is>
          <t>Blue Buffalo Chicken and Brown Rice Life Protection Formula Small Breed Dry Dog Food, 20 lbs.</t>
        </is>
      </c>
      <c r="D1163" t="inlineStr">
        <is>
          <t>Blue Buffalo Life Protection Formula Natural Adult Toy Breed Dry Dog Food, Chicken and Brown Rice 4-lb</t>
        </is>
      </c>
      <c r="E1163" s="2">
        <f>HYPERLINK("https://www.amazon.com/Blue-Buffalo-Protection-Formula-Breed/dp/B008EXELSM/ref=sr_1_3?keywords=Blue+Buffalo+Chicken+and+Brown+Rice+Life+Protection+Formula+Small+Breed+Dry+Dog+Food%2C+20+lbs.&amp;qid=1695170324&amp;sr=8-3", "https://www.amazon.com/Blue-Buffalo-Protection-Formula-Breed/dp/B008EXELSM/ref=sr_1_3?keywords=Blue+Buffalo+Chicken+and+Brown+Rice+Life+Protection+Formula+Small+Breed+Dry+Dog+Food%2C+20+lbs.&amp;qid=1695170324&amp;sr=8-3")</f>
        <v/>
      </c>
      <c r="F1163" t="inlineStr">
        <is>
          <t>B008EXELSM</t>
        </is>
      </c>
      <c r="G1163">
        <f>_xludf.IMAGE("https://www.shelhealth.com/cdn/shop/products/blue-buffalo-chicken-and-brown-rice-life-protection-formula-small-breed-dry-dog-food-20-lbs-shelhealth-718.jpg?v=1663370054&amp;width=1946")</f>
        <v/>
      </c>
      <c r="H1163">
        <f>_xludf.IMAGE("https://m.media-amazon.com/images/I/71XqzDWQd6L._AC_UL320_.jpg")</f>
        <v/>
      </c>
      <c r="K1163" t="inlineStr">
        <is>
          <t>66.99</t>
        </is>
      </c>
      <c r="L1163" t="n">
        <v>19.98</v>
      </c>
      <c r="M1163" s="1" t="inlineStr">
        <is>
          <t>-70.17%</t>
        </is>
      </c>
      <c r="N1163" s="3" t="n">
        <v>-70.17</v>
      </c>
      <c r="O1163" t="n">
        <v>4.6</v>
      </c>
      <c r="P1163" t="n">
        <v>1709</v>
      </c>
      <c r="R1163" t="inlineStr">
        <is>
          <t>InStock</t>
        </is>
      </c>
      <c r="S1163" t="inlineStr">
        <is>
          <t>66.99</t>
        </is>
      </c>
      <c r="T1163" t="inlineStr">
        <is>
          <t>4658728435801</t>
        </is>
      </c>
    </row>
    <row r="1164" hidden="1" ht="15.75" customHeight="1">
      <c r="A1164" s="2">
        <f>HYPERLINK("https://www.shelhealth.com/products/cadet-gourmet-bull-sticks-12-pack", "https://www.shelhealth.com/products/cadet-gourmet-bull-sticks-12-pack")</f>
        <v/>
      </c>
      <c r="B1164" s="2">
        <f>HYPERLINK("https://www.shelhealth.com/products/cadet-gourmet-bull-sticks-12-pack", "https://www.shelhealth.com/products/cadet-gourmet-bull-sticks-12-pack")</f>
        <v/>
      </c>
      <c r="C1164" t="inlineStr">
        <is>
          <t>Cadet Gourmet Bull Sticks 12 Pack</t>
        </is>
      </c>
      <c r="D1164" t="inlineStr">
        <is>
          <t>Natural Farm Bully Coated Gourmet Collagen Sticks (12 Inch, 5 Pack), Real Bully Beef Coated, 95% Natural Collagen, Supports Healthy Joints, Skin &amp; Coat - Best for Small &amp; Medium Dogs</t>
        </is>
      </c>
      <c r="E1164" s="2">
        <f>HYPERLINK("https://www.amazon.com/Natural-Farm-Gourmet-Collagen-Sticks/dp/B097TT35JL/ref=sr_1_9?keywords=cadet+gourmet+bully+sticks+12+pack&amp;qid=1695170291&amp;sr=8-9", "https://www.amazon.com/Natural-Farm-Gourmet-Collagen-Sticks/dp/B097TT35JL/ref=sr_1_9?keywords=cadet+gourmet+bully+sticks+12+pack&amp;qid=1695170291&amp;sr=8-9")</f>
        <v/>
      </c>
      <c r="F1164" t="inlineStr">
        <is>
          <t>B097TT35JL</t>
        </is>
      </c>
      <c r="G1164">
        <f>_xludf.IMAGE("https://www.shelhealth.com/cdn/shop/products/cadet-gourmet-bull-sticks-12-pack-shelhealth-774.jpg?v=1663359922&amp;width=1946")</f>
        <v/>
      </c>
      <c r="H1164">
        <f>_xludf.IMAGE("https://m.media-amazon.com/images/I/71SHi7Xl2VL._AC_UL320_.jpg")</f>
        <v/>
      </c>
      <c r="K1164" t="inlineStr">
        <is>
          <t>51.99</t>
        </is>
      </c>
      <c r="L1164" t="n">
        <v>14.99</v>
      </c>
      <c r="M1164" s="1" t="inlineStr">
        <is>
          <t>-71.17%</t>
        </is>
      </c>
      <c r="N1164" s="3" t="n">
        <v>-71.17</v>
      </c>
      <c r="O1164" t="n">
        <v>4.4</v>
      </c>
      <c r="P1164" t="n">
        <v>937</v>
      </c>
      <c r="R1164" t="inlineStr">
        <is>
          <t>OutOfStock</t>
        </is>
      </c>
      <c r="S1164" t="inlineStr">
        <is>
          <t>51.99</t>
        </is>
      </c>
      <c r="T1164" t="inlineStr">
        <is>
          <t>4389671796825</t>
        </is>
      </c>
    </row>
    <row r="1165" hidden="1" ht="15.75" customHeight="1">
      <c r="A1165" s="2">
        <f>HYPERLINK("https://www.shelhealth.com/products/purina-friskies-gravy-pleasers-cat-food-variety-pack-48-ct-5-5-oz", "https://www.shelhealth.com/products/purina-friskies-gravy-pleasers-cat-food-variety-pack-48-ct-5-5-oz")</f>
        <v/>
      </c>
      <c r="B1165" s="2">
        <f>HYPERLINK("https://www.shelhealth.com/products/purina-friskies-gravy-pleasers-cat-food-variety-pack-48-ct-5-5-oz", "https://www.shelhealth.com/products/purina-friskies-gravy-pleasers-cat-food-variety-pack-48-ct-5-5-oz")</f>
        <v/>
      </c>
      <c r="C1165" t="inlineStr">
        <is>
          <t>Purina Friskies Gravy Pleasers Cat Food Variety Pack, 48 ct./5.5 oz.</t>
        </is>
      </c>
      <c r="D1165" t="inlineStr">
        <is>
          <t>Purina Friskies Gravy Wet Cat Food Variety Pack, Meaty Bits - (2 Packs of 12) 5.5 oz. Cans</t>
        </is>
      </c>
      <c r="E1165" s="2">
        <f>HYPERLINK("https://www.amazon.com/Purina-Friskies-Meaty-Adult-Variety/dp/B002CJAT6W/ref=sr_1_10?keywords=Purina+Friskies+Gravy+Pleasers+Cat+Food+Variety+Pack%2C+48+ct.%2F5.5+oz.&amp;qid=1695170289&amp;sr=8-10", "https://www.amazon.com/Purina-Friskies-Meaty-Adult-Variety/dp/B002CJAT6W/ref=sr_1_10?keywords=Purina+Friskies+Gravy+Pleasers+Cat+Food+Variety+Pack%2C+48+ct.%2F5.5+oz.&amp;qid=1695170289&amp;sr=8-10")</f>
        <v/>
      </c>
      <c r="F1165" t="inlineStr">
        <is>
          <t>B002CJAT6W</t>
        </is>
      </c>
      <c r="G1165">
        <f>_xludf.IMAGE("https://www.shelhealth.com/cdn/shop/products/purina-friskies-gravy-pleasers-cat-food-variety-pack-48-ct-5-oz-shelhealth-538.jpg?v=1675334250&amp;width=1946")</f>
        <v/>
      </c>
      <c r="H1165">
        <f>_xludf.IMAGE("https://m.media-amazon.com/images/I/81g1C7TqLbL._AC_UL320_.jpg")</f>
        <v/>
      </c>
      <c r="K1165" t="inlineStr">
        <is>
          <t>55.99</t>
        </is>
      </c>
      <c r="L1165" t="n">
        <v>15.98</v>
      </c>
      <c r="M1165" s="1" t="inlineStr">
        <is>
          <t>-71.46%</t>
        </is>
      </c>
      <c r="N1165" s="3" t="n">
        <v>-71.45999999999999</v>
      </c>
      <c r="O1165" t="n">
        <v>4.6</v>
      </c>
      <c r="P1165" t="n">
        <v>1958</v>
      </c>
      <c r="R1165" t="inlineStr">
        <is>
          <t>InStock</t>
        </is>
      </c>
      <c r="S1165" t="inlineStr">
        <is>
          <t>55.99</t>
        </is>
      </c>
      <c r="T1165" t="inlineStr">
        <is>
          <t>4664134959193</t>
        </is>
      </c>
    </row>
    <row r="1166" hidden="1" ht="15.75" customHeight="1">
      <c r="A1166" s="2">
        <f>HYPERLINK("https://www.shelhealth.com/products/blue-buffalo-chicken-and-brown-rice-life-protection-formula-small-breed-dry-dog-food-20-lbs", "https://www.shelhealth.com/products/blue-buffalo-chicken-and-brown-rice-life-protection-formula-small-breed-dry-dog-food-20-lbs")</f>
        <v/>
      </c>
      <c r="B1166" s="2">
        <f>HYPERLINK("https://www.shelhealth.com/products/blue-buffalo-chicken-and-brown-rice-life-protection-formula-small-breed-dry-dog-food-20-lbs", "https://www.shelhealth.com/products/blue-buffalo-chicken-and-brown-rice-life-protection-formula-small-breed-dry-dog-food-20-lbs")</f>
        <v/>
      </c>
      <c r="C1166" t="inlineStr">
        <is>
          <t>Blue Buffalo Chicken and Brown Rice Life Protection Formula Small Breed Dry Dog Food, 20 lbs.</t>
        </is>
      </c>
      <c r="D1166" t="inlineStr">
        <is>
          <t>Blue Buffalo Life Protection Formula Natural Adult Small Breed Dry Dog Food, Chicken and Brown Rice 5-lb Trial Size Bag</t>
        </is>
      </c>
      <c r="E1166" s="2">
        <f>HYPERLINK("https://www.amazon.com/Blue-Buffalo-Protection-Formula-Natural/dp/B09K9FDLFN/ref=sr_1_1?keywords=Blue+Buffalo+Chicken+and+Brown+Rice+Life+Protection+Formula+Small+Breed+Dry+Dog+Food%2C+20+lbs.&amp;qid=1695170324&amp;sr=8-1", "https://www.amazon.com/Blue-Buffalo-Protection-Formula-Natural/dp/B09K9FDLFN/ref=sr_1_1?keywords=Blue+Buffalo+Chicken+and+Brown+Rice+Life+Protection+Formula+Small+Breed+Dry+Dog+Food%2C+20+lbs.&amp;qid=1695170324&amp;sr=8-1")</f>
        <v/>
      </c>
      <c r="F1166" t="inlineStr">
        <is>
          <t>B09K9FDLFN</t>
        </is>
      </c>
      <c r="G1166">
        <f>_xludf.IMAGE("https://www.shelhealth.com/cdn/shop/products/blue-buffalo-chicken-and-brown-rice-life-protection-formula-small-breed-dry-dog-food-20-lbs-shelhealth-718.jpg?v=1663370054&amp;width=1946")</f>
        <v/>
      </c>
      <c r="H1166">
        <f>_xludf.IMAGE("https://m.media-amazon.com/images/I/7138dI3eRyL._AC_UL320_.jpg")</f>
        <v/>
      </c>
      <c r="K1166" t="inlineStr">
        <is>
          <t>66.99</t>
        </is>
      </c>
      <c r="L1166" t="n">
        <v>16.98</v>
      </c>
      <c r="M1166" s="1" t="inlineStr">
        <is>
          <t>-74.65%</t>
        </is>
      </c>
      <c r="N1166" s="3" t="n">
        <v>-74.65000000000001</v>
      </c>
      <c r="O1166" t="n">
        <v>4.7</v>
      </c>
      <c r="P1166" t="n">
        <v>19993</v>
      </c>
      <c r="R1166" t="inlineStr">
        <is>
          <t>InStock</t>
        </is>
      </c>
      <c r="S1166" t="inlineStr">
        <is>
          <t>66.99</t>
        </is>
      </c>
      <c r="T1166" t="inlineStr">
        <is>
          <t>4658728435801</t>
        </is>
      </c>
    </row>
    <row r="1167" hidden="1" ht="15.75" customHeight="1">
      <c r="A1167" s="2">
        <f>HYPERLINK("https://www.shelhealth.com/products/blue-dog-bakery-peanut-butter-softies-dog-treats-72-oz", "https://www.shelhealth.com/products/blue-dog-bakery-peanut-butter-softies-dog-treats-72-oz")</f>
        <v/>
      </c>
      <c r="B1167" s="2">
        <f>HYPERLINK("https://www.shelhealth.com/products/blue-dog-bakery-peanut-butter-softies-dog-treats-72-oz", "https://www.shelhealth.com/products/blue-dog-bakery-peanut-butter-softies-dog-treats-72-oz")</f>
        <v/>
      </c>
      <c r="C1167" t="inlineStr">
        <is>
          <t>Blue Dog Bakery Peanut Butter Softies Dog Treats, 72 oz.</t>
        </is>
      </c>
      <c r="D1167" t="inlineStr">
        <is>
          <t>Blue Dog Bakery Natural Dog Treats, Doggie Paws, Peanut Butter Flavor, 16.2oz (1 Count)</t>
        </is>
      </c>
      <c r="E1167" s="2">
        <f>HYPERLINK("https://www.amazon.com/Blue-Dog-Bakery-Healthy-Molasses/dp/B074S9723R/ref=sr_1_2?keywords=Blue+Dog+Bakery+Peanut+Butter+Softies+Dog+Treats%2C+72+oz.&amp;qid=1695170285&amp;sr=8-2", "https://www.amazon.com/Blue-Dog-Bakery-Healthy-Molasses/dp/B074S9723R/ref=sr_1_2?keywords=Blue+Dog+Bakery+Peanut+Butter+Softies+Dog+Treats%2C+72+oz.&amp;qid=1695170285&amp;sr=8-2")</f>
        <v/>
      </c>
      <c r="F1167" t="inlineStr">
        <is>
          <t>B074S9723R</t>
        </is>
      </c>
      <c r="G1167">
        <f>_xludf.IMAGE("https://www.shelhealth.com/cdn/shop/products/blue-dog-bakery-peanut-butter-softies-treats-72-oz-shelhealth-341.jpg?v=1663354436&amp;width=1946")</f>
        <v/>
      </c>
      <c r="H1167">
        <f>_xludf.IMAGE("https://m.media-amazon.com/images/I/71L5k6K7O1L._AC_UL320_.jpg")</f>
        <v/>
      </c>
      <c r="K1167" t="inlineStr">
        <is>
          <t>23.99</t>
        </is>
      </c>
      <c r="L1167" t="n">
        <v>5.61</v>
      </c>
      <c r="M1167" s="1" t="inlineStr">
        <is>
          <t>-76.62%</t>
        </is>
      </c>
      <c r="N1167" s="3" t="n">
        <v>-76.62</v>
      </c>
      <c r="O1167" t="n">
        <v>4.5</v>
      </c>
      <c r="P1167" t="n">
        <v>3681</v>
      </c>
      <c r="R1167" t="inlineStr">
        <is>
          <t>OutOfStock</t>
        </is>
      </c>
      <c r="S1167" t="inlineStr">
        <is>
          <t>23.99</t>
        </is>
      </c>
      <c r="T1167" t="inlineStr">
        <is>
          <t>4167587594292</t>
        </is>
      </c>
    </row>
    <row r="1168" hidden="1" ht="15.75" customHeight="1">
      <c r="A1168" s="2">
        <f>HYPERLINK("https://www.shelhealth.com/products/frontline-plus-flea-and-tick-treatment-for-cats-8-month-supply", "https://www.shelhealth.com/products/frontline-plus-flea-and-tick-treatment-for-cats-8-month-supply")</f>
        <v/>
      </c>
      <c r="B1168" s="2">
        <f>HYPERLINK("https://www.shelhealth.com/products/frontline-plus-flea-and-tick-treatment-for-cats-8-month-supply", "https://www.shelhealth.com/products/frontline-plus-flea-and-tick-treatment-for-cats-8-month-supply")</f>
        <v/>
      </c>
      <c r="C1168" t="inlineStr">
        <is>
          <t>Frontline Plus Flea and Tick Treatment for Cats, 8 Month Supply</t>
        </is>
      </c>
      <c r="D1168" t="inlineStr">
        <is>
          <t>SENTRY Fiproguard Plus for Cats, Flea and Tick Prevention for Cats (1.5 Pounds and Over), Includes 3 Month Supply of Topical Flea Treatments</t>
        </is>
      </c>
      <c r="E1168" s="2">
        <f>HYPERLINK("https://www.amazon.com/SENTRY-Fiproguard-Plus-Flea-Topical/dp/B00QO2CNXU/ref=sr_1_6?keywords=Frontline+Plus+Flea+and+Tick+Treatment+for+Cats%2C+8+Month+Supply&amp;qid=1695170278&amp;sr=8-6", "https://www.amazon.com/SENTRY-Fiproguard-Plus-Flea-Topical/dp/B00QO2CNXU/ref=sr_1_6?keywords=Frontline+Plus+Flea+and+Tick+Treatment+for+Cats%2C+8+Month+Supply&amp;qid=1695170278&amp;sr=8-6")</f>
        <v/>
      </c>
      <c r="F1168" t="inlineStr">
        <is>
          <t>B00QO2CNXU</t>
        </is>
      </c>
      <c r="G1168">
        <f>_xludf.IMAGE("https://www.shelhealth.com/cdn/shop/products/frontline-plus-flea-and-tick-treatment-for-cats-8-month-supply-shelhealth-499.jpg?v=1663340526&amp;width=1946")</f>
        <v/>
      </c>
      <c r="H1168">
        <f>_xludf.IMAGE("https://m.media-amazon.com/images/I/71k7lEqkNkL._AC_UL320_.jpg")</f>
        <v/>
      </c>
      <c r="K1168" t="inlineStr">
        <is>
          <t>99.99</t>
        </is>
      </c>
      <c r="L1168" t="n">
        <v>22.95</v>
      </c>
      <c r="M1168" s="1" t="inlineStr">
        <is>
          <t>-77.05%</t>
        </is>
      </c>
      <c r="N1168" s="3" t="n">
        <v>-77.05</v>
      </c>
      <c r="O1168" t="n">
        <v>4.2</v>
      </c>
      <c r="P1168" t="n">
        <v>638</v>
      </c>
      <c r="R1168" t="inlineStr">
        <is>
          <t>InStock</t>
        </is>
      </c>
      <c r="S1168" t="inlineStr">
        <is>
          <t>99.99</t>
        </is>
      </c>
      <c r="T1168" t="inlineStr">
        <is>
          <t>3805310681140</t>
        </is>
      </c>
    </row>
    <row r="1169" hidden="1" ht="15.75" customHeight="1">
      <c r="A1169" s="2">
        <f>HYPERLINK("https://www.shelhealth.com/products/835302003493-caledon-farms-simply-salmon-cat-treats-2-oz", "https://www.shelhealth.com/products/835302003493-caledon-farms-simply-salmon-cat-treats-2-oz")</f>
        <v/>
      </c>
      <c r="B1169" s="2">
        <f>HYPERLINK("https://www.shelhealth.com/products/835302003493-caledon-farms-simply-salmon-cat-treats-2-oz", "https://www.shelhealth.com/products/835302003493-caledon-farms-simply-salmon-cat-treats-2-oz")</f>
        <v/>
      </c>
      <c r="C1169" t="inlineStr">
        <is>
          <t>CALEDON FARMS Simply Salmon Cat Treats, 2 oz (Case of 4)</t>
        </is>
      </c>
      <c r="D1169" t="inlineStr">
        <is>
          <t>Caledon Farms Simply Salmon Cat Treats, 57G/2OZ</t>
        </is>
      </c>
      <c r="E1169" s="2">
        <f>HYPERLINK("https://www.amazon.com/Caledon-Farms-Simply-Salmon-Treats/dp/B09KSX5TY1/ref=sr_1_1?keywords=CALEDON+FARMS+Simply+Salmon+Cat+Treats%2C+2+oz+%28Case+of+4%29&amp;qid=1695170354&amp;sr=8-1", "https://www.amazon.com/Caledon-Farms-Simply-Salmon-Treats/dp/B09KSX5TY1/ref=sr_1_1?keywords=CALEDON+FARMS+Simply+Salmon+Cat+Treats%2C+2+oz+%28Case+of+4%29&amp;qid=1695170354&amp;sr=8-1")</f>
        <v/>
      </c>
      <c r="F1169" t="inlineStr">
        <is>
          <t>B09KSX5TY1</t>
        </is>
      </c>
      <c r="G1169">
        <f>_xludf.IMAGE("https://www.shelhealth.com/cdn/shop/files/caledon-farms-simply-salmon-cat-treats-2-oz-case-of-4-pet-shelhealth-889.jpg?v=1689695077&amp;width=1946")</f>
        <v/>
      </c>
      <c r="H1169">
        <f>_xludf.IMAGE("https://m.media-amazon.com/images/I/81axOwYSi7L._AC_UL320_.jpg")</f>
        <v/>
      </c>
      <c r="K1169" t="inlineStr">
        <is>
          <t>16.99</t>
        </is>
      </c>
      <c r="L1169" t="n">
        <v>3.77</v>
      </c>
      <c r="M1169" s="1" t="inlineStr">
        <is>
          <t>-77.81%</t>
        </is>
      </c>
      <c r="N1169" s="3" t="n">
        <v>-77.81</v>
      </c>
      <c r="O1169" t="n">
        <v>3.6</v>
      </c>
      <c r="P1169" t="n">
        <v>64</v>
      </c>
      <c r="R1169" t="inlineStr">
        <is>
          <t>InStock</t>
        </is>
      </c>
      <c r="S1169" t="inlineStr">
        <is>
          <t>16.99</t>
        </is>
      </c>
      <c r="T1169" t="inlineStr">
        <is>
          <t>7574005121256</t>
        </is>
      </c>
    </row>
    <row r="1170" hidden="1" ht="15.75" customHeight="1">
      <c r="A1170" s="2">
        <f>HYPERLINK("https://www.shelhealth.com/products/cesar-classics-variety-dog-food-trays-40-ct-3-5-oz", "https://www.shelhealth.com/products/cesar-classics-variety-dog-food-trays-40-ct-3-5-oz")</f>
        <v/>
      </c>
      <c r="B1170" s="2">
        <f>HYPERLINK("https://www.shelhealth.com/products/cesar-classics-variety-dog-food-trays-40-ct-3-5-oz", "https://www.shelhealth.com/products/cesar-classics-variety-dog-food-trays-40-ct-3-5-oz")</f>
        <v/>
      </c>
      <c r="C1170" t="inlineStr">
        <is>
          <t>Cesar Classics Variety Dog Food Trays, 40 ct./3.5 oz.</t>
        </is>
      </c>
      <c r="D1170" t="inlineStr">
        <is>
          <t>CESAR Adult Soft Wet Dog Food Filets in Gravy Variety Pack, Filet Mignon and New York Strip Flavors, 3.5 oz Trays, 12 Count</t>
        </is>
      </c>
      <c r="E1170" s="2">
        <f>HYPERLINK("https://www.amazon.com/Cesar-Canine-Cuisine-Filet-Mignon/dp/B0029NILPW/ref=sr_1_9?keywords=Cesar+Classics+Variety+Dog+Food+Trays%2C+40+ct.%2F3.5+oz.&amp;qid=1695170279&amp;sr=8-9", "https://www.amazon.com/Cesar-Canine-Cuisine-Filet-Mignon/dp/B0029NILPW/ref=sr_1_9?keywords=Cesar+Classics+Variety+Dog+Food+Trays%2C+40+ct.%2F3.5+oz.&amp;qid=1695170279&amp;sr=8-9")</f>
        <v/>
      </c>
      <c r="F1170" t="inlineStr">
        <is>
          <t>B0029NILPW</t>
        </is>
      </c>
      <c r="G1170">
        <f>_xludf.IMAGE("https://www.shelhealth.com/cdn/shop/files/cesar-classics-variety-dog-food-trays-40-ct-3-5-oz-grocery-household-petpet-shelhealth-710.jpg?v=1686283638&amp;width=1946")</f>
        <v/>
      </c>
      <c r="H1170">
        <f>_xludf.IMAGE("https://m.media-amazon.com/images/I/71eKQOBLxRL._AC_UL320_.jpg")</f>
        <v/>
      </c>
      <c r="K1170" t="inlineStr">
        <is>
          <t>67.99</t>
        </is>
      </c>
      <c r="L1170" t="n">
        <v>14.98</v>
      </c>
      <c r="M1170" s="1" t="inlineStr">
        <is>
          <t>-77.97%</t>
        </is>
      </c>
      <c r="N1170" s="3" t="n">
        <v>-77.97</v>
      </c>
      <c r="O1170" t="n">
        <v>4.7</v>
      </c>
      <c r="P1170" t="n">
        <v>8367</v>
      </c>
      <c r="R1170" t="inlineStr">
        <is>
          <t>InStock</t>
        </is>
      </c>
      <c r="S1170" t="inlineStr">
        <is>
          <t>67.99</t>
        </is>
      </c>
      <c r="T1170" t="inlineStr">
        <is>
          <t>4167607844916</t>
        </is>
      </c>
    </row>
    <row r="1171" hidden="1" ht="15.75" customHeight="1">
      <c r="A1171" s="2">
        <f>HYPERLINK("https://www.shelhealth.com/products/rachael-ray-nutrish-real-beef-brown-rice-dog-food-40-lbs", "https://www.shelhealth.com/products/rachael-ray-nutrish-real-beef-brown-rice-dog-food-40-lbs")</f>
        <v/>
      </c>
      <c r="B1171" s="2">
        <f>HYPERLINK("https://www.shelhealth.com/products/rachael-ray-nutrish-real-beef-brown-rice-dog-food-40-lbs", "https://www.shelhealth.com/products/rachael-ray-nutrish-real-beef-brown-rice-dog-food-40-lbs")</f>
        <v/>
      </c>
      <c r="C1171" t="inlineStr">
        <is>
          <t>Rachael Ray Nutrish Real Beef &amp; Brown Rice Dog Food, 40 lbs.</t>
        </is>
      </c>
      <c r="D1171" t="inlineStr">
        <is>
          <t>Rachael Ray Nutrish Premium Natural Dry Dog Food, Real Beef &amp; Brown Rice Recipe, 6 Pounds</t>
        </is>
      </c>
      <c r="E1171" s="2">
        <f>HYPERLINK("https://www.amazon.com/Rachael-Ray-Nutrish-Natural-Recipe/dp/B01HEZ8IAC/ref=sr_1_10?keywords=Rachael+Ray+Nutrish+Real+Beef&amp;qid=1695170293&amp;sr=8-10", "https://www.amazon.com/Rachael-Ray-Nutrish-Natural-Recipe/dp/B01HEZ8IAC/ref=sr_1_10?keywords=Rachael+Ray+Nutrish+Real+Beef&amp;qid=1695170293&amp;sr=8-10")</f>
        <v/>
      </c>
      <c r="F1171" t="inlineStr">
        <is>
          <t>B01HEZ8IAC</t>
        </is>
      </c>
      <c r="G1171">
        <f>_xludf.IMAGE("https://www.shelhealth.com/cdn/shop/products/rachael-ray-nutrish-real-beef-brown-rice-dog-food-40-lbs-shelhealth-214.jpg?v=1663370472&amp;width=1946")</f>
        <v/>
      </c>
      <c r="H1171">
        <f>_xludf.IMAGE("https://m.media-amazon.com/images/I/91bPUk1t83L._AC_UL320_.jpg")</f>
        <v/>
      </c>
      <c r="K1171" t="inlineStr">
        <is>
          <t>66.99</t>
        </is>
      </c>
      <c r="L1171" t="n">
        <v>10.97</v>
      </c>
      <c r="M1171" s="1" t="inlineStr">
        <is>
          <t>-83.62%</t>
        </is>
      </c>
      <c r="N1171" s="3" t="n">
        <v>-83.62</v>
      </c>
      <c r="O1171" t="n">
        <v>4.3</v>
      </c>
      <c r="P1171" t="n">
        <v>59</v>
      </c>
      <c r="R1171" t="inlineStr">
        <is>
          <t>InStock</t>
        </is>
      </c>
      <c r="S1171" t="inlineStr">
        <is>
          <t>66.99</t>
        </is>
      </c>
      <c r="T1171" t="inlineStr">
        <is>
          <t>4664151048281</t>
        </is>
      </c>
    </row>
    <row r="1172" hidden="1" ht="15.75" customHeight="1">
      <c r="A1172" s="2">
        <f>HYPERLINK("https://www.shelhealth.com/products/purina-friskies-prime-filets-cat-food-variety-pack-48-pk-5-5-oz", "https://www.shelhealth.com/products/purina-friskies-prime-filets-cat-food-variety-pack-48-pk-5-5-oz")</f>
        <v/>
      </c>
      <c r="B1172" s="2">
        <f>HYPERLINK("https://www.shelhealth.com/products/purina-friskies-prime-filets-cat-food-variety-pack-48-pk-5-5-oz", "https://www.shelhealth.com/products/purina-friskies-prime-filets-cat-food-variety-pack-48-pk-5-5-oz")</f>
        <v/>
      </c>
      <c r="C1172" t="inlineStr">
        <is>
          <t>Purina Friskies Prime Filets Cat Food Variety Pack, 48 pk./5.5 oz.</t>
        </is>
      </c>
      <c r="D1172" t="inlineStr">
        <is>
          <t>Purina Friskies Gravy Wet Cat Food Variety Pack, Tasty Treasures Prime Filets 5.5 Ounce (Pack of 12)</t>
        </is>
      </c>
      <c r="E1172" s="2">
        <f>HYPERLINK("https://www.amazon.com/Purina-Friskies-Treasures-Cheese-Variety/dp/B006FTJ0NI/ref=sr_1_3?keywords=Purina+Friskies+Prime+Filets+Cat+Food+Variety+Pack%2C+48+pk.%2F5.5+oz.&amp;qid=1695170282&amp;sr=8-3", "https://www.amazon.com/Purina-Friskies-Treasures-Cheese-Variety/dp/B006FTJ0NI/ref=sr_1_3?keywords=Purina+Friskies+Prime+Filets+Cat+Food+Variety+Pack%2C+48+pk.%2F5.5+oz.&amp;qid=1695170282&amp;sr=8-3")</f>
        <v/>
      </c>
      <c r="F1172" t="inlineStr">
        <is>
          <t>B006FTJ0NI</t>
        </is>
      </c>
      <c r="G1172">
        <f>_xludf.IMAGE("https://www.shelhealth.com/cdn/shop/products/purina-friskies-prime-filets-cat-food-variety-pack-48-pk-5-oz-shelhealth-954.jpg?v=1663354447&amp;width=1946")</f>
        <v/>
      </c>
      <c r="H1172">
        <f>_xludf.IMAGE("https://m.media-amazon.com/images/I/81r7nzunUbL._AC_UL320_.jpg")</f>
        <v/>
      </c>
      <c r="K1172" t="inlineStr">
        <is>
          <t>54.99</t>
        </is>
      </c>
      <c r="L1172" t="n">
        <v>7.99</v>
      </c>
      <c r="M1172" s="1" t="inlineStr">
        <is>
          <t>-85.47%</t>
        </is>
      </c>
      <c r="N1172" s="3" t="n">
        <v>-85.47</v>
      </c>
      <c r="O1172" t="n">
        <v>4.6</v>
      </c>
      <c r="P1172" t="n">
        <v>20918</v>
      </c>
      <c r="R1172" t="inlineStr">
        <is>
          <t>InStock</t>
        </is>
      </c>
      <c r="S1172" t="inlineStr">
        <is>
          <t>54.99</t>
        </is>
      </c>
      <c r="T1172" t="inlineStr">
        <is>
          <t>4167590740020</t>
        </is>
      </c>
    </row>
    <row r="1173" ht="75" customHeight="1">
      <c r="A1173" s="2">
        <f>HYPERLINK("https://www.shelhealth.com/products/717256000905-bio-kleen-laundry-pwdr-premium-5-lb", "https://www.shelhealth.com/products/717256000905-bio-kleen-laundry-pwdr-premium-5-lb")</f>
        <v/>
      </c>
      <c r="B1173" s="2">
        <f>HYPERLINK("https://www.shelhealth.com/products/717256000905-bio-kleen-laundry-pwdr-premium-5-lb", "https://www.shelhealth.com/products/717256000905-bio-kleen-laundry-pwdr-premium-5-lb")</f>
        <v/>
      </c>
      <c r="C1173" t="inlineStr">
        <is>
          <t>BIO KLEEN Laundry Powder Premium, 5 lb</t>
        </is>
      </c>
      <c r="D1173" t="inlineStr">
        <is>
          <t>Bio Kleen Citrus Laundry Powder, 5 Pound - 6 per case</t>
        </is>
      </c>
      <c r="E1173" s="2">
        <f>HYPERLINK("https://www.amazon.com/Kleen-Citrus-Laundry-Powder-Pound/dp/B004ORY7CM/ref=sr_1_3?keywords=BIO+KLEEN+Laundry+Powder+Premium%2C+5+lb&amp;qid=1695170532&amp;sr=8-3", "https://www.amazon.com/Kleen-Citrus-Laundry-Powder-Pound/dp/B004ORY7CM/ref=sr_1_3?keywords=BIO+KLEEN+Laundry+Powder+Premium%2C+5+lb&amp;qid=1695170532&amp;sr=8-3")</f>
        <v/>
      </c>
      <c r="F1173" t="inlineStr">
        <is>
          <t>B004ORY7CM</t>
        </is>
      </c>
      <c r="G1173">
        <f>_xlfn.IMAGE("https://www.shelhealth.com/cdn/shop/files/bio-kleen-laundry-powder-premium-5-lb-home-products-shelhealth-625.jpg?v=1686140521&amp;width=1946")</f>
        <v/>
      </c>
      <c r="H1173">
        <f>_xlfn.IMAGE("https://m.media-amazon.com/images/I/71zXvXeoV0L._AC_UY218_.jpg")</f>
        <v/>
      </c>
      <c r="K1173" t="inlineStr">
        <is>
          <t>18.99</t>
        </is>
      </c>
      <c r="L1173" t="n">
        <v>99.98999999999999</v>
      </c>
      <c r="M1173" s="1" t="inlineStr">
        <is>
          <t>426.54%</t>
        </is>
      </c>
      <c r="N1173" s="3" t="n">
        <v>426.54</v>
      </c>
      <c r="O1173" t="n">
        <v>4.7</v>
      </c>
      <c r="P1173" t="n">
        <v>2</v>
      </c>
      <c r="R1173" t="inlineStr">
        <is>
          <t>OutOfStock</t>
        </is>
      </c>
      <c r="S1173" t="inlineStr">
        <is>
          <t>18.99</t>
        </is>
      </c>
      <c r="T1173" t="inlineStr">
        <is>
          <t>7573984411880</t>
        </is>
      </c>
    </row>
    <row r="1174" ht="75" customHeight="1">
      <c r="A1174" s="2">
        <f>HYPERLINK("https://www.shelhealth.com/products/808124701168-mrs-meyers-clean-day-honeysuckle-fabric-softener-32-fo", "https://www.shelhealth.com/products/808124701168-mrs-meyers-clean-day-honeysuckle-fabric-softener-32-fo")</f>
        <v/>
      </c>
      <c r="B1174" s="2">
        <f>HYPERLINK("https://www.shelhealth.com/products/808124701168-mrs-meyers-clean-day-honeysuckle-fabric-softener-32-fo", "https://www.shelhealth.com/products/808124701168-mrs-meyers-clean-day-honeysuckle-fabric-softener-32-fo")</f>
        <v/>
      </c>
      <c r="C1174" t="inlineStr">
        <is>
          <t>Mrs Meyers Clean Day Honeysuckle Fabric Softener, 32 Fo</t>
        </is>
      </c>
      <c r="D1174" t="inlineStr">
        <is>
          <t>Mrs.Meyers Clean Day, Fabric Softener, Honysuckle, Pack of 6, Size - 32 FZ, Quantity - 1 Case</t>
        </is>
      </c>
      <c r="E1174" s="2">
        <f>HYPERLINK("https://www.amazon.com/Mrs-Meyers-Clean-Day-Softener-Honysuckle/dp/B01KSEH9Q0/ref=sr_1_3?keywords=Mrs+Meyers+Clean+Day+Honeysuckle+Fabric+Softener%2C+32+Fo&amp;qid=1695170526&amp;sr=8-3", "https://www.amazon.com/Mrs-Meyers-Clean-Day-Softener-Honysuckle/dp/B01KSEH9Q0/ref=sr_1_3?keywords=Mrs+Meyers+Clean+Day+Honeysuckle+Fabric+Softener%2C+32+Fo&amp;qid=1695170526&amp;sr=8-3")</f>
        <v/>
      </c>
      <c r="F1174" t="inlineStr">
        <is>
          <t>B01KSEH9Q0</t>
        </is>
      </c>
      <c r="G1174">
        <f>_xlfn.IMAGE("https://www.shelhealth.com/cdn/shop/files/mrs-meyers-clean-day-honeysuckle-fabric-softener-32-fo-home-products-shelhealth-149.jpg?v=1686486304&amp;width=1946")</f>
        <v/>
      </c>
      <c r="H1174">
        <f>_xlfn.IMAGE("https://m.media-amazon.com/images/I/71-PaRZYRwL._AC_UL320_.jpg")</f>
        <v/>
      </c>
      <c r="K1174" t="inlineStr">
        <is>
          <t>14.99</t>
        </is>
      </c>
      <c r="L1174" t="n">
        <v>71.44</v>
      </c>
      <c r="M1174" s="1" t="inlineStr">
        <is>
          <t>376.58%</t>
        </is>
      </c>
      <c r="N1174" s="3" t="n">
        <v>376.58</v>
      </c>
      <c r="O1174" t="n">
        <v>4.8</v>
      </c>
      <c r="P1174" t="n">
        <v>37</v>
      </c>
      <c r="R1174" t="inlineStr">
        <is>
          <t>InStock</t>
        </is>
      </c>
      <c r="S1174" t="inlineStr">
        <is>
          <t>14.99</t>
        </is>
      </c>
      <c r="T1174" t="inlineStr">
        <is>
          <t>7241832267964</t>
        </is>
      </c>
    </row>
    <row r="1175" ht="75" customHeight="1">
      <c r="A1175" s="2">
        <f>HYPERLINK("https://www.shelhealth.com/products/kirkland-signature-ultra-high-pile-premium-microfiber-towels-36-count", "https://www.shelhealth.com/products/kirkland-signature-ultra-high-pile-premium-microfiber-towels-36-count")</f>
        <v/>
      </c>
      <c r="B1175" s="2">
        <f>HYPERLINK("https://www.shelhealth.com/products/kirkland-signature-ultra-high-pile-premium-microfiber-towels-36-count", "https://www.shelhealth.com/products/kirkland-signature-ultra-high-pile-premium-microfiber-towels-36-count")</f>
        <v/>
      </c>
      <c r="C1175" t="inlineStr">
        <is>
          <t>Kirkland Signature Ultra High Pile Premium Microfiber Towels - 36 Count.</t>
        </is>
      </c>
      <c r="D1175" t="inlineStr">
        <is>
          <t>Kirkland Signature sTKZvl Ultra High Pile Premium Microfiber Towels, 36 Pack, 5 Units</t>
        </is>
      </c>
      <c r="E1175" s="2">
        <f>HYPERLINK("https://www.amazon.com/Kirkland-Signature-sTKZvl-Premium-Microfiber/dp/B078K83HW4/ref=sr_1_7?keywords=Kirkland+Signature+Ultra+High+Pile+Premium+Microfiber+Towels+-+36+Count.&amp;qid=1695170388&amp;sr=8-7", "https://www.amazon.com/Kirkland-Signature-sTKZvl-Premium-Microfiber/dp/B078K83HW4/ref=sr_1_7?keywords=Kirkland+Signature+Ultra+High+Pile+Premium+Microfiber+Towels+-+36+Count.&amp;qid=1695170388&amp;sr=8-7")</f>
        <v/>
      </c>
      <c r="F1175" t="inlineStr">
        <is>
          <t>B078K83HW4</t>
        </is>
      </c>
      <c r="G1175">
        <f>_xlfn.IMAGE("https://www.shelhealth.com/cdn/shop/products/kirkland-signature-ultra-high-pile-premium-microfiber-towels-36-count-shelhealth-273.jpg?v=1663373793&amp;width=1946")</f>
        <v/>
      </c>
      <c r="H1175">
        <f>_xlfn.IMAGE("https://m.media-amazon.com/images/I/71kzqGQzYML._AC_UL320_.jpg")</f>
        <v/>
      </c>
      <c r="K1175" t="inlineStr">
        <is>
          <t>29.99</t>
        </is>
      </c>
      <c r="L1175" t="n">
        <v>141</v>
      </c>
      <c r="M1175" s="1" t="inlineStr">
        <is>
          <t>370.16%</t>
        </is>
      </c>
      <c r="N1175" s="3" t="n">
        <v>370.16</v>
      </c>
      <c r="O1175" t="n">
        <v>5</v>
      </c>
      <c r="P1175" t="n">
        <v>2</v>
      </c>
      <c r="R1175" t="inlineStr">
        <is>
          <t>InStock</t>
        </is>
      </c>
      <c r="S1175" t="inlineStr">
        <is>
          <t>29.99</t>
        </is>
      </c>
      <c r="T1175" t="inlineStr">
        <is>
          <t>4710420971609</t>
        </is>
      </c>
    </row>
    <row r="1176" ht="75" customHeight="1">
      <c r="A1176" s="2">
        <f>HYPERLINK("https://www.shelhealth.com/products/808124411166-mrs-meyers-clean-day-lavender-soy-candle-large-7-2-oz", "https://www.shelhealth.com/products/808124411166-mrs-meyers-clean-day-lavender-soy-candle-large-7-2-oz")</f>
        <v/>
      </c>
      <c r="B1176" s="2">
        <f>HYPERLINK("https://www.shelhealth.com/products/808124411166-mrs-meyers-clean-day-lavender-soy-candle-large-7-2-oz", "https://www.shelhealth.com/products/808124411166-mrs-meyers-clean-day-lavender-soy-candle-large-7-2-oz")</f>
        <v/>
      </c>
      <c r="C1176" t="inlineStr">
        <is>
          <t>MRS MEYERS CLEAN DAY Lavender Soy Candle Large, 7.2 oz</t>
        </is>
      </c>
      <c r="D1176" t="inlineStr">
        <is>
          <t>Mrs. Meyer's Clean Day Soy Candle, Lavender, 7.2-Ounce Glass Jars (Pack of 6)</t>
        </is>
      </c>
      <c r="E1176" s="2">
        <f>HYPERLINK("https://www.amazon.com/Mrs-Meyers-Clean-Day-7-2-Ounce/dp/B000E73MPY/ref=sr_1_2?keywords=MRS+MEYERS+CLEAN+DAY+Lavender+Soy+Candle+Large%2C+7.2+oz&amp;qid=1695170514&amp;sr=8-2", "https://www.amazon.com/Mrs-Meyers-Clean-Day-7-2-Ounce/dp/B000E73MPY/ref=sr_1_2?keywords=MRS+MEYERS+CLEAN+DAY+Lavender+Soy+Candle+Large%2C+7.2+oz&amp;qid=1695170514&amp;sr=8-2")</f>
        <v/>
      </c>
      <c r="F1176" t="inlineStr">
        <is>
          <t>B000E73MPY</t>
        </is>
      </c>
      <c r="G1176">
        <f>_xlfn.IMAGE("https://www.shelhealth.com/cdn/shop/files/mrs-meyers-clean-day-lavender-soy-candle-large-7-2-oz-home-products-shelhealth-544.jpg?v=1688712044&amp;width=1946")</f>
        <v/>
      </c>
      <c r="H1176">
        <f>_xlfn.IMAGE("https://m.media-amazon.com/images/I/71MeHp8kFpL._AC_UL320_.jpg")</f>
        <v/>
      </c>
      <c r="K1176" t="inlineStr">
        <is>
          <t>13.99</t>
        </is>
      </c>
      <c r="L1176" t="n">
        <v>63.46</v>
      </c>
      <c r="M1176" s="1" t="inlineStr">
        <is>
          <t>353.61%</t>
        </is>
      </c>
      <c r="N1176" s="3" t="n">
        <v>353.61</v>
      </c>
      <c r="O1176" t="n">
        <v>4.3</v>
      </c>
      <c r="P1176" t="n">
        <v>409</v>
      </c>
      <c r="R1176" t="inlineStr">
        <is>
          <t>InStock</t>
        </is>
      </c>
      <c r="S1176" t="inlineStr">
        <is>
          <t>13.99</t>
        </is>
      </c>
      <c r="T1176" t="inlineStr">
        <is>
          <t>7574209233128</t>
        </is>
      </c>
    </row>
    <row r="1177" ht="75" customHeight="1">
      <c r="A1177" s="2">
        <f>HYPERLINK("https://www.shelhealth.com/products/rubbermaid-brilliance-10-pc-food-storage-set", "https://www.shelhealth.com/products/rubbermaid-brilliance-10-pc-food-storage-set")</f>
        <v/>
      </c>
      <c r="B1177" s="2">
        <f>HYPERLINK("https://www.shelhealth.com/products/rubbermaid-brilliance-10-pc-food-storage-set", "https://www.shelhealth.com/products/rubbermaid-brilliance-10-pc-food-storage-set")</f>
        <v/>
      </c>
      <c r="C1177" t="inlineStr">
        <is>
          <t>Rubbermaid Brilliance 10-Pc. Food Storage Set</t>
        </is>
      </c>
      <c r="D1177" t="inlineStr">
        <is>
          <t>Rubbermaid Brilliance BPA Free Food Storage Containers with Lids, Airtight, for Lunch, Meal Prep, and Leftovers, Set of 22</t>
        </is>
      </c>
      <c r="E1177" s="2">
        <f>HYPERLINK("https://www.amazon.com/Rubbermaid-2108389-Brilliance-44-Piece-Container/dp/B07X64Z8RM/ref=sr_1_4?keywords=Rubbermaid+Brilliance+10-Pc.+Food+Storage+Set&amp;qid=1695170563&amp;sr=8-4", "https://www.amazon.com/Rubbermaid-2108389-Brilliance-44-Piece-Container/dp/B07X64Z8RM/ref=sr_1_4?keywords=Rubbermaid+Brilliance+10-Pc.+Food+Storage+Set&amp;qid=1695170563&amp;sr=8-4")</f>
        <v/>
      </c>
      <c r="F1177" t="inlineStr">
        <is>
          <t>B07X64Z8RM</t>
        </is>
      </c>
      <c r="G1177">
        <f>_xlfn.IMAGE("https://www.shelhealth.com/cdn/shop/products/rubbermaid-brilliance-10-pc-food-storage-set-shelhealth-862.jpg?v=1663356522&amp;width=1946")</f>
        <v/>
      </c>
      <c r="H1177">
        <f>_xlfn.IMAGE("https://m.media-amazon.com/images/I/91rRZWaom+L._AC_UL320_.jpg")</f>
        <v/>
      </c>
      <c r="K1177" t="inlineStr">
        <is>
          <t>26.99</t>
        </is>
      </c>
      <c r="L1177" t="n">
        <v>119.71</v>
      </c>
      <c r="M1177" s="1" t="inlineStr">
        <is>
          <t>343.53%</t>
        </is>
      </c>
      <c r="N1177" s="3" t="n">
        <v>343.53</v>
      </c>
      <c r="O1177" t="n">
        <v>4.7</v>
      </c>
      <c r="P1177" t="n">
        <v>77919</v>
      </c>
      <c r="R1177" t="inlineStr">
        <is>
          <t>OutOfStock</t>
        </is>
      </c>
      <c r="S1177" t="inlineStr">
        <is>
          <t>26.99</t>
        </is>
      </c>
      <c r="T1177" t="inlineStr">
        <is>
          <t>4178950684724</t>
        </is>
      </c>
    </row>
    <row r="1178" hidden="1" ht="15.75" customHeight="1">
      <c r="A1178" s="2">
        <f>HYPERLINK("https://www.shelhealth.com/products/717256000493-bio-kleen-bleach-oxygen-plus-32-oz", "https://www.shelhealth.com/products/717256000493-bio-kleen-bleach-oxygen-plus-32-oz")</f>
        <v/>
      </c>
      <c r="B1178" s="2">
        <f>HYPERLINK("https://www.shelhealth.com/products/717256000493-bio-kleen-bleach-oxygen-plus-32-oz", "https://www.shelhealth.com/products/717256000493-bio-kleen-bleach-oxygen-plus-32-oz")</f>
        <v/>
      </c>
      <c r="C1178" t="inlineStr">
        <is>
          <t>BIO KLEEN Bleach Oxygen Plus, 32 oz (Case of 3)</t>
        </is>
      </c>
      <c r="D1178" t="inlineStr">
        <is>
          <t>Biokleen Laundry Oxygen Bleach Plus, Concentrated Stain Remover, Whitens &amp; Brightens, Eco-Friendly, Non-Toxic, Plant-Based, No Artificial Fragrance or Preservatives, 2 Pounds, 32 HE Loads (Pack of 12)</t>
        </is>
      </c>
      <c r="E1178" s="2">
        <f>HYPERLINK("https://www.amazon.com/Biokleen-Concentrated-Eco-Friendly-Plant-Based-Preservatives/dp/B0009ET4YU/ref=sr_1_6?keywords=BIO+KLEEN+Bleach+Oxygen+Plus%2C+32+oz+%28Case+of+3%29&amp;qid=1695170521&amp;sr=8-6", "https://www.amazon.com/Biokleen-Concentrated-Eco-Friendly-Plant-Based-Preservatives/dp/B0009ET4YU/ref=sr_1_6?keywords=BIO+KLEEN+Bleach+Oxygen+Plus%2C+32+oz+%28Case+of+3%29&amp;qid=1695170521&amp;sr=8-6")</f>
        <v/>
      </c>
      <c r="F1178" t="inlineStr">
        <is>
          <t>B0009ET4YU</t>
        </is>
      </c>
      <c r="G1178">
        <f>_xludf.IMAGE("https://www.shelhealth.com/cdn/shop/files/bio-kleen-bleach-oxygen-plus-32-oz-case-of-3-home-products-shelhealth-698.jpg?v=1686140534&amp;width=1946")</f>
        <v/>
      </c>
      <c r="H1178">
        <f>_xludf.IMAGE("https://m.media-amazon.com/images/I/81Dfpu-0vwL._AC_UL320_.jpg")</f>
        <v/>
      </c>
      <c r="K1178" t="inlineStr">
        <is>
          <t>26.99</t>
        </is>
      </c>
      <c r="L1178" t="n">
        <v>115.18</v>
      </c>
      <c r="M1178" s="1" t="inlineStr">
        <is>
          <t>326.75%</t>
        </is>
      </c>
      <c r="N1178" s="3" t="n">
        <v>326.75</v>
      </c>
      <c r="O1178" t="n">
        <v>3.5</v>
      </c>
      <c r="P1178" t="n">
        <v>20</v>
      </c>
      <c r="R1178" t="inlineStr">
        <is>
          <t>OutOfStock</t>
        </is>
      </c>
      <c r="S1178" t="inlineStr">
        <is>
          <t>26.99</t>
        </is>
      </c>
      <c r="T1178" t="inlineStr">
        <is>
          <t>7573984051432</t>
        </is>
      </c>
    </row>
    <row r="1179" ht="75" customHeight="1">
      <c r="A1179" s="2">
        <f>HYPERLINK("https://www.shelhealth.com/products/732913137312-seventh-generation-100-recycled-paper-towels-140-2-ply-sheets-6-rolls", "https://www.shelhealth.com/products/732913137312-seventh-generation-100-recycled-paper-towels-140-2-ply-sheets-6-rolls")</f>
        <v/>
      </c>
      <c r="B1179" s="2">
        <f>HYPERLINK("https://www.shelhealth.com/products/732913137312-seventh-generation-100-recycled-paper-towels-140-2-ply-sheets-6-rolls", "https://www.shelhealth.com/products/732913137312-seventh-generation-100-recycled-paper-towels-140-2-ply-sheets-6-rolls")</f>
        <v/>
      </c>
      <c r="C1179" t="inlineStr">
        <is>
          <t>SEVENTH GENERATION 100% Recycled Paper Towels 140 2-Ply Sheets, 6 Rolls</t>
        </is>
      </c>
      <c r="D1179" t="inlineStr">
        <is>
          <t>Seventh Generation 100% Recycled Paper Towel Rolls, 2-Ply, 11 x 5.4 Sheets, 156 Sheets/RL, 32/CT</t>
        </is>
      </c>
      <c r="E1179" s="2">
        <f>HYPERLINK("https://www.amazon.com/Seventh-Generation-Recycled-Paper-Sheets/dp/B00R54A4RS/ref=sr_1_4?keywords=SEVENTH+GENERATION+100%25+Recycled+Paper+Towels+140+2-Ply+Sheets%2C+6+Rolls&amp;qid=1695170537&amp;sr=8-4", "https://www.amazon.com/Seventh-Generation-Recycled-Paper-Sheets/dp/B00R54A4RS/ref=sr_1_4?keywords=SEVENTH+GENERATION+100%25+Recycled+Paper+Towels+140+2-Ply+Sheets%2C+6+Rolls&amp;qid=1695170537&amp;sr=8-4")</f>
        <v/>
      </c>
      <c r="F1179" t="inlineStr">
        <is>
          <t>B00R54A4RS</t>
        </is>
      </c>
      <c r="G1179">
        <f>_xlfn.IMAGE("https://www.shelhealth.com/cdn/shop/products/seventh-generation-100-recycled-paper-towels-140-2-ply-sheets-6-rolls-shelhealth-281.jpg?v=1663783108&amp;width=1946")</f>
        <v/>
      </c>
      <c r="H1179">
        <f>_xlfn.IMAGE("https://m.media-amazon.com/images/I/51Zy9m9PKOL._AC_UL320_.jpg")</f>
        <v/>
      </c>
      <c r="K1179" t="inlineStr">
        <is>
          <t>20.39</t>
        </is>
      </c>
      <c r="L1179" t="n">
        <v>84.16</v>
      </c>
      <c r="M1179" s="1" t="inlineStr">
        <is>
          <t>312.75%</t>
        </is>
      </c>
      <c r="N1179" s="3" t="n">
        <v>312.75</v>
      </c>
      <c r="O1179" t="n">
        <v>4.3</v>
      </c>
      <c r="P1179" t="n">
        <v>3</v>
      </c>
      <c r="R1179" t="inlineStr">
        <is>
          <t>OutOfStock</t>
        </is>
      </c>
      <c r="S1179" t="inlineStr">
        <is>
          <t>20.39</t>
        </is>
      </c>
      <c r="T1179" t="inlineStr">
        <is>
          <t>7574287909096</t>
        </is>
      </c>
    </row>
    <row r="1180" ht="75" customHeight="1">
      <c r="A1180" s="2">
        <f>HYPERLINK("https://www.shelhealth.com/products/kirkland-signature-ultra-high-pile-premium-microfiber-towels-36-count", "https://www.shelhealth.com/products/kirkland-signature-ultra-high-pile-premium-microfiber-towels-36-count")</f>
        <v/>
      </c>
      <c r="B1180" s="2">
        <f>HYPERLINK("https://www.shelhealth.com/products/kirkland-signature-ultra-high-pile-premium-microfiber-towels-36-count", "https://www.shelhealth.com/products/kirkland-signature-ultra-high-pile-premium-microfiber-towels-36-count")</f>
        <v/>
      </c>
      <c r="C1180" t="inlineStr">
        <is>
          <t>Kirkland Signature Ultra High Pile Premium Microfiber Towels - 36 Count.</t>
        </is>
      </c>
      <c r="D1180" t="inlineStr">
        <is>
          <t>Kirkland Signature sSzDua Ultra High Pile Premium Microfiber Towels, 36 Pack, 4 Units</t>
        </is>
      </c>
      <c r="E1180" s="2">
        <f>HYPERLINK("https://www.amazon.com/Kirkland-Signature-sSzDua-Premium-Microfiber/dp/B078K8YBZ5/ref=sr_1_6?keywords=Kirkland+Signature+Ultra+High+Pile+Premium+Microfiber+Towels+-+36+Count.&amp;qid=1695170388&amp;sr=8-6", "https://www.amazon.com/Kirkland-Signature-sSzDua-Premium-Microfiber/dp/B078K8YBZ5/ref=sr_1_6?keywords=Kirkland+Signature+Ultra+High+Pile+Premium+Microfiber+Towels+-+36+Count.&amp;qid=1695170388&amp;sr=8-6")</f>
        <v/>
      </c>
      <c r="F1180" t="inlineStr">
        <is>
          <t>B078K8YBZ5</t>
        </is>
      </c>
      <c r="G1180">
        <f>_xlfn.IMAGE("https://www.shelhealth.com/cdn/shop/products/kirkland-signature-ultra-high-pile-premium-microfiber-towels-36-count-shelhealth-273.jpg?v=1663373793&amp;width=1946")</f>
        <v/>
      </c>
      <c r="H1180">
        <f>_xlfn.IMAGE("https://m.media-amazon.com/images/I/71kzqGQzYML._AC_UL320_.jpg")</f>
        <v/>
      </c>
      <c r="K1180" t="inlineStr">
        <is>
          <t>29.99</t>
        </is>
      </c>
      <c r="L1180" t="n">
        <v>122.99</v>
      </c>
      <c r="M1180" s="1" t="inlineStr">
        <is>
          <t>310.10%</t>
        </is>
      </c>
      <c r="N1180" s="3" t="n">
        <v>310.1</v>
      </c>
      <c r="O1180" t="n">
        <v>5</v>
      </c>
      <c r="P1180" t="n">
        <v>2</v>
      </c>
      <c r="R1180" t="inlineStr">
        <is>
          <t>InStock</t>
        </is>
      </c>
      <c r="S1180" t="inlineStr">
        <is>
          <t>29.99</t>
        </is>
      </c>
      <c r="T1180" t="inlineStr">
        <is>
          <t>4710420971609</t>
        </is>
      </c>
    </row>
    <row r="1181" ht="75" customHeight="1">
      <c r="A1181" s="2">
        <f>HYPERLINK("https://www.shelhealth.com/products/kirkland-signature-ultra-high-pile-premium-microfiber-towels-36-count", "https://www.shelhealth.com/products/kirkland-signature-ultra-high-pile-premium-microfiber-towels-36-count")</f>
        <v/>
      </c>
      <c r="B1181" s="2">
        <f>HYPERLINK("https://www.shelhealth.com/products/kirkland-signature-ultra-high-pile-premium-microfiber-towels-36-count", "https://www.shelhealth.com/products/kirkland-signature-ultra-high-pile-premium-microfiber-towels-36-count")</f>
        <v/>
      </c>
      <c r="C1181" t="inlineStr">
        <is>
          <t>Kirkland Signature Ultra High Pile Premium Microfiber Towels - 36 Count.</t>
        </is>
      </c>
      <c r="D1181" t="inlineStr">
        <is>
          <t>Kirkland Signature Ultra High Pile Premium Microfiber Towels, 36 Pack 16x16 4 Pack</t>
        </is>
      </c>
      <c r="E1181" s="2">
        <f>HYPERLINK("https://www.amazon.com/Kirkland-Signature-Premium-Microfiber-Towels/dp/B075PBZTR4/ref=sr_1_4?keywords=Kirkland+Signature+Ultra+High+Pile+Premium+Microfiber+Towels+-+36+Count.&amp;qid=1695170388&amp;sr=8-4", "https://www.amazon.com/Kirkland-Signature-Premium-Microfiber-Towels/dp/B075PBZTR4/ref=sr_1_4?keywords=Kirkland+Signature+Ultra+High+Pile+Premium+Microfiber+Towels+-+36+Count.&amp;qid=1695170388&amp;sr=8-4")</f>
        <v/>
      </c>
      <c r="F1181" t="inlineStr">
        <is>
          <t>B075PBZTR4</t>
        </is>
      </c>
      <c r="G1181">
        <f>_xlfn.IMAGE("https://www.shelhealth.com/cdn/shop/products/kirkland-signature-ultra-high-pile-premium-microfiber-towels-36-count-shelhealth-273.jpg?v=1663373793&amp;width=1946")</f>
        <v/>
      </c>
      <c r="H1181">
        <f>_xlfn.IMAGE("https://m.media-amazon.com/images/I/71NKSrHimJL._AC_UL320_.jpg")</f>
        <v/>
      </c>
      <c r="K1181" t="inlineStr">
        <is>
          <t>29.99</t>
        </is>
      </c>
      <c r="L1181" t="n">
        <v>122.99</v>
      </c>
      <c r="M1181" s="1" t="inlineStr">
        <is>
          <t>310.10%</t>
        </is>
      </c>
      <c r="N1181" s="3" t="n">
        <v>310.1</v>
      </c>
      <c r="O1181" t="n">
        <v>4.9</v>
      </c>
      <c r="P1181" t="n">
        <v>17</v>
      </c>
      <c r="R1181" t="inlineStr">
        <is>
          <t>InStock</t>
        </is>
      </c>
      <c r="S1181" t="inlineStr">
        <is>
          <t>29.99</t>
        </is>
      </c>
      <c r="T1181" t="inlineStr">
        <is>
          <t>4710420971609</t>
        </is>
      </c>
    </row>
    <row r="1182" ht="75" customHeight="1">
      <c r="A1182" s="2">
        <f>HYPERLINK("https://www.shelhealth.com/products/kirkland-signature-ultra-high-pile-premium-microfiber-towels-36-count", "https://www.shelhealth.com/products/kirkland-signature-ultra-high-pile-premium-microfiber-towels-36-count")</f>
        <v/>
      </c>
      <c r="B1182" s="2">
        <f>HYPERLINK("https://www.shelhealth.com/products/kirkland-signature-ultra-high-pile-premium-microfiber-towels-36-count", "https://www.shelhealth.com/products/kirkland-signature-ultra-high-pile-premium-microfiber-towels-36-count")</f>
        <v/>
      </c>
      <c r="C1182" t="inlineStr">
        <is>
          <t>Kirkland Signature Ultra High Pile Premium Microfiber Towels - 36 Count.</t>
        </is>
      </c>
      <c r="D1182" t="inlineStr">
        <is>
          <t>Kirkland Signature wCHZiN Ultra High Pile Premium Microfiber Towels, 36 Pack, 4 Units</t>
        </is>
      </c>
      <c r="E1182" s="2">
        <f>HYPERLINK("https://www.amazon.com/Kirkland-Signature-wCHZiN-Premium-Microfiber/dp/B076MDSS1R/ref=sr_1_10?keywords=Kirkland+Signature+Ultra+High+Pile+Premium+Microfiber+Towels+-+36+Count.&amp;qid=1695170388&amp;sr=8-10", "https://www.amazon.com/Kirkland-Signature-wCHZiN-Premium-Microfiber/dp/B076MDSS1R/ref=sr_1_10?keywords=Kirkland+Signature+Ultra+High+Pile+Premium+Microfiber+Towels+-+36+Count.&amp;qid=1695170388&amp;sr=8-10")</f>
        <v/>
      </c>
      <c r="F1182" t="inlineStr">
        <is>
          <t>B076MDSS1R</t>
        </is>
      </c>
      <c r="G1182">
        <f>_xlfn.IMAGE("https://www.shelhealth.com/cdn/shop/products/kirkland-signature-ultra-high-pile-premium-microfiber-towels-36-count-shelhealth-273.jpg?v=1663373793&amp;width=1946")</f>
        <v/>
      </c>
      <c r="H1182">
        <f>_xlfn.IMAGE("https://m.media-amazon.com/images/I/71kzqGQzYML._AC_UL320_.jpg")</f>
        <v/>
      </c>
      <c r="K1182" t="inlineStr">
        <is>
          <t>29.99</t>
        </is>
      </c>
      <c r="L1182" t="n">
        <v>119.49</v>
      </c>
      <c r="M1182" s="1" t="inlineStr">
        <is>
          <t>298.43%</t>
        </is>
      </c>
      <c r="N1182" s="3" t="n">
        <v>298.43</v>
      </c>
      <c r="O1182" t="n">
        <v>5</v>
      </c>
      <c r="P1182" t="n">
        <v>1</v>
      </c>
      <c r="R1182" t="inlineStr">
        <is>
          <t>InStock</t>
        </is>
      </c>
      <c r="S1182" t="inlineStr">
        <is>
          <t>29.99</t>
        </is>
      </c>
      <c r="T1182" t="inlineStr">
        <is>
          <t>4710420971609</t>
        </is>
      </c>
    </row>
    <row r="1183" ht="75" customHeight="1">
      <c r="A1183" s="2">
        <f>HYPERLINK("https://www.shelhealth.com/products/s-o-s-steel-wool-soap-pads-50-per-box", "https://www.shelhealth.com/products/s-o-s-steel-wool-soap-pads-50-per-box")</f>
        <v/>
      </c>
      <c r="B1183" s="2">
        <f>HYPERLINK("https://www.shelhealth.com/products/s-o-s-steel-wool-soap-pads-50-per-box", "https://www.shelhealth.com/products/s-o-s-steel-wool-soap-pads-50-per-box")</f>
        <v/>
      </c>
      <c r="C1183" t="inlineStr">
        <is>
          <t>S.O.S. Steel Wool Soap Pads, 50 per Box</t>
        </is>
      </c>
      <c r="D1183" t="inlineStr">
        <is>
          <t>S.O.S. Steel Wool Soap Pads, Clorox Cleaning Pads, Healthcare Cleaning and Industrial Cleaning, 15 Count (12 Boxes Per Case) - 88320</t>
        </is>
      </c>
      <c r="E1183" s="2">
        <f>HYPERLINK("https://www.amazon.com/S-Clorox-Cleaning-Healthcare-Industrial/dp/B004EHZ7KI/ref=sr_1_4?keywords=S.O.S.+Steel+Wool+Soap+Pads%2C+50+per+Box&amp;qid=1695170391&amp;sr=8-4", "https://www.amazon.com/S-Clorox-Cleaning-Healthcare-Industrial/dp/B004EHZ7KI/ref=sr_1_4?keywords=S.O.S.+Steel+Wool+Soap+Pads%2C+50+per+Box&amp;qid=1695170391&amp;sr=8-4")</f>
        <v/>
      </c>
      <c r="F1183" t="inlineStr">
        <is>
          <t>B004EHZ7KI</t>
        </is>
      </c>
      <c r="G1183">
        <f>_xlfn.IMAGE("https://www.shelhealth.com/cdn/shop/files/s-o-steel-wool-soap-pads-50-per-box-grocery-household-petcleaning-goods-shelhealth-254.jpg?v=1686284016&amp;width=1946")</f>
        <v/>
      </c>
      <c r="H1183">
        <f>_xlfn.IMAGE("https://m.media-amazon.com/images/I/81Toucr8KDL._AC_UL320_.jpg")</f>
        <v/>
      </c>
      <c r="K1183" t="inlineStr">
        <is>
          <t>15.99</t>
        </is>
      </c>
      <c r="L1183" t="n">
        <v>62.84</v>
      </c>
      <c r="M1183" s="1" t="inlineStr">
        <is>
          <t>293.00%</t>
        </is>
      </c>
      <c r="N1183" s="3" t="n">
        <v>293</v>
      </c>
      <c r="O1183" t="n">
        <v>4.8</v>
      </c>
      <c r="P1183" t="n">
        <v>18</v>
      </c>
      <c r="R1183" t="inlineStr">
        <is>
          <t>InStock</t>
        </is>
      </c>
      <c r="S1183" t="inlineStr">
        <is>
          <t>15.99</t>
        </is>
      </c>
      <c r="T1183" t="inlineStr">
        <is>
          <t>4169813557300</t>
        </is>
      </c>
    </row>
    <row r="1184" hidden="1" ht="15.75" customHeight="1">
      <c r="A1184" s="2">
        <f>HYPERLINK("https://www.shelhealth.com/products/palmolive-ultra-antibacterial-dish-liquid-102-fl-oz", "https://www.shelhealth.com/products/palmolive-ultra-antibacterial-dish-liquid-102-fl-oz")</f>
        <v/>
      </c>
      <c r="B1184" s="2">
        <f>HYPERLINK("https://www.shelhealth.com/products/palmolive-ultra-antibacterial-dish-liquid-102-fl-oz", "https://www.shelhealth.com/products/palmolive-ultra-antibacterial-dish-liquid-102-fl-oz")</f>
        <v/>
      </c>
      <c r="C1184" t="inlineStr">
        <is>
          <t>Palmolive Ultra Antibacterial Dish Liquid, 102 fl. oz.</t>
        </is>
      </c>
      <c r="D1184" t="inlineStr">
        <is>
          <t>Palmolive Ultra Antibacterial Orange Dish Soap Refill, 102 Fl Oz, Pack of 4</t>
        </is>
      </c>
      <c r="E1184" s="2">
        <f>HYPERLINK("https://www.amazon.com/Palmolive-Ultra-Antibacterial-Orange-Refill/dp/B07C1Y253H/ref=sr_1_4?keywords=Palmolive+Ultra+Antibacterial+Dish+Liquid%2C+102+fl.+oz.&amp;qid=1695170423&amp;sr=8-4", "https://www.amazon.com/Palmolive-Ultra-Antibacterial-Orange-Refill/dp/B07C1Y253H/ref=sr_1_4?keywords=Palmolive+Ultra+Antibacterial+Dish+Liquid%2C+102+fl.+oz.&amp;qid=1695170423&amp;sr=8-4")</f>
        <v/>
      </c>
      <c r="F1184" t="inlineStr">
        <is>
          <t>B07C1Y253H</t>
        </is>
      </c>
      <c r="G1184">
        <f>_xludf.IMAGE("https://www.shelhealth.com/cdn/shop/products/palmolive-ultra-antibacterial-dish-liquid-102-fl-oz-shelhealth-618.jpg?v=1663370285&amp;width=1946")</f>
        <v/>
      </c>
      <c r="H1184">
        <f>_xludf.IMAGE("https://m.media-amazon.com/images/I/71lPzkhlYsL._AC_UL320_.jpg")</f>
        <v/>
      </c>
      <c r="K1184" t="inlineStr">
        <is>
          <t>17.99</t>
        </is>
      </c>
      <c r="L1184" t="n">
        <v>64.88</v>
      </c>
      <c r="M1184" s="1" t="inlineStr">
        <is>
          <t>260.64%</t>
        </is>
      </c>
      <c r="N1184" s="3" t="n">
        <v>260.64</v>
      </c>
      <c r="O1184" t="n">
        <v>3.5</v>
      </c>
      <c r="P1184" t="n">
        <v>4</v>
      </c>
      <c r="R1184" t="inlineStr">
        <is>
          <t>InStock</t>
        </is>
      </c>
      <c r="S1184" t="inlineStr">
        <is>
          <t>17.99</t>
        </is>
      </c>
      <c r="T1184" t="inlineStr">
        <is>
          <t>4664131813465</t>
        </is>
      </c>
    </row>
    <row r="1185" ht="75" customHeight="1">
      <c r="A1185" s="2">
        <f>HYPERLINK("https://www.shelhealth.com/products/scotch-brite-non-scratch-scrub-sponges-21-sponges-total", "https://www.shelhealth.com/products/scotch-brite-non-scratch-scrub-sponges-21-sponges-total")</f>
        <v/>
      </c>
      <c r="B1185" s="2">
        <f>HYPERLINK("https://www.shelhealth.com/products/scotch-brite-non-scratch-scrub-sponges-21-sponges-total", "https://www.shelhealth.com/products/scotch-brite-non-scratch-scrub-sponges-21-sponges-total")</f>
        <v/>
      </c>
      <c r="C1185" t="inlineStr">
        <is>
          <t>Scotch-Brite Non-Scratch Scrub Sponges, 21 Sponges Total</t>
        </is>
      </c>
      <c r="D1185" t="inlineStr">
        <is>
          <t>Scotch -Brite Non Scratch Scrub sponges - 21 Pack - Individually Wrapped(Pack of 4)</t>
        </is>
      </c>
      <c r="E1185" s="2">
        <f>HYPERLINK("https://www.amazon.com/Scotch-Brite-Scratch-Scrub-sponges/dp/B07N13R5GT/ref=sr_1_4?keywords=Scotch-Brite+Non-Scratch+Scrub+Sponges%2C+21+Sponges+Total&amp;qid=1695170382&amp;sr=8-4", "https://www.amazon.com/Scotch-Brite-Scratch-Scrub-sponges/dp/B07N13R5GT/ref=sr_1_4?keywords=Scotch-Brite+Non-Scratch+Scrub+Sponges%2C+21+Sponges+Total&amp;qid=1695170382&amp;sr=8-4")</f>
        <v/>
      </c>
      <c r="F1185" t="inlineStr">
        <is>
          <t>B07N13R5GT</t>
        </is>
      </c>
      <c r="G1185">
        <f>_xlfn.IMAGE("https://www.shelhealth.com/cdn/shop/products/scotch-brite-non-scratch-scrub-sponges-21-total-shelhealth-257.jpg?v=1663343405&amp;width=1946")</f>
        <v/>
      </c>
      <c r="H1185">
        <f>_xlfn.IMAGE("https://m.media-amazon.com/images/I/51v6uZYZunL._AC_UL320_.jpg")</f>
        <v/>
      </c>
      <c r="K1185" t="inlineStr">
        <is>
          <t>21.99</t>
        </is>
      </c>
      <c r="L1185" t="n">
        <v>77.95</v>
      </c>
      <c r="M1185" s="1" t="inlineStr">
        <is>
          <t>254.48%</t>
        </is>
      </c>
      <c r="N1185" s="3" t="n">
        <v>254.48</v>
      </c>
      <c r="O1185" t="n">
        <v>4.2</v>
      </c>
      <c r="P1185" t="n">
        <v>20</v>
      </c>
      <c r="R1185" t="inlineStr">
        <is>
          <t>InStock</t>
        </is>
      </c>
      <c r="S1185" t="inlineStr">
        <is>
          <t>21.99</t>
        </is>
      </c>
      <c r="T1185" t="inlineStr">
        <is>
          <t>3820350996532</t>
        </is>
      </c>
    </row>
    <row r="1186" ht="75" customHeight="1">
      <c r="A1186" s="2">
        <f>HYPERLINK("https://www.shelhealth.com/products/749174099099-ecos-ice-melt-6-5-lb", "https://www.shelhealth.com/products/749174099099-ecos-ice-melt-6-5-lb")</f>
        <v/>
      </c>
      <c r="B1186" s="2">
        <f>HYPERLINK("https://www.shelhealth.com/products/749174099099-ecos-ice-melt-6-5-lb", "https://www.shelhealth.com/products/749174099099-ecos-ice-melt-6-5-lb")</f>
        <v/>
      </c>
      <c r="C1186" t="inlineStr">
        <is>
          <t>ECOS Ice Melt, 6.5 lb</t>
        </is>
      </c>
      <c r="D1186" t="inlineStr">
        <is>
          <t>ECOS Ice Melt Magnesium Chloride Pellets Pet Paw, Plant and Concrete Safe, 6.5 lbs. Jug by Earth Friendly Products (Pack of 4)</t>
        </is>
      </c>
      <c r="E1186" s="2">
        <f>HYPERLINK("https://www.amazon.com/Earth-Friendly-Products-Melting-Compound/dp/B001MBT94Y/ref=sr_1_1?keywords=ECOS+Ice+Melt%2C+6.5+lb&amp;qid=1695170513&amp;sr=8-1", "https://www.amazon.com/Earth-Friendly-Products-Melting-Compound/dp/B001MBT94Y/ref=sr_1_1?keywords=ECOS+Ice+Melt%2C+6.5+lb&amp;qid=1695170513&amp;sr=8-1")</f>
        <v/>
      </c>
      <c r="F1186" t="inlineStr">
        <is>
          <t>B001MBT94Y</t>
        </is>
      </c>
      <c r="G1186">
        <f>_xlfn.IMAGE("https://www.shelhealth.com/cdn/shop/files/ecos-ice-melt-6-5-lb-home-products-shelhealth-277.jpg?v=1686211340&amp;width=1946")</f>
        <v/>
      </c>
      <c r="H1186">
        <f>_xlfn.IMAGE("https://m.media-amazon.com/images/I/61wEd8c2GPL._AC_UY218_.jpg")</f>
        <v/>
      </c>
      <c r="K1186" t="inlineStr">
        <is>
          <t>20.99</t>
        </is>
      </c>
      <c r="L1186" t="n">
        <v>68.81999999999999</v>
      </c>
      <c r="M1186" s="1" t="inlineStr">
        <is>
          <t>227.87%</t>
        </is>
      </c>
      <c r="N1186" s="3" t="n">
        <v>227.87</v>
      </c>
      <c r="O1186" t="n">
        <v>4.4</v>
      </c>
      <c r="P1186" t="n">
        <v>146</v>
      </c>
      <c r="R1186" t="inlineStr">
        <is>
          <t>OutOfStock</t>
        </is>
      </c>
      <c r="S1186" t="inlineStr">
        <is>
          <t>20.99</t>
        </is>
      </c>
      <c r="T1186" t="inlineStr">
        <is>
          <t>7574071607528</t>
        </is>
      </c>
    </row>
    <row r="1187" ht="75" customHeight="1">
      <c r="A1187" s="2">
        <f>HYPERLINK("https://www.shelhealth.com/products/732913137312-seventh-generation-100-recycled-paper-towels-140-2-ply-sheets-6-rolls", "https://www.shelhealth.com/products/732913137312-seventh-generation-100-recycled-paper-towels-140-2-ply-sheets-6-rolls")</f>
        <v/>
      </c>
      <c r="B1187" s="2">
        <f>HYPERLINK("https://www.shelhealth.com/products/732913137312-seventh-generation-100-recycled-paper-towels-140-2-ply-sheets-6-rolls", "https://www.shelhealth.com/products/732913137312-seventh-generation-100-recycled-paper-towels-140-2-ply-sheets-6-rolls")</f>
        <v/>
      </c>
      <c r="C1187" t="inlineStr">
        <is>
          <t>SEVENTH GENERATION 100% Recycled Paper Towels 140 2-Ply Sheets, 6 Rolls</t>
        </is>
      </c>
      <c r="D1187" t="inlineStr">
        <is>
          <t>Seventh Generation 13731CT 100% Recycled Paper Towel Rolls, 2-Ply, 11 x 5.4 Sheets, 140 Sheets Per Roll, 4 Packs of 6 Rolls (Case of 24)</t>
        </is>
      </c>
      <c r="E1187" s="2">
        <f>HYPERLINK("https://www.amazon.com/Seventh-Generation-13731CT-Recycled-Sheets/dp/B01APS84I6/ref=sr_1_3?keywords=SEVENTH+GENERATION+100%25+Recycled+Paper+Towels+140+2-Ply+Sheets%2C+6+Rolls&amp;qid=1695170537&amp;sr=8-3", "https://www.amazon.com/Seventh-Generation-13731CT-Recycled-Sheets/dp/B01APS84I6/ref=sr_1_3?keywords=SEVENTH+GENERATION+100%25+Recycled+Paper+Towels+140+2-Ply+Sheets%2C+6+Rolls&amp;qid=1695170537&amp;sr=8-3")</f>
        <v/>
      </c>
      <c r="F1187" t="inlineStr">
        <is>
          <t>B01APS84I6</t>
        </is>
      </c>
      <c r="G1187">
        <f>_xlfn.IMAGE("https://www.shelhealth.com/cdn/shop/products/seventh-generation-100-recycled-paper-towels-140-2-ply-sheets-6-rolls-shelhealth-281.jpg?v=1663783108&amp;width=1946")</f>
        <v/>
      </c>
      <c r="H1187">
        <f>_xlfn.IMAGE("https://m.media-amazon.com/images/I/815wpjV3kXL._AC_UL320_.jpg")</f>
        <v/>
      </c>
      <c r="K1187" t="inlineStr">
        <is>
          <t>20.39</t>
        </is>
      </c>
      <c r="L1187" t="n">
        <v>65.63</v>
      </c>
      <c r="M1187" s="1" t="inlineStr">
        <is>
          <t>221.87%</t>
        </is>
      </c>
      <c r="N1187" s="3" t="n">
        <v>221.87</v>
      </c>
      <c r="O1187" t="n">
        <v>4.1</v>
      </c>
      <c r="P1187" t="n">
        <v>24</v>
      </c>
      <c r="R1187" t="inlineStr">
        <is>
          <t>OutOfStock</t>
        </is>
      </c>
      <c r="S1187" t="inlineStr">
        <is>
          <t>20.39</t>
        </is>
      </c>
      <c r="T1187" t="inlineStr">
        <is>
          <t>7574287909096</t>
        </is>
      </c>
    </row>
    <row r="1188" ht="75" customHeight="1">
      <c r="A1188" s="2">
        <f>HYPERLINK("https://www.shelhealth.com/products/808124421165-mrs-meyers-clean-day-scented-soy-candle-lemon-verbena-scent-7-2-oz", "https://www.shelhealth.com/products/808124421165-mrs-meyers-clean-day-scented-soy-candle-lemon-verbena-scent-7-2-oz")</f>
        <v/>
      </c>
      <c r="B1188" s="2">
        <f>HYPERLINK("https://www.shelhealth.com/products/808124421165-mrs-meyers-clean-day-scented-soy-candle-lemon-verbena-scent-7-2-oz", "https://www.shelhealth.com/products/808124421165-mrs-meyers-clean-day-scented-soy-candle-lemon-verbena-scent-7-2-oz")</f>
        <v/>
      </c>
      <c r="C1188" t="inlineStr">
        <is>
          <t>MRS MEYERS CLEAN DAY Scented Soy Candle Lemon Verbena Scent, 7.2 oz</t>
        </is>
      </c>
      <c r="D1188" t="inlineStr">
        <is>
          <t>Mrs. Meyer's Clean Day's Scented Soy Aromatherapy Candle Bundle, 35 Hour Burn Time, Made with Soy Wax, Lavender and Lemon Verbena Scent, 7.2 oz Jars (4 Candles Total)</t>
        </is>
      </c>
      <c r="E1188" s="2">
        <f>HYPERLINK("https://www.amazon.com/Scented-Aromatherapy-Lavender-Verbena-Candles/dp/B08QH65CVX/ref=sr_1_3?keywords=MRS+MEYERS+CLEAN+DAY+Scented+Soy+Candle+Lemon+Verbena+Scent%2C+7.2+oz&amp;qid=1695170517&amp;sr=8-3", "https://www.amazon.com/Scented-Aromatherapy-Lavender-Verbena-Candles/dp/B08QH65CVX/ref=sr_1_3?keywords=MRS+MEYERS+CLEAN+DAY+Scented+Soy+Candle+Lemon+Verbena+Scent%2C+7.2+oz&amp;qid=1695170517&amp;sr=8-3")</f>
        <v/>
      </c>
      <c r="F1188" t="inlineStr">
        <is>
          <t>B08QH65CVX</t>
        </is>
      </c>
      <c r="G1188">
        <f>_xlfn.IMAGE("https://www.shelhealth.com/cdn/shop/files/mrs-meyers-clean-day-scented-soy-candle-lemon-verbena-scent-7-2-oz-home-products-shelhealth-417.jpg?v=1686219987&amp;width=1946")</f>
        <v/>
      </c>
      <c r="H1188">
        <f>_xlfn.IMAGE("https://m.media-amazon.com/images/I/61Ys9TZeOEL._AC_UL320_.jpg")</f>
        <v/>
      </c>
      <c r="K1188" t="inlineStr">
        <is>
          <t>13.99</t>
        </is>
      </c>
      <c r="L1188" t="n">
        <v>42.27</v>
      </c>
      <c r="M1188" s="1" t="inlineStr">
        <is>
          <t>202.14%</t>
        </is>
      </c>
      <c r="N1188" s="3" t="n">
        <v>202.14</v>
      </c>
      <c r="O1188" t="n">
        <v>4.4</v>
      </c>
      <c r="P1188" t="n">
        <v>254</v>
      </c>
      <c r="R1188" t="inlineStr">
        <is>
          <t>InStock</t>
        </is>
      </c>
      <c r="S1188" t="inlineStr">
        <is>
          <t>13.99</t>
        </is>
      </c>
      <c r="T1188" t="inlineStr">
        <is>
          <t>7574209659112</t>
        </is>
      </c>
    </row>
    <row r="1189" ht="75" customHeight="1">
      <c r="A1189" s="2">
        <f>HYPERLINK("https://www.shelhealth.com/products/808124411166-mrs-meyers-clean-day-lavender-soy-candle-large-7-2-oz", "https://www.shelhealth.com/products/808124411166-mrs-meyers-clean-day-lavender-soy-candle-large-7-2-oz")</f>
        <v/>
      </c>
      <c r="B1189" s="2">
        <f>HYPERLINK("https://www.shelhealth.com/products/808124411166-mrs-meyers-clean-day-lavender-soy-candle-large-7-2-oz", "https://www.shelhealth.com/products/808124411166-mrs-meyers-clean-day-lavender-soy-candle-large-7-2-oz")</f>
        <v/>
      </c>
      <c r="C1189" t="inlineStr">
        <is>
          <t>MRS MEYERS CLEAN DAY Lavender Soy Candle Large, 7.2 oz</t>
        </is>
      </c>
      <c r="D1189" t="inlineStr">
        <is>
          <t>Mrs. Meyer's Clean Day's Scented Soy Aromatherapy Candle Bundle, 35 Hour Burn Time, Made with Soy Wax, Lavender and Lemon Verbena Scent, 7.2 oz Jars (4 Candles Total)</t>
        </is>
      </c>
      <c r="E1189" s="2">
        <f>HYPERLINK("https://www.amazon.com/Scented-Aromatherapy-Lavender-Verbena-Candles/dp/B08QH65CVX/ref=sr_1_3?keywords=MRS+MEYERS+CLEAN+DAY+Lavender+Soy+Candle+Large%2C+7.2+oz&amp;qid=1695170514&amp;sr=8-3", "https://www.amazon.com/Scented-Aromatherapy-Lavender-Verbena-Candles/dp/B08QH65CVX/ref=sr_1_3?keywords=MRS+MEYERS+CLEAN+DAY+Lavender+Soy+Candle+Large%2C+7.2+oz&amp;qid=1695170514&amp;sr=8-3")</f>
        <v/>
      </c>
      <c r="F1189" t="inlineStr">
        <is>
          <t>B08QH65CVX</t>
        </is>
      </c>
      <c r="G1189">
        <f>_xlfn.IMAGE("https://www.shelhealth.com/cdn/shop/files/mrs-meyers-clean-day-lavender-soy-candle-large-7-2-oz-home-products-shelhealth-544.jpg?v=1688712044&amp;width=1946")</f>
        <v/>
      </c>
      <c r="H1189">
        <f>_xlfn.IMAGE("https://m.media-amazon.com/images/I/61Ys9TZeOEL._AC_UL320_.jpg")</f>
        <v/>
      </c>
      <c r="K1189" t="inlineStr">
        <is>
          <t>13.99</t>
        </is>
      </c>
      <c r="L1189" t="n">
        <v>42.27</v>
      </c>
      <c r="M1189" s="1" t="inlineStr">
        <is>
          <t>202.14%</t>
        </is>
      </c>
      <c r="N1189" s="3" t="n">
        <v>202.14</v>
      </c>
      <c r="O1189" t="n">
        <v>4.4</v>
      </c>
      <c r="P1189" t="n">
        <v>254</v>
      </c>
      <c r="R1189" t="inlineStr">
        <is>
          <t>InStock</t>
        </is>
      </c>
      <c r="S1189" t="inlineStr">
        <is>
          <t>13.99</t>
        </is>
      </c>
      <c r="T1189" t="inlineStr">
        <is>
          <t>7574209233128</t>
        </is>
      </c>
    </row>
    <row r="1190" ht="75" customHeight="1">
      <c r="A1190" s="2">
        <f>HYPERLINK("https://www.shelhealth.com/products/tide-with-downy-april-fresh-ultra-concentrated-liquid-laundry-detergent-138-fl-oz", "https://www.shelhealth.com/products/tide-with-downy-april-fresh-ultra-concentrated-liquid-laundry-detergent-138-fl-oz")</f>
        <v/>
      </c>
      <c r="B1190" s="2">
        <f>HYPERLINK("https://www.shelhealth.com/products/tide-with-downy-april-fresh-ultra-concentrated-liquid-laundry-detergent-138-fl-oz", "https://www.shelhealth.com/products/tide-with-downy-april-fresh-ultra-concentrated-liquid-laundry-detergent-138-fl-oz")</f>
        <v/>
      </c>
      <c r="C1190" t="inlineStr">
        <is>
          <t>Tide with Downy April Fresh Ultra Concentrated Liquid Laundry Detergent, 138 fl. oz.</t>
        </is>
      </c>
      <c r="D1190" t="inlineStr">
        <is>
          <t>Tide With Touch Of Downy April Fresh Scent Liquid Laundry Detergent 138 Fl Oz (Pack of 4)</t>
        </is>
      </c>
      <c r="E1190" s="2">
        <f>HYPERLINK("https://www.amazon.com/Tide-Touch-Liquid-Laundry-Detergent/dp/B00OWKIPBA/ref=sr_1_4?keywords=Tide+with+Downy+April+Fresh+Ultra+Concentrated+Liquid+Laundry+Detergent%2C+138+fl.+oz.&amp;qid=1695170412&amp;sr=8-4", "https://www.amazon.com/Tide-Touch-Liquid-Laundry-Detergent/dp/B00OWKIPBA/ref=sr_1_4?keywords=Tide+with+Downy+April+Fresh+Ultra+Concentrated+Liquid+Laundry+Detergent%2C+138+fl.+oz.&amp;qid=1695170412&amp;sr=8-4")</f>
        <v/>
      </c>
      <c r="F1190" t="inlineStr">
        <is>
          <t>B00OWKIPBA</t>
        </is>
      </c>
      <c r="G1190">
        <f>_xlfn.IMAGE("https://www.shelhealth.com/cdn/shop/products/tide-with-downy-april-fresh-ultra-concentrated-liquid-laundry-detergent-138-fl-oz-shelhealth-495.jpg?v=1663356752&amp;width=1946")</f>
        <v/>
      </c>
      <c r="H1190">
        <f>_xlfn.IMAGE("https://m.media-amazon.com/images/I/61Sr7lsxz+L._AC_UL320_.jpg")</f>
        <v/>
      </c>
      <c r="K1190" t="inlineStr">
        <is>
          <t>41.99</t>
        </is>
      </c>
      <c r="L1190" t="n">
        <v>124.59</v>
      </c>
      <c r="M1190" s="1" t="inlineStr">
        <is>
          <t>196.71%</t>
        </is>
      </c>
      <c r="N1190" s="3" t="n">
        <v>196.71</v>
      </c>
      <c r="O1190" t="n">
        <v>4.7</v>
      </c>
      <c r="P1190" t="n">
        <v>34</v>
      </c>
      <c r="R1190" t="inlineStr">
        <is>
          <t>InStock</t>
        </is>
      </c>
      <c r="S1190" t="inlineStr">
        <is>
          <t>41.99</t>
        </is>
      </c>
      <c r="T1190" t="inlineStr">
        <is>
          <t>4179076710452</t>
        </is>
      </c>
    </row>
    <row r="1191" ht="75" customHeight="1">
      <c r="A1191" s="2">
        <f>HYPERLINK("https://www.shelhealth.com/products/all-stainlifter-liquid-laundry-225-oz", "https://www.shelhealth.com/products/all-stainlifter-liquid-laundry-225-oz")</f>
        <v/>
      </c>
      <c r="B1191" s="2">
        <f>HYPERLINK("https://www.shelhealth.com/products/all-stainlifter-liquid-laundry-225-oz", "https://www.shelhealth.com/products/all-stainlifter-liquid-laundry-225-oz")</f>
        <v/>
      </c>
      <c r="C1191" t="inlineStr">
        <is>
          <t>all Stainlifter Liquid Laundry, 225 oz.</t>
        </is>
      </c>
      <c r="D1191" t="inlineStr">
        <is>
          <t>All Oxi-active Stainlifter Liquid Laundry Detergent - 225 Ozs. - 126 Loads</t>
        </is>
      </c>
      <c r="E1191" s="2">
        <f>HYPERLINK("https://www.amazon.com/All-Oxi-active-Stainlifter-Laundry-Detergent/dp/B0076X3OYS/ref=sr_1_2?keywords=all+Stainlifter+Liquid+Laundry%2C+225+oz.&amp;qid=1695170423&amp;sr=8-2", "https://www.amazon.com/All-Oxi-active-Stainlifter-Laundry-Detergent/dp/B0076X3OYS/ref=sr_1_2?keywords=all+Stainlifter+Liquid+Laundry%2C+225+oz.&amp;qid=1695170423&amp;sr=8-2")</f>
        <v/>
      </c>
      <c r="F1191" t="inlineStr">
        <is>
          <t>B0076X3OYS</t>
        </is>
      </c>
      <c r="G1191">
        <f>_xlfn.IMAGE("https://www.shelhealth.com/cdn/shop/products/all-stainlifter-liquid-laundry-225-oz-shelhealth-342.jpg?v=1663357037&amp;width=1946")</f>
        <v/>
      </c>
      <c r="H1191">
        <f>_xlfn.IMAGE("https://m.media-amazon.com/images/I/314eXBZrCQL._AC_UL320_.jpg")</f>
        <v/>
      </c>
      <c r="K1191" t="inlineStr">
        <is>
          <t>44.99</t>
        </is>
      </c>
      <c r="L1191" t="n">
        <v>129.99</v>
      </c>
      <c r="M1191" s="1" t="inlineStr">
        <is>
          <t>188.93%</t>
        </is>
      </c>
      <c r="N1191" s="3" t="n">
        <v>188.93</v>
      </c>
      <c r="O1191" t="n">
        <v>5</v>
      </c>
      <c r="P1191" t="n">
        <v>1</v>
      </c>
      <c r="R1191" t="inlineStr">
        <is>
          <t>InStock</t>
        </is>
      </c>
      <c r="S1191" t="inlineStr">
        <is>
          <t>44.99</t>
        </is>
      </c>
      <c r="T1191" t="inlineStr">
        <is>
          <t>4179136249908</t>
        </is>
      </c>
    </row>
    <row r="1192" ht="75" customHeight="1">
      <c r="A1192" s="2">
        <f>HYPERLINK("https://www.shelhealth.com/products/663204362208-zum-frankincense-myrrh-laundry-soap-32-fo", "https://www.shelhealth.com/products/663204362208-zum-frankincense-myrrh-laundry-soap-32-fo")</f>
        <v/>
      </c>
      <c r="B1192" s="2">
        <f>HYPERLINK("https://www.shelhealth.com/products/663204362208-zum-frankincense-myrrh-laundry-soap-32-fo", "https://www.shelhealth.com/products/663204362208-zum-frankincense-myrrh-laundry-soap-32-fo")</f>
        <v/>
      </c>
      <c r="C1192" t="inlineStr">
        <is>
          <t>ZUM Frankincense Myrrh Laundry Soap, 32 fo</t>
        </is>
      </c>
      <c r="D1192" t="inlineStr">
        <is>
          <t>Zum Clean Laundry Soap, Frankincense &amp; Myrrh, 64 oz-2 pack</t>
        </is>
      </c>
      <c r="E1192" s="2">
        <f>HYPERLINK("https://www.amazon.com/Clean-Laundry-Soap-Frankincense-Myrrh/dp/B006K3U4KW/ref=sr_1_1?keywords=ZUM+Frankincense+Myrrh+Laundry+Soap%2C+32+fo&amp;qid=1695170519&amp;sr=8-1", "https://www.amazon.com/Clean-Laundry-Soap-Frankincense-Myrrh/dp/B006K3U4KW/ref=sr_1_1?keywords=ZUM+Frankincense+Myrrh+Laundry+Soap%2C+32+fo&amp;qid=1695170519&amp;sr=8-1")</f>
        <v/>
      </c>
      <c r="F1192" t="inlineStr">
        <is>
          <t>B006K3U4KW</t>
        </is>
      </c>
      <c r="G1192">
        <f>_xlfn.IMAGE("https://www.shelhealth.com/cdn/shop/products/zum-frankincense-myrrh-laundry-soap-32-fo-shelhealth-229.jpg?v=1663790293&amp;width=1946")</f>
        <v/>
      </c>
      <c r="H1192">
        <f>_xlfn.IMAGE("https://m.media-amazon.com/images/I/815wrtMrXvL._AC_UL320_.jpg")</f>
        <v/>
      </c>
      <c r="K1192" t="inlineStr">
        <is>
          <t>10.99</t>
        </is>
      </c>
      <c r="L1192" t="n">
        <v>31.62</v>
      </c>
      <c r="M1192" s="1" t="inlineStr">
        <is>
          <t>187.72%</t>
        </is>
      </c>
      <c r="N1192" s="3" t="n">
        <v>187.72</v>
      </c>
      <c r="O1192" t="n">
        <v>4.6</v>
      </c>
      <c r="P1192" t="n">
        <v>2862</v>
      </c>
      <c r="R1192" t="inlineStr">
        <is>
          <t>OutOfStock</t>
        </is>
      </c>
      <c r="S1192" t="inlineStr">
        <is>
          <t>10.99</t>
        </is>
      </c>
      <c r="T1192" t="inlineStr">
        <is>
          <t>7574368420072</t>
        </is>
      </c>
    </row>
    <row r="1193" ht="75" customHeight="1">
      <c r="A1193" s="2">
        <f>HYPERLINK("https://www.shelhealth.com/products/808124113664-mrs-meyers-clean-day-snowdrop-soy-candle-large-7-2-oz", "https://www.shelhealth.com/products/808124113664-mrs-meyers-clean-day-snowdrop-soy-candle-large-7-2-oz")</f>
        <v/>
      </c>
      <c r="B1193" s="2">
        <f>HYPERLINK("https://www.shelhealth.com/products/808124113664-mrs-meyers-clean-day-snowdrop-soy-candle-large-7-2-oz", "https://www.shelhealth.com/products/808124113664-mrs-meyers-clean-day-snowdrop-soy-candle-large-7-2-oz")</f>
        <v/>
      </c>
      <c r="C1193" t="inlineStr">
        <is>
          <t>MRS MEYERS CLEAN DAY Snowdrop Soy Candle Large, 7.2 oz</t>
        </is>
      </c>
      <c r="D1193" t="inlineStr">
        <is>
          <t>Mrs. Meyer's Clean Day's Scented Soy Aromatherapy Candle Bundle, 35 Hour Burn Time, Made with Soy Wax, Lavender and Lemon Verbena Scent, 7.2 oz Jars (4 Candles Total)</t>
        </is>
      </c>
      <c r="E1193" s="2">
        <f>HYPERLINK("https://www.amazon.com/Scented-Aromatherapy-Lavender-Verbena-Candles/dp/B08QH65CVX/ref=sr_1_3?keywords=MRS+MEYERS+CLEAN+DAY+Snowdrop+Soy+Candle+Large%2C+7.2+oz&amp;qid=1695170518&amp;sr=8-3", "https://www.amazon.com/Scented-Aromatherapy-Lavender-Verbena-Candles/dp/B08QH65CVX/ref=sr_1_3?keywords=MRS+MEYERS+CLEAN+DAY+Snowdrop+Soy+Candle+Large%2C+7.2+oz&amp;qid=1695170518&amp;sr=8-3")</f>
        <v/>
      </c>
      <c r="F1193" t="inlineStr">
        <is>
          <t>B08QH65CVX</t>
        </is>
      </c>
      <c r="G1193">
        <f>_xlfn.IMAGE("https://www.shelhealth.com/cdn/shop/files/mrs-meyers-clean-day-snowdrop-soy-candle-large-7-2-oz-home-products-shelhealth-652.jpg?v=1686219986&amp;width=1946")</f>
        <v/>
      </c>
      <c r="H1193">
        <f>_xlfn.IMAGE("https://m.media-amazon.com/images/I/61Ys9TZeOEL._AC_UL320_.jpg")</f>
        <v/>
      </c>
      <c r="K1193" t="inlineStr">
        <is>
          <t>14.99</t>
        </is>
      </c>
      <c r="L1193" t="n">
        <v>42.27</v>
      </c>
      <c r="M1193" s="1" t="inlineStr">
        <is>
          <t>181.99%</t>
        </is>
      </c>
      <c r="N1193" s="3" t="n">
        <v>181.99</v>
      </c>
      <c r="O1193" t="n">
        <v>4.4</v>
      </c>
      <c r="P1193" t="n">
        <v>254</v>
      </c>
      <c r="R1193" t="inlineStr">
        <is>
          <t>OutOfStock</t>
        </is>
      </c>
      <c r="S1193" t="inlineStr">
        <is>
          <t>14.99</t>
        </is>
      </c>
      <c r="T1193" t="inlineStr">
        <is>
          <t>7574209724648</t>
        </is>
      </c>
    </row>
    <row r="1194" ht="75" customHeight="1">
      <c r="A1194" s="2">
        <f>HYPERLINK("https://www.shelhealth.com/products/rubbermaid-brilliance-10-pc-food-storage-set", "https://www.shelhealth.com/products/rubbermaid-brilliance-10-pc-food-storage-set")</f>
        <v/>
      </c>
      <c r="B1194" s="2">
        <f>HYPERLINK("https://www.shelhealth.com/products/rubbermaid-brilliance-10-pc-food-storage-set", "https://www.shelhealth.com/products/rubbermaid-brilliance-10-pc-food-storage-set")</f>
        <v/>
      </c>
      <c r="C1194" t="inlineStr">
        <is>
          <t>Rubbermaid Brilliance 10-Pc. Food Storage Set</t>
        </is>
      </c>
      <c r="D1194" t="inlineStr">
        <is>
          <t>Rubbermaid Brilliance Glass Storage Set of 9 Food Containers with Lids (18 Pieces Total), Set, Assorted, Clear</t>
        </is>
      </c>
      <c r="E1194" s="2">
        <f>HYPERLINK("https://www.amazon.com/Rubbermaid-Brilliance-Storage-Containers-Pieces/dp/B08BR9HBZ3/ref=sr_1_5?keywords=Rubbermaid+Brilliance+10-Pc.+Food+Storage+Set&amp;qid=1695170563&amp;sr=8-5", "https://www.amazon.com/Rubbermaid-Brilliance-Storage-Containers-Pieces/dp/B08BR9HBZ3/ref=sr_1_5?keywords=Rubbermaid+Brilliance+10-Pc.+Food+Storage+Set&amp;qid=1695170563&amp;sr=8-5")</f>
        <v/>
      </c>
      <c r="F1194" t="inlineStr">
        <is>
          <t>B08BR9HBZ3</t>
        </is>
      </c>
      <c r="G1194">
        <f>_xlfn.IMAGE("https://www.shelhealth.com/cdn/shop/products/rubbermaid-brilliance-10-pc-food-storage-set-shelhealth-862.jpg?v=1663356522&amp;width=1946")</f>
        <v/>
      </c>
      <c r="H1194">
        <f>_xlfn.IMAGE("https://m.media-amazon.com/images/I/717j+hMoHoL._AC_UL320_.jpg")</f>
        <v/>
      </c>
      <c r="K1194" t="inlineStr">
        <is>
          <t>26.99</t>
        </is>
      </c>
      <c r="L1194" t="n">
        <v>75.81</v>
      </c>
      <c r="M1194" s="1" t="inlineStr">
        <is>
          <t>180.88%</t>
        </is>
      </c>
      <c r="N1194" s="3" t="n">
        <v>180.88</v>
      </c>
      <c r="O1194" t="n">
        <v>4.8</v>
      </c>
      <c r="P1194" t="n">
        <v>1390</v>
      </c>
      <c r="R1194" t="inlineStr">
        <is>
          <t>OutOfStock</t>
        </is>
      </c>
      <c r="S1194" t="inlineStr">
        <is>
          <t>26.99</t>
        </is>
      </c>
      <c r="T1194" t="inlineStr">
        <is>
          <t>4178950684724</t>
        </is>
      </c>
    </row>
    <row r="1195" ht="75" customHeight="1">
      <c r="A1195" s="2">
        <f>HYPERLINK("https://www.shelhealth.com/products/808124411166-mrs-meyers-clean-day-lavender-soy-candle-large-7-2-oz", "https://www.shelhealth.com/products/808124411166-mrs-meyers-clean-day-lavender-soy-candle-large-7-2-oz")</f>
        <v/>
      </c>
      <c r="B1195" s="2">
        <f>HYPERLINK("https://www.shelhealth.com/products/808124411166-mrs-meyers-clean-day-lavender-soy-candle-large-7-2-oz", "https://www.shelhealth.com/products/808124411166-mrs-meyers-clean-day-lavender-soy-candle-large-7-2-oz")</f>
        <v/>
      </c>
      <c r="C1195" t="inlineStr">
        <is>
          <t>MRS MEYERS CLEAN DAY Lavender Soy Candle Large, 7.2 oz</t>
        </is>
      </c>
      <c r="D1195" t="inlineStr">
        <is>
          <t>Mrs. Meyers Clean Day Soy Candle, Basil, 7.2 oz, 2 Pack</t>
        </is>
      </c>
      <c r="E1195" s="2">
        <f>HYPERLINK("https://www.amazon.com/Mrs-Meyers-Clean-Day-Scented/dp/B0042G1RF0/ref=sr_1_10?keywords=MRS+MEYERS+CLEAN+DAY+Lavender+Soy+Candle+Large%2C+7.2+oz&amp;qid=1695170514&amp;sr=8-10", "https://www.amazon.com/Mrs-Meyers-Clean-Day-Scented/dp/B0042G1RF0/ref=sr_1_10?keywords=MRS+MEYERS+CLEAN+DAY+Lavender+Soy+Candle+Large%2C+7.2+oz&amp;qid=1695170514&amp;sr=8-10")</f>
        <v/>
      </c>
      <c r="F1195" t="inlineStr">
        <is>
          <t>B0042G1RF0</t>
        </is>
      </c>
      <c r="G1195">
        <f>_xlfn.IMAGE("https://www.shelhealth.com/cdn/shop/files/mrs-meyers-clean-day-lavender-soy-candle-large-7-2-oz-home-products-shelhealth-544.jpg?v=1688712044&amp;width=1946")</f>
        <v/>
      </c>
      <c r="H1195">
        <f>_xlfn.IMAGE("https://m.media-amazon.com/images/I/61oUmEsnJQL._AC_UL320_.jpg")</f>
        <v/>
      </c>
      <c r="K1195" t="inlineStr">
        <is>
          <t>13.99</t>
        </is>
      </c>
      <c r="L1195" t="n">
        <v>37.99</v>
      </c>
      <c r="M1195" s="1" t="inlineStr">
        <is>
          <t>171.55%</t>
        </is>
      </c>
      <c r="N1195" s="3" t="n">
        <v>171.55</v>
      </c>
      <c r="O1195" t="n">
        <v>4.4</v>
      </c>
      <c r="P1195" t="n">
        <v>3</v>
      </c>
      <c r="R1195" t="inlineStr">
        <is>
          <t>InStock</t>
        </is>
      </c>
      <c r="S1195" t="inlineStr">
        <is>
          <t>13.99</t>
        </is>
      </c>
      <c r="T1195" t="inlineStr">
        <is>
          <t>7574209233128</t>
        </is>
      </c>
    </row>
    <row r="1196" ht="75" customHeight="1">
      <c r="A1196" s="2">
        <f>HYPERLINK("https://www.shelhealth.com/products/scrubbing-bubbles-bathroom-grime-fighter-3-pk-32-oz", "https://www.shelhealth.com/products/scrubbing-bubbles-bathroom-grime-fighter-3-pk-32-oz")</f>
        <v/>
      </c>
      <c r="B1196" s="2">
        <f>HYPERLINK("https://www.shelhealth.com/products/scrubbing-bubbles-bathroom-grime-fighter-3-pk-32-oz", "https://www.shelhealth.com/products/scrubbing-bubbles-bathroom-grime-fighter-3-pk-32-oz")</f>
        <v/>
      </c>
      <c r="C1196" t="inlineStr">
        <is>
          <t>Scrubbing Bubbles Bathroom Grime Fighter, 3 pk./32 oz.</t>
        </is>
      </c>
      <c r="D1196" t="inlineStr">
        <is>
          <t>Scrubbing Bubbles Bathroom Grime Fighter Spray in Recyclable Bottle, Citrus, Ideal Bathroom, Tile, Bathtub and Shower Cleaner, 32 oz (Pack of 3)</t>
        </is>
      </c>
      <c r="E1196" s="2">
        <f>HYPERLINK("https://www.amazon.com/Scrubbing-Bubbles-Bathroom-Fighter-Disinfectant/dp/B084GNNVS4/ref=sr_1_10?keywords=Scrubbing+Bubbles+Bathroom+Grime+Fighter%2C+3+pk.%2F32+oz.&amp;qid=1695170396&amp;sr=8-10", "https://www.amazon.com/Scrubbing-Bubbles-Bathroom-Fighter-Disinfectant/dp/B084GNNVS4/ref=sr_1_10?keywords=Scrubbing+Bubbles+Bathroom+Grime+Fighter%2C+3+pk.%2F32+oz.&amp;qid=1695170396&amp;sr=8-10")</f>
        <v/>
      </c>
      <c r="F1196" t="inlineStr">
        <is>
          <t>B084GNNVS4</t>
        </is>
      </c>
      <c r="G1196">
        <f>_xlfn.IMAGE("https://www.shelhealth.com/cdn/shop/products/scrubbing-bubbles-bathroom-grime-fighter-3-pk-32-oz-shelhealth-327.jpg?v=1663369412&amp;width=1946")</f>
        <v/>
      </c>
      <c r="H1196">
        <f>_xlfn.IMAGE("https://m.media-amazon.com/images/I/81PPX4B2EXL._AC_UL320_.jpg")</f>
        <v/>
      </c>
      <c r="K1196" t="inlineStr">
        <is>
          <t>16.99</t>
        </is>
      </c>
      <c r="L1196" t="n">
        <v>44.99</v>
      </c>
      <c r="M1196" s="1" t="inlineStr">
        <is>
          <t>164.80%</t>
        </is>
      </c>
      <c r="N1196" s="3" t="n">
        <v>164.8</v>
      </c>
      <c r="O1196" t="n">
        <v>4.5</v>
      </c>
      <c r="P1196" t="n">
        <v>524</v>
      </c>
      <c r="R1196" t="inlineStr">
        <is>
          <t>InStock</t>
        </is>
      </c>
      <c r="S1196" t="inlineStr">
        <is>
          <t>16.99</t>
        </is>
      </c>
      <c r="T1196" t="inlineStr">
        <is>
          <t>4619084791897</t>
        </is>
      </c>
    </row>
    <row r="1197" ht="75" customHeight="1">
      <c r="A1197" s="2">
        <f>HYPERLINK("https://www.shelhealth.com/products/soft-scrub-lemon-all-purpose-surface-cleanser-with-2-scrub-daddys", "https://www.shelhealth.com/products/soft-scrub-lemon-all-purpose-surface-cleanser-with-2-scrub-daddys")</f>
        <v/>
      </c>
      <c r="B1197" s="2">
        <f>HYPERLINK("https://www.shelhealth.com/products/soft-scrub-lemon-all-purpose-surface-cleanser-with-2-scrub-daddys", "https://www.shelhealth.com/products/soft-scrub-lemon-all-purpose-surface-cleanser-with-2-scrub-daddys")</f>
        <v/>
      </c>
      <c r="C1197" t="inlineStr">
        <is>
          <t>Soft Scrub Lemon All Purpose Surface Cleanser with 2 Scrub Daddys</t>
        </is>
      </c>
      <c r="D1197" t="inlineStr">
        <is>
          <t>Soft Scrub Total All Purpose Bath &amp; Kitchen cleanser, lemon Scent 24 Oz (Pack Of 9), White</t>
        </is>
      </c>
      <c r="E1197" s="2">
        <f>HYPERLINK("https://www.amazon.com/Soft-Scrub-Purpose-Kitchen-Cleanser/dp/B005KBPXUG/ref=sr_1_9?keywords=Soft+Scrub+Lemon+All+Purpose+Surface+Cleanser+with+2+Scrub+Daddys&amp;qid=1695170547&amp;sr=8-9", "https://www.amazon.com/Soft-Scrub-Purpose-Kitchen-Cleanser/dp/B005KBPXUG/ref=sr_1_9?keywords=Soft+Scrub+Lemon+All+Purpose+Surface+Cleanser+with+2+Scrub+Daddys&amp;qid=1695170547&amp;sr=8-9")</f>
        <v/>
      </c>
      <c r="F1197" t="inlineStr">
        <is>
          <t>B005KBPXUG</t>
        </is>
      </c>
      <c r="G1197">
        <f>_xlfn.IMAGE("https://www.shelhealth.com/cdn/shop/products/soft-scrub-lemon-all-purpose-surface-cleanser-with-2-daddys-daddy-shelhealth-355.jpg?v=1663369396&amp;width=1946")</f>
        <v/>
      </c>
      <c r="H1197">
        <f>_xlfn.IMAGE("https://m.media-amazon.com/images/I/71gEDk1vI2L._AC_UL320_.jpg")</f>
        <v/>
      </c>
      <c r="K1197" t="inlineStr">
        <is>
          <t>17.99</t>
        </is>
      </c>
      <c r="L1197" t="n">
        <v>47.56</v>
      </c>
      <c r="M1197" s="1" t="inlineStr">
        <is>
          <t>164.37%</t>
        </is>
      </c>
      <c r="N1197" s="3" t="n">
        <v>164.37</v>
      </c>
      <c r="O1197" t="n">
        <v>4.9</v>
      </c>
      <c r="P1197" t="n">
        <v>14</v>
      </c>
      <c r="R1197" t="inlineStr">
        <is>
          <t>InStock</t>
        </is>
      </c>
      <c r="S1197" t="inlineStr">
        <is>
          <t>17.99</t>
        </is>
      </c>
      <c r="T1197" t="inlineStr">
        <is>
          <t>4618805706841</t>
        </is>
      </c>
    </row>
    <row r="1198" ht="75" customHeight="1">
      <c r="A1198" s="2">
        <f>HYPERLINK("https://www.shelhealth.com/products/808124144408-mrs-meyer-s-multi-surface-concentrate-basil-scent-32-oz", "https://www.shelhealth.com/products/808124144408-mrs-meyer-s-multi-surface-concentrate-basil-scent-32-oz")</f>
        <v/>
      </c>
      <c r="B1198" s="2">
        <f>HYPERLINK("https://www.shelhealth.com/products/808124144408-mrs-meyer-s-multi-surface-concentrate-basil-scent-32-oz", "https://www.shelhealth.com/products/808124144408-mrs-meyer-s-multi-surface-concentrate-basil-scent-32-oz")</f>
        <v/>
      </c>
      <c r="C1198" t="inlineStr">
        <is>
          <t>Mrs. Meyer'S Multi-Surface Concentrate Basil Scent, 32 Oz</t>
        </is>
      </c>
      <c r="D1198" t="inlineStr">
        <is>
          <t>Mrs. Meyer's Multi-Surface Cleaner Set, Basil, 2 ct: Multi-Surface Concentrate, Pack of 2 (32 fl oz), Multi-Surface Everyday Cleaner (16 fl oz)</t>
        </is>
      </c>
      <c r="E1198" s="2">
        <f>HYPERLINK("https://www.amazon.com/Mrs-Meyers-Multi-Surface-Cleaner-Basil/dp/B07J3LMWKL/ref=sr_1_7?keywords=Mrs.+MeyerS+Multi-Surface+Concentrate+Basil+Scent%2C+32+Oz&amp;qid=1695170461&amp;sr=8-7", "https://www.amazon.com/Mrs-Meyers-Multi-Surface-Cleaner-Basil/dp/B07J3LMWKL/ref=sr_1_7?keywords=Mrs.+MeyerS+Multi-Surface+Concentrate+Basil+Scent%2C+32+Oz&amp;qid=1695170461&amp;sr=8-7")</f>
        <v/>
      </c>
      <c r="F1198" t="inlineStr">
        <is>
          <t>B07J3LMWKL</t>
        </is>
      </c>
      <c r="G1198">
        <f>_xlfn.IMAGE("https://www.shelhealth.com/cdn/shop/files/mrs-meyers-multi-surface-concentrate-basil-scent-32-oz-home-products-clean-day-shelhealth-266.jpg?v=1686532600&amp;width=1946")</f>
        <v/>
      </c>
      <c r="H1198">
        <f>_xlfn.IMAGE("https://m.media-amazon.com/images/I/41btuTjlAxL._AC_UL320_.jpg")</f>
        <v/>
      </c>
      <c r="K1198" t="inlineStr">
        <is>
          <t>12.99</t>
        </is>
      </c>
      <c r="L1198" t="n">
        <v>33.55</v>
      </c>
      <c r="M1198" s="1" t="inlineStr">
        <is>
          <t>158.28%</t>
        </is>
      </c>
      <c r="N1198" s="3" t="n">
        <v>158.28</v>
      </c>
      <c r="O1198" t="n">
        <v>5</v>
      </c>
      <c r="P1198" t="n">
        <v>27</v>
      </c>
      <c r="R1198" t="inlineStr">
        <is>
          <t>InStock</t>
        </is>
      </c>
      <c r="S1198" t="inlineStr">
        <is>
          <t>12.99</t>
        </is>
      </c>
      <c r="T1198" t="inlineStr">
        <is>
          <t>7241836593340</t>
        </is>
      </c>
    </row>
    <row r="1199" ht="75" customHeight="1">
      <c r="A1199" s="2">
        <f>HYPERLINK("https://www.shelhealth.com/products/palmolive-ultra-antibacterial-dish-liquid-102-fl-oz", "https://www.shelhealth.com/products/palmolive-ultra-antibacterial-dish-liquid-102-fl-oz")</f>
        <v/>
      </c>
      <c r="B1199" s="2">
        <f>HYPERLINK("https://www.shelhealth.com/products/palmolive-ultra-antibacterial-dish-liquid-102-fl-oz", "https://www.shelhealth.com/products/palmolive-ultra-antibacterial-dish-liquid-102-fl-oz")</f>
        <v/>
      </c>
      <c r="C1199" t="inlineStr">
        <is>
          <t>Palmolive Ultra Antibacterial Dish Liquid, 102 fl. oz.</t>
        </is>
      </c>
      <c r="D1199" t="inlineStr">
        <is>
          <t>Palmolive Ultra Antibacterial Dish Liquid, 102 fl. oz. (pack of 2)</t>
        </is>
      </c>
      <c r="E1199" s="2">
        <f>HYPERLINK("https://www.amazon.com/Palmolive-Ultra-Antibacterial-Dish-Liquid/dp/B06X949JQ7/ref=sr_1_1?keywords=Palmolive+Ultra+Antibacterial+Dish+Liquid%2C+102+fl.+oz.&amp;qid=1695170423&amp;sr=8-1", "https://www.amazon.com/Palmolive-Ultra-Antibacterial-Dish-Liquid/dp/B06X949JQ7/ref=sr_1_1?keywords=Palmolive+Ultra+Antibacterial+Dish+Liquid%2C+102+fl.+oz.&amp;qid=1695170423&amp;sr=8-1")</f>
        <v/>
      </c>
      <c r="F1199" t="inlineStr">
        <is>
          <t>B06X949JQ7</t>
        </is>
      </c>
      <c r="G1199">
        <f>_xlfn.IMAGE("https://www.shelhealth.com/cdn/shop/products/palmolive-ultra-antibacterial-dish-liquid-102-fl-oz-shelhealth-618.jpg?v=1663370285&amp;width=1946")</f>
        <v/>
      </c>
      <c r="H1199">
        <f>_xlfn.IMAGE("https://m.media-amazon.com/images/I/61x0pLJ-vTL._AC_UL320_.jpg")</f>
        <v/>
      </c>
      <c r="K1199" t="inlineStr">
        <is>
          <t>17.99</t>
        </is>
      </c>
      <c r="L1199" t="n">
        <v>44.75</v>
      </c>
      <c r="M1199" s="1" t="inlineStr">
        <is>
          <t>148.75%</t>
        </is>
      </c>
      <c r="N1199" s="3" t="n">
        <v>148.75</v>
      </c>
      <c r="O1199" t="n">
        <v>4.8</v>
      </c>
      <c r="P1199" t="n">
        <v>79</v>
      </c>
      <c r="R1199" t="inlineStr">
        <is>
          <t>InStock</t>
        </is>
      </c>
      <c r="S1199" t="inlineStr">
        <is>
          <t>17.99</t>
        </is>
      </c>
      <c r="T1199" t="inlineStr">
        <is>
          <t>4664131813465</t>
        </is>
      </c>
    </row>
    <row r="1200" ht="75" customHeight="1">
      <c r="A1200" s="2">
        <f>HYPERLINK("https://www.shelhealth.com/products/732913137312-seventh-generation-100-recycled-paper-towels-140-2-ply-sheets-6-rolls", "https://www.shelhealth.com/products/732913137312-seventh-generation-100-recycled-paper-towels-140-2-ply-sheets-6-rolls")</f>
        <v/>
      </c>
      <c r="B1200" s="2">
        <f>HYPERLINK("https://www.shelhealth.com/products/732913137312-seventh-generation-100-recycled-paper-towels-140-2-ply-sheets-6-rolls", "https://www.shelhealth.com/products/732913137312-seventh-generation-100-recycled-paper-towels-140-2-ply-sheets-6-rolls")</f>
        <v/>
      </c>
      <c r="C1200" t="inlineStr">
        <is>
          <t>SEVENTH GENERATION 100% Recycled Paper Towels 140 2-Ply Sheets, 6 Rolls</t>
        </is>
      </c>
      <c r="D1200" t="inlineStr">
        <is>
          <t>Seventh Generation Paper Towels 2-Ply 4 Pack 100% Recycled Paper 6 Rolls</t>
        </is>
      </c>
      <c r="E1200" s="2">
        <f>HYPERLINK("https://www.amazon.com/Seventh-Generation-Paper-Towels-Recycled/dp/B08VXVF15B/ref=sr_1_7?keywords=SEVENTH+GENERATION+100%25+Recycled+Paper+Towels+140+2-Ply+Sheets%2C+6+Rolls&amp;qid=1695170537&amp;sr=8-7", "https://www.amazon.com/Seventh-Generation-Paper-Towels-Recycled/dp/B08VXVF15B/ref=sr_1_7?keywords=SEVENTH+GENERATION+100%25+Recycled+Paper+Towels+140+2-Ply+Sheets%2C+6+Rolls&amp;qid=1695170537&amp;sr=8-7")</f>
        <v/>
      </c>
      <c r="F1200" t="inlineStr">
        <is>
          <t>B08VXVF15B</t>
        </is>
      </c>
      <c r="G1200">
        <f>_xlfn.IMAGE("https://www.shelhealth.com/cdn/shop/products/seventh-generation-100-recycled-paper-towels-140-2-ply-sheets-6-rolls-shelhealth-281.jpg?v=1663783108&amp;width=1946")</f>
        <v/>
      </c>
      <c r="H1200">
        <f>_xlfn.IMAGE("https://m.media-amazon.com/images/I/91-5MP4Qt5S._AC_UL320_.jpg")</f>
        <v/>
      </c>
      <c r="K1200" t="inlineStr">
        <is>
          <t>20.39</t>
        </is>
      </c>
      <c r="L1200" t="n">
        <v>50.2</v>
      </c>
      <c r="M1200" s="1" t="inlineStr">
        <is>
          <t>146.20%</t>
        </is>
      </c>
      <c r="N1200" s="3" t="n">
        <v>146.2</v>
      </c>
      <c r="O1200" t="n">
        <v>4.6</v>
      </c>
      <c r="P1200" t="n">
        <v>475</v>
      </c>
      <c r="R1200" t="inlineStr">
        <is>
          <t>OutOfStock</t>
        </is>
      </c>
      <c r="S1200" t="inlineStr">
        <is>
          <t>20.39</t>
        </is>
      </c>
      <c r="T1200" t="inlineStr">
        <is>
          <t>7574287909096</t>
        </is>
      </c>
    </row>
    <row r="1201" ht="75" customHeight="1">
      <c r="A1201" s="2">
        <f>HYPERLINK("https://www.shelhealth.com/products/808124113671-mrs-meyers-clean-day-iowa-pine-room-freshener-8-oz", "https://www.shelhealth.com/products/808124113671-mrs-meyers-clean-day-iowa-pine-room-freshener-8-oz")</f>
        <v/>
      </c>
      <c r="B1201" s="2">
        <f>HYPERLINK("https://www.shelhealth.com/products/808124113671-mrs-meyers-clean-day-iowa-pine-room-freshener-8-oz", "https://www.shelhealth.com/products/808124113671-mrs-meyers-clean-day-iowa-pine-room-freshener-8-oz")</f>
        <v/>
      </c>
      <c r="C1201" t="inlineStr">
        <is>
          <t>Mrs Meyers Clean Day Iowa Pine Room Freshener, 8 Oz (Case of 3)</t>
        </is>
      </c>
      <c r="D1201" t="inlineStr">
        <is>
          <t>MRS. MEYER'S CLEAN DAY Room Freshener, Iowa Pine, 8 Fl Oz. (Pack of 12)</t>
        </is>
      </c>
      <c r="E1201" s="2">
        <f>HYPERLINK("https://www.amazon.com/MRS-MEYERS-CLEAN-DAY-Freshener/dp/B0BXFM8GKJ/ref=sr_1_5?keywords=Mrs+Meyers+Clean+Day+Iowa+Pine+Room+Freshener%2C+8+Oz+%28Case+of+3%29&amp;qid=1695170450&amp;sr=8-5", "https://www.amazon.com/MRS-MEYERS-CLEAN-DAY-Freshener/dp/B0BXFM8GKJ/ref=sr_1_5?keywords=Mrs+Meyers+Clean+Day+Iowa+Pine+Room+Freshener%2C+8+Oz+%28Case+of+3%29&amp;qid=1695170450&amp;sr=8-5")</f>
        <v/>
      </c>
      <c r="F1201" t="inlineStr">
        <is>
          <t>B0BXFM8GKJ</t>
        </is>
      </c>
      <c r="G1201">
        <f>_xlfn.IMAGE("https://www.shelhealth.com/cdn/shop/files/mrs-meyers-clean-day-iowa-pine-room-freshener-8-oz-case-of-3-home-products-shelhealth-272.jpg?v=1686141982&amp;width=1946")</f>
        <v/>
      </c>
      <c r="H1201">
        <f>_xlfn.IMAGE("https://m.media-amazon.com/images/I/61josvc0biL._AC_UL320_.jpg")</f>
        <v/>
      </c>
      <c r="K1201" t="inlineStr">
        <is>
          <t>24.99</t>
        </is>
      </c>
      <c r="L1201" t="n">
        <v>59.58</v>
      </c>
      <c r="M1201" s="1" t="inlineStr">
        <is>
          <t>138.42%</t>
        </is>
      </c>
      <c r="N1201" s="3" t="n">
        <v>138.42</v>
      </c>
      <c r="O1201" t="n">
        <v>5</v>
      </c>
      <c r="P1201" t="n">
        <v>1</v>
      </c>
      <c r="R1201" t="inlineStr">
        <is>
          <t>OutOfStock</t>
        </is>
      </c>
      <c r="S1201" t="inlineStr">
        <is>
          <t>24.99</t>
        </is>
      </c>
      <c r="T1201" t="inlineStr">
        <is>
          <t>7241832759484</t>
        </is>
      </c>
    </row>
    <row r="1202" ht="75" customHeight="1">
      <c r="A1202" s="2">
        <f>HYPERLINK("https://www.shelhealth.com/products/teflon-5-piece-kitchen-set", "https://www.shelhealth.com/products/teflon-5-piece-kitchen-set")</f>
        <v/>
      </c>
      <c r="B1202" s="2">
        <f>HYPERLINK("https://www.shelhealth.com/products/teflon-5-piece-kitchen-set", "https://www.shelhealth.com/products/teflon-5-piece-kitchen-set")</f>
        <v/>
      </c>
      <c r="C1202" t="inlineStr">
        <is>
          <t>Teflon 5 Piece Kitchen Set</t>
        </is>
      </c>
      <c r="D1202" t="inlineStr">
        <is>
          <t>Redchef Nonstick Pots and Pans Set - 5 Piece Ceramic Kitchen Cookware Set Non Toxic - Detachable Handle, Oven Safe - White - Free of PTFE, PFAS, PFOA - Ideal RV Cookware Set</t>
        </is>
      </c>
      <c r="E1202" s="2">
        <f>HYPERLINK("https://www.amazon.com/Redchef-Nonstick-Pots-Pans-Set/dp/B0C3QSLR7J/ref=sr_1_3?keywords=Teflon+5+Piece+Kitchen+Set&amp;qid=1695170555&amp;sr=8-3", "https://www.amazon.com/Redchef-Nonstick-Pots-Pans-Set/dp/B0C3QSLR7J/ref=sr_1_3?keywords=Teflon+5+Piece+Kitchen+Set&amp;qid=1695170555&amp;sr=8-3")</f>
        <v/>
      </c>
      <c r="F1202" t="inlineStr">
        <is>
          <t>B0C3QSLR7J</t>
        </is>
      </c>
      <c r="G1202">
        <f>_xlfn.IMAGE("https://www.shelhealth.com/cdn/shop/products/teflon-5-piece-kitchen-set-shelhealth-360.jpg?v=1663357382&amp;width=1946")</f>
        <v/>
      </c>
      <c r="H1202">
        <f>_xlfn.IMAGE("https://m.media-amazon.com/images/I/51dwPt23QPL._AC_UL320_.jpg")</f>
        <v/>
      </c>
      <c r="K1202" t="inlineStr">
        <is>
          <t>25.99</t>
        </is>
      </c>
      <c r="L1202" t="n">
        <v>59.99</v>
      </c>
      <c r="M1202" s="1" t="inlineStr">
        <is>
          <t>130.82%</t>
        </is>
      </c>
      <c r="N1202" s="3" t="n">
        <v>130.82</v>
      </c>
      <c r="O1202" t="n">
        <v>4.8</v>
      </c>
      <c r="P1202" t="n">
        <v>60</v>
      </c>
      <c r="R1202" t="inlineStr">
        <is>
          <t>OutOfStock</t>
        </is>
      </c>
      <c r="S1202" t="inlineStr">
        <is>
          <t>25.99</t>
        </is>
      </c>
      <c r="T1202" t="inlineStr">
        <is>
          <t>4181150761012</t>
        </is>
      </c>
    </row>
    <row r="1203" ht="75" customHeight="1">
      <c r="A1203" s="2">
        <f>HYPERLINK("https://www.shelhealth.com/products/swiffer-wetjet-hardwood-floor-spray-mop-starter-kit", "https://www.shelhealth.com/products/swiffer-wetjet-hardwood-floor-spray-mop-starter-kit")</f>
        <v/>
      </c>
      <c r="B1203" s="2">
        <f>HYPERLINK("https://www.shelhealth.com/products/swiffer-wetjet-hardwood-floor-spray-mop-starter-kit", "https://www.shelhealth.com/products/swiffer-wetjet-hardwood-floor-spray-mop-starter-kit")</f>
        <v/>
      </c>
      <c r="C1203" t="inlineStr">
        <is>
          <t>Swiffer WetJet Hardwood Floor Spray Mop Starter Kit</t>
        </is>
      </c>
      <c r="D1203" t="inlineStr">
        <is>
          <t>EUREKA Lightweight Powerful Upright Vacuum Cleaner &amp; Swiffer WetJet Hardwood and Floor Spray Mop Cleaner Starter Kit, Includes: 1 Power Mop, 10 Pads, Cleaning Solution, Batteries</t>
        </is>
      </c>
      <c r="E1203" s="2">
        <f>HYPERLINK("https://www.amazon.com/EUREKA-Lightweight-Powerful-Upright-Hardwood/dp/B0BK4GFW2T/ref=sr_1_9?keywords=Swiffer+WetJet+Hardwood+Floor+Spray+Mop+Starter+Kit&amp;qid=1695170436&amp;sr=8-9", "https://www.amazon.com/EUREKA-Lightweight-Powerful-Upright-Hardwood/dp/B0BK4GFW2T/ref=sr_1_9?keywords=Swiffer+WetJet+Hardwood+Floor+Spray+Mop+Starter+Kit&amp;qid=1695170436&amp;sr=8-9")</f>
        <v/>
      </c>
      <c r="F1203" t="inlineStr">
        <is>
          <t>B0BK4GFW2T</t>
        </is>
      </c>
      <c r="G1203">
        <f>_xlfn.IMAGE("https://www.shelhealth.com/cdn/shop/files/swiffer-wetjet-hardwood-floor-spray-mop-starter-kit-grocery-household-petcleaning-goods-shelhealth-863.jpg?v=1686284011&amp;width=1946")</f>
        <v/>
      </c>
      <c r="H1203">
        <f>_xlfn.IMAGE("https://m.media-amazon.com/images/I/41Itlst2OAL._AC_UL320_.jpg")</f>
        <v/>
      </c>
      <c r="K1203" t="inlineStr">
        <is>
          <t>46.99</t>
        </is>
      </c>
      <c r="L1203" t="n">
        <v>108.23</v>
      </c>
      <c r="M1203" s="1" t="inlineStr">
        <is>
          <t>130.33%</t>
        </is>
      </c>
      <c r="N1203" s="3" t="n">
        <v>130.33</v>
      </c>
      <c r="O1203" t="n">
        <v>5</v>
      </c>
      <c r="P1203" t="n">
        <v>1</v>
      </c>
      <c r="R1203" t="inlineStr">
        <is>
          <t>InStock</t>
        </is>
      </c>
      <c r="S1203" t="inlineStr">
        <is>
          <t>46.99</t>
        </is>
      </c>
      <c r="T1203" t="inlineStr">
        <is>
          <t>4169877585972</t>
        </is>
      </c>
    </row>
    <row r="1204" ht="75" customHeight="1">
      <c r="A1204" s="2">
        <f>HYPERLINK("https://www.shelhealth.com/products/glade-plugins-hawaiian-breeze-scented-oil-warmer-refills-8-pk", "https://www.shelhealth.com/products/glade-plugins-hawaiian-breeze-scented-oil-warmer-refills-8-pk")</f>
        <v/>
      </c>
      <c r="B1204" s="2">
        <f>HYPERLINK("https://www.shelhealth.com/products/glade-plugins-hawaiian-breeze-scented-oil-warmer-refills-8-pk", "https://www.shelhealth.com/products/glade-plugins-hawaiian-breeze-scented-oil-warmer-refills-8-pk")</f>
        <v/>
      </c>
      <c r="C1204" t="inlineStr">
        <is>
          <t>Glade PlugIns Hawaiian Breeze Scented Oil Warmer Refills, 8 pk.</t>
        </is>
      </c>
      <c r="D1204" t="inlineStr">
        <is>
          <t>Glade Hawaiin Limited Edition PlugIns Scented Oils Refills 25% More 8 Ct-Hawaiian Breeze, Yellow - Pack 3</t>
        </is>
      </c>
      <c r="E1204" s="2">
        <f>HYPERLINK("https://www.amazon.com/Glade-Hawaiin-Limited-PlugIns-Ct-Hawaiian/dp/B07PDGY79X/ref=sr_1_8?keywords=Glade+PlugIns+Hawaiian+Breeze+Scented+Oil+Warmer+Refills%2C+8+pk.&amp;qid=1695170562&amp;sr=8-8", "https://www.amazon.com/Glade-Hawaiin-Limited-PlugIns-Ct-Hawaiian/dp/B07PDGY79X/ref=sr_1_8?keywords=Glade+PlugIns+Hawaiian+Breeze+Scented+Oil+Warmer+Refills%2C+8+pk.&amp;qid=1695170562&amp;sr=8-8")</f>
        <v/>
      </c>
      <c r="F1204" t="inlineStr">
        <is>
          <t>B07PDGY79X</t>
        </is>
      </c>
      <c r="G1204">
        <f>_xlfn.IMAGE("https://www.shelhealth.com/cdn/shop/files/glade-plugins-hawaiian-breeze-scented-oil-warmer-refills-8-pk-grocery-household-petcleaning-goods-shelhealth-152.jpg?v=1686283077&amp;width=1946")</f>
        <v/>
      </c>
      <c r="H1204">
        <f>_xlfn.IMAGE("https://m.media-amazon.com/images/I/71K4ehI-T3L._AC_UL320_.jpg")</f>
        <v/>
      </c>
      <c r="K1204" t="inlineStr">
        <is>
          <t>28.99</t>
        </is>
      </c>
      <c r="L1204" t="n">
        <v>66.48999999999999</v>
      </c>
      <c r="M1204" s="1" t="inlineStr">
        <is>
          <t>129.35%</t>
        </is>
      </c>
      <c r="N1204" s="3" t="n">
        <v>129.35</v>
      </c>
      <c r="O1204" t="n">
        <v>5</v>
      </c>
      <c r="P1204" t="n">
        <v>3</v>
      </c>
      <c r="R1204" t="inlineStr">
        <is>
          <t>OutOfStock</t>
        </is>
      </c>
      <c r="S1204" t="inlineStr">
        <is>
          <t>28.99</t>
        </is>
      </c>
      <c r="T1204" t="inlineStr">
        <is>
          <t>4169649750068</t>
        </is>
      </c>
    </row>
    <row r="1205" ht="75" customHeight="1">
      <c r="A1205" s="2">
        <f>HYPERLINK("https://www.shelhealth.com/products/teflon-5-piece-kitchen-set", "https://www.shelhealth.com/products/teflon-5-piece-kitchen-set")</f>
        <v/>
      </c>
      <c r="B1205" s="2">
        <f>HYPERLINK("https://www.shelhealth.com/products/teflon-5-piece-kitchen-set", "https://www.shelhealth.com/products/teflon-5-piece-kitchen-set")</f>
        <v/>
      </c>
      <c r="C1205" t="inlineStr">
        <is>
          <t>Teflon 5 Piece Kitchen Set</t>
        </is>
      </c>
      <c r="D1205" t="inlineStr">
        <is>
          <t>Redchef 5-Piece Ceramic Cookware Set - Non-Stick Frying Pots and Pans with Removable/Detachable Handle - Stackable RV Cookware for Camping - Dishwasher Safe, PTFE &amp; PFAS-Free - Kitchen Cookware Sets</t>
        </is>
      </c>
      <c r="E1205" s="2">
        <f>HYPERLINK("https://www.amazon.com/Redchef-5-Piece-Ceramic-Cookware-Set/dp/B0C4F8L3X6/ref=sr_1_2?keywords=Teflon+5+Piece+Kitchen+Set&amp;qid=1695170555&amp;sr=8-2", "https://www.amazon.com/Redchef-5-Piece-Ceramic-Cookware-Set/dp/B0C4F8L3X6/ref=sr_1_2?keywords=Teflon+5+Piece+Kitchen+Set&amp;qid=1695170555&amp;sr=8-2")</f>
        <v/>
      </c>
      <c r="F1205" t="inlineStr">
        <is>
          <t>B0C4F8L3X6</t>
        </is>
      </c>
      <c r="G1205">
        <f>_xlfn.IMAGE("https://www.shelhealth.com/cdn/shop/products/teflon-5-piece-kitchen-set-shelhealth-360.jpg?v=1663357382&amp;width=1946")</f>
        <v/>
      </c>
      <c r="H1205">
        <f>_xlfn.IMAGE("https://m.media-amazon.com/images/I/51ztJxv99iL._AC_UL320_.jpg")</f>
        <v/>
      </c>
      <c r="K1205" t="inlineStr">
        <is>
          <t>25.99</t>
        </is>
      </c>
      <c r="L1205" t="n">
        <v>59.49</v>
      </c>
      <c r="M1205" s="1" t="inlineStr">
        <is>
          <t>128.90%</t>
        </is>
      </c>
      <c r="N1205" s="3" t="n">
        <v>128.9</v>
      </c>
      <c r="O1205" t="n">
        <v>4.7</v>
      </c>
      <c r="P1205" t="n">
        <v>106</v>
      </c>
      <c r="R1205" t="inlineStr">
        <is>
          <t>OutOfStock</t>
        </is>
      </c>
      <c r="S1205" t="inlineStr">
        <is>
          <t>25.99</t>
        </is>
      </c>
      <c r="T1205" t="inlineStr">
        <is>
          <t>4181150761012</t>
        </is>
      </c>
    </row>
    <row r="1206" ht="75" customHeight="1">
      <c r="A1206" s="2">
        <f>HYPERLINK("https://www.shelhealth.com/products/dawn-ultra-gentle-clean-pomegranate-and-rose-water-dishwashing-liquid-dish-soap-2-pk-34-6-fl-oz", "https://www.shelhealth.com/products/dawn-ultra-gentle-clean-pomegranate-and-rose-water-dishwashing-liquid-dish-soap-2-pk-34-6-fl-oz")</f>
        <v/>
      </c>
      <c r="B1206" s="2">
        <f>HYPERLINK("https://www.shelhealth.com/products/dawn-ultra-gentle-clean-pomegranate-and-rose-water-dishwashing-liquid-dish-soap-2-pk-34-6-fl-oz", "https://www.shelhealth.com/products/dawn-ultra-gentle-clean-pomegranate-and-rose-water-dishwashing-liquid-dish-soap-2-pk-34-6-fl-oz")</f>
        <v/>
      </c>
      <c r="C1206" t="inlineStr">
        <is>
          <t>Dawn Ultra Gentle Clean Pomegranate and Rose Water Dishwashing Liquid Dish Soap, 2 pk./34.6 fl. oz.</t>
        </is>
      </c>
      <c r="D1206" t="inlineStr">
        <is>
          <t>Dawn Ultra Gentle Clean Dishwashing Liquid Dish Soap, Pomegranate and Rose Water Scent, 34 Fl Oz (Pack of 3)</t>
        </is>
      </c>
      <c r="E1206" s="2">
        <f>HYPERLINK("https://www.amazon.com/Dawn-Gentle-Dishwashing-Liquid-Pomegranate/dp/B0B2F3XHY3/ref=sr_1_2?keywords=Dawn+Ultra+Gentle+Clean+Pomegranate+and+Rose+Water+Dishwashing+Liquid+Dish+Soap%2C+2+pk.%2F34.6+fl.+oz.&amp;qid=1695170393&amp;sr=8-2", "https://www.amazon.com/Dawn-Gentle-Dishwashing-Liquid-Pomegranate/dp/B0B2F3XHY3/ref=sr_1_2?keywords=Dawn+Ultra+Gentle+Clean+Pomegranate+and+Rose+Water+Dishwashing+Liquid+Dish+Soap%2C+2+pk.%2F34.6+fl.+oz.&amp;qid=1695170393&amp;sr=8-2")</f>
        <v/>
      </c>
      <c r="F1206" t="inlineStr">
        <is>
          <t>B0B2F3XHY3</t>
        </is>
      </c>
      <c r="G1206">
        <f>_xlfn.IMAGE("https://www.shelhealth.com/cdn/shop/products/dawn-ultra-gentle-clean-pomegranate-and-rose-water-dishwashing-liquid-dish-soap-2-pk-34-6-fl-oz-shelhealth-548.jpg?v=1663355144&amp;width=1946")</f>
        <v/>
      </c>
      <c r="H1206">
        <f>_xlfn.IMAGE("https://m.media-amazon.com/images/I/810eC+6CG4L._AC_UL320_.jpg")</f>
        <v/>
      </c>
      <c r="K1206" t="inlineStr">
        <is>
          <t>23.99</t>
        </is>
      </c>
      <c r="L1206" t="n">
        <v>53.99</v>
      </c>
      <c r="M1206" s="1" t="inlineStr">
        <is>
          <t>125.05%</t>
        </is>
      </c>
      <c r="N1206" s="3" t="n">
        <v>125.05</v>
      </c>
      <c r="O1206" t="n">
        <v>4.5</v>
      </c>
      <c r="P1206" t="n">
        <v>2619</v>
      </c>
      <c r="R1206" t="inlineStr">
        <is>
          <t>InStock</t>
        </is>
      </c>
      <c r="S1206" t="inlineStr">
        <is>
          <t>23.99</t>
        </is>
      </c>
      <c r="T1206" t="inlineStr">
        <is>
          <t>4169682059316</t>
        </is>
      </c>
    </row>
    <row r="1207" ht="75" customHeight="1">
      <c r="A1207" s="2">
        <f>HYPERLINK("https://www.shelhealth.com/products/teflon-5-piece-kitchen-set", "https://www.shelhealth.com/products/teflon-5-piece-kitchen-set")</f>
        <v/>
      </c>
      <c r="B1207" s="2">
        <f>HYPERLINK("https://www.shelhealth.com/products/teflon-5-piece-kitchen-set", "https://www.shelhealth.com/products/teflon-5-piece-kitchen-set")</f>
        <v/>
      </c>
      <c r="C1207" t="inlineStr">
        <is>
          <t>Teflon 5 Piece Kitchen Set</t>
        </is>
      </c>
      <c r="D1207" t="inlineStr">
        <is>
          <t>15-Piece Nonstick Kitchen Cookware Set PTFE/PFOA/PFOS- Free | Colorful Heat Resistant Lacquer w/Saucepot, Frying Pans , Oven Pot, Lids, 5 Utensil - NutriChef NCCWCOR15</t>
        </is>
      </c>
      <c r="E1207" s="2">
        <f>HYPERLINK("https://www.amazon.com/15-Piece-Nonstick-Cookware-Colorful-Resistant/dp/B08DVG3LK4/ref=sr_1_1?keywords=Teflon+5+Piece+Kitchen+Set&amp;qid=1695170555&amp;sr=8-1", "https://www.amazon.com/15-Piece-Nonstick-Cookware-Colorful-Resistant/dp/B08DVG3LK4/ref=sr_1_1?keywords=Teflon+5+Piece+Kitchen+Set&amp;qid=1695170555&amp;sr=8-1")</f>
        <v/>
      </c>
      <c r="F1207" t="inlineStr">
        <is>
          <t>B08DVG3LK4</t>
        </is>
      </c>
      <c r="G1207">
        <f>_xlfn.IMAGE("https://www.shelhealth.com/cdn/shop/products/teflon-5-piece-kitchen-set-shelhealth-360.jpg?v=1663357382&amp;width=1946")</f>
        <v/>
      </c>
      <c r="H1207">
        <f>_xlfn.IMAGE("https://m.media-amazon.com/images/I/81YMjkQ4dVL._AC_UL320_.jpg")</f>
        <v/>
      </c>
      <c r="K1207" t="inlineStr">
        <is>
          <t>25.99</t>
        </is>
      </c>
      <c r="L1207" t="n">
        <v>58.29</v>
      </c>
      <c r="M1207" s="1" t="inlineStr">
        <is>
          <t>124.28%</t>
        </is>
      </c>
      <c r="N1207" s="3" t="n">
        <v>124.28</v>
      </c>
      <c r="O1207" t="n">
        <v>4.6</v>
      </c>
      <c r="P1207" t="n">
        <v>1712</v>
      </c>
      <c r="R1207" t="inlineStr">
        <is>
          <t>OutOfStock</t>
        </is>
      </c>
      <c r="S1207" t="inlineStr">
        <is>
          <t>25.99</t>
        </is>
      </c>
      <c r="T1207" t="inlineStr">
        <is>
          <t>4181150761012</t>
        </is>
      </c>
    </row>
    <row r="1208" ht="75" customHeight="1">
      <c r="A1208" s="2">
        <f>HYPERLINK("https://www.shelhealth.com/products/berkley-jensen-soft-fresh-dryer-sheets-2-pk-190-ct", "https://www.shelhealth.com/products/berkley-jensen-soft-fresh-dryer-sheets-2-pk-190-ct")</f>
        <v/>
      </c>
      <c r="B1208" s="2">
        <f>HYPERLINK("https://www.shelhealth.com/products/berkley-jensen-soft-fresh-dryer-sheets-2-pk-190-ct", "https://www.shelhealth.com/products/berkley-jensen-soft-fresh-dryer-sheets-2-pk-190-ct")</f>
        <v/>
      </c>
      <c r="C1208" t="inlineStr">
        <is>
          <t>Berkley Jensen Soft &amp; Fresh Dryer Sheets, 2 pk./190 ct.</t>
        </is>
      </c>
      <c r="D1208" t="inlineStr">
        <is>
          <t>Berkley Jensen Soft &amp; Fresh Dryer Sheets, 160 Count Box (Pack of 2)</t>
        </is>
      </c>
      <c r="E1208" s="2">
        <f>HYPERLINK("https://www.amazon.com/Berkley-Jensen-Fresh-Dryer-Sheets/dp/B01IRSCPVI/ref=sr_1_4?keywords=Berkley+Jensen+Soft&amp;qid=1695170408&amp;sr=8-4", "https://www.amazon.com/Berkley-Jensen-Fresh-Dryer-Sheets/dp/B01IRSCPVI/ref=sr_1_4?keywords=Berkley+Jensen+Soft&amp;qid=1695170408&amp;sr=8-4")</f>
        <v/>
      </c>
      <c r="F1208" t="inlineStr">
        <is>
          <t>B01IRSCPVI</t>
        </is>
      </c>
      <c r="G1208">
        <f>_xlfn.IMAGE("https://www.shelhealth.com/cdn/shop/products/berkley-jensen-soft-fresh-dryer-sheets-2-pk-190-ct-shelhealth-703.jpg?v=1663356965&amp;width=1946")</f>
        <v/>
      </c>
      <c r="H1208">
        <f>_xlfn.IMAGE("https://m.media-amazon.com/images/I/91KG2z21rqL._AC_UL320_.jpg")</f>
        <v/>
      </c>
      <c r="K1208" t="inlineStr">
        <is>
          <t>12.99</t>
        </is>
      </c>
      <c r="L1208" t="n">
        <v>29</v>
      </c>
      <c r="M1208" s="1" t="inlineStr">
        <is>
          <t>123.25%</t>
        </is>
      </c>
      <c r="N1208" s="3" t="n">
        <v>123.25</v>
      </c>
      <c r="O1208" t="n">
        <v>3.8</v>
      </c>
      <c r="P1208" t="n">
        <v>2</v>
      </c>
      <c r="R1208" t="inlineStr">
        <is>
          <t>InStock</t>
        </is>
      </c>
      <c r="S1208" t="inlineStr">
        <is>
          <t>12.99</t>
        </is>
      </c>
      <c r="T1208" t="inlineStr">
        <is>
          <t>4179116589108</t>
        </is>
      </c>
    </row>
    <row r="1209" ht="75" customHeight="1">
      <c r="A1209" s="2">
        <f>HYPERLINK("https://www.shelhealth.com/products/rubbermaid-brilliance-10-pc-food-storage-set", "https://www.shelhealth.com/products/rubbermaid-brilliance-10-pc-food-storage-set")</f>
        <v/>
      </c>
      <c r="B1209" s="2">
        <f>HYPERLINK("https://www.shelhealth.com/products/rubbermaid-brilliance-10-pc-food-storage-set", "https://www.shelhealth.com/products/rubbermaid-brilliance-10-pc-food-storage-set")</f>
        <v/>
      </c>
      <c r="C1209" t="inlineStr">
        <is>
          <t>Rubbermaid Brilliance 10-Pc. Food Storage Set</t>
        </is>
      </c>
      <c r="D1209" t="inlineStr">
        <is>
          <t>Rubbermaid Brilliance BPA Free Food Storage Containers with Lids, Airtight, for Kitchen and Pantry Organization, New Set of 10 w/ Scoops</t>
        </is>
      </c>
      <c r="E1209" s="2">
        <f>HYPERLINK("https://www.amazon.com/Rubbermaid-Brilliance-10-Piece-Airtight-Containers/dp/B0B1L79X41/ref=sr_1_2?keywords=Rubbermaid+Brilliance+10-Pc.+Food+Storage+Set&amp;qid=1695170563&amp;sr=8-2", "https://www.amazon.com/Rubbermaid-Brilliance-10-Piece-Airtight-Containers/dp/B0B1L79X41/ref=sr_1_2?keywords=Rubbermaid+Brilliance+10-Pc.+Food+Storage+Set&amp;qid=1695170563&amp;sr=8-2")</f>
        <v/>
      </c>
      <c r="F1209" t="inlineStr">
        <is>
          <t>B0B1L79X41</t>
        </is>
      </c>
      <c r="G1209">
        <f>_xlfn.IMAGE("https://www.shelhealth.com/cdn/shop/products/rubbermaid-brilliance-10-pc-food-storage-set-shelhealth-862.jpg?v=1663356522&amp;width=1946")</f>
        <v/>
      </c>
      <c r="H1209">
        <f>_xlfn.IMAGE("https://m.media-amazon.com/images/I/911nEijU-jL._AC_UL320_.jpg")</f>
        <v/>
      </c>
      <c r="K1209" t="inlineStr">
        <is>
          <t>26.99</t>
        </is>
      </c>
      <c r="L1209" t="n">
        <v>59.99</v>
      </c>
      <c r="M1209" s="1" t="inlineStr">
        <is>
          <t>122.27%</t>
        </is>
      </c>
      <c r="N1209" s="3" t="n">
        <v>122.27</v>
      </c>
      <c r="O1209" t="n">
        <v>4.8</v>
      </c>
      <c r="P1209" t="n">
        <v>23591</v>
      </c>
      <c r="R1209" t="inlineStr">
        <is>
          <t>OutOfStock</t>
        </is>
      </c>
      <c r="S1209" t="inlineStr">
        <is>
          <t>26.99</t>
        </is>
      </c>
      <c r="T1209" t="inlineStr">
        <is>
          <t>4178950684724</t>
        </is>
      </c>
    </row>
    <row r="1210" ht="75" customHeight="1">
      <c r="A1210" s="2">
        <f>HYPERLINK("https://www.shelhealth.com/products/732913229291-seventh-generation-ultra-power-plus-dishwasher-detergent-gel-65-oz", "https://www.shelhealth.com/products/732913229291-seventh-generation-ultra-power-plus-dishwasher-detergent-gel-65-oz")</f>
        <v/>
      </c>
      <c r="B1210" s="2">
        <f>HYPERLINK("https://www.shelhealth.com/products/732913229291-seventh-generation-ultra-power-plus-dishwasher-detergent-gel-65-oz", "https://www.shelhealth.com/products/732913229291-seventh-generation-ultra-power-plus-dishwasher-detergent-gel-65-oz")</f>
        <v/>
      </c>
      <c r="C1210" t="inlineStr">
        <is>
          <t>SEVENTH GENERATION Ultra Power Plus Dishwasher Detergent Gel, 65 oz</t>
        </is>
      </c>
      <c r="D1210" t="inlineStr">
        <is>
          <t>Seventh Generation Ultra Power Plus Dishwasher Detergent Packs, Fresh Citrus Scent, 70 count (Packaging May Vary)</t>
        </is>
      </c>
      <c r="E1210" s="2">
        <f>HYPERLINK("https://www.amazon.com/Seventh-Generation-Dishwasher-Detergent-Citrus/dp/B01M61VG38/ref=sr_1_3?keywords=SEVENTH+GENERATION+Ultra+Power+Plus+Dishwasher+Detergent+Gel%2C+65+oz&amp;qid=1695170534&amp;sr=8-3", "https://www.amazon.com/Seventh-Generation-Dishwasher-Detergent-Citrus/dp/B01M61VG38/ref=sr_1_3?keywords=SEVENTH+GENERATION+Ultra+Power+Plus+Dishwasher+Detergent+Gel%2C+65+oz&amp;qid=1695170534&amp;sr=8-3")</f>
        <v/>
      </c>
      <c r="F1210" t="inlineStr">
        <is>
          <t>B01M61VG38</t>
        </is>
      </c>
      <c r="G1210">
        <f>_xlfn.IMAGE("https://www.shelhealth.com/cdn/shop/files/seventh-generation-ultra-power-plus-dishwasher-detergent-gel-65-oz-home-products-shelhealth-270.jpg?v=1688717768&amp;width=1946")</f>
        <v/>
      </c>
      <c r="H1210">
        <f>_xlfn.IMAGE("https://m.media-amazon.com/images/I/81S-j04rkQL._AC_UL320_.jpg")</f>
        <v/>
      </c>
      <c r="K1210" t="inlineStr">
        <is>
          <t>13.99</t>
        </is>
      </c>
      <c r="L1210" t="n">
        <v>30.99</v>
      </c>
      <c r="M1210" s="1" t="inlineStr">
        <is>
          <t>121.52%</t>
        </is>
      </c>
      <c r="N1210" s="3" t="n">
        <v>121.52</v>
      </c>
      <c r="O1210" t="n">
        <v>4.6</v>
      </c>
      <c r="P1210" t="n">
        <v>2347</v>
      </c>
      <c r="R1210" t="inlineStr">
        <is>
          <t>InStock</t>
        </is>
      </c>
      <c r="S1210" t="inlineStr">
        <is>
          <t>13.99</t>
        </is>
      </c>
      <c r="T1210" t="inlineStr">
        <is>
          <t>7574287941864</t>
        </is>
      </c>
    </row>
    <row r="1211" ht="75" customHeight="1">
      <c r="A1211" s="2">
        <f>HYPERLINK("https://www.shelhealth.com/products/lysol-disinfectant-spray-4-ct-19-oz", "https://www.shelhealth.com/products/lysol-disinfectant-spray-4-ct-19-oz")</f>
        <v/>
      </c>
      <c r="B1211" s="2">
        <f>HYPERLINK("https://www.shelhealth.com/products/lysol-disinfectant-spray-4-ct-19-oz", "https://www.shelhealth.com/products/lysol-disinfectant-spray-4-ct-19-oz")</f>
        <v/>
      </c>
      <c r="C1211" t="inlineStr">
        <is>
          <t>Lysol Disinfectant Spray, 4 ct./19 oz.</t>
        </is>
      </c>
      <c r="D1211" t="inlineStr">
        <is>
          <t>Lysol Disinfectant Spray, Sanitizing and Antibacterial Spray, For Disinfecting and Deodorizing, Crisp Linen, 19 fl oz (Pack of 12)</t>
        </is>
      </c>
      <c r="E1211" s="2">
        <f>HYPERLINK("https://www.amazon.com/Lysol-Disinfectant-Spray-Crisp-12X19oz/dp/B002YD8FK8/ref=sr_1_10?keywords=Lysol+Disinfectant+Spray%2C+4+ct.%2F19+oz.&amp;qid=1695170396&amp;sr=8-10", "https://www.amazon.com/Lysol-Disinfectant-Spray-Crisp-12X19oz/dp/B002YD8FK8/ref=sr_1_10?keywords=Lysol+Disinfectant+Spray%2C+4+ct.%2F19+oz.&amp;qid=1695170396&amp;sr=8-10")</f>
        <v/>
      </c>
      <c r="F1211" t="inlineStr">
        <is>
          <t>B002YD8FK8</t>
        </is>
      </c>
      <c r="G1211">
        <f>_xlfn.IMAGE("https://www.shelhealth.com/cdn/shop/products/lysol-disinfectant-spray-4-ct-19-oz-shelhealth-997.jpg?v=1663355321&amp;width=1946")</f>
        <v/>
      </c>
      <c r="H1211">
        <f>_xlfn.IMAGE("https://m.media-amazon.com/images/I/91dZrgLbNjL._AC_UL320_.jpg")</f>
        <v/>
      </c>
      <c r="K1211" t="inlineStr">
        <is>
          <t>29.99</t>
        </is>
      </c>
      <c r="L1211" t="n">
        <v>66</v>
      </c>
      <c r="M1211" s="1" t="inlineStr">
        <is>
          <t>120.07%</t>
        </is>
      </c>
      <c r="N1211" s="3" t="n">
        <v>120.07</v>
      </c>
      <c r="O1211" t="n">
        <v>4.8</v>
      </c>
      <c r="P1211" t="n">
        <v>1193</v>
      </c>
      <c r="R1211" t="inlineStr">
        <is>
          <t>OutOfStock</t>
        </is>
      </c>
      <c r="S1211" t="inlineStr">
        <is>
          <t>29.99</t>
        </is>
      </c>
      <c r="T1211" t="inlineStr">
        <is>
          <t>4169806643252</t>
        </is>
      </c>
    </row>
    <row r="1212" ht="75" customHeight="1">
      <c r="A1212" s="2">
        <f>HYPERLINK("https://www.shelhealth.com/products/41624374887-creative-converting-red-gingham-table-cover-1-ea", "https://www.shelhealth.com/products/41624374887-creative-converting-red-gingham-table-cover-1-ea")</f>
        <v/>
      </c>
      <c r="B1212" s="2">
        <f>HYPERLINK("https://www.shelhealth.com/products/41624374887-creative-converting-red-gingham-table-cover-1-ea", "https://www.shelhealth.com/products/41624374887-creative-converting-red-gingham-table-cover-1-ea")</f>
        <v/>
      </c>
      <c r="C1212" t="inlineStr">
        <is>
          <t>CREATIVE CONVERTING Red Gingham Table Cover, 1 ea (Case of 4)</t>
        </is>
      </c>
      <c r="D1212" t="inlineStr">
        <is>
          <t>Creative Converting Roll Plastic Table Cover, 100-Feet, Red Gingham</t>
        </is>
      </c>
      <c r="E1212" s="2">
        <f>HYPERLINK("https://www.amazon.com/Creative-Converting-Plastic-100-Feet-Gingham/dp/B000I6KZEC/ref=sr_1_2?keywords=CREATIVE+CONVERTING+Red+Gingham+Table+Cover%2C+1+ea+%28Case+of+4%29&amp;qid=1695170528&amp;sr=8-2", "https://www.amazon.com/Creative-Converting-Plastic-100-Feet-Gingham/dp/B000I6KZEC/ref=sr_1_2?keywords=CREATIVE+CONVERTING+Red+Gingham+Table+Cover%2C+1+ea+%28Case+of+4%29&amp;qid=1695170528&amp;sr=8-2")</f>
        <v/>
      </c>
      <c r="F1212" t="inlineStr">
        <is>
          <t>B000I6KZEC</t>
        </is>
      </c>
      <c r="G1212">
        <f>_xlfn.IMAGE("https://www.shelhealth.com/cdn/shop/products/creative-converting-red-gingham-table-cover-1-ea-case-of-4-shelhealth-323.jpg?v=1677103920&amp;width=1946")</f>
        <v/>
      </c>
      <c r="H1212">
        <f>_xlfn.IMAGE("https://m.media-amazon.com/images/I/71oUpHB06FL._AC_UL320_.jpg")</f>
        <v/>
      </c>
      <c r="K1212" t="inlineStr">
        <is>
          <t>14.99</t>
        </is>
      </c>
      <c r="L1212" t="n">
        <v>32.47</v>
      </c>
      <c r="M1212" s="1" t="inlineStr">
        <is>
          <t>116.61%</t>
        </is>
      </c>
      <c r="N1212" s="3" t="n">
        <v>116.61</v>
      </c>
      <c r="O1212" t="n">
        <v>4.7</v>
      </c>
      <c r="P1212" t="n">
        <v>2205</v>
      </c>
      <c r="R1212" t="inlineStr">
        <is>
          <t>OutOfStock</t>
        </is>
      </c>
      <c r="S1212" t="inlineStr">
        <is>
          <t>14.99</t>
        </is>
      </c>
      <c r="T1212" t="inlineStr">
        <is>
          <t>7574039429352</t>
        </is>
      </c>
    </row>
    <row r="1213" ht="75" customHeight="1">
      <c r="A1213" s="2">
        <f>HYPERLINK("https://www.shelhealth.com/products/757072517010-charlies-soap-biodegradable-booster-hard-water-treatment-2-64-lb", "https://www.shelhealth.com/products/757072517010-charlies-soap-biodegradable-booster-hard-water-treatment-2-64-lb")</f>
        <v/>
      </c>
      <c r="B1213" s="2">
        <f>HYPERLINK("https://www.shelhealth.com/products/757072517010-charlies-soap-biodegradable-booster-hard-water-treatment-2-64-lb", "https://www.shelhealth.com/products/757072517010-charlies-soap-biodegradable-booster-hard-water-treatment-2-64-lb")</f>
        <v/>
      </c>
      <c r="C1213" t="inlineStr">
        <is>
          <t>CHARLIES SOAP Biodegradable Booster &amp; Hard Water Treatment, 2.64 lb</t>
        </is>
      </c>
      <c r="D1213" t="inlineStr">
        <is>
          <t>Charlie's Soap Booster &amp; Hard Water Treatment (2.64 Lbs, 2 Pack) Natural Powdered Water Softener and Laundry Booster – Safe and Effective</t>
        </is>
      </c>
      <c r="E1213" s="2">
        <f>HYPERLINK("https://www.amazon.com/Charlies-Soap-Laundry-Booster-Treatment/dp/B0767PG9HL/ref=sr_1_4?keywords=charlie%27s+soap+biodegradable+booster&amp;qid=1695170503&amp;sr=8-4", "https://www.amazon.com/Charlies-Soap-Laundry-Booster-Treatment/dp/B0767PG9HL/ref=sr_1_4?keywords=charlie%27s+soap+biodegradable+booster&amp;qid=1695170503&amp;sr=8-4")</f>
        <v/>
      </c>
      <c r="F1213" t="inlineStr">
        <is>
          <t>B0767PG9HL</t>
        </is>
      </c>
      <c r="G1213">
        <f>_xlfn.IMAGE("https://www.shelhealth.com/cdn/shop/files/charlies-soap-biodegradable-booster-hard-water-treatment-2-64-lb-home-products-shelhealth-215.jpg?v=1686207272&amp;width=1946")</f>
        <v/>
      </c>
      <c r="H1213">
        <f>_xlfn.IMAGE("https://m.media-amazon.com/images/I/71J0zz0o+KL._AC_UL320_.jpg")</f>
        <v/>
      </c>
      <c r="K1213" t="inlineStr">
        <is>
          <t>24.99</t>
        </is>
      </c>
      <c r="L1213" t="n">
        <v>53.98</v>
      </c>
      <c r="M1213" s="1" t="inlineStr">
        <is>
          <t>116.01%</t>
        </is>
      </c>
      <c r="N1213" s="3" t="n">
        <v>116.01</v>
      </c>
      <c r="O1213" t="n">
        <v>4.8</v>
      </c>
      <c r="P1213" t="n">
        <v>225</v>
      </c>
      <c r="R1213" t="inlineStr">
        <is>
          <t>OutOfStock</t>
        </is>
      </c>
      <c r="S1213" t="inlineStr">
        <is>
          <t>24.99</t>
        </is>
      </c>
      <c r="T1213" t="inlineStr">
        <is>
          <t>7574016164072</t>
        </is>
      </c>
    </row>
    <row r="1214" ht="75" customHeight="1">
      <c r="A1214" s="2">
        <f>HYPERLINK("https://www.shelhealth.com/products/717256000905-bio-kleen-laundry-pwdr-premium-5-lb", "https://www.shelhealth.com/products/717256000905-bio-kleen-laundry-pwdr-premium-5-lb")</f>
        <v/>
      </c>
      <c r="B1214" s="2">
        <f>HYPERLINK("https://www.shelhealth.com/products/717256000905-bio-kleen-laundry-pwdr-premium-5-lb", "https://www.shelhealth.com/products/717256000905-bio-kleen-laundry-pwdr-premium-5-lb")</f>
        <v/>
      </c>
      <c r="C1214" t="inlineStr">
        <is>
          <t>BIO KLEEN Laundry Powder Premium, 5 lb</t>
        </is>
      </c>
      <c r="D1214" t="inlineStr">
        <is>
          <t>Biokleen Laundry Powder - Free and Clear - 10 lb</t>
        </is>
      </c>
      <c r="E1214" s="2">
        <f>HYPERLINK("https://www.amazon.com/Biokleen-Laundry-Powder-Free-Clear/dp/B005GXFWC2/ref=sr_1_6?keywords=BIO+KLEEN+Laundry+Powder+Premium%2C+5+lb&amp;qid=1695170532&amp;sr=8-6", "https://www.amazon.com/Biokleen-Laundry-Powder-Free-Clear/dp/B005GXFWC2/ref=sr_1_6?keywords=BIO+KLEEN+Laundry+Powder+Premium%2C+5+lb&amp;qid=1695170532&amp;sr=8-6")</f>
        <v/>
      </c>
      <c r="F1214" t="inlineStr">
        <is>
          <t>B005GXFWC2</t>
        </is>
      </c>
      <c r="G1214">
        <f>_xlfn.IMAGE("https://www.shelhealth.com/cdn/shop/files/bio-kleen-laundry-powder-premium-5-lb-home-products-shelhealth-625.jpg?v=1686140521&amp;width=1946")</f>
        <v/>
      </c>
      <c r="H1214">
        <f>_xlfn.IMAGE("https://m.media-amazon.com/images/I/51GRo3AKjrL._AC_UY218_.jpg")</f>
        <v/>
      </c>
      <c r="K1214" t="inlineStr">
        <is>
          <t>18.99</t>
        </is>
      </c>
      <c r="L1214" t="n">
        <v>40.92</v>
      </c>
      <c r="M1214" s="1" t="inlineStr">
        <is>
          <t>115.48%</t>
        </is>
      </c>
      <c r="N1214" s="3" t="n">
        <v>115.48</v>
      </c>
      <c r="O1214" t="n">
        <v>5</v>
      </c>
      <c r="P1214" t="n">
        <v>1</v>
      </c>
      <c r="R1214" t="inlineStr">
        <is>
          <t>OutOfStock</t>
        </is>
      </c>
      <c r="S1214" t="inlineStr">
        <is>
          <t>18.99</t>
        </is>
      </c>
      <c r="T1214" t="inlineStr">
        <is>
          <t>7573984411880</t>
        </is>
      </c>
    </row>
    <row r="1215" ht="75" customHeight="1">
      <c r="A1215" s="2">
        <f>HYPERLINK("https://www.shelhealth.com/products/seventh-generation-free-and-clear-dish-liquid-3-x-25-oz", "https://www.shelhealth.com/products/seventh-generation-free-and-clear-dish-liquid-3-x-25-oz")</f>
        <v/>
      </c>
      <c r="B1215" s="2">
        <f>HYPERLINK("https://www.shelhealth.com/products/seventh-generation-free-and-clear-dish-liquid-3-x-25-oz", "https://www.shelhealth.com/products/seventh-generation-free-and-clear-dish-liquid-3-x-25-oz")</f>
        <v/>
      </c>
      <c r="C1215" t="inlineStr">
        <is>
          <t>Seventh Generation Free and Clear Dish Liquid, 3 x 25 oz.</t>
        </is>
      </c>
      <c r="D1215" t="inlineStr">
        <is>
          <t>Seventh Generation Natural Dish Liquid, Fragrance Free, 25 Fl Oz, (Pack of 3)</t>
        </is>
      </c>
      <c r="E1215" s="2">
        <f>HYPERLINK("https://www.amazon.com/Seventh-Generation-Natural-Liquid-Fragrance/dp/B01HNW6592/ref=sr_1_4?keywords=Seventh+Generation+Free+and+Clear+Dish+Liquid%2C+3+x+25+oz.&amp;qid=1695170423&amp;sr=8-4", "https://www.amazon.com/Seventh-Generation-Natural-Liquid-Fragrance/dp/B01HNW6592/ref=sr_1_4?keywords=Seventh+Generation+Free+and+Clear+Dish+Liquid%2C+3+x+25+oz.&amp;qid=1695170423&amp;sr=8-4")</f>
        <v/>
      </c>
      <c r="F1215" t="inlineStr">
        <is>
          <t>B01HNW6592</t>
        </is>
      </c>
      <c r="G1215">
        <f>_xlfn.IMAGE("https://www.shelhealth.com/cdn/shop/products/seventh-generation-free-and-clear-dish-liquid-3-x-25-oz-shelhealth-859.jpg?v=1663369419&amp;width=1946")</f>
        <v/>
      </c>
      <c r="H1215">
        <f>_xlfn.IMAGE("https://m.media-amazon.com/images/I/918J8AeUntL._AC_UL320_.jpg")</f>
        <v/>
      </c>
      <c r="K1215" t="inlineStr">
        <is>
          <t>16.99</t>
        </is>
      </c>
      <c r="L1215" t="n">
        <v>35.99</v>
      </c>
      <c r="M1215" s="1" t="inlineStr">
        <is>
          <t>111.83%</t>
        </is>
      </c>
      <c r="N1215" s="3" t="n">
        <v>111.83</v>
      </c>
      <c r="O1215" t="n">
        <v>4.5</v>
      </c>
      <c r="P1215" t="n">
        <v>185</v>
      </c>
      <c r="R1215" t="inlineStr">
        <is>
          <t>InStock</t>
        </is>
      </c>
      <c r="S1215" t="inlineStr">
        <is>
          <t>16.99</t>
        </is>
      </c>
      <c r="T1215" t="inlineStr">
        <is>
          <t>4619088560217</t>
        </is>
      </c>
    </row>
    <row r="1216" ht="75" customHeight="1">
      <c r="A1216" s="2">
        <f>HYPERLINK("https://www.shelhealth.com/products/kirkland-signature-ultra-high-pile-premium-microfiber-towels-36-count", "https://www.shelhealth.com/products/kirkland-signature-ultra-high-pile-premium-microfiber-towels-36-count")</f>
        <v/>
      </c>
      <c r="B1216" s="2">
        <f>HYPERLINK("https://www.shelhealth.com/products/kirkland-signature-ultra-high-pile-premium-microfiber-towels-36-count", "https://www.shelhealth.com/products/kirkland-signature-ultra-high-pile-premium-microfiber-towels-36-count")</f>
        <v/>
      </c>
      <c r="C1216" t="inlineStr">
        <is>
          <t>Kirkland Signature Ultra High Pile Premium Microfiber Towels - 36 Count.</t>
        </is>
      </c>
      <c r="D1216" t="inlineStr">
        <is>
          <t>Kirkland Signature lZHvnq Ultra High Pile Premium Microfiber Towels, 36 Pack, 2 Units</t>
        </is>
      </c>
      <c r="E1216" s="2">
        <f>HYPERLINK("https://www.amazon.com/Kirkland-Signature-lZHvnq-Premium-Microfiber/dp/B0779LX59Q/ref=sr_1_9?keywords=Kirkland+Signature+Ultra+High+Pile+Premium+Microfiber+Towels+-+36+Count.&amp;qid=1695170388&amp;sr=8-9", "https://www.amazon.com/Kirkland-Signature-lZHvnq-Premium-Microfiber/dp/B0779LX59Q/ref=sr_1_9?keywords=Kirkland+Signature+Ultra+High+Pile+Premium+Microfiber+Towels+-+36+Count.&amp;qid=1695170388&amp;sr=8-9")</f>
        <v/>
      </c>
      <c r="F1216" t="inlineStr">
        <is>
          <t>B0779LX59Q</t>
        </is>
      </c>
      <c r="G1216">
        <f>_xlfn.IMAGE("https://www.shelhealth.com/cdn/shop/products/kirkland-signature-ultra-high-pile-premium-microfiber-towels-36-count-shelhealth-273.jpg?v=1663373793&amp;width=1946")</f>
        <v/>
      </c>
      <c r="H1216">
        <f>_xlfn.IMAGE("https://m.media-amazon.com/images/I/51TTStzcO3L._AC_UL320_.jpg")</f>
        <v/>
      </c>
      <c r="K1216" t="inlineStr">
        <is>
          <t>29.99</t>
        </is>
      </c>
      <c r="L1216" t="n">
        <v>62.65</v>
      </c>
      <c r="M1216" s="1" t="inlineStr">
        <is>
          <t>108.90%</t>
        </is>
      </c>
      <c r="N1216" s="3" t="n">
        <v>108.9</v>
      </c>
      <c r="O1216" t="n">
        <v>5</v>
      </c>
      <c r="P1216" t="n">
        <v>1</v>
      </c>
      <c r="R1216" t="inlineStr">
        <is>
          <t>InStock</t>
        </is>
      </c>
      <c r="S1216" t="inlineStr">
        <is>
          <t>29.99</t>
        </is>
      </c>
      <c r="T1216" t="inlineStr">
        <is>
          <t>4710420971609</t>
        </is>
      </c>
    </row>
    <row r="1217" hidden="1" ht="15.75" customHeight="1">
      <c r="A1217" s="2">
        <f>HYPERLINK("https://www.shelhealth.com/products/717256001148-bio-kleen-bac-out-drain-care-gel-32-oz", "https://www.shelhealth.com/products/717256001148-bio-kleen-bac-out-drain-care-gel-32-oz")</f>
        <v/>
      </c>
      <c r="B1217" s="2">
        <f>HYPERLINK("https://www.shelhealth.com/products/717256001148-bio-kleen-bac-out-drain-care-gel-32-oz", "https://www.shelhealth.com/products/717256001148-bio-kleen-bac-out-drain-care-gel-32-oz")</f>
        <v/>
      </c>
      <c r="C1217" t="inlineStr">
        <is>
          <t>BIO KLEEN Bac Out Drain Care Gel, 32 oz (Case of 3)</t>
        </is>
      </c>
      <c r="D1217" t="inlineStr">
        <is>
          <t>Biokleen Bac-Out Drain Care, 32 oz (Pack of 6)</t>
        </is>
      </c>
      <c r="E1217" s="2">
        <f>HYPERLINK("https://www.amazon.com/Biokleen-Bac-Out-Drain-Care-Pack/dp/B003TN6JE6/ref=sr_1_2?keywords=BIO+KLEEN+Bac+Out+Drain+Care+Gel%2C+32+oz+%28Case+of+3%29&amp;qid=1695170473&amp;sr=8-2", "https://www.amazon.com/Biokleen-Bac-Out-Drain-Care-Pack/dp/B003TN6JE6/ref=sr_1_2?keywords=BIO+KLEEN+Bac+Out+Drain+Care+Gel%2C+32+oz+%28Case+of+3%29&amp;qid=1695170473&amp;sr=8-2")</f>
        <v/>
      </c>
      <c r="F1217" t="inlineStr">
        <is>
          <t>B003TN6JE6</t>
        </is>
      </c>
      <c r="G1217">
        <f>_xludf.IMAGE("https://www.shelhealth.com/cdn/shop/files/bio-kleen-bac-out-drain-care-gel-32-oz-case-of-3-home-products-shelhealth-460.jpg?v=1686140538&amp;width=1946")</f>
        <v/>
      </c>
      <c r="H1217">
        <f>_xludf.IMAGE("https://m.media-amazon.com/images/I/61MUEWgmxCL._AC_UL320_.jpg")</f>
        <v/>
      </c>
      <c r="K1217" t="inlineStr">
        <is>
          <t>27.99</t>
        </is>
      </c>
      <c r="L1217" t="n">
        <v>57</v>
      </c>
      <c r="M1217" s="1" t="inlineStr">
        <is>
          <t>103.64%</t>
        </is>
      </c>
      <c r="N1217" s="3" t="n">
        <v>103.64</v>
      </c>
      <c r="O1217" t="n">
        <v>3.7</v>
      </c>
      <c r="P1217" t="n">
        <v>66</v>
      </c>
      <c r="R1217" t="inlineStr">
        <is>
          <t>InStock</t>
        </is>
      </c>
      <c r="S1217" t="inlineStr">
        <is>
          <t>27.99</t>
        </is>
      </c>
      <c r="T1217" t="inlineStr">
        <is>
          <t>7573983887592</t>
        </is>
      </c>
    </row>
    <row r="1218" ht="75" customHeight="1">
      <c r="A1218" s="2">
        <f>HYPERLINK("https://www.shelhealth.com/products/895454002157-better-life-dish-soap-unscented-dish-it-22-oz", "https://www.shelhealth.com/products/895454002157-better-life-dish-soap-unscented-dish-it-22-oz")</f>
        <v/>
      </c>
      <c r="B1218" s="2">
        <f>HYPERLINK("https://www.shelhealth.com/products/895454002157-better-life-dish-soap-unscented-dish-it-22-oz", "https://www.shelhealth.com/products/895454002157-better-life-dish-soap-unscented-dish-it-22-oz")</f>
        <v/>
      </c>
      <c r="C1218" t="inlineStr">
        <is>
          <t>Better Life Dish Soap Unscented Dish It, 22 Oz (Case of 3)</t>
        </is>
      </c>
      <c r="D1218" t="inlineStr">
        <is>
          <t>Better Life Dishwashing Soap - Unscented - 22 Fl Oz -Pack of 6</t>
        </is>
      </c>
      <c r="E1218" s="2">
        <f>HYPERLINK("https://www.amazon.com/Better-Life-Dishwashing-Soap-Unscented/dp/B00IRRVE9Y/ref=sr_1_5?keywords=Better+Life+Dish+Soap+Unscented+Dish+It%2C+22+Oz+%28Case+of+3%29&amp;qid=1695170493&amp;sr=8-5", "https://www.amazon.com/Better-Life-Dishwashing-Soap-Unscented/dp/B00IRRVE9Y/ref=sr_1_5?keywords=Better+Life+Dish+Soap+Unscented+Dish+It%2C+22+Oz+%28Case+of+3%29&amp;qid=1695170493&amp;sr=8-5")</f>
        <v/>
      </c>
      <c r="F1218" t="inlineStr">
        <is>
          <t>B00IRRVE9Y</t>
        </is>
      </c>
      <c r="G1218">
        <f>_xlfn.IMAGE("https://www.shelhealth.com/cdn/shop/files/better-life-dish-soap-unscented-it-22-oz-case-of-3-home-products-shelhealth-268.jpg?v=1686193577&amp;width=1946")</f>
        <v/>
      </c>
      <c r="H1218">
        <f>_xlfn.IMAGE("https://m.media-amazon.com/images/I/31LFYgQtYqL._AC_UL320_.jpg")</f>
        <v/>
      </c>
      <c r="K1218" t="inlineStr">
        <is>
          <t>19.99</t>
        </is>
      </c>
      <c r="L1218" t="n">
        <v>40.32</v>
      </c>
      <c r="M1218" s="1" t="inlineStr">
        <is>
          <t>101.70%</t>
        </is>
      </c>
      <c r="N1218" s="3" t="n">
        <v>101.7</v>
      </c>
      <c r="O1218" t="n">
        <v>5</v>
      </c>
      <c r="P1218" t="n">
        <v>5</v>
      </c>
      <c r="R1218" t="inlineStr">
        <is>
          <t>InStock</t>
        </is>
      </c>
      <c r="S1218" t="inlineStr">
        <is>
          <t>19.99</t>
        </is>
      </c>
      <c r="T1218" t="inlineStr">
        <is>
          <t>7241504784572</t>
        </is>
      </c>
    </row>
    <row r="1219" hidden="1" ht="15.75" customHeight="1">
      <c r="A1219" s="2">
        <f>HYPERLINK("https://www.shelhealth.com/products/febreze-air-effects-odor-eliminating-air-freshener-fresh-baked-vanilla-8-8-oz-aerosol-can", "https://www.shelhealth.com/products/febreze-air-effects-odor-eliminating-air-freshener-fresh-baked-vanilla-8-8-oz-aerosol-can")</f>
        <v/>
      </c>
      <c r="B1219" s="2">
        <f>HYPERLINK("https://www.shelhealth.com/products/febreze-air-effects-odor-eliminating-air-freshener-fresh-baked-vanilla-8-8-oz-aerosol-can", "https://www.shelhealth.com/products/febreze-air-effects-odor-eliminating-air-freshener-fresh-baked-vanilla-8-8-oz-aerosol-can")</f>
        <v/>
      </c>
      <c r="C1219" t="inlineStr">
        <is>
          <t>Febreze Air Effects Odor-Eliminating Air Freshener Fresh Baked Vanilla, 8.8 oz. Aerosol Can</t>
        </is>
      </c>
      <c r="D1219" t="inlineStr">
        <is>
          <t>Febreze Room Air Fresheners, Home &amp; Kitchen Room Fresheners, Air Freshener Spray, Odor Fighter Air Freshener for Home, Fresh Lemon Scent, 8.8 oz. Aerosol Can (Pack of 3)</t>
        </is>
      </c>
      <c r="E1219" s="2" t="n"/>
      <c r="F1219" t="inlineStr">
        <is>
          <t>B0B788ZBQ2</t>
        </is>
      </c>
      <c r="G1219">
        <f>_xludf.IMAGE("https://www.shelhealth.com/cdn/shop/products/febreze-air-effects-odor-eliminating-freshener-fresh-baked-vanilla-8-oz-aerosol-can-shelhealth-254.jpg?v=1682150540&amp;width=1946")</f>
        <v/>
      </c>
      <c r="H1219">
        <f>_xludf.IMAGE("https://m.media-amazon.com/images/I/6114sZY3iDL._AC_UL320_.jpg")</f>
        <v/>
      </c>
      <c r="K1219" t="inlineStr">
        <is>
          <t>5.99</t>
        </is>
      </c>
      <c r="L1219" t="n">
        <v>11.91</v>
      </c>
      <c r="M1219" s="1" t="inlineStr">
        <is>
          <t>98.83%</t>
        </is>
      </c>
      <c r="N1219" s="3" t="n">
        <v>98.83</v>
      </c>
      <c r="O1219" t="n">
        <v>4.7</v>
      </c>
      <c r="P1219" t="n">
        <v>82193</v>
      </c>
      <c r="R1219" t="inlineStr">
        <is>
          <t>OutOfStock</t>
        </is>
      </c>
      <c r="S1219" t="inlineStr">
        <is>
          <t>5.99</t>
        </is>
      </c>
      <c r="T1219" t="inlineStr">
        <is>
          <t>8056153735400</t>
        </is>
      </c>
    </row>
    <row r="1220" ht="75" customHeight="1">
      <c r="A1220" s="2">
        <f>HYPERLINK("https://www.shelhealth.com/products/808124421165-mrs-meyers-clean-day-scented-soy-candle-lemon-verbena-scent-7-2-oz", "https://www.shelhealth.com/products/808124421165-mrs-meyers-clean-day-scented-soy-candle-lemon-verbena-scent-7-2-oz")</f>
        <v/>
      </c>
      <c r="B1220" s="2">
        <f>HYPERLINK("https://www.shelhealth.com/products/808124421165-mrs-meyers-clean-day-scented-soy-candle-lemon-verbena-scent-7-2-oz", "https://www.shelhealth.com/products/808124421165-mrs-meyers-clean-day-scented-soy-candle-lemon-verbena-scent-7-2-oz")</f>
        <v/>
      </c>
      <c r="C1220" t="inlineStr">
        <is>
          <t>MRS MEYERS CLEAN DAY Scented Soy Candle Lemon Verbena Scent, 7.2 oz</t>
        </is>
      </c>
      <c r="D1220" t="inlineStr">
        <is>
          <t>Mrs. Meyer's Clean Day Scented Soy Candle, Lemon Verbena Scent, 7.2 ounce candle (Pack of 2)</t>
        </is>
      </c>
      <c r="E1220" s="2">
        <f>HYPERLINK("https://www.amazon.com/Mrs-Meyers-Clean-Day-Candle/dp/B00J7FY9BA/ref=sr_1_1?keywords=MRS+MEYERS+CLEAN+DAY+Scented+Soy+Candle+Lemon+Verbena+Scent%2C+7.2+oz&amp;qid=1695170517&amp;sr=8-1", "https://www.amazon.com/Mrs-Meyers-Clean-Day-Candle/dp/B00J7FY9BA/ref=sr_1_1?keywords=MRS+MEYERS+CLEAN+DAY+Scented+Soy+Candle+Lemon+Verbena+Scent%2C+7.2+oz&amp;qid=1695170517&amp;sr=8-1")</f>
        <v/>
      </c>
      <c r="F1220" t="inlineStr">
        <is>
          <t>B00J7FY9BA</t>
        </is>
      </c>
      <c r="G1220">
        <f>_xlfn.IMAGE("https://www.shelhealth.com/cdn/shop/files/mrs-meyers-clean-day-scented-soy-candle-lemon-verbena-scent-7-2-oz-home-products-shelhealth-417.jpg?v=1686219987&amp;width=1946")</f>
        <v/>
      </c>
      <c r="H1220">
        <f>_xlfn.IMAGE("https://m.media-amazon.com/images/I/81PFysMMreL._AC_UL320_.jpg")</f>
        <v/>
      </c>
      <c r="K1220" t="inlineStr">
        <is>
          <t>13.99</t>
        </is>
      </c>
      <c r="L1220" t="n">
        <v>27.58</v>
      </c>
      <c r="M1220" s="1" t="inlineStr">
        <is>
          <t>97.14%</t>
        </is>
      </c>
      <c r="N1220" s="3" t="n">
        <v>97.14</v>
      </c>
      <c r="O1220" t="n">
        <v>4.1</v>
      </c>
      <c r="P1220" t="n">
        <v>80</v>
      </c>
      <c r="R1220" t="inlineStr">
        <is>
          <t>InStock</t>
        </is>
      </c>
      <c r="S1220" t="inlineStr">
        <is>
          <t>13.99</t>
        </is>
      </c>
      <c r="T1220" t="inlineStr">
        <is>
          <t>7574209659112</t>
        </is>
      </c>
    </row>
    <row r="1221" ht="75" customHeight="1">
      <c r="A1221" s="2">
        <f>HYPERLINK("https://www.shelhealth.com/products/732913137312-seventh-generation-100-recycled-paper-towels-140-2-ply-sheets-6-rolls", "https://www.shelhealth.com/products/732913137312-seventh-generation-100-recycled-paper-towels-140-2-ply-sheets-6-rolls")</f>
        <v/>
      </c>
      <c r="B1221" s="2">
        <f>HYPERLINK("https://www.shelhealth.com/products/732913137312-seventh-generation-100-recycled-paper-towels-140-2-ply-sheets-6-rolls", "https://www.shelhealth.com/products/732913137312-seventh-generation-100-recycled-paper-towels-140-2-ply-sheets-6-rolls")</f>
        <v/>
      </c>
      <c r="C1221" t="inlineStr">
        <is>
          <t>SEVENTH GENERATION 100% Recycled Paper Towels 140 2-Ply Sheets, 6 Rolls</t>
        </is>
      </c>
      <c r="D1221" t="inlineStr">
        <is>
          <t>Seventh Generation Paper Towels, 100% Recycled Paper, 2-Ply, 6 Roll, 6 Count (Pack of 2)</t>
        </is>
      </c>
      <c r="E1221" s="2">
        <f>HYPERLINK("https://www.amazon.com/Seventh-Generation-Paper-Towels-Recycled/dp/B01N0Q8V91/ref=sr_1_1?keywords=SEVENTH+GENERATION+100%25+Recycled+Paper+Towels+140+2-Ply+Sheets%2C+6+Rolls&amp;qid=1695170537&amp;sr=8-1", "https://www.amazon.com/Seventh-Generation-Paper-Towels-Recycled/dp/B01N0Q8V91/ref=sr_1_1?keywords=SEVENTH+GENERATION+100%25+Recycled+Paper+Towels+140+2-Ply+Sheets%2C+6+Rolls&amp;qid=1695170537&amp;sr=8-1")</f>
        <v/>
      </c>
      <c r="F1221" t="inlineStr">
        <is>
          <t>B01N0Q8V91</t>
        </is>
      </c>
      <c r="G1221">
        <f>_xlfn.IMAGE("https://www.shelhealth.com/cdn/shop/products/seventh-generation-100-recycled-paper-towels-140-2-ply-sheets-6-rolls-shelhealth-281.jpg?v=1663783108&amp;width=1946")</f>
        <v/>
      </c>
      <c r="H1221">
        <f>_xlfn.IMAGE("https://m.media-amazon.com/images/I/918yyy-b6CL._AC_UL320_.jpg")</f>
        <v/>
      </c>
      <c r="K1221" t="inlineStr">
        <is>
          <t>20.39</t>
        </is>
      </c>
      <c r="L1221" t="n">
        <v>39.6</v>
      </c>
      <c r="M1221" s="1" t="inlineStr">
        <is>
          <t>94.21%</t>
        </is>
      </c>
      <c r="N1221" s="3" t="n">
        <v>94.20999999999999</v>
      </c>
      <c r="O1221" t="n">
        <v>4.4</v>
      </c>
      <c r="P1221" t="n">
        <v>11201</v>
      </c>
      <c r="R1221" t="inlineStr">
        <is>
          <t>OutOfStock</t>
        </is>
      </c>
      <c r="S1221" t="inlineStr">
        <is>
          <t>20.39</t>
        </is>
      </c>
      <c r="T1221" t="inlineStr">
        <is>
          <t>7574287909096</t>
        </is>
      </c>
    </row>
    <row r="1222" ht="75" customHeight="1">
      <c r="A1222" s="2">
        <f>HYPERLINK("https://www.shelhealth.com/products/woolite-protect-renew-laundry-detergent-75-loads-150-fl-oz", "https://www.shelhealth.com/products/woolite-protect-renew-laundry-detergent-75-loads-150-fl-oz")</f>
        <v/>
      </c>
      <c r="B1222" s="2">
        <f>HYPERLINK("https://www.shelhealth.com/products/woolite-protect-renew-laundry-detergent-75-loads-150-fl-oz", "https://www.shelhealth.com/products/woolite-protect-renew-laundry-detergent-75-loads-150-fl-oz")</f>
        <v/>
      </c>
      <c r="C1222" t="inlineStr">
        <is>
          <t>Woolite Darks with Dark Defense, 150 oz.</t>
        </is>
      </c>
      <c r="D1222" t="inlineStr">
        <is>
          <t>Woolite Darks Laundry Detergent (150 Oz)</t>
        </is>
      </c>
      <c r="E1222" s="2">
        <f>HYPERLINK("https://www.amazon.com/Woolite-Darks-Laundry-Detergent-150/dp/B01AMOJW20/ref=sr_1_10?keywords=Woolite+Darks+with+Dark+Defense%2C+150+oz.&amp;qid=1695170388&amp;sr=8-10", "https://www.amazon.com/Woolite-Darks-Laundry-Detergent-150/dp/B01AMOJW20/ref=sr_1_10?keywords=Woolite+Darks+with+Dark+Defense%2C+150+oz.&amp;qid=1695170388&amp;sr=8-10")</f>
        <v/>
      </c>
      <c r="F1222" t="inlineStr">
        <is>
          <t>B01AMOJW20</t>
        </is>
      </c>
      <c r="G1222">
        <f>_xlfn.IMAGE("https://www.shelhealth.com/cdn/shop/products/woolite-darks-with-dark-defense-150-oz-shelhealth-813.jpg?v=1669161485&amp;width=1946")</f>
        <v/>
      </c>
      <c r="H1222">
        <f>_xlfn.IMAGE("https://m.media-amazon.com/images/I/71QZimtWyFL._AC_UL320_.jpg")</f>
        <v/>
      </c>
      <c r="K1222" t="inlineStr">
        <is>
          <t>29.99</t>
        </is>
      </c>
      <c r="L1222" t="n">
        <v>57.99</v>
      </c>
      <c r="M1222" s="1" t="inlineStr">
        <is>
          <t>93.36%</t>
        </is>
      </c>
      <c r="N1222" s="3" t="n">
        <v>93.36</v>
      </c>
      <c r="O1222" t="n">
        <v>4.5</v>
      </c>
      <c r="P1222" t="n">
        <v>27</v>
      </c>
      <c r="R1222" t="inlineStr">
        <is>
          <t>InStock</t>
        </is>
      </c>
      <c r="S1222" t="inlineStr">
        <is>
          <t>29.99</t>
        </is>
      </c>
      <c r="T1222" t="inlineStr">
        <is>
          <t>4179099975732</t>
        </is>
      </c>
    </row>
    <row r="1223" ht="75" customHeight="1">
      <c r="A1223" s="2">
        <f>HYPERLINK("https://www.shelhealth.com/products/kirkland-signature-ultra-high-pile-premium-microfiber-towels-36-count", "https://www.shelhealth.com/products/kirkland-signature-ultra-high-pile-premium-microfiber-towels-36-count")</f>
        <v/>
      </c>
      <c r="B1223" s="2">
        <f>HYPERLINK("https://www.shelhealth.com/products/kirkland-signature-ultra-high-pile-premium-microfiber-towels-36-count", "https://www.shelhealth.com/products/kirkland-signature-ultra-high-pile-premium-microfiber-towels-36-count")</f>
        <v/>
      </c>
      <c r="C1223" t="inlineStr">
        <is>
          <t>Kirkland Signature Ultra High Pile Premium Microfiber Towels - 36 Count.</t>
        </is>
      </c>
      <c r="D1223" t="inlineStr">
        <is>
          <t>Kirkland Signature Ultra High Pile Premium Microfiber Towels, 36 Count (Pack of 2), Yellow - 713160</t>
        </is>
      </c>
      <c r="E1223" s="2">
        <f>HYPERLINK("https://www.amazon.com/Kirkland-Signature-Premium-Microfiber-Towels/dp/B08TJ4114G/ref=sr_1_2?keywords=Kirkland+Signature+Ultra+High+Pile+Premium+Microfiber+Towels+-+36+Count.&amp;qid=1695170388&amp;sr=8-2", "https://www.amazon.com/Kirkland-Signature-Premium-Microfiber-Towels/dp/B08TJ4114G/ref=sr_1_2?keywords=Kirkland+Signature+Ultra+High+Pile+Premium+Microfiber+Towels+-+36+Count.&amp;qid=1695170388&amp;sr=8-2")</f>
        <v/>
      </c>
      <c r="F1223" t="inlineStr">
        <is>
          <t>B08TJ4114G</t>
        </is>
      </c>
      <c r="G1223">
        <f>_xlfn.IMAGE("https://www.shelhealth.com/cdn/shop/products/kirkland-signature-ultra-high-pile-premium-microfiber-towels-36-count-shelhealth-273.jpg?v=1663373793&amp;width=1946")</f>
        <v/>
      </c>
      <c r="H1223">
        <f>_xlfn.IMAGE("https://m.media-amazon.com/images/I/81hX4G2R5EL._AC_UL320_.jpg")</f>
        <v/>
      </c>
      <c r="K1223" t="inlineStr">
        <is>
          <t>29.99</t>
        </is>
      </c>
      <c r="L1223" t="n">
        <v>56.39</v>
      </c>
      <c r="M1223" s="1" t="inlineStr">
        <is>
          <t>88.03%</t>
        </is>
      </c>
      <c r="N1223" s="3" t="n">
        <v>88.03</v>
      </c>
      <c r="O1223" t="n">
        <v>4.7</v>
      </c>
      <c r="P1223" t="n">
        <v>283</v>
      </c>
      <c r="R1223" t="inlineStr">
        <is>
          <t>InStock</t>
        </is>
      </c>
      <c r="S1223" t="inlineStr">
        <is>
          <t>29.99</t>
        </is>
      </c>
      <c r="T1223" t="inlineStr">
        <is>
          <t>4710420971609</t>
        </is>
      </c>
    </row>
    <row r="1224" ht="75" customHeight="1">
      <c r="A1224" s="2">
        <f>HYPERLINK("https://www.shelhealth.com/products/berkley-jensen-42-gal-3mil-heavy-duty-contractor-and-industrial-use-bags-32-ct", "https://www.shelhealth.com/products/berkley-jensen-42-gal-3mil-heavy-duty-contractor-and-industrial-use-bags-32-ct")</f>
        <v/>
      </c>
      <c r="B1224" s="2">
        <f>HYPERLINK("https://www.shelhealth.com/products/berkley-jensen-42-gal-3mil-heavy-duty-contractor-and-industrial-use-bags-32-ct", "https://www.shelhealth.com/products/berkley-jensen-42-gal-3mil-heavy-duty-contractor-and-industrial-use-bags-32-ct")</f>
        <v/>
      </c>
      <c r="C1224" t="inlineStr">
        <is>
          <t>Berkley Jensen 42-Gal. 3mil Heavy Duty Contractor and Industrial Use Bags, 32 ct.</t>
        </is>
      </c>
      <c r="D1224" t="inlineStr">
        <is>
          <t>Berkley Jensen 3mil Heavy Duty Contractor &amp; Industrial Use Bags, 42-gal. Capacity, 32 ct. (pack of 2)</t>
        </is>
      </c>
      <c r="E1224" s="2">
        <f>HYPERLINK("https://www.amazon.com/Berkley-Contractor-Industrial-42-gal-Capacity/dp/B06XB8X51T/ref=sr_1_2?keywords=Berkley+Jensen+42-Gal.+3mil+Heavy+Duty+Contractor+and+Industrial+Use+Bags%2C+32+ct.&amp;qid=1695170565&amp;sr=8-2", "https://www.amazon.com/Berkley-Contractor-Industrial-42-gal-Capacity/dp/B06XB8X51T/ref=sr_1_2?keywords=Berkley+Jensen+42-Gal.+3mil+Heavy+Duty+Contractor+and+Industrial+Use+Bags%2C+32+ct.&amp;qid=1695170565&amp;sr=8-2")</f>
        <v/>
      </c>
      <c r="F1224" t="inlineStr">
        <is>
          <t>B06XB8X51T</t>
        </is>
      </c>
      <c r="G1224">
        <f>_xlfn.IMAGE("https://www.shelhealth.com/cdn/shop/products/berkley-jensen-42-gal-3mil-heavy-duty-contractor-and-industrial-use-bags-32-ct-shelhealth-684.jpg?v=1663354867&amp;width=1946")</f>
        <v/>
      </c>
      <c r="H1224">
        <f>_xlfn.IMAGE("https://m.media-amazon.com/images/I/81MazPGvfRL._AC_UL320_.jpg")</f>
        <v/>
      </c>
      <c r="K1224" t="inlineStr">
        <is>
          <t>38.99</t>
        </is>
      </c>
      <c r="L1224" t="n">
        <v>72.98999999999999</v>
      </c>
      <c r="M1224" s="1" t="inlineStr">
        <is>
          <t>87.20%</t>
        </is>
      </c>
      <c r="N1224" s="3" t="n">
        <v>87.2</v>
      </c>
      <c r="O1224" t="n">
        <v>5</v>
      </c>
      <c r="P1224" t="n">
        <v>2</v>
      </c>
      <c r="R1224" t="inlineStr">
        <is>
          <t>InStock</t>
        </is>
      </c>
      <c r="S1224" t="inlineStr">
        <is>
          <t>38.99</t>
        </is>
      </c>
      <c r="T1224" t="inlineStr">
        <is>
          <t>4169495380020</t>
        </is>
      </c>
    </row>
    <row r="1225" hidden="1" ht="15.75" customHeight="1">
      <c r="A1225" s="2">
        <f>HYPERLINK("https://www.shelhealth.com/products/febreze-air-effects-odor-eliminating-air-freshener-cranberry-tart-8-8-oz-aerosol-can", "https://www.shelhealth.com/products/febreze-air-effects-odor-eliminating-air-freshener-cranberry-tart-8-8-oz-aerosol-can")</f>
        <v/>
      </c>
      <c r="B1225" s="2">
        <f>HYPERLINK("https://www.shelhealth.com/products/febreze-air-effects-odor-eliminating-air-freshener-cranberry-tart-8-8-oz-aerosol-can", "https://www.shelhealth.com/products/febreze-air-effects-odor-eliminating-air-freshener-cranberry-tart-8-8-oz-aerosol-can")</f>
        <v/>
      </c>
      <c r="C1225" t="inlineStr">
        <is>
          <t>Febreze Air Effects Odor-Eliminating Air Freshener Cranberry Tart, 8.8 oz. Aerosol Can</t>
        </is>
      </c>
      <c r="D1225" t="inlineStr">
        <is>
          <t>Febreze Air Fresheners, Bathroom Spray Room Fresheners, Odor-Fighting Air Freshener Apple Cider, Cranberry Tart, Heavy Duty Crisp Clean, 8.8 oz. Aerosol Can, Pack of 3</t>
        </is>
      </c>
      <c r="E1225" s="2">
        <f>HYPERLINK("https://www.amazon.com/Febreze-Fresheners-Odor-Fighting-Freshener-Cranberry/dp/B0BQCYDBJS/ref=sr_1_1?keywords=Febreze+Air+Effects+Odor-Eliminating+Air+Freshener+Cranberry+Tart%2C+8.8+oz.+Aerosol+Can&amp;qid=1695170435&amp;sr=8-1", "https://www.amazon.com/Febreze-Fresheners-Odor-Fighting-Freshener-Cranberry/dp/B0BQCYDBJS/ref=sr_1_1?keywords=Febreze+Air+Effects+Odor-Eliminating+Air+Freshener+Cranberry+Tart%2C+8.8+oz.+Aerosol+Can&amp;qid=1695170435&amp;sr=8-1")</f>
        <v/>
      </c>
      <c r="F1225" t="inlineStr">
        <is>
          <t>B0BQCYDBJS</t>
        </is>
      </c>
      <c r="G1225">
        <f>_xludf.IMAGE("https://www.shelhealth.com/cdn/shop/products/febreze-air-effects-odor-eliminating-freshener-cranberry-tart-8-oz-aerosol-can-shelhealth-454.jpg?v=1681662180&amp;width=1946")</f>
        <v/>
      </c>
      <c r="H1225">
        <f>_xludf.IMAGE("https://m.media-amazon.com/images/I/81P2A4H6D9L._AC_UL320_.jpg")</f>
        <v/>
      </c>
      <c r="K1225" t="inlineStr">
        <is>
          <t>5.99</t>
        </is>
      </c>
      <c r="L1225" t="n">
        <v>11.16</v>
      </c>
      <c r="M1225" s="1" t="inlineStr">
        <is>
          <t>86.31%</t>
        </is>
      </c>
      <c r="N1225" s="3" t="n">
        <v>86.31</v>
      </c>
      <c r="O1225" t="n">
        <v>4.7</v>
      </c>
      <c r="P1225" t="n">
        <v>82193</v>
      </c>
      <c r="R1225" t="inlineStr">
        <is>
          <t>OutOfStock</t>
        </is>
      </c>
      <c r="S1225" t="inlineStr">
        <is>
          <t>5.99</t>
        </is>
      </c>
      <c r="T1225" t="inlineStr">
        <is>
          <t>8056153342184</t>
        </is>
      </c>
    </row>
    <row r="1226" ht="75" customHeight="1">
      <c r="A1226" s="2">
        <f>HYPERLINK("https://www.shelhealth.com/products/feit-electric-dimmable-led-br-30-flood-65w-soft-white-6-count", "https://www.shelhealth.com/products/feit-electric-dimmable-led-br-30-flood-65w-soft-white-6-count")</f>
        <v/>
      </c>
      <c r="B1226" s="2">
        <f>HYPERLINK("https://www.shelhealth.com/products/feit-electric-dimmable-led-br-30-flood-65w-soft-white-6-count", "https://www.shelhealth.com/products/feit-electric-dimmable-led-br-30-flood-65w-soft-white-6-count")</f>
        <v/>
      </c>
      <c r="C1226" t="inlineStr">
        <is>
          <t>Feit Electric Dimmable Led BR 30 Flood 65W Soft White, 6 Count</t>
        </is>
      </c>
      <c r="D1226" t="inlineStr">
        <is>
          <t>Feit Electric LED BR40 Bulbs, Dimmable, 65W Equivalent, 10 Year Life, 850 Lumens, E26 Base, 2700k Soft White, Flood Lights, Recessed Can Light Bulbs, Damp Rated, UL Listed, 6 Pack, BR40DM/10KLED/2/3</t>
        </is>
      </c>
      <c r="E1226" s="2">
        <f>HYPERLINK("https://www.amazon.com/Feit-Electric-BR40DM-10KLED-65W-Equivalent/dp/B08412SDSH/ref=sr_1_9?keywords=Feit+Electric+Dimmable+Led+BR+30+Flood+65W+Soft+White%2C+6+Count&amp;qid=1695170551&amp;sr=8-9", "https://www.amazon.com/Feit-Electric-BR40DM-10KLED-65W-Equivalent/dp/B08412SDSH/ref=sr_1_9?keywords=Feit+Electric+Dimmable+Led+BR+30+Flood+65W+Soft+White%2C+6+Count&amp;qid=1695170551&amp;sr=8-9")</f>
        <v/>
      </c>
      <c r="F1226" t="inlineStr">
        <is>
          <t>B08412SDSH</t>
        </is>
      </c>
      <c r="G1226">
        <f>_xlfn.IMAGE("https://www.shelhealth.com/cdn/shop/products/feit-electric-dimmable-led-br-30-flood-65w-soft-white-6-count-shelhealth-424.jpg?v=1663357848&amp;width=1946")</f>
        <v/>
      </c>
      <c r="H1226">
        <f>_xlfn.IMAGE("https://m.media-amazon.com/images/I/51VRAbOJGiL._AC_UL320_.jpg")</f>
        <v/>
      </c>
      <c r="K1226" t="inlineStr">
        <is>
          <t>21.99</t>
        </is>
      </c>
      <c r="L1226" t="n">
        <v>40.57</v>
      </c>
      <c r="M1226" s="1" t="inlineStr">
        <is>
          <t>84.49%</t>
        </is>
      </c>
      <c r="N1226" s="3" t="n">
        <v>84.48999999999999</v>
      </c>
      <c r="O1226" t="n">
        <v>4.6</v>
      </c>
      <c r="P1226" t="n">
        <v>514</v>
      </c>
      <c r="R1226" t="inlineStr">
        <is>
          <t>InStock</t>
        </is>
      </c>
      <c r="S1226" t="inlineStr">
        <is>
          <t>21.99</t>
        </is>
      </c>
      <c r="T1226" t="inlineStr">
        <is>
          <t>4268904579124</t>
        </is>
      </c>
    </row>
    <row r="1227" ht="75" customHeight="1">
      <c r="A1227" s="2">
        <f>HYPERLINK("https://www.shelhealth.com/products/damprid-hanging-moisture-absorber-fresh-scent-4-pack-16-oz-454g", "https://www.shelhealth.com/products/damprid-hanging-moisture-absorber-fresh-scent-4-pack-16-oz-454g")</f>
        <v/>
      </c>
      <c r="B1227" s="2">
        <f>HYPERLINK("https://www.shelhealth.com/products/damprid-hanging-moisture-absorber-fresh-scent-4-pack-16-oz-454g", "https://www.shelhealth.com/products/damprid-hanging-moisture-absorber-fresh-scent-4-pack-16-oz-454g")</f>
        <v/>
      </c>
      <c r="C1227" t="inlineStr">
        <is>
          <t>DampRid Hanging Moisture Absorber Fresh Scent - 4 Pack (16 oz/454g)</t>
        </is>
      </c>
      <c r="D1227" t="inlineStr">
        <is>
          <t>DampRid Lavender Vanilla Hanging Moisture Absorber, 15.4 oz., 6 Pack - Eliminates Musty Odors for Fresher, Cleaner Air, Ideal Moisture Absorbers for Closet, 10% More Moisture Absorbing Power*</t>
        </is>
      </c>
      <c r="E1227" s="2">
        <f>HYPERLINK("https://www.amazon.com/DampRid-Lavender-Vanilla-Moisture-Absorber/dp/B09QXV4GMJ/ref=sr_1_2?keywords=DampRid+Hanging+Moisture+Absorber+Fresh+Scent+-+4+Pack+%2816+oz%2F454g%29&amp;qid=1695170416&amp;sr=8-2", "https://www.amazon.com/DampRid-Lavender-Vanilla-Moisture-Absorber/dp/B09QXV4GMJ/ref=sr_1_2?keywords=DampRid+Hanging+Moisture+Absorber+Fresh+Scent+-+4+Pack+%2816+oz%2F454g%29&amp;qid=1695170416&amp;sr=8-2")</f>
        <v/>
      </c>
      <c r="F1227" t="inlineStr">
        <is>
          <t>B09QXV4GMJ</t>
        </is>
      </c>
      <c r="G1227">
        <f>_xlfn.IMAGE("https://www.shelhealth.com/cdn/shop/products/damprid-hanging-moisture-absorber-fresh-scent-4-pack-16-oz454g-shelhealth-863.jpg?v=1663343081&amp;width=1946")</f>
        <v/>
      </c>
      <c r="H1227">
        <f>_xlfn.IMAGE("https://m.media-amazon.com/images/I/81m-JyWDGcL._AC_UL320_.jpg")</f>
        <v/>
      </c>
      <c r="K1227" t="inlineStr">
        <is>
          <t>17.99</t>
        </is>
      </c>
      <c r="L1227" t="n">
        <v>31.82</v>
      </c>
      <c r="M1227" s="1" t="inlineStr">
        <is>
          <t>76.88%</t>
        </is>
      </c>
      <c r="N1227" s="3" t="n">
        <v>76.88</v>
      </c>
      <c r="O1227" t="n">
        <v>4.8</v>
      </c>
      <c r="P1227" t="n">
        <v>556</v>
      </c>
      <c r="R1227" t="inlineStr">
        <is>
          <t>InStock</t>
        </is>
      </c>
      <c r="S1227" t="inlineStr">
        <is>
          <t>17.99</t>
        </is>
      </c>
      <c r="T1227" t="inlineStr">
        <is>
          <t>3819420418100</t>
        </is>
      </c>
    </row>
    <row r="1228" hidden="1" ht="15.75" customHeight="1">
      <c r="A1228" s="2">
        <f>HYPERLINK("https://www.shelhealth.com/products/downy-unstopables-in-wash-scent-booster-beads-fresh-30-3-oz", "https://www.shelhealth.com/products/downy-unstopables-in-wash-scent-booster-beads-fresh-30-3-oz")</f>
        <v/>
      </c>
      <c r="B1228" s="2">
        <f>HYPERLINK("https://www.shelhealth.com/products/downy-unstopables-in-wash-scent-booster-beads-fresh-30-3-oz", "https://www.shelhealth.com/products/downy-unstopables-in-wash-scent-booster-beads-fresh-30-3-oz")</f>
        <v/>
      </c>
      <c r="C1228" t="inlineStr">
        <is>
          <t>Downy Unstopables in-Wash Scent Booster Beads, Fresh (30.3 oz.)</t>
        </is>
      </c>
      <c r="D1228" t="inlineStr">
        <is>
          <t>Downy Unstopables in-wash Scent Booster Beads, Lush, 10.0 oz, 20 Pack</t>
        </is>
      </c>
      <c r="E1228" s="2">
        <f>HYPERLINK("https://www.amazon.com/Downy-Unstopables-wash-Scent-Booster/dp/B0BW36ZDVH/ref=sr_1_1?keywords=Downy+Unstopables+in-Wash+Scent+Booster+Beads%2C+Fresh+%2830.3+oz.%29&amp;qid=1695170384&amp;sr=8-1", "https://www.amazon.com/Downy-Unstopables-wash-Scent-Booster/dp/B0BW36ZDVH/ref=sr_1_1?keywords=Downy+Unstopables+in-Wash+Scent+Booster+Beads%2C+Fresh+%2830.3+oz.%29&amp;qid=1695170384&amp;sr=8-1")</f>
        <v/>
      </c>
      <c r="F1228" t="inlineStr">
        <is>
          <t>B0BW36ZDVH</t>
        </is>
      </c>
      <c r="G1228">
        <f>_xludf.IMAGE("https://www.shelhealth.com/cdn/shop/products/downy-unstopables-in-wash-scent-booster-beads-fresh-30-3-oz-shelhealth-182.jpg?v=1663343197&amp;width=1946")</f>
        <v/>
      </c>
      <c r="H1228">
        <f>_xludf.IMAGE("https://m.media-amazon.com/images/I/61XVBASoIcL._AC_UL320_.jpg")</f>
        <v/>
      </c>
      <c r="K1228" t="inlineStr">
        <is>
          <t>21.99</t>
        </is>
      </c>
      <c r="L1228" t="n">
        <v>38.7</v>
      </c>
      <c r="M1228" s="1" t="inlineStr">
        <is>
          <t>75.99%</t>
        </is>
      </c>
      <c r="N1228" s="3" t="n">
        <v>75.98999999999999</v>
      </c>
      <c r="O1228" t="n">
        <v>2.9</v>
      </c>
      <c r="P1228" t="n">
        <v>11</v>
      </c>
      <c r="R1228" t="inlineStr">
        <is>
          <t>InStock</t>
        </is>
      </c>
      <c r="S1228" t="inlineStr">
        <is>
          <t>21.99</t>
        </is>
      </c>
      <c r="T1228" t="inlineStr">
        <is>
          <t>3819605065780</t>
        </is>
      </c>
    </row>
    <row r="1229" ht="75" customHeight="1">
      <c r="A1229" s="2">
        <f>HYPERLINK("https://www.shelhealth.com/products/754087470880-cowboy-charcoal-hardwood-lump-charcoal-8-8-lb", "https://www.shelhealth.com/products/754087470880-cowboy-charcoal-hardwood-lump-charcoal-8-8-lb")</f>
        <v/>
      </c>
      <c r="B1229" s="2">
        <f>HYPERLINK("https://www.shelhealth.com/products/754087470880-cowboy-charcoal-hardwood-lump-charcoal-8-8-lb", "https://www.shelhealth.com/products/754087470880-cowboy-charcoal-hardwood-lump-charcoal-8-8-lb")</f>
        <v/>
      </c>
      <c r="C1229" t="inlineStr">
        <is>
          <t>COWBOY CHARCOAL Hardwood Lump Charcoal, 8.8 lb</t>
        </is>
      </c>
      <c r="D1229" t="inlineStr">
        <is>
          <t>Cowboy 29088 Hardwood Lump Charcoal, 8.8-Pound</t>
        </is>
      </c>
      <c r="E1229" s="2">
        <f>HYPERLINK("https://www.amazon.com/Cowboy-29088-Hardwood-Charcoal-8-8-Pound/dp/B006OD6YJS/ref=sr_1_3?keywords=COWBOY+CHARCOAL+Hardwood+Lump+Charcoal%2C+8.8+lb&amp;qid=1695170521&amp;sr=8-3", "https://www.amazon.com/Cowboy-29088-Hardwood-Charcoal-8-8-Pound/dp/B006OD6YJS/ref=sr_1_3?keywords=COWBOY+CHARCOAL+Hardwood+Lump+Charcoal%2C+8.8+lb&amp;qid=1695170521&amp;sr=8-3")</f>
        <v/>
      </c>
      <c r="F1229" t="inlineStr">
        <is>
          <t>B006OD6YJS</t>
        </is>
      </c>
      <c r="G1229">
        <f>_xlfn.IMAGE("https://www.shelhealth.com/cdn/shop/files/cowboy-charcoal-hardwood-lump-8-lb-home-products-shelhealth-680.jpg?v=1689695830&amp;width=1946")</f>
        <v/>
      </c>
      <c r="H1229">
        <f>_xlfn.IMAGE("https://m.media-amazon.com/images/I/91NCChF3TUL._AC_UY218_.jpg")</f>
        <v/>
      </c>
      <c r="K1229" t="inlineStr">
        <is>
          <t>15.99</t>
        </is>
      </c>
      <c r="L1229" t="n">
        <v>28.13</v>
      </c>
      <c r="M1229" s="1" t="inlineStr">
        <is>
          <t>75.92%</t>
        </is>
      </c>
      <c r="N1229" s="3" t="n">
        <v>75.92</v>
      </c>
      <c r="O1229" t="n">
        <v>4.3</v>
      </c>
      <c r="P1229" t="n">
        <v>64</v>
      </c>
      <c r="R1229" t="inlineStr">
        <is>
          <t>OutOfStock</t>
        </is>
      </c>
      <c r="S1229" t="inlineStr">
        <is>
          <t>15.99</t>
        </is>
      </c>
      <c r="T1229" t="inlineStr">
        <is>
          <t>7574025535720</t>
        </is>
      </c>
    </row>
    <row r="1230" ht="75" customHeight="1">
      <c r="A1230" s="2">
        <f>HYPERLINK("https://www.shelhealth.com/products/717256000905-bio-kleen-laundry-pwdr-premium-5-lb", "https://www.shelhealth.com/products/717256000905-bio-kleen-laundry-pwdr-premium-5-lb")</f>
        <v/>
      </c>
      <c r="B1230" s="2">
        <f>HYPERLINK("https://www.shelhealth.com/products/717256000905-bio-kleen-laundry-pwdr-premium-5-lb", "https://www.shelhealth.com/products/717256000905-bio-kleen-laundry-pwdr-premium-5-lb")</f>
        <v/>
      </c>
      <c r="C1230" t="inlineStr">
        <is>
          <t>BIO KLEEN Laundry Powder Premium, 5 lb</t>
        </is>
      </c>
      <c r="D1230" t="inlineStr">
        <is>
          <t>Biokleen Laundry Powder Premium Plus Stain Lifting Enzyme Formula - 5 lbs</t>
        </is>
      </c>
      <c r="E1230" s="2">
        <f>HYPERLINK("https://www.amazon.com/Biokleen-Laundry-Powder-Premium-5/dp/B004ORRVRA/ref=sr_1_5?keywords=BIO+KLEEN+Laundry+Powder+Premium%2C+5+lb&amp;qid=1695170532&amp;sr=8-5", "https://www.amazon.com/Biokleen-Laundry-Powder-Premium-5/dp/B004ORRVRA/ref=sr_1_5?keywords=BIO+KLEEN+Laundry+Powder+Premium%2C+5+lb&amp;qid=1695170532&amp;sr=8-5")</f>
        <v/>
      </c>
      <c r="F1230" t="inlineStr">
        <is>
          <t>B004ORRVRA</t>
        </is>
      </c>
      <c r="G1230">
        <f>_xlfn.IMAGE("https://www.shelhealth.com/cdn/shop/files/bio-kleen-laundry-powder-premium-5-lb-home-products-shelhealth-625.jpg?v=1686140521&amp;width=1946")</f>
        <v/>
      </c>
      <c r="H1230">
        <f>_xlfn.IMAGE("https://m.media-amazon.com/images/I/71LEzDhotkL._AC_UY218_.jpg")</f>
        <v/>
      </c>
      <c r="K1230" t="inlineStr">
        <is>
          <t>18.99</t>
        </is>
      </c>
      <c r="L1230" t="n">
        <v>33.12</v>
      </c>
      <c r="M1230" s="1" t="inlineStr">
        <is>
          <t>74.41%</t>
        </is>
      </c>
      <c r="N1230" s="3" t="n">
        <v>74.41</v>
      </c>
      <c r="O1230" t="n">
        <v>5</v>
      </c>
      <c r="P1230" t="n">
        <v>1</v>
      </c>
      <c r="R1230" t="inlineStr">
        <is>
          <t>OutOfStock</t>
        </is>
      </c>
      <c r="S1230" t="inlineStr">
        <is>
          <t>18.99</t>
        </is>
      </c>
      <c r="T1230" t="inlineStr">
        <is>
          <t>7573984411880</t>
        </is>
      </c>
    </row>
    <row r="1231" ht="75" customHeight="1">
      <c r="A1231" s="2">
        <f>HYPERLINK("https://www.shelhealth.com/products/717256000905-bio-kleen-laundry-pwdr-premium-5-lb", "https://www.shelhealth.com/products/717256000905-bio-kleen-laundry-pwdr-premium-5-lb")</f>
        <v/>
      </c>
      <c r="B1231" s="2">
        <f>HYPERLINK("https://www.shelhealth.com/products/717256000905-bio-kleen-laundry-pwdr-premium-5-lb", "https://www.shelhealth.com/products/717256000905-bio-kleen-laundry-pwdr-premium-5-lb")</f>
        <v/>
      </c>
      <c r="C1231" t="inlineStr">
        <is>
          <t>BIO KLEEN Laundry Powder Premium, 5 lb</t>
        </is>
      </c>
      <c r="D1231" t="inlineStr">
        <is>
          <t>Biokleen Free &amp; Clear Natural Laundry Detergent - 150 Loads - Powder, Concentrated, Eco-Friendly, Plant-Based, No Artificial Fragrance or Preservatives, Free &amp; Clear</t>
        </is>
      </c>
      <c r="E1231" s="2">
        <f>HYPERLINK("https://www.amazon.com/Biokleen-Clear-Natural-Laundry-Detergent/dp/B001WY7V32/ref=sr_1_4?keywords=BIO+KLEEN+Laundry+Powder+Premium%2C+5+lb&amp;qid=1695170532&amp;sr=8-4", "https://www.amazon.com/Biokleen-Clear-Natural-Laundry-Detergent/dp/B001WY7V32/ref=sr_1_4?keywords=BIO+KLEEN+Laundry+Powder+Premium%2C+5+lb&amp;qid=1695170532&amp;sr=8-4")</f>
        <v/>
      </c>
      <c r="F1231" t="inlineStr">
        <is>
          <t>B001WY7V32</t>
        </is>
      </c>
      <c r="G1231">
        <f>_xlfn.IMAGE("https://www.shelhealth.com/cdn/shop/files/bio-kleen-laundry-powder-premium-5-lb-home-products-shelhealth-625.jpg?v=1686140521&amp;width=1946")</f>
        <v/>
      </c>
      <c r="H1231">
        <f>_xlfn.IMAGE("https://m.media-amazon.com/images/I/71btFCiHaaS._AC_UY218_.jpg")</f>
        <v/>
      </c>
      <c r="K1231" t="inlineStr">
        <is>
          <t>18.99</t>
        </is>
      </c>
      <c r="L1231" t="n">
        <v>33</v>
      </c>
      <c r="M1231" s="1" t="inlineStr">
        <is>
          <t>73.78%</t>
        </is>
      </c>
      <c r="N1231" s="3" t="n">
        <v>73.78</v>
      </c>
      <c r="O1231" t="n">
        <v>4.5</v>
      </c>
      <c r="P1231" t="n">
        <v>2701</v>
      </c>
      <c r="R1231" t="inlineStr">
        <is>
          <t>OutOfStock</t>
        </is>
      </c>
      <c r="S1231" t="inlineStr">
        <is>
          <t>18.99</t>
        </is>
      </c>
      <c r="T1231" t="inlineStr">
        <is>
          <t>7573984411880</t>
        </is>
      </c>
    </row>
    <row r="1232" ht="75" customHeight="1">
      <c r="A1232" s="2">
        <f>HYPERLINK("https://www.shelhealth.com/products/medicom-vulcan-nitrile-gloves-150-count", "https://www.shelhealth.com/products/medicom-vulcan-nitrile-gloves-150-count")</f>
        <v/>
      </c>
      <c r="B1232" s="2">
        <f>HYPERLINK("https://www.shelhealth.com/products/medicom-vulcan-nitrile-gloves-150-count", "https://www.shelhealth.com/products/medicom-vulcan-nitrile-gloves-150-count")</f>
        <v/>
      </c>
      <c r="C1232" t="inlineStr">
        <is>
          <t>Medicom Vulcan Nitrile Gloves, 150 Count</t>
        </is>
      </c>
      <c r="D1232" t="inlineStr">
        <is>
          <t>MEDICOM VULCAN NITRILE GLOVES, 150 COUNT X-Large</t>
        </is>
      </c>
      <c r="E1232" s="2">
        <f>HYPERLINK("https://www.amazon.com/MEDICOM-Vulcan-Nitrile-Gloves-X-Large/dp/B082RK19BR/ref=sr_1_1?keywords=Medicom+Vulcan+Nitrile+Gloves%2C+150+Count&amp;qid=1695170387&amp;sr=8-1", "https://www.amazon.com/MEDICOM-Vulcan-Nitrile-Gloves-X-Large/dp/B082RK19BR/ref=sr_1_1?keywords=Medicom+Vulcan+Nitrile+Gloves%2C+150+Count&amp;qid=1695170387&amp;sr=8-1")</f>
        <v/>
      </c>
      <c r="F1232" t="inlineStr">
        <is>
          <t>B082RK19BR</t>
        </is>
      </c>
      <c r="G1232">
        <f>_xlfn.IMAGE("https://www.shelhealth.com/cdn/shop/products/medicom-vulcan-nitrile-gloves-150-count-shelhealth-499.jpg?v=1663359615&amp;width=1946")</f>
        <v/>
      </c>
      <c r="H1232">
        <f>_xlfn.IMAGE("https://m.media-amazon.com/images/I/71d9EkEdXVL._AC_UY218_.jpg")</f>
        <v/>
      </c>
      <c r="K1232" t="inlineStr">
        <is>
          <t>16.99</t>
        </is>
      </c>
      <c r="L1232" t="n">
        <v>28.99</v>
      </c>
      <c r="M1232" s="1" t="inlineStr">
        <is>
          <t>70.63%</t>
        </is>
      </c>
      <c r="N1232" s="3" t="n">
        <v>70.63</v>
      </c>
      <c r="O1232" t="n">
        <v>4.6</v>
      </c>
      <c r="P1232" t="n">
        <v>139</v>
      </c>
      <c r="R1232" t="inlineStr">
        <is>
          <t>OutOfStock</t>
        </is>
      </c>
      <c r="S1232" t="inlineStr">
        <is>
          <t>16.99</t>
        </is>
      </c>
      <c r="T1232" t="inlineStr">
        <is>
          <t>4374742466649</t>
        </is>
      </c>
    </row>
    <row r="1233" ht="75" customHeight="1">
      <c r="A1233" s="2">
        <f>HYPERLINK("https://www.shelhealth.com/products/808124700475-mrs-meyers-clean-day-mum-dish-soap-16-oz", "https://www.shelhealth.com/products/808124700475-mrs-meyers-clean-day-mum-dish-soap-16-oz")</f>
        <v/>
      </c>
      <c r="B1233" s="2">
        <f>HYPERLINK("https://www.shelhealth.com/products/808124700475-mrs-meyers-clean-day-mum-dish-soap-16-oz", "https://www.shelhealth.com/products/808124700475-mrs-meyers-clean-day-mum-dish-soap-16-oz")</f>
        <v/>
      </c>
      <c r="C1233" t="inlineStr">
        <is>
          <t>Mrs Meyers Clean Day Mum Dish Soap, 16 Oz (Case of 3)</t>
        </is>
      </c>
      <c r="D1233" t="inlineStr">
        <is>
          <t>MRS. MEYER'S CLEAN DAY Liquid Dish Soap, Biodegradable Formula, Mum,16 Fl Oz. (Pack of 6)</t>
        </is>
      </c>
      <c r="E1233" s="2">
        <f>HYPERLINK("https://www.amazon.com/MRS-MEYERS-CLEAN-DAY-Biodegradable/dp/B0BWZRZXH5/ref=sr_1_7?keywords=Mrs+Meyers+Clean+Day+Mum+Dish+Soap%2C+16+Oz+%28Case+of+3%29&amp;qid=1695170489&amp;sr=8-7", "https://www.amazon.com/MRS-MEYERS-CLEAN-DAY-Biodegradable/dp/B0BWZRZXH5/ref=sr_1_7?keywords=Mrs+Meyers+Clean+Day+Mum+Dish+Soap%2C+16+Oz+%28Case+of+3%29&amp;qid=1695170489&amp;sr=8-7")</f>
        <v/>
      </c>
      <c r="F1233" t="inlineStr">
        <is>
          <t>B0BWZRZXH5</t>
        </is>
      </c>
      <c r="G1233">
        <f>_xlfn.IMAGE("https://www.shelhealth.com/cdn/shop/files/mrs-meyers-clean-day-mum-dish-soap-16-oz-case-of-3-home-products-shelhealth-132.jpg?v=1686141945&amp;width=1946")</f>
        <v/>
      </c>
      <c r="H1233">
        <f>_xlfn.IMAGE("https://m.media-amazon.com/images/I/51V6m0ykEyL._AC_UL320_.jpg")</f>
        <v/>
      </c>
      <c r="K1233" t="inlineStr">
        <is>
          <t>20.99</t>
        </is>
      </c>
      <c r="L1233" t="n">
        <v>35.64</v>
      </c>
      <c r="M1233" s="1" t="inlineStr">
        <is>
          <t>69.80%</t>
        </is>
      </c>
      <c r="N1233" s="3" t="n">
        <v>69.8</v>
      </c>
      <c r="O1233" t="n">
        <v>5</v>
      </c>
      <c r="P1233" t="n">
        <v>3</v>
      </c>
      <c r="R1233" t="inlineStr">
        <is>
          <t>OutOfStock</t>
        </is>
      </c>
      <c r="S1233" t="inlineStr">
        <is>
          <t>20.99</t>
        </is>
      </c>
      <c r="T1233" t="inlineStr">
        <is>
          <t>7241834201276</t>
        </is>
      </c>
    </row>
    <row r="1234" hidden="1" ht="15.75" customHeight="1">
      <c r="A1234" s="2">
        <f>HYPERLINK("https://www.shelhealth.com/products/dawn-platinum-powerwash-fresh-scent-value-pack", "https://www.shelhealth.com/products/dawn-platinum-powerwash-fresh-scent-value-pack")</f>
        <v/>
      </c>
      <c r="B1234" s="2">
        <f>HYPERLINK("https://www.shelhealth.com/products/dawn-platinum-powerwash-fresh-scent-value-pack", "https://www.shelhealth.com/products/dawn-platinum-powerwash-fresh-scent-value-pack")</f>
        <v/>
      </c>
      <c r="C1234" t="inlineStr">
        <is>
          <t>Dawn Platinum Powerwash Fresh Scent Value Pack</t>
        </is>
      </c>
      <c r="D1234" t="inlineStr">
        <is>
          <t>Dawn Platinum Powerwash Value Pack - Fresh Scent - 16 oz Sprayer, 16 oz Refill, 2 Flip-It Sponges</t>
        </is>
      </c>
      <c r="E1234" s="2">
        <f>HYPERLINK("https://www.amazon.com/Dawn-Platinum-Powerwash-Value-Flip/dp/B09FCK2ZR5/ref=sr_1_3?keywords=Dawn+Platinum+Powerwash+Fresh+Scent+Value+Pack&amp;qid=1695170385&amp;sr=8-3", "https://www.amazon.com/Dawn-Platinum-Powerwash-Value-Flip/dp/B09FCK2ZR5/ref=sr_1_3?keywords=Dawn+Platinum+Powerwash+Fresh+Scent+Value+Pack&amp;qid=1695170385&amp;sr=8-3")</f>
        <v/>
      </c>
      <c r="F1234" t="inlineStr">
        <is>
          <t>B09FCK2ZR5</t>
        </is>
      </c>
      <c r="G1234">
        <f>_xludf.IMAGE("https://www.shelhealth.com/cdn/shop/files/dawn-platinum-powerwash-fresh-scent-value-pack-grocery-household-petcleaning-goods-shelhealth-997.jpg?v=1686283881&amp;width=1946")</f>
        <v/>
      </c>
      <c r="H1234">
        <f>_xludf.IMAGE("https://m.media-amazon.com/images/I/81VRc8o2fwL._AC_UL320_.jpg")</f>
        <v/>
      </c>
      <c r="K1234" t="inlineStr">
        <is>
          <t>17.99</t>
        </is>
      </c>
      <c r="L1234" t="n">
        <v>30</v>
      </c>
      <c r="M1234" s="1" t="inlineStr">
        <is>
          <t>66.76%</t>
        </is>
      </c>
      <c r="N1234" s="3" t="n">
        <v>66.76000000000001</v>
      </c>
      <c r="O1234" t="n">
        <v>3.6</v>
      </c>
      <c r="P1234" t="n">
        <v>10</v>
      </c>
      <c r="R1234" t="inlineStr">
        <is>
          <t>InStock</t>
        </is>
      </c>
      <c r="S1234" t="inlineStr">
        <is>
          <t>17.99</t>
        </is>
      </c>
      <c r="T1234" t="inlineStr">
        <is>
          <t>4618808819801</t>
        </is>
      </c>
    </row>
    <row r="1235" hidden="1" ht="15.75" customHeight="1">
      <c r="A1235" s="2">
        <f>HYPERLINK("https://www.shelhealth.com/products/lysol-disinfectant-spray-4-ct-19-oz", "https://www.shelhealth.com/products/lysol-disinfectant-spray-4-ct-19-oz")</f>
        <v/>
      </c>
      <c r="B1235" s="2">
        <f>HYPERLINK("https://www.shelhealth.com/products/lysol-disinfectant-spray-4-ct-19-oz", "https://www.shelhealth.com/products/lysol-disinfectant-spray-4-ct-19-oz")</f>
        <v/>
      </c>
      <c r="C1235" t="inlineStr">
        <is>
          <t>Lysol Disinfectant Spray, 4 ct./19 oz.</t>
        </is>
      </c>
      <c r="D1235" t="inlineStr">
        <is>
          <t>Lysol Disinfectant Spray, Sanitizing Spray, For Disinfecting and Deodorizing, Crisp Linen, 19 Fl. Oz (Pack of 4, 8 Count Total)</t>
        </is>
      </c>
      <c r="E1235" s="2">
        <f>HYPERLINK("https://www.amazon.com/Lysol-Disinfectant-Sanitizing-Disinfecting-Deodorizing/dp/B0BX9KV8FV/ref=sr_1_2?keywords=Lysol+Disinfectant+Spray%2C+4+ct.%2F19+oz.&amp;qid=1695170396&amp;sr=8-2", "https://www.amazon.com/Lysol-Disinfectant-Sanitizing-Disinfecting-Deodorizing/dp/B0BX9KV8FV/ref=sr_1_2?keywords=Lysol+Disinfectant+Spray%2C+4+ct.%2F19+oz.&amp;qid=1695170396&amp;sr=8-2")</f>
        <v/>
      </c>
      <c r="F1235" t="inlineStr">
        <is>
          <t>B0BX9KV8FV</t>
        </is>
      </c>
      <c r="G1235">
        <f>_xludf.IMAGE("https://www.shelhealth.com/cdn/shop/products/lysol-disinfectant-spray-4-ct-19-oz-shelhealth-997.jpg?v=1663355321&amp;width=1946")</f>
        <v/>
      </c>
      <c r="H1235">
        <f>_xludf.IMAGE("https://m.media-amazon.com/images/I/91nUdlpapDL._AC_UL320_.jpg")</f>
        <v/>
      </c>
      <c r="K1235" t="inlineStr">
        <is>
          <t>29.99</t>
        </is>
      </c>
      <c r="L1235" t="n">
        <v>49.99</v>
      </c>
      <c r="M1235" s="1" t="inlineStr">
        <is>
          <t>66.69%</t>
        </is>
      </c>
      <c r="N1235" s="3" t="n">
        <v>66.69</v>
      </c>
      <c r="O1235" t="n">
        <v>3.4</v>
      </c>
      <c r="P1235" t="n">
        <v>2</v>
      </c>
      <c r="R1235" t="inlineStr">
        <is>
          <t>OutOfStock</t>
        </is>
      </c>
      <c r="S1235" t="inlineStr">
        <is>
          <t>29.99</t>
        </is>
      </c>
      <c r="T1235" t="inlineStr">
        <is>
          <t>4169806643252</t>
        </is>
      </c>
    </row>
    <row r="1236" ht="75" customHeight="1">
      <c r="A1236" s="2">
        <f>HYPERLINK("https://www.shelhealth.com/products/woolite-protect-renew-laundry-detergent-75-loads-150-fl-oz", "https://www.shelhealth.com/products/woolite-protect-renew-laundry-detergent-75-loads-150-fl-oz")</f>
        <v/>
      </c>
      <c r="B1236" s="2">
        <f>HYPERLINK("https://www.shelhealth.com/products/woolite-protect-renew-laundry-detergent-75-loads-150-fl-oz", "https://www.shelhealth.com/products/woolite-protect-renew-laundry-detergent-75-loads-150-fl-oz")</f>
        <v/>
      </c>
      <c r="C1236" t="inlineStr">
        <is>
          <t>Woolite Darks with Dark Defense, 150 oz.</t>
        </is>
      </c>
      <c r="D1236" t="inlineStr">
        <is>
          <t>Woolite Darks Liquid Laundry Detergent, 150 Fl. Oz, 75 Loads, High Efficiency, Black</t>
        </is>
      </c>
      <c r="E1236" s="2">
        <f>HYPERLINK("https://www.amazon.com/Woolite-Liquid-Laundry-Detergent-Efficiency/dp/B076PNL45Y/ref=sr_1_3?keywords=Woolite+Darks+with+Dark+Defense%2C+150+oz.&amp;qid=1695170388&amp;sr=8-3", "https://www.amazon.com/Woolite-Liquid-Laundry-Detergent-Efficiency/dp/B076PNL45Y/ref=sr_1_3?keywords=Woolite+Darks+with+Dark+Defense%2C+150+oz.&amp;qid=1695170388&amp;sr=8-3")</f>
        <v/>
      </c>
      <c r="F1236" t="inlineStr">
        <is>
          <t>B076PNL45Y</t>
        </is>
      </c>
      <c r="G1236">
        <f>_xlfn.IMAGE("https://www.shelhealth.com/cdn/shop/products/woolite-darks-with-dark-defense-150-oz-shelhealth-813.jpg?v=1669161485&amp;width=1946")</f>
        <v/>
      </c>
      <c r="H1236">
        <f>_xlfn.IMAGE("https://m.media-amazon.com/images/I/41ayq-KvSjL._AC_UL320_.jpg")</f>
        <v/>
      </c>
      <c r="K1236" t="inlineStr">
        <is>
          <t>29.99</t>
        </is>
      </c>
      <c r="L1236" t="n">
        <v>49.99</v>
      </c>
      <c r="M1236" s="1" t="inlineStr">
        <is>
          <t>66.69%</t>
        </is>
      </c>
      <c r="N1236" s="3" t="n">
        <v>66.69</v>
      </c>
      <c r="O1236" t="n">
        <v>4.7</v>
      </c>
      <c r="P1236" t="n">
        <v>971</v>
      </c>
      <c r="R1236" t="inlineStr">
        <is>
          <t>InStock</t>
        </is>
      </c>
      <c r="S1236" t="inlineStr">
        <is>
          <t>29.99</t>
        </is>
      </c>
      <c r="T1236" t="inlineStr">
        <is>
          <t>4179099975732</t>
        </is>
      </c>
    </row>
    <row r="1237" ht="75" customHeight="1">
      <c r="A1237" s="2">
        <f>HYPERLINK("https://www.shelhealth.com/products/iron-out-powder-rust-stain-remover-2-x-76-oz", "https://www.shelhealth.com/products/iron-out-powder-rust-stain-remover-2-x-76-oz")</f>
        <v/>
      </c>
      <c r="B1237" s="2">
        <f>HYPERLINK("https://www.shelhealth.com/products/iron-out-powder-rust-stain-remover-2-x-76-oz", "https://www.shelhealth.com/products/iron-out-powder-rust-stain-remover-2-x-76-oz")</f>
        <v/>
      </c>
      <c r="C1237" t="inlineStr">
        <is>
          <t>Iron OUT Powder Rust Stain Remover, 2 x 76 oz.</t>
        </is>
      </c>
      <c r="D1237" t="inlineStr">
        <is>
          <t>Iron OUT Rust Stain Remover Powder, 4 lb 12 oz, 3 Bottles</t>
        </is>
      </c>
      <c r="E1237" s="2">
        <f>HYPERLINK("https://www.amazon.com/Iron-Out-Remover-Powder-Bottles/dp/B07N4M39KN/ref=sr_1_2?keywords=Iron+OUT+Powder+Rust+Stain+Remover%2C+2+x+76+oz.&amp;qid=1695170543&amp;sr=8-2", "https://www.amazon.com/Iron-Out-Remover-Powder-Bottles/dp/B07N4M39KN/ref=sr_1_2?keywords=Iron+OUT+Powder+Rust+Stain+Remover%2C+2+x+76+oz.&amp;qid=1695170543&amp;sr=8-2")</f>
        <v/>
      </c>
      <c r="F1237" t="inlineStr">
        <is>
          <t>B07N4M39KN</t>
        </is>
      </c>
      <c r="G1237">
        <f>_xlfn.IMAGE("https://www.shelhealth.com/cdn/shop/products/iron-out-powder-rust-stain-remover-2-x-76-oz-shelhealth-985.jpg?v=1663370441&amp;width=1946")</f>
        <v/>
      </c>
      <c r="H1237">
        <f>_xlfn.IMAGE("https://m.media-amazon.com/images/I/41Ezt8GuvVL._AC_UL320_.jpg")</f>
        <v/>
      </c>
      <c r="K1237" t="inlineStr">
        <is>
          <t>32.99</t>
        </is>
      </c>
      <c r="L1237" t="n">
        <v>54.99</v>
      </c>
      <c r="M1237" s="1" t="inlineStr">
        <is>
          <t>66.69%</t>
        </is>
      </c>
      <c r="N1237" s="3" t="n">
        <v>66.69</v>
      </c>
      <c r="O1237" t="n">
        <v>4.6</v>
      </c>
      <c r="P1237" t="n">
        <v>11</v>
      </c>
      <c r="R1237" t="inlineStr">
        <is>
          <t>InStock</t>
        </is>
      </c>
      <c r="S1237" t="inlineStr">
        <is>
          <t>32.99</t>
        </is>
      </c>
      <c r="T1237" t="inlineStr">
        <is>
          <t>4664144298073</t>
        </is>
      </c>
    </row>
    <row r="1238" ht="75" customHeight="1">
      <c r="A1238" s="2">
        <f>HYPERLINK("https://www.shelhealth.com/products/663204352209-zum-frankincense-and-myrrh-laundry-soap-64-fo", "https://www.shelhealth.com/products/663204352209-zum-frankincense-and-myrrh-laundry-soap-64-fo")</f>
        <v/>
      </c>
      <c r="B1238" s="2">
        <f>HYPERLINK("https://www.shelhealth.com/products/663204352209-zum-frankincense-and-myrrh-laundry-soap-64-fo", "https://www.shelhealth.com/products/663204352209-zum-frankincense-and-myrrh-laundry-soap-64-fo")</f>
        <v/>
      </c>
      <c r="C1238" t="inlineStr">
        <is>
          <t>ZUM Frankincense And Myrrh Laundry Soap, 64 fo</t>
        </is>
      </c>
      <c r="D1238" t="inlineStr">
        <is>
          <t>Zum Clean Laundry Soap, Frankincense &amp; Myrrh, 64 oz-2 pack</t>
        </is>
      </c>
      <c r="E1238" s="2">
        <f>HYPERLINK("https://www.amazon.com/Clean-Laundry-Soap-Frankincense-Myrrh/dp/B006K3U4KW/ref=sr_1_3?keywords=ZUM+Frankincense+And+Myrrh+Laundry+Soap%2C+64+fo&amp;qid=1695170522&amp;sr=8-3", "https://www.amazon.com/Clean-Laundry-Soap-Frankincense-Myrrh/dp/B006K3U4KW/ref=sr_1_3?keywords=ZUM+Frankincense+And+Myrrh+Laundry+Soap%2C+64+fo&amp;qid=1695170522&amp;sr=8-3")</f>
        <v/>
      </c>
      <c r="F1238" t="inlineStr">
        <is>
          <t>B006K3U4KW</t>
        </is>
      </c>
      <c r="G1238">
        <f>_xlfn.IMAGE("https://www.shelhealth.com/cdn/shop/products/zum-frankincense-and-myrrh-laundry-soap-64-fo-shelhealth-871.jpg?v=1663790281&amp;width=1946")</f>
        <v/>
      </c>
      <c r="H1238">
        <f>_xlfn.IMAGE("https://m.media-amazon.com/images/I/815wrtMrXvL._AC_UL320_.jpg")</f>
        <v/>
      </c>
      <c r="K1238" t="inlineStr">
        <is>
          <t>18.99</t>
        </is>
      </c>
      <c r="L1238" t="n">
        <v>31.62</v>
      </c>
      <c r="M1238" s="1" t="inlineStr">
        <is>
          <t>66.51%</t>
        </is>
      </c>
      <c r="N1238" s="3" t="n">
        <v>66.51000000000001</v>
      </c>
      <c r="O1238" t="n">
        <v>4.6</v>
      </c>
      <c r="P1238" t="n">
        <v>2862</v>
      </c>
      <c r="R1238" t="inlineStr">
        <is>
          <t>InStock</t>
        </is>
      </c>
      <c r="S1238" t="inlineStr">
        <is>
          <t>18.99</t>
        </is>
      </c>
      <c r="T1238" t="inlineStr">
        <is>
          <t>7574368321768</t>
        </is>
      </c>
    </row>
    <row r="1239" ht="75" customHeight="1">
      <c r="A1239" s="2">
        <f>HYPERLINK("https://www.shelhealth.com/products/soft-scrub-lemon-all-purpose-surface-cleanser-with-2-scrub-daddys", "https://www.shelhealth.com/products/soft-scrub-lemon-all-purpose-surface-cleanser-with-2-scrub-daddys")</f>
        <v/>
      </c>
      <c r="B1239" s="2">
        <f>HYPERLINK("https://www.shelhealth.com/products/soft-scrub-lemon-all-purpose-surface-cleanser-with-2-scrub-daddys", "https://www.shelhealth.com/products/soft-scrub-lemon-all-purpose-surface-cleanser-with-2-scrub-daddys")</f>
        <v/>
      </c>
      <c r="C1239" t="inlineStr">
        <is>
          <t>Soft Scrub Lemon All Purpose Surface Cleanser with 2 Scrub Daddys</t>
        </is>
      </c>
      <c r="D1239" t="inlineStr">
        <is>
          <t>Soft Scrub All Purpose Cleaner, Surface Cleanser, Lemon, 36 Fluid Ounces, 6 Count</t>
        </is>
      </c>
      <c r="E1239" s="2">
        <f>HYPERLINK("https://www.amazon.com/Soft-Scrub-Purpose-Cleaner-Cleanser/dp/B0C1F63W2S/ref=sr_1_1?keywords=Soft+Scrub+Lemon+All+Purpose+Surface+Cleanser+with+2+Scrub+Daddys&amp;qid=1695170547&amp;rdc=1&amp;sr=8-1", "https://www.amazon.com/Soft-Scrub-Purpose-Cleaner-Cleanser/dp/B0C1F63W2S/ref=sr_1_1?keywords=Soft+Scrub+Lemon+All+Purpose+Surface+Cleanser+with+2+Scrub+Daddys&amp;qid=1695170547&amp;rdc=1&amp;sr=8-1")</f>
        <v/>
      </c>
      <c r="F1239" t="inlineStr">
        <is>
          <t>B0C1F63W2S</t>
        </is>
      </c>
      <c r="G1239">
        <f>_xlfn.IMAGE("https://www.shelhealth.com/cdn/shop/products/soft-scrub-lemon-all-purpose-surface-cleanser-with-2-daddys-daddy-shelhealth-355.jpg?v=1663369396&amp;width=1946")</f>
        <v/>
      </c>
      <c r="H1239">
        <f>_xlfn.IMAGE("https://m.media-amazon.com/images/I/61uKWFnvXEL._AC_UL320_.jpg")</f>
        <v/>
      </c>
      <c r="K1239" t="inlineStr">
        <is>
          <t>17.99</t>
        </is>
      </c>
      <c r="L1239" t="n">
        <v>29.94</v>
      </c>
      <c r="M1239" s="1" t="inlineStr">
        <is>
          <t>66.43%</t>
        </is>
      </c>
      <c r="N1239" s="3" t="n">
        <v>66.43000000000001</v>
      </c>
      <c r="O1239" t="n">
        <v>4.6</v>
      </c>
      <c r="P1239" t="n">
        <v>45</v>
      </c>
      <c r="R1239" t="inlineStr">
        <is>
          <t>InStock</t>
        </is>
      </c>
      <c r="S1239" t="inlineStr">
        <is>
          <t>17.99</t>
        </is>
      </c>
      <c r="T1239" t="inlineStr">
        <is>
          <t>4618805706841</t>
        </is>
      </c>
    </row>
    <row r="1240" ht="75" customHeight="1">
      <c r="A1240" s="2">
        <f>HYPERLINK("https://www.shelhealth.com/products/feit-electric-dimmable-led-br-30-flood-65w-soft-white-6-count", "https://www.shelhealth.com/products/feit-electric-dimmable-led-br-30-flood-65w-soft-white-6-count")</f>
        <v/>
      </c>
      <c r="B1240" s="2">
        <f>HYPERLINK("https://www.shelhealth.com/products/feit-electric-dimmable-led-br-30-flood-65w-soft-white-6-count", "https://www.shelhealth.com/products/feit-electric-dimmable-led-br-30-flood-65w-soft-white-6-count")</f>
        <v/>
      </c>
      <c r="C1240" t="inlineStr">
        <is>
          <t>Feit Electric Dimmable Led BR 30 Flood 65W Soft White, 6 Count</t>
        </is>
      </c>
      <c r="D1240" t="inlineStr">
        <is>
          <t>Feit Electric LED BR30 Light Bulbs, 65W Equivalent, Dimmable, 10 Year Life, 650 Lumens, 2700K Soft White, E26 Base Recessed Can Light Bulbs, Flood Light Bulbs, Damp Rated, 12 Pack, BR30DM/10KLED/MP/12</t>
        </is>
      </c>
      <c r="E1240" s="2">
        <f>HYPERLINK("https://www.amazon.com/Feit-Electric-BR30DM-10KLED-MP/dp/B06XFPP39Z/ref=sr_1_6?keywords=Feit+Electric+Dimmable+Led+BR+30+Flood+65W+Soft+White%2C+6+Count&amp;qid=1695170551&amp;sr=8-6", "https://www.amazon.com/Feit-Electric-BR30DM-10KLED-MP/dp/B06XFPP39Z/ref=sr_1_6?keywords=Feit+Electric+Dimmable+Led+BR+30+Flood+65W+Soft+White%2C+6+Count&amp;qid=1695170551&amp;sr=8-6")</f>
        <v/>
      </c>
      <c r="F1240" t="inlineStr">
        <is>
          <t>B06XFPP39Z</t>
        </is>
      </c>
      <c r="G1240">
        <f>_xlfn.IMAGE("https://www.shelhealth.com/cdn/shop/products/feit-electric-dimmable-led-br-30-flood-65w-soft-white-6-count-shelhealth-424.jpg?v=1663357848&amp;width=1946")</f>
        <v/>
      </c>
      <c r="H1240">
        <f>_xlfn.IMAGE("https://m.media-amazon.com/images/I/51zfeAHZ4wL._AC_UL320_.jpg")</f>
        <v/>
      </c>
      <c r="K1240" t="inlineStr">
        <is>
          <t>21.99</t>
        </is>
      </c>
      <c r="L1240" t="n">
        <v>36.06</v>
      </c>
      <c r="M1240" s="1" t="inlineStr">
        <is>
          <t>63.98%</t>
        </is>
      </c>
      <c r="N1240" s="3" t="n">
        <v>63.98</v>
      </c>
      <c r="O1240" t="n">
        <v>4.6</v>
      </c>
      <c r="P1240" t="n">
        <v>519</v>
      </c>
      <c r="R1240" t="inlineStr">
        <is>
          <t>InStock</t>
        </is>
      </c>
      <c r="S1240" t="inlineStr">
        <is>
          <t>21.99</t>
        </is>
      </c>
      <c r="T1240" t="inlineStr">
        <is>
          <t>4268904579124</t>
        </is>
      </c>
    </row>
    <row r="1241" hidden="1" ht="15.75" customHeight="1">
      <c r="A1241" s="2">
        <f>HYPERLINK("https://www.shelhealth.com/products/ultra-downy-clean-breeze-liquid-fabric-conditioner-170-fl-oz", "https://www.shelhealth.com/products/ultra-downy-clean-breeze-liquid-fabric-conditioner-170-fl-oz")</f>
        <v/>
      </c>
      <c r="B1241" s="2">
        <f>HYPERLINK("https://www.shelhealth.com/products/ultra-downy-clean-breeze-liquid-fabric-conditioner-170-fl-oz", "https://www.shelhealth.com/products/ultra-downy-clean-breeze-liquid-fabric-conditioner-170-fl-oz")</f>
        <v/>
      </c>
      <c r="C1241" t="inlineStr">
        <is>
          <t>Ultra Downy Clean Breeze Liquid Fabric Conditioner, 170 fl. oz.</t>
        </is>
      </c>
      <c r="D1241" t="inlineStr">
        <is>
          <t>Downy Clean Breeze Liquid Fabric Conditioner 103 Fl oz. (Pack of 4)</t>
        </is>
      </c>
      <c r="E1241" s="2">
        <f>HYPERLINK("https://www.amazon.com/Downy-Breeze-Liquid-Fabric-Conditioner/dp/B000OLFXIY/ref=sr_1_8?keywords=Ultra+Downy+Clean+Breeze+Liquid+Fabric+Conditioner%2C+170+fl.+oz.&amp;qid=1695170437&amp;sr=8-8", "https://www.amazon.com/Downy-Breeze-Liquid-Fabric-Conditioner/dp/B000OLFXIY/ref=sr_1_8?keywords=Ultra+Downy+Clean+Breeze+Liquid+Fabric+Conditioner%2C+170+fl.+oz.&amp;qid=1695170437&amp;sr=8-8")</f>
        <v/>
      </c>
      <c r="F1241" t="inlineStr">
        <is>
          <t>B000OLFXIY</t>
        </is>
      </c>
      <c r="G1241">
        <f>_xludf.IMAGE("https://www.shelhealth.com/cdn/shop/products/ultra-downy-clean-breeze-liquid-fabric-conditioner-170-fl-oz-shelhealth-353.jpg?v=1663356574&amp;width=1946")</f>
        <v/>
      </c>
      <c r="H1241">
        <f>_xludf.IMAGE("https://m.media-amazon.com/images/I/8108aDUocGL._AC_UL320_.jpg")</f>
        <v/>
      </c>
      <c r="K1241" t="inlineStr">
        <is>
          <t>27.99</t>
        </is>
      </c>
      <c r="L1241" t="n">
        <v>45.47</v>
      </c>
      <c r="M1241" s="1" t="inlineStr">
        <is>
          <t>62.45%</t>
        </is>
      </c>
      <c r="N1241" s="3" t="n">
        <v>62.45</v>
      </c>
      <c r="O1241" t="n">
        <v>3.2</v>
      </c>
      <c r="P1241" t="n">
        <v>10</v>
      </c>
      <c r="R1241" t="inlineStr">
        <is>
          <t>InStock</t>
        </is>
      </c>
      <c r="S1241" t="inlineStr">
        <is>
          <t>27.99</t>
        </is>
      </c>
      <c r="T1241" t="inlineStr">
        <is>
          <t>4178996854836</t>
        </is>
      </c>
    </row>
    <row r="1242" ht="75" customHeight="1">
      <c r="A1242" s="2">
        <f>HYPERLINK("https://www.shelhealth.com/products/mavea-10-cup-water-filter-pitcher", "https://www.shelhealth.com/products/mavea-10-cup-water-filter-pitcher")</f>
        <v/>
      </c>
      <c r="B1242" s="2">
        <f>HYPERLINK("https://www.shelhealth.com/products/mavea-10-cup-water-filter-pitcher", "https://www.shelhealth.com/products/mavea-10-cup-water-filter-pitcher")</f>
        <v/>
      </c>
      <c r="C1242" t="inlineStr">
        <is>
          <t>Mavea 10-Cup Water Filter Pitcher</t>
        </is>
      </c>
      <c r="D1242" t="inlineStr">
        <is>
          <t>Brita Large Water Filter Pitcher for Tap and Drinking Water with SmartLight Filter Change Indicator + 1 Standard Filter, Lasts 2 Months, 10-Cup Capacity, Bright White</t>
        </is>
      </c>
      <c r="E1242" s="2">
        <f>HYPERLINK("https://www.amazon.com/Brita-Drinking-Replacement-Capacity-Christmas/dp/B0B3GS15GL/ref=sr_1_4?keywords=Mavea+10-Cup+Water+Filter+Pitcher&amp;qid=1695170405&amp;sr=8-4", "https://www.amazon.com/Brita-Drinking-Replacement-Capacity-Christmas/dp/B0B3GS15GL/ref=sr_1_4?keywords=Mavea+10-Cup+Water+Filter+Pitcher&amp;qid=1695170405&amp;sr=8-4")</f>
        <v/>
      </c>
      <c r="F1242" t="inlineStr">
        <is>
          <t>B0B3GS15GL</t>
        </is>
      </c>
      <c r="G1242">
        <f>_xlfn.IMAGE("https://www.shelhealth.com/cdn/shop/products/mavea-10-cup-water-filter-pitcher-shelhealth-109.jpg?v=1663344360&amp;width=1946")</f>
        <v/>
      </c>
      <c r="H1242">
        <f>_xlfn.IMAGE("https://m.media-amazon.com/images/I/61l4Yph5VjL._AC_UL320_.jpg")</f>
        <v/>
      </c>
      <c r="K1242" t="inlineStr">
        <is>
          <t>23.99</t>
        </is>
      </c>
      <c r="L1242" t="n">
        <v>38.79</v>
      </c>
      <c r="M1242" s="1" t="inlineStr">
        <is>
          <t>61.69%</t>
        </is>
      </c>
      <c r="N1242" s="3" t="n">
        <v>61.69</v>
      </c>
      <c r="O1242" t="n">
        <v>4.7</v>
      </c>
      <c r="P1242" t="n">
        <v>2765</v>
      </c>
      <c r="R1242" t="inlineStr">
        <is>
          <t>OutOfStock</t>
        </is>
      </c>
      <c r="S1242" t="inlineStr">
        <is>
          <t>23.99</t>
        </is>
      </c>
      <c r="T1242" t="inlineStr">
        <is>
          <t>3824977379380</t>
        </is>
      </c>
    </row>
    <row r="1243" hidden="1" ht="15.75" customHeight="1">
      <c r="A1243" s="2">
        <f>HYPERLINK("https://www.shelhealth.com/products/downy-unstopables-fresh-in-wash-scent-booster-beads-30-3-oz", "https://www.shelhealth.com/products/downy-unstopables-fresh-in-wash-scent-booster-beads-30-3-oz")</f>
        <v/>
      </c>
      <c r="B1243" s="2">
        <f>HYPERLINK("https://www.shelhealth.com/products/downy-unstopables-fresh-in-wash-scent-booster-beads-30-3-oz", "https://www.shelhealth.com/products/downy-unstopables-fresh-in-wash-scent-booster-beads-30-3-oz")</f>
        <v/>
      </c>
      <c r="C1243" t="inlineStr">
        <is>
          <t>Downy Unstopables Fresh In-Wash Scent Booster Beads, 30.3 oz.</t>
        </is>
      </c>
      <c r="D1243" t="inlineStr">
        <is>
          <t>Downy Unstopables in-wash Scent Booster Beads, Lush, 10.0 oz, 20 Pack</t>
        </is>
      </c>
      <c r="E1243" s="2">
        <f>HYPERLINK("https://www.amazon.com/Downy-Unstopables-wash-Scent-Booster/dp/B0BW36ZDVH/ref=sr_1_2?keywords=Downy+Unstopables+Fresh+In-Wash+Scent+Booster+Beads%2C+30.3+oz.&amp;qid=1695170442&amp;sr=8-2", "https://www.amazon.com/Downy-Unstopables-wash-Scent-Booster/dp/B0BW36ZDVH/ref=sr_1_2?keywords=Downy+Unstopables+Fresh+In-Wash+Scent+Booster+Beads%2C+30.3+oz.&amp;qid=1695170442&amp;sr=8-2")</f>
        <v/>
      </c>
      <c r="F1243" t="inlineStr">
        <is>
          <t>B0BW36ZDVH</t>
        </is>
      </c>
      <c r="G1243">
        <f>_xludf.IMAGE("https://www.shelhealth.com/cdn/shop/products/downy-unstopables-fresh-in-wash-scent-booster-beads-30-3-oz-shelhealth-770.jpg?v=1663356562&amp;width=1946")</f>
        <v/>
      </c>
      <c r="H1243">
        <f>_xludf.IMAGE("https://m.media-amazon.com/images/I/61XVBASoIcL._AC_UL320_.jpg")</f>
        <v/>
      </c>
      <c r="K1243" t="inlineStr">
        <is>
          <t>23.99</t>
        </is>
      </c>
      <c r="L1243" t="n">
        <v>38.7</v>
      </c>
      <c r="M1243" s="1" t="inlineStr">
        <is>
          <t>61.32%</t>
        </is>
      </c>
      <c r="N1243" s="3" t="n">
        <v>61.32</v>
      </c>
      <c r="O1243" t="n">
        <v>2.9</v>
      </c>
      <c r="P1243" t="n">
        <v>11</v>
      </c>
      <c r="R1243" t="inlineStr">
        <is>
          <t>OutOfStock</t>
        </is>
      </c>
      <c r="S1243" t="inlineStr">
        <is>
          <t>23.99</t>
        </is>
      </c>
      <c r="T1243" t="inlineStr">
        <is>
          <t>4178984206388</t>
        </is>
      </c>
    </row>
    <row r="1244" ht="75" customHeight="1">
      <c r="A1244" s="2">
        <f>HYPERLINK("https://www.shelhealth.com/products/mavea-10-cup-water-filter-pitcher", "https://www.shelhealth.com/products/mavea-10-cup-water-filter-pitcher")</f>
        <v/>
      </c>
      <c r="B1244" s="2">
        <f>HYPERLINK("https://www.shelhealth.com/products/mavea-10-cup-water-filter-pitcher", "https://www.shelhealth.com/products/mavea-10-cup-water-filter-pitcher")</f>
        <v/>
      </c>
      <c r="C1244" t="inlineStr">
        <is>
          <t>Mavea 10-Cup Water Filter Pitcher</t>
        </is>
      </c>
      <c r="D1244" t="inlineStr">
        <is>
          <t>Brita Large 10 Cup Water Filter Pitcher with Smart Light Filter Reminder and 2 Standard Filtes, Made Without BPA, White (Packaging May Vary) (1512822)</t>
        </is>
      </c>
      <c r="E1244" s="2">
        <f>HYPERLINK("https://www.amazon.com/Brita-Reminder-Standard-Packaging-1512822/dp/B0BJL5RDNC/ref=sr_1_8?keywords=Mavea+10-Cup+Water+Filter+Pitcher&amp;qid=1695170405&amp;sr=8-8", "https://www.amazon.com/Brita-Reminder-Standard-Packaging-1512822/dp/B0BJL5RDNC/ref=sr_1_8?keywords=Mavea+10-Cup+Water+Filter+Pitcher&amp;qid=1695170405&amp;sr=8-8")</f>
        <v/>
      </c>
      <c r="F1244" t="inlineStr">
        <is>
          <t>B0BJL5RDNC</t>
        </is>
      </c>
      <c r="G1244">
        <f>_xlfn.IMAGE("https://www.shelhealth.com/cdn/shop/products/mavea-10-cup-water-filter-pitcher-shelhealth-109.jpg?v=1663344360&amp;width=1946")</f>
        <v/>
      </c>
      <c r="H1244">
        <f>_xlfn.IMAGE("https://m.media-amazon.com/images/I/51cOB9s9AwL._AC_UL320_.jpg")</f>
        <v/>
      </c>
      <c r="K1244" t="inlineStr">
        <is>
          <t>23.99</t>
        </is>
      </c>
      <c r="L1244" t="n">
        <v>38.4</v>
      </c>
      <c r="M1244" s="1" t="inlineStr">
        <is>
          <t>60.07%</t>
        </is>
      </c>
      <c r="N1244" s="3" t="n">
        <v>60.07</v>
      </c>
      <c r="O1244" t="n">
        <v>4.3</v>
      </c>
      <c r="P1244" t="n">
        <v>211</v>
      </c>
      <c r="R1244" t="inlineStr">
        <is>
          <t>OutOfStock</t>
        </is>
      </c>
      <c r="S1244" t="inlineStr">
        <is>
          <t>23.99</t>
        </is>
      </c>
      <c r="T1244" t="inlineStr">
        <is>
          <t>3824977379380</t>
        </is>
      </c>
    </row>
    <row r="1245" hidden="1" ht="15.75" customHeight="1">
      <c r="A1245" s="2">
        <f>HYPERLINK("https://www.shelhealth.com/products/808124421165-mrs-meyers-clean-day-scented-soy-candle-lemon-verbena-scent-7-2-oz", "https://www.shelhealth.com/products/808124421165-mrs-meyers-clean-day-scented-soy-candle-lemon-verbena-scent-7-2-oz")</f>
        <v/>
      </c>
      <c r="B1245" s="2">
        <f>HYPERLINK("https://www.shelhealth.com/products/808124421165-mrs-meyers-clean-day-scented-soy-candle-lemon-verbena-scent-7-2-oz", "https://www.shelhealth.com/products/808124421165-mrs-meyers-clean-day-scented-soy-candle-lemon-verbena-scent-7-2-oz")</f>
        <v/>
      </c>
      <c r="C1245" t="inlineStr">
        <is>
          <t>MRS MEYERS CLEAN DAY Scented Soy Candle Lemon Verbena Scent, 7.2 oz</t>
        </is>
      </c>
      <c r="D1245" t="inlineStr">
        <is>
          <t>MRS. MEYER'S CLEAN DAY Soy Aromatherapy Candle, 35 Hour Burn Time, Made with Soy Wax and Essential Oils, Lemon Verbena, 7.2 oz- Pack of 2</t>
        </is>
      </c>
      <c r="E1245" s="2">
        <f>HYPERLINK("https://www.amazon.com/Mrs-Meyers-Scented-Candle-Verbena/dp/B01M5EIRVX/ref=sr_1_2?keywords=MRS+MEYERS+CLEAN+DAY+Scented+Soy+Candle+Lemon+Verbena+Scent%2C+7.2+oz&amp;qid=1695170517&amp;sr=8-2", "https://www.amazon.com/Mrs-Meyers-Scented-Candle-Verbena/dp/B01M5EIRVX/ref=sr_1_2?keywords=MRS+MEYERS+CLEAN+DAY+Scented+Soy+Candle+Lemon+Verbena+Scent%2C+7.2+oz&amp;qid=1695170517&amp;sr=8-2")</f>
        <v/>
      </c>
      <c r="F1245" t="inlineStr">
        <is>
          <t>B01M5EIRVX</t>
        </is>
      </c>
      <c r="G1245">
        <f>_xludf.IMAGE("https://www.shelhealth.com/cdn/shop/files/mrs-meyers-clean-day-scented-soy-candle-lemon-verbena-scent-7-2-oz-home-products-shelhealth-417.jpg?v=1686219987&amp;width=1946")</f>
        <v/>
      </c>
      <c r="H1245">
        <f>_xludf.IMAGE("https://m.media-amazon.com/images/I/61+A5DsCS+L._AC_UL320_.jpg")</f>
        <v/>
      </c>
      <c r="K1245" t="inlineStr">
        <is>
          <t>13.99</t>
        </is>
      </c>
      <c r="L1245" t="n">
        <v>22.31</v>
      </c>
      <c r="M1245" s="1" t="inlineStr">
        <is>
          <t>59.47%</t>
        </is>
      </c>
      <c r="N1245" s="3" t="n">
        <v>59.47</v>
      </c>
      <c r="O1245" t="n">
        <v>4.4</v>
      </c>
      <c r="P1245" t="n">
        <v>10769</v>
      </c>
      <c r="R1245" t="inlineStr">
        <is>
          <t>InStock</t>
        </is>
      </c>
      <c r="S1245" t="inlineStr">
        <is>
          <t>13.99</t>
        </is>
      </c>
      <c r="T1245" t="inlineStr">
        <is>
          <t>7574209659112</t>
        </is>
      </c>
    </row>
    <row r="1246" hidden="1" ht="15.75" customHeight="1">
      <c r="A1246" s="2">
        <f>HYPERLINK("https://www.shelhealth.com/products/scrubbing-bubbles-fresh-citrus-toilet-cleaning-stamps-and-gel", "https://www.shelhealth.com/products/scrubbing-bubbles-fresh-citrus-toilet-cleaning-stamps-and-gel")</f>
        <v/>
      </c>
      <c r="B1246" s="2">
        <f>HYPERLINK("https://www.shelhealth.com/products/scrubbing-bubbles-fresh-citrus-toilet-cleaning-stamps-and-gel", "https://www.shelhealth.com/products/scrubbing-bubbles-fresh-citrus-toilet-cleaning-stamps-and-gel")</f>
        <v/>
      </c>
      <c r="C1246" t="inlineStr">
        <is>
          <t>Scrubbing Bubbles Fresh Citrus Toilet Cleaning Stamps and Gel</t>
        </is>
      </c>
      <c r="D1246" t="inlineStr">
        <is>
          <t>Scrubbing Bubbles Fresh Gel Toilet Bowl Cleaning Stamps 12 Count (Pack of 2)</t>
        </is>
      </c>
      <c r="E1246" s="2">
        <f>HYPERLINK("https://www.amazon.com/Scrubbing-Bubbles-Cleaning-Limescale-Rainshower/dp/B07YCY9172/ref=sr_1_6?keywords=Scrubbing+Bubbles+Fresh+Citrus+Toilet+Cleaning+Stamps+and+Gel&amp;qid=1695170544&amp;sr=8-6", "https://www.amazon.com/Scrubbing-Bubbles-Cleaning-Limescale-Rainshower/dp/B07YCY9172/ref=sr_1_6?keywords=Scrubbing+Bubbles+Fresh+Citrus+Toilet+Cleaning+Stamps+and+Gel&amp;qid=1695170544&amp;sr=8-6")</f>
        <v/>
      </c>
      <c r="F1246" t="inlineStr">
        <is>
          <t>B07YCY9172</t>
        </is>
      </c>
      <c r="G1246">
        <f>_xludf.IMAGE("https://www.shelhealth.com/cdn/shop/products/scrubbing-bubbles-fresh-citrus-toilet-cleaning-stamps-and-gel-shelhealth-822.jpg?v=1663369145&amp;width=1946")</f>
        <v/>
      </c>
      <c r="H1246">
        <f>_xludf.IMAGE("https://m.media-amazon.com/images/I/81viZylYvoL._AC_UL320_.jpg")</f>
        <v/>
      </c>
      <c r="K1246" t="inlineStr">
        <is>
          <t>17.99</t>
        </is>
      </c>
      <c r="L1246" t="n">
        <v>28.55</v>
      </c>
      <c r="M1246" s="1" t="inlineStr">
        <is>
          <t>58.70%</t>
        </is>
      </c>
      <c r="N1246" s="3" t="n">
        <v>58.7</v>
      </c>
      <c r="O1246" t="n">
        <v>4.6</v>
      </c>
      <c r="P1246" t="n">
        <v>864</v>
      </c>
      <c r="R1246" t="inlineStr">
        <is>
          <t>OutOfStock</t>
        </is>
      </c>
      <c r="S1246" t="inlineStr">
        <is>
          <t>17.99</t>
        </is>
      </c>
      <c r="T1246" t="inlineStr">
        <is>
          <t>4613432508505</t>
        </is>
      </c>
    </row>
    <row r="1247" hidden="1" ht="15.75" customHeight="1">
      <c r="A1247" s="2">
        <f>HYPERLINK("https://www.shelhealth.com/products/swiffer-sweeper-heavy-duty-dry-sweeping-cloths-50-ct", "https://www.shelhealth.com/products/swiffer-sweeper-heavy-duty-dry-sweeping-cloths-50-ct")</f>
        <v/>
      </c>
      <c r="B1247" s="2">
        <f>HYPERLINK("https://www.shelhealth.com/products/swiffer-sweeper-heavy-duty-dry-sweeping-cloths-50-ct", "https://www.shelhealth.com/products/swiffer-sweeper-heavy-duty-dry-sweeping-cloths-50-ct")</f>
        <v/>
      </c>
      <c r="C1247" t="inlineStr">
        <is>
          <t>Swiffer Sweeper Heavy Duty Dry Sweeping Cloths, 50 ct.</t>
        </is>
      </c>
      <c r="D1247" t="inlineStr">
        <is>
          <t>Swiffer Heavy Duty Dry Sweeping Cloths, 50ct (Pack of 2)</t>
        </is>
      </c>
      <c r="E1247" s="2">
        <f>HYPERLINK("https://www.amazon.com/Swiffer-Heavy-Duty-Sweeping-Cloths/dp/B0C66CK8X8/ref=sr_1_3?keywords=Swiffer+Sweeper+Heavy+Duty+Dry+Sweeping+Cloths%2C+50+ct.&amp;qid=1695170540&amp;sr=8-3", "https://www.amazon.com/Swiffer-Heavy-Duty-Sweeping-Cloths/dp/B0C66CK8X8/ref=sr_1_3?keywords=Swiffer+Sweeper+Heavy+Duty+Dry+Sweeping+Cloths%2C+50+ct.&amp;qid=1695170540&amp;sr=8-3")</f>
        <v/>
      </c>
      <c r="F1247" t="inlineStr">
        <is>
          <t>B0C66CK8X8</t>
        </is>
      </c>
      <c r="G1247">
        <f>_xludf.IMAGE("https://www.shelhealth.com/cdn/shop/files/swiffer-sweeper-heavy-duty-dry-sweeping-cloths-50-ct-grocery-household-petcleaning-goods-shelhealth-861.jpg?v=1686284259&amp;width=1946")</f>
        <v/>
      </c>
      <c r="H1247">
        <f>_xludf.IMAGE("https://m.media-amazon.com/images/I/71bBOruMIFL._AC_UL320_.jpg")</f>
        <v/>
      </c>
      <c r="K1247" t="inlineStr">
        <is>
          <t>30.99</t>
        </is>
      </c>
      <c r="L1247" t="n">
        <v>48.77</v>
      </c>
      <c r="M1247" s="1" t="inlineStr">
        <is>
          <t>57.37%</t>
        </is>
      </c>
      <c r="N1247" s="3" t="n">
        <v>57.37</v>
      </c>
      <c r="O1247" t="n">
        <v>4.9</v>
      </c>
      <c r="P1247" t="n">
        <v>16</v>
      </c>
      <c r="R1247" t="inlineStr">
        <is>
          <t>InStock</t>
        </is>
      </c>
      <c r="S1247" t="inlineStr">
        <is>
          <t>30.99</t>
        </is>
      </c>
      <c r="T1247" t="inlineStr">
        <is>
          <t>4713270968409</t>
        </is>
      </c>
    </row>
    <row r="1248" hidden="1" ht="15.75" customHeight="1">
      <c r="A1248" s="2">
        <f>HYPERLINK("https://www.shelhealth.com/products/odoban-concentrate-multi-purpose-odor-eliminator-1-gallon", "https://www.shelhealth.com/products/odoban-concentrate-multi-purpose-odor-eliminator-1-gallon")</f>
        <v/>
      </c>
      <c r="B1248" s="2">
        <f>HYPERLINK("https://www.shelhealth.com/products/odoban-concentrate-multi-purpose-odor-eliminator-1-gallon", "https://www.shelhealth.com/products/odoban-concentrate-multi-purpose-odor-eliminator-1-gallon")</f>
        <v/>
      </c>
      <c r="C1248" t="inlineStr">
        <is>
          <t>OdoBan Concentrate Multi-Purpose Odor Eliminator, 1 Gallon</t>
        </is>
      </c>
      <c r="D1248" t="inlineStr">
        <is>
          <t>OdoBan Ready-to-Use Disinfectant and Harsh Aroma Eliminator, Set of 2, 14.6 Ounce 360-Degree Continuous Spray Fabric/Air Freshener and 1 Gallon Multi-Purpose Cleaning Concentrate, Lavender Scent</t>
        </is>
      </c>
      <c r="E1248" s="2">
        <f>HYPERLINK("https://www.amazon.com/OdoBan-360-Degree-Continuous-Concentrate-Lavender/dp/B097YTK8LB/ref=sr_1_8?keywords=OdoBan+Concentrate+Multi-Purpose+Odor+Eliminator%2C+1+Gallon&amp;qid=1695170549&amp;sr=8-8", "https://www.amazon.com/OdoBan-360-Degree-Continuous-Concentrate-Lavender/dp/B097YTK8LB/ref=sr_1_8?keywords=OdoBan+Concentrate+Multi-Purpose+Odor+Eliminator%2C+1+Gallon&amp;qid=1695170549&amp;sr=8-8")</f>
        <v/>
      </c>
      <c r="F1248" t="inlineStr">
        <is>
          <t>B097YTK8LB</t>
        </is>
      </c>
      <c r="G1248">
        <f>_xludf.IMAGE("https://www.shelhealth.com/cdn/shop/products/odoban-concentrate-multi-purpose-odor-eliminator-1-gallon-shelhealth-978.jpg?v=1663370619&amp;width=1946")</f>
        <v/>
      </c>
      <c r="H1248">
        <f>_xludf.IMAGE("https://m.media-amazon.com/images/I/71kDBnZ0n+L._AC_UY218_.jpg")</f>
        <v/>
      </c>
      <c r="K1248" t="inlineStr">
        <is>
          <t>19.99</t>
        </is>
      </c>
      <c r="L1248" t="n">
        <v>31.36</v>
      </c>
      <c r="M1248" s="1" t="inlineStr">
        <is>
          <t>56.88%</t>
        </is>
      </c>
      <c r="N1248" s="3" t="n">
        <v>56.88</v>
      </c>
      <c r="O1248" t="n">
        <v>4.7</v>
      </c>
      <c r="P1248" t="n">
        <v>10</v>
      </c>
      <c r="R1248" t="inlineStr">
        <is>
          <t>InStock</t>
        </is>
      </c>
      <c r="S1248" t="inlineStr">
        <is>
          <t>19.99</t>
        </is>
      </c>
      <c r="T1248" t="inlineStr">
        <is>
          <t>4664315838553</t>
        </is>
      </c>
    </row>
    <row r="1249" hidden="1" ht="15.75" customHeight="1">
      <c r="A1249" s="2">
        <f>HYPERLINK("https://www.shelhealth.com/products/acrylic-beverage-dispenser-2-5-gallon", "https://www.shelhealth.com/products/acrylic-beverage-dispenser-2-5-gallon")</f>
        <v/>
      </c>
      <c r="B1249" s="2">
        <f>HYPERLINK("https://www.shelhealth.com/products/acrylic-beverage-dispenser-2-5-gallon", "https://www.shelhealth.com/products/acrylic-beverage-dispenser-2-5-gallon")</f>
        <v/>
      </c>
      <c r="C1249" t="inlineStr">
        <is>
          <t>Acrylic Beverage Dispenser 2.5 Gallon</t>
        </is>
      </c>
      <c r="D1249" t="inlineStr">
        <is>
          <t>Style Setter Homestead Beverage Dispenser Cold Drink Dispenser w/ 2.5-Gallon Capacity Glass Jug, Leak Proof Acrylic Spigot Great for Parties, Weddings &amp; More</t>
        </is>
      </c>
      <c r="E1249" s="2">
        <f>HYPERLINK("https://www.amazon.com/Style-Setter-2-5-Gallon-Leak-Proof-410407-RB/dp/B097QCYH25/ref=sr_1_2?keywords=Acrylic+Beverage+Dispenser+2.5+Gallon&amp;qid=1695170553&amp;sr=8-2", "https://www.amazon.com/Style-Setter-2-5-Gallon-Leak-Proof-410407-RB/dp/B097QCYH25/ref=sr_1_2?keywords=Acrylic+Beverage+Dispenser+2.5+Gallon&amp;qid=1695170553&amp;sr=8-2")</f>
        <v/>
      </c>
      <c r="F1249" t="inlineStr">
        <is>
          <t>B097QCYH25</t>
        </is>
      </c>
      <c r="G1249">
        <f>_xludf.IMAGE("https://www.shelhealth.com/cdn/shop/products/acrylic-beverage-dispenser-2-5-gallon-shelhealth-551.jpg?v=1663357185&amp;width=1946")</f>
        <v/>
      </c>
      <c r="H1249">
        <f>_xludf.IMAGE("https://m.media-amazon.com/images/I/716JwaibAxS._AC_UL320_.jpg")</f>
        <v/>
      </c>
      <c r="K1249" t="inlineStr">
        <is>
          <t>36.99</t>
        </is>
      </c>
      <c r="L1249" t="n">
        <v>57.99</v>
      </c>
      <c r="M1249" s="1" t="inlineStr">
        <is>
          <t>56.77%</t>
        </is>
      </c>
      <c r="N1249" s="3" t="n">
        <v>56.77</v>
      </c>
      <c r="O1249" t="n">
        <v>4.2</v>
      </c>
      <c r="P1249" t="n">
        <v>90</v>
      </c>
      <c r="R1249" t="inlineStr">
        <is>
          <t>OutOfStock</t>
        </is>
      </c>
      <c r="S1249" t="inlineStr">
        <is>
          <t>36.99</t>
        </is>
      </c>
      <c r="T1249" t="inlineStr">
        <is>
          <t>4179239501876</t>
        </is>
      </c>
    </row>
    <row r="1250" hidden="1" ht="15.75" customHeight="1">
      <c r="A1250" s="2">
        <f>HYPERLINK("https://www.shelhealth.com/products/639713990843-evolution-salt-lamp-salt-himalyan-grey-6-lb", "https://www.shelhealth.com/products/639713990843-evolution-salt-lamp-salt-himalyan-grey-6-lb")</f>
        <v/>
      </c>
      <c r="B1250" s="2">
        <f>HYPERLINK("https://www.shelhealth.com/products/639713990843-evolution-salt-lamp-salt-himalyan-grey-6-lb", "https://www.shelhealth.com/products/639713990843-evolution-salt-lamp-salt-himalyan-grey-6-lb")</f>
        <v/>
      </c>
      <c r="C1250" t="inlineStr">
        <is>
          <t>EVOLUTION SALT Lamp Salt Himalyan Grey, 6 lb</t>
        </is>
      </c>
      <c r="D1250" t="inlineStr">
        <is>
          <t>Evolution Salt - Pillar Crystal Himalayan Salt Lamp 4-6 lbs</t>
        </is>
      </c>
      <c r="E1250" s="2">
        <f>HYPERLINK("https://www.amazon.com/Evolution-Salt-Pillar-Crystal-Himalayan/dp/B009Y8048C/ref=sr_1_1?keywords=evolution+salt+lamp+salt+himalayan+grey%2C+6+lb&amp;qid=1695170510&amp;sr=8-1", "https://www.amazon.com/Evolution-Salt-Pillar-Crystal-Himalayan/dp/B009Y8048C/ref=sr_1_1?keywords=evolution+salt+lamp+salt+himalayan+grey%2C+6+lb&amp;qid=1695170510&amp;sr=8-1")</f>
        <v/>
      </c>
      <c r="F1250" t="inlineStr">
        <is>
          <t>B009Y8048C</t>
        </is>
      </c>
      <c r="G1250">
        <f>_xludf.IMAGE("https://www.shelhealth.com/cdn/shop/files/evolution-salt-lamp-himalyan-grey-6-lb-home-products-shelhealth-156.jpg?v=1686211507&amp;width=1946")</f>
        <v/>
      </c>
      <c r="H1250">
        <f>_xludf.IMAGE("https://m.media-amazon.com/images/I/71LgpeZGN9L._AC_UL320_.jpg")</f>
        <v/>
      </c>
      <c r="K1250" t="inlineStr">
        <is>
          <t>23.99</t>
        </is>
      </c>
      <c r="L1250" t="n">
        <v>37.51</v>
      </c>
      <c r="M1250" s="1" t="inlineStr">
        <is>
          <t>56.36%</t>
        </is>
      </c>
      <c r="N1250" s="3" t="n">
        <v>56.36</v>
      </c>
      <c r="O1250" t="n">
        <v>1</v>
      </c>
      <c r="P1250" t="n">
        <v>2</v>
      </c>
      <c r="R1250" t="inlineStr">
        <is>
          <t>OutOfStock</t>
        </is>
      </c>
      <c r="S1250" t="inlineStr">
        <is>
          <t>23.99</t>
        </is>
      </c>
      <c r="T1250" t="inlineStr">
        <is>
          <t>7574079504616</t>
        </is>
      </c>
    </row>
    <row r="1251" hidden="1" ht="15.75" customHeight="1">
      <c r="A1251" s="2">
        <f>HYPERLINK("https://www.shelhealth.com/products/scrubbing-bubbles-mega-shower-cleaner-3-pk-20-oz", "https://www.shelhealth.com/products/scrubbing-bubbles-mega-shower-cleaner-3-pk-20-oz")</f>
        <v/>
      </c>
      <c r="B1251" s="2">
        <f>HYPERLINK("https://www.shelhealth.com/products/scrubbing-bubbles-mega-shower-cleaner-3-pk-20-oz", "https://www.shelhealth.com/products/scrubbing-bubbles-mega-shower-cleaner-3-pk-20-oz")</f>
        <v/>
      </c>
      <c r="C1251" t="inlineStr">
        <is>
          <t>Scrubbing Bubbles Mega Shower Cleaner, 3 pk./20 oz.</t>
        </is>
      </c>
      <c r="D1251" t="inlineStr">
        <is>
          <t>Scrubbing Bubbles Foaming Bathroom Cleaning Bundle includes 32 fl oz Scrubbing Bubbles Foaming Bleach Spray Bottle and 20 oz Scrubbing Bubbles Mega Shower Foamer Bathroom Spray Can</t>
        </is>
      </c>
      <c r="E1251" s="2">
        <f>HYPERLINK("https://www.amazon.com/Scrubbing-Bubbles-Foaming-Bathroom-Cleaning/dp/B08F3ZDGDM/ref=sr_1_7?keywords=Scrubbing+Bubbles+Mega+Shower+Cleaner%2C+3+pk.%2F20+oz.&amp;qid=1695170383&amp;sr=8-7", "https://www.amazon.com/Scrubbing-Bubbles-Foaming-Bathroom-Cleaning/dp/B08F3ZDGDM/ref=sr_1_7?keywords=Scrubbing+Bubbles+Mega+Shower+Cleaner%2C+3+pk.%2F20+oz.&amp;qid=1695170383&amp;sr=8-7")</f>
        <v/>
      </c>
      <c r="F1251" t="inlineStr">
        <is>
          <t>B08F3ZDGDM</t>
        </is>
      </c>
      <c r="G1251">
        <f>_xludf.IMAGE("https://www.shelhealth.com/cdn/shop/files/scrubbing-bubbles-mega-shower-cleaner-3-pk-20-oz-grocery-household-petcleaning-goods-shelhealth-864.jpg?v=1686283059&amp;width=1946")</f>
        <v/>
      </c>
      <c r="H1251">
        <f>_xludf.IMAGE("https://m.media-amazon.com/images/I/51V-nJcg14L._AC_UL320_.jpg")</f>
        <v/>
      </c>
      <c r="K1251" t="inlineStr">
        <is>
          <t>17.99</t>
        </is>
      </c>
      <c r="L1251" t="n">
        <v>27.97</v>
      </c>
      <c r="M1251" s="1" t="inlineStr">
        <is>
          <t>55.48%</t>
        </is>
      </c>
      <c r="N1251" s="3" t="n">
        <v>55.48</v>
      </c>
      <c r="O1251" t="n">
        <v>4.5</v>
      </c>
      <c r="P1251" t="n">
        <v>45</v>
      </c>
      <c r="R1251" t="inlineStr">
        <is>
          <t>InStock</t>
        </is>
      </c>
      <c r="S1251" t="inlineStr">
        <is>
          <t>17.99</t>
        </is>
      </c>
      <c r="T1251" t="inlineStr">
        <is>
          <t>4169706930228</t>
        </is>
      </c>
    </row>
    <row r="1252" hidden="1" ht="15.75" customHeight="1">
      <c r="A1252" s="2">
        <f>HYPERLINK("https://www.shelhealth.com/products/s-o-s-steel-wool-soap-pads-50-per-box", "https://www.shelhealth.com/products/s-o-s-steel-wool-soap-pads-50-per-box")</f>
        <v/>
      </c>
      <c r="B1252" s="2">
        <f>HYPERLINK("https://www.shelhealth.com/products/s-o-s-steel-wool-soap-pads-50-per-box", "https://www.shelhealth.com/products/s-o-s-steel-wool-soap-pads-50-per-box")</f>
        <v/>
      </c>
      <c r="C1252" t="inlineStr">
        <is>
          <t>S.O.S. Steel Wool Soap Pads, 50 per Box</t>
        </is>
      </c>
      <c r="D1252" t="inlineStr">
        <is>
          <t>S.O.S. Steel Wool Soap Pads, (50 per Box) AS</t>
        </is>
      </c>
      <c r="E1252" s="2">
        <f>HYPERLINK("https://www.amazon.com/S-Steel-Wool-Soap-Pads/dp/B07BQ98PP6/ref=sr_1_1?keywords=S.O.S.+Steel+Wool+Soap+Pads%2C+50+per+Box&amp;qid=1695170391&amp;sr=8-1", "https://www.amazon.com/S-Steel-Wool-Soap-Pads/dp/B07BQ98PP6/ref=sr_1_1?keywords=S.O.S.+Steel+Wool+Soap+Pads%2C+50+per+Box&amp;qid=1695170391&amp;sr=8-1")</f>
        <v/>
      </c>
      <c r="F1252" t="inlineStr">
        <is>
          <t>B07BQ98PP6</t>
        </is>
      </c>
      <c r="G1252">
        <f>_xludf.IMAGE("https://www.shelhealth.com/cdn/shop/files/s-o-steel-wool-soap-pads-50-per-box-grocery-household-petcleaning-goods-shelhealth-254.jpg?v=1686284016&amp;width=1946")</f>
        <v/>
      </c>
      <c r="H1252">
        <f>_xludf.IMAGE("https://m.media-amazon.com/images/I/41Rl3g7Nu9L._AC_UL320_.jpg")</f>
        <v/>
      </c>
      <c r="K1252" t="inlineStr">
        <is>
          <t>15.99</t>
        </is>
      </c>
      <c r="L1252" t="n">
        <v>24.78</v>
      </c>
      <c r="M1252" s="1" t="inlineStr">
        <is>
          <t>54.97%</t>
        </is>
      </c>
      <c r="N1252" s="3" t="n">
        <v>54.97</v>
      </c>
      <c r="O1252" t="n">
        <v>5</v>
      </c>
      <c r="P1252" t="n">
        <v>6</v>
      </c>
      <c r="R1252" t="inlineStr">
        <is>
          <t>InStock</t>
        </is>
      </c>
      <c r="S1252" t="inlineStr">
        <is>
          <t>15.99</t>
        </is>
      </c>
      <c r="T1252" t="inlineStr">
        <is>
          <t>4169813557300</t>
        </is>
      </c>
    </row>
    <row r="1253" hidden="1" ht="15.75" customHeight="1">
      <c r="A1253" s="2">
        <f>HYPERLINK("https://www.shelhealth.com/products/kirkland-signature-ultra-clean-laundry-detergent-152-pack", "https://www.shelhealth.com/products/kirkland-signature-ultra-clean-laundry-detergent-152-pack")</f>
        <v/>
      </c>
      <c r="B1253" s="2">
        <f>HYPERLINK("https://www.shelhealth.com/products/kirkland-signature-ultra-clean-laundry-detergent-152-pack", "https://www.shelhealth.com/products/kirkland-signature-ultra-clean-laundry-detergent-152-pack")</f>
        <v/>
      </c>
      <c r="C1253" t="inlineStr">
        <is>
          <t>Kirkland Signature Ultra Clean Laundry Detergent (152 Pack)</t>
        </is>
      </c>
      <c r="D1253" t="inlineStr">
        <is>
          <t>Kirkland Signature Ultra Clean Laundry Detergent (152 Pacs (2 Pack))</t>
        </is>
      </c>
      <c r="E1253" s="2">
        <f>HYPERLINK("https://www.amazon.com/Kirkland-Signature-Ultra-Laundry-Detergent/dp/B074QS33BD/ref=sr_1_1?keywords=Kirkland+Signature+Ultra+Clean+Laundry+Detergent+%28152+Pack%29&amp;qid=1695170431&amp;sr=8-1", "https://www.amazon.com/Kirkland-Signature-Ultra-Laundry-Detergent/dp/B074QS33BD/ref=sr_1_1?keywords=Kirkland+Signature+Ultra+Clean+Laundry+Detergent+%28152+Pack%29&amp;qid=1695170431&amp;sr=8-1")</f>
        <v/>
      </c>
      <c r="F1253" t="inlineStr">
        <is>
          <t>B074QS33BD</t>
        </is>
      </c>
      <c r="G1253">
        <f>_xludf.IMAGE("https://www.shelhealth.com/cdn/shop/products/kirkland-signature-ultra-clean-laundry-detergent-152-pack-shelhealth-652.jpg?v=1663343130&amp;width=1946")</f>
        <v/>
      </c>
      <c r="H1253">
        <f>_xludf.IMAGE("https://m.media-amazon.com/images/I/81FCuLsEpfL._AC_UL320_.jpg")</f>
        <v/>
      </c>
      <c r="K1253" t="inlineStr">
        <is>
          <t>43.99</t>
        </is>
      </c>
      <c r="L1253" t="n">
        <v>67.15000000000001</v>
      </c>
      <c r="M1253" s="1" t="inlineStr">
        <is>
          <t>52.65%</t>
        </is>
      </c>
      <c r="N1253" s="3" t="n">
        <v>52.65</v>
      </c>
      <c r="O1253" t="n">
        <v>4.6</v>
      </c>
      <c r="P1253" t="n">
        <v>163</v>
      </c>
      <c r="R1253" t="inlineStr">
        <is>
          <t>InStock</t>
        </is>
      </c>
      <c r="S1253" t="inlineStr">
        <is>
          <t>43.99</t>
        </is>
      </c>
      <c r="T1253" t="inlineStr">
        <is>
          <t>3819438309428</t>
        </is>
      </c>
    </row>
    <row r="1254" hidden="1" ht="15.75" customHeight="1">
      <c r="A1254" s="2">
        <f>HYPERLINK("https://www.shelhealth.com/products/mr-clean-magic-eraser-variety-pack-11-pads", "https://www.shelhealth.com/products/mr-clean-magic-eraser-variety-pack-11-pads")</f>
        <v/>
      </c>
      <c r="B1254" s="2">
        <f>HYPERLINK("https://www.shelhealth.com/products/mr-clean-magic-eraser-variety-pack-11-pads", "https://www.shelhealth.com/products/mr-clean-magic-eraser-variety-pack-11-pads")</f>
        <v/>
      </c>
      <c r="C1254" t="inlineStr">
        <is>
          <t>Mr. Clean Magic Eraser Variety Pack, 11 Pads</t>
        </is>
      </c>
      <c r="D1254" t="inlineStr">
        <is>
          <t>Mr. Clean Magic Eraser 11 Pads Variety Pack</t>
        </is>
      </c>
      <c r="E1254" s="2">
        <f>HYPERLINK("https://www.amazon.com/Clean-Magic-Eraser-Pads-Variety/dp/B01DMKFWU2/ref=sr_1_1?keywords=Mr.+Clean+Magic+Eraser+Variety+Pack%2C+11+Pads&amp;qid=1695170568&amp;sr=8-1", "https://www.amazon.com/Clean-Magic-Eraser-Pads-Variety/dp/B01DMKFWU2/ref=sr_1_1?keywords=Mr.+Clean+Magic+Eraser+Variety+Pack%2C+11+Pads&amp;qid=1695170568&amp;sr=8-1")</f>
        <v/>
      </c>
      <c r="F1254" t="inlineStr">
        <is>
          <t>B01DMKFWU2</t>
        </is>
      </c>
      <c r="G1254">
        <f>_xludf.IMAGE("https://www.shelhealth.com/cdn/shop/products/mr-clean-magic-eraser-variety-pack-11-pads-shelhealth-109.jpg?v=1663342926&amp;width=1946")</f>
        <v/>
      </c>
      <c r="H1254">
        <f>_xludf.IMAGE("https://m.media-amazon.com/images/I/91WrVRpZ50L._AC_UL320_.jpg")</f>
        <v/>
      </c>
      <c r="K1254" t="inlineStr">
        <is>
          <t>16.99</t>
        </is>
      </c>
      <c r="L1254" t="n">
        <v>25.65</v>
      </c>
      <c r="M1254" s="1" t="inlineStr">
        <is>
          <t>50.97%</t>
        </is>
      </c>
      <c r="N1254" s="3" t="n">
        <v>50.97</v>
      </c>
      <c r="O1254" t="n">
        <v>4.7</v>
      </c>
      <c r="P1254" t="n">
        <v>58</v>
      </c>
      <c r="R1254" t="inlineStr">
        <is>
          <t>InStock</t>
        </is>
      </c>
      <c r="S1254" t="inlineStr">
        <is>
          <t>16.99</t>
        </is>
      </c>
      <c r="T1254" t="inlineStr">
        <is>
          <t>3818795204660</t>
        </is>
      </c>
    </row>
    <row r="1255" hidden="1" ht="15.75" customHeight="1">
      <c r="A1255" s="2">
        <f>HYPERLINK("https://www.shelhealth.com/products/ziploc-storage-bag-variety-pack-347-pack", "https://www.shelhealth.com/products/ziploc-storage-bag-variety-pack-347-pack")</f>
        <v/>
      </c>
      <c r="B1255" s="2">
        <f>HYPERLINK("https://www.shelhealth.com/products/ziploc-storage-bag-variety-pack-347-pack", "https://www.shelhealth.com/products/ziploc-storage-bag-variety-pack-347-pack")</f>
        <v/>
      </c>
      <c r="C1255" t="inlineStr">
        <is>
          <t>Ziploc Storage Bag Variety Pack, 347 Pack</t>
        </is>
      </c>
      <c r="D1255" t="inlineStr">
        <is>
          <t>Ziploc Variety Pack – 54 Freezer Quart Bags – 38 Freezer Gallon Bags – 125 Sandwich Bags – 52 Storage Gallon Bags</t>
        </is>
      </c>
      <c r="E1255" s="2">
        <f>HYPERLINK("https://www.amazon.com/Ziploc-Variety-Pack-Freezer-Sandwich/dp/B01IPIL5JS/ref=sr_1_6?keywords=Ziploc+Storage+Bag+Variety+Pack%2C+347+Pack&amp;qid=1695170404&amp;sr=8-6", "https://www.amazon.com/Ziploc-Variety-Pack-Freezer-Sandwich/dp/B01IPIL5JS/ref=sr_1_6?keywords=Ziploc+Storage+Bag+Variety+Pack%2C+347+Pack&amp;qid=1695170404&amp;sr=8-6")</f>
        <v/>
      </c>
      <c r="F1255" t="inlineStr">
        <is>
          <t>B01IPIL5JS</t>
        </is>
      </c>
      <c r="G1255">
        <f>_xludf.IMAGE("https://www.shelhealth.com/cdn/shop/products/ziploc-storage-bag-variety-pack-347-shelhealth-823.jpg?v=1663344330&amp;width=1946")</f>
        <v/>
      </c>
      <c r="H1255">
        <f>_xludf.IMAGE("https://m.media-amazon.com/images/I/A1fQGP0tKCL._AC_UL320_.jpg")</f>
        <v/>
      </c>
      <c r="K1255" t="inlineStr">
        <is>
          <t>21.99</t>
        </is>
      </c>
      <c r="L1255" t="n">
        <v>33.12</v>
      </c>
      <c r="M1255" s="1" t="inlineStr">
        <is>
          <t>50.61%</t>
        </is>
      </c>
      <c r="N1255" s="3" t="n">
        <v>50.61</v>
      </c>
      <c r="O1255" t="n">
        <v>4.8</v>
      </c>
      <c r="P1255" t="n">
        <v>1568</v>
      </c>
      <c r="R1255" t="inlineStr">
        <is>
          <t>InStock</t>
        </is>
      </c>
      <c r="S1255" t="inlineStr">
        <is>
          <t>21.99</t>
        </is>
      </c>
      <c r="T1255" t="inlineStr">
        <is>
          <t>3824965582900</t>
        </is>
      </c>
    </row>
    <row r="1256" hidden="1" ht="15.75" customHeight="1">
      <c r="A1256" s="2">
        <f>HYPERLINK("https://www.shelhealth.com/products/scrubbing-bubbles-mega-shower-cleaner-3-pk-20-oz", "https://www.shelhealth.com/products/scrubbing-bubbles-mega-shower-cleaner-3-pk-20-oz")</f>
        <v/>
      </c>
      <c r="B1256" s="2">
        <f>HYPERLINK("https://www.shelhealth.com/products/scrubbing-bubbles-mega-shower-cleaner-3-pk-20-oz", "https://www.shelhealth.com/products/scrubbing-bubbles-mega-shower-cleaner-3-pk-20-oz")</f>
        <v/>
      </c>
      <c r="C1256" t="inlineStr">
        <is>
          <t>Scrubbing Bubbles Mega Shower Cleaner, 3 pk./20 oz.</t>
        </is>
      </c>
      <c r="D1256" t="inlineStr">
        <is>
          <t>Scrubbing Bubbles Mega Shower Foamer With Ultra Cling Bathroom Cleaner, 20 Ounce, (Pack of 3) Includes Bonus Microfiber cleaning cloth</t>
        </is>
      </c>
      <c r="E1256" s="2">
        <f>HYPERLINK("https://www.amazon.com/Scrubbing-Bubbles-Bathroom-Microfiber-cleaning/dp/B0BX11J2BP/ref=sr_1_4?keywords=Scrubbing+Bubbles+Mega+Shower+Cleaner%2C+3+pk.%2F20+oz.&amp;qid=1695170383&amp;sr=8-4", "https://www.amazon.com/Scrubbing-Bubbles-Bathroom-Microfiber-cleaning/dp/B0BX11J2BP/ref=sr_1_4?keywords=Scrubbing+Bubbles+Mega+Shower+Cleaner%2C+3+pk.%2F20+oz.&amp;qid=1695170383&amp;sr=8-4")</f>
        <v/>
      </c>
      <c r="F1256" t="inlineStr">
        <is>
          <t>B0BX11J2BP</t>
        </is>
      </c>
      <c r="G1256">
        <f>_xludf.IMAGE("https://www.shelhealth.com/cdn/shop/files/scrubbing-bubbles-mega-shower-cleaner-3-pk-20-oz-grocery-household-petcleaning-goods-shelhealth-864.jpg?v=1686283059&amp;width=1946")</f>
        <v/>
      </c>
      <c r="H1256">
        <f>_xludf.IMAGE("https://m.media-amazon.com/images/I/81125ljayRL._AC_UL320_.jpg")</f>
        <v/>
      </c>
      <c r="K1256" t="inlineStr">
        <is>
          <t>17.99</t>
        </is>
      </c>
      <c r="L1256" t="n">
        <v>26.99</v>
      </c>
      <c r="M1256" s="1" t="inlineStr">
        <is>
          <t>50.03%</t>
        </is>
      </c>
      <c r="N1256" s="3" t="n">
        <v>50.03</v>
      </c>
      <c r="O1256" t="n">
        <v>4.5</v>
      </c>
      <c r="P1256" t="n">
        <v>31</v>
      </c>
      <c r="R1256" t="inlineStr">
        <is>
          <t>InStock</t>
        </is>
      </c>
      <c r="S1256" t="inlineStr">
        <is>
          <t>17.99</t>
        </is>
      </c>
      <c r="T1256" t="inlineStr">
        <is>
          <t>4169706930228</t>
        </is>
      </c>
    </row>
    <row r="1257" hidden="1" ht="15.75" customHeight="1">
      <c r="A1257" s="2">
        <f>HYPERLINK("https://www.shelhealth.com/products/acrylic-beverage-dispenser-2-5-gallon", "https://www.shelhealth.com/products/acrylic-beverage-dispenser-2-5-gallon")</f>
        <v/>
      </c>
      <c r="B1257" s="2">
        <f>HYPERLINK("https://www.shelhealth.com/products/acrylic-beverage-dispenser-2-5-gallon", "https://www.shelhealth.com/products/acrylic-beverage-dispenser-2-5-gallon")</f>
        <v/>
      </c>
      <c r="C1257" t="inlineStr">
        <is>
          <t>Acrylic Beverage Dispenser 2.5 Gallon</t>
        </is>
      </c>
      <c r="D1257" t="inlineStr">
        <is>
          <t>Style Setter Oak Grove Beverage Dispenser Cold Drink Dispenser w/ 2.5-Gallon Capacity Glass Jug, Galvanized Base &amp; Leak-Proof Acrylic Spigot Great for Parties, Weddings &amp; More</t>
        </is>
      </c>
      <c r="E1257" s="2">
        <f>HYPERLINK("https://www.amazon.com/Style-Setter-2-5-Gallon-Galvanized-410413-RB/dp/B097QDGZ6B/ref=sr_1_6?keywords=Acrylic+Beverage+Dispenser+2.5+Gallon&amp;qid=1695170553&amp;sr=8-6", "https://www.amazon.com/Style-Setter-2-5-Gallon-Galvanized-410413-RB/dp/B097QDGZ6B/ref=sr_1_6?keywords=Acrylic+Beverage+Dispenser+2.5+Gallon&amp;qid=1695170553&amp;sr=8-6")</f>
        <v/>
      </c>
      <c r="F1257" t="inlineStr">
        <is>
          <t>B097QDGZ6B</t>
        </is>
      </c>
      <c r="G1257">
        <f>_xludf.IMAGE("https://www.shelhealth.com/cdn/shop/products/acrylic-beverage-dispenser-2-5-gallon-shelhealth-551.jpg?v=1663357185&amp;width=1946")</f>
        <v/>
      </c>
      <c r="H1257">
        <f>_xludf.IMAGE("https://m.media-amazon.com/images/I/71kIUWzbNBL._AC_UL320_.jpg")</f>
        <v/>
      </c>
      <c r="K1257" t="inlineStr">
        <is>
          <t>36.99</t>
        </is>
      </c>
      <c r="L1257" t="n">
        <v>55.48</v>
      </c>
      <c r="M1257" s="1" t="inlineStr">
        <is>
          <t>49.99%</t>
        </is>
      </c>
      <c r="N1257" s="3" t="n">
        <v>49.99</v>
      </c>
      <c r="O1257" t="n">
        <v>4.4</v>
      </c>
      <c r="P1257" t="n">
        <v>71</v>
      </c>
      <c r="R1257" t="inlineStr">
        <is>
          <t>OutOfStock</t>
        </is>
      </c>
      <c r="S1257" t="inlineStr">
        <is>
          <t>36.99</t>
        </is>
      </c>
      <c r="T1257" t="inlineStr">
        <is>
          <t>4179239501876</t>
        </is>
      </c>
    </row>
    <row r="1258" hidden="1" ht="15.75" customHeight="1">
      <c r="A1258" s="2">
        <f>HYPERLINK("https://www.shelhealth.com/products/808124113664-mrs-meyers-clean-day-snowdrop-soy-candle-large-7-2-oz", "https://www.shelhealth.com/products/808124113664-mrs-meyers-clean-day-snowdrop-soy-candle-large-7-2-oz")</f>
        <v/>
      </c>
      <c r="B1258" s="2">
        <f>HYPERLINK("https://www.shelhealth.com/products/808124113664-mrs-meyers-clean-day-snowdrop-soy-candle-large-7-2-oz", "https://www.shelhealth.com/products/808124113664-mrs-meyers-clean-day-snowdrop-soy-candle-large-7-2-oz")</f>
        <v/>
      </c>
      <c r="C1258" t="inlineStr">
        <is>
          <t>MRS MEYERS CLEAN DAY Snowdrop Soy Candle Large, 7.2 oz</t>
        </is>
      </c>
      <c r="D1258" t="inlineStr">
        <is>
          <t>MRS. MEYER'S CLEAN DAY Soy Aromatherapy Candle, 35 Hour Burn Time, Made with Soy Wax and Essential Oils, Lemon Verbena, 7.2 oz- Pack of 2</t>
        </is>
      </c>
      <c r="E1258" s="2">
        <f>HYPERLINK("https://www.amazon.com/Mrs-Meyers-Scented-Candle-Verbena/dp/B01M5EIRVX/ref=sr_1_2?keywords=MRS+MEYERS+CLEAN+DAY+Snowdrop+Soy+Candle+Large%2C+7.2+oz&amp;qid=1695170518&amp;sr=8-2", "https://www.amazon.com/Mrs-Meyers-Scented-Candle-Verbena/dp/B01M5EIRVX/ref=sr_1_2?keywords=MRS+MEYERS+CLEAN+DAY+Snowdrop+Soy+Candle+Large%2C+7.2+oz&amp;qid=1695170518&amp;sr=8-2")</f>
        <v/>
      </c>
      <c r="F1258" t="inlineStr">
        <is>
          <t>B01M5EIRVX</t>
        </is>
      </c>
      <c r="G1258">
        <f>_xludf.IMAGE("https://www.shelhealth.com/cdn/shop/files/mrs-meyers-clean-day-snowdrop-soy-candle-large-7-2-oz-home-products-shelhealth-652.jpg?v=1686219986&amp;width=1946")</f>
        <v/>
      </c>
      <c r="H1258">
        <f>_xludf.IMAGE("https://m.media-amazon.com/images/I/61+A5DsCS+L._AC_UL320_.jpg")</f>
        <v/>
      </c>
      <c r="K1258" t="inlineStr">
        <is>
          <t>14.99</t>
        </is>
      </c>
      <c r="L1258" t="n">
        <v>22.31</v>
      </c>
      <c r="M1258" s="1" t="inlineStr">
        <is>
          <t>48.83%</t>
        </is>
      </c>
      <c r="N1258" s="3" t="n">
        <v>48.83</v>
      </c>
      <c r="O1258" t="n">
        <v>4.4</v>
      </c>
      <c r="P1258" t="n">
        <v>10769</v>
      </c>
      <c r="R1258" t="inlineStr">
        <is>
          <t>OutOfStock</t>
        </is>
      </c>
      <c r="S1258" t="inlineStr">
        <is>
          <t>14.99</t>
        </is>
      </c>
      <c r="T1258" t="inlineStr">
        <is>
          <t>7574209724648</t>
        </is>
      </c>
    </row>
    <row r="1259" hidden="1" ht="15.75" customHeight="1">
      <c r="A1259" s="2">
        <f>HYPERLINK("https://www.shelhealth.com/products/scrubbing-bubbles-bathroom-grime-fighter-3-pk-32-oz", "https://www.shelhealth.com/products/scrubbing-bubbles-bathroom-grime-fighter-3-pk-32-oz")</f>
        <v/>
      </c>
      <c r="B1259" s="2">
        <f>HYPERLINK("https://www.shelhealth.com/products/scrubbing-bubbles-bathroom-grime-fighter-3-pk-32-oz", "https://www.shelhealth.com/products/scrubbing-bubbles-bathroom-grime-fighter-3-pk-32-oz")</f>
        <v/>
      </c>
      <c r="C1259" t="inlineStr">
        <is>
          <t>Scrubbing Bubbles Bathroom Grime Fighter, 3 pk./32 oz.</t>
        </is>
      </c>
      <c r="D1259" t="inlineStr">
        <is>
          <t>Scrubbing Bubbles Disinfectant Bathroom Cleaner, Grime Fighter, Rainshower Scent, 32 Ounce (Pack of 3)</t>
        </is>
      </c>
      <c r="E1259" s="2">
        <f>HYPERLINK("https://www.amazon.com/Scrubbing-Bubbles-Disinfectant-Bathroom-Rainshower/dp/B0B4X41C2R/ref=sr_1_2?keywords=Scrubbing+Bubbles+Bathroom+Grime+Fighter%2C+3+pk.%2F32+oz.&amp;qid=1695170396&amp;sr=8-2", "https://www.amazon.com/Scrubbing-Bubbles-Disinfectant-Bathroom-Rainshower/dp/B0B4X41C2R/ref=sr_1_2?keywords=Scrubbing+Bubbles+Bathroom+Grime+Fighter%2C+3+pk.%2F32+oz.&amp;qid=1695170396&amp;sr=8-2")</f>
        <v/>
      </c>
      <c r="F1259" t="inlineStr">
        <is>
          <t>B0B4X41C2R</t>
        </is>
      </c>
      <c r="G1259">
        <f>_xludf.IMAGE("https://www.shelhealth.com/cdn/shop/products/scrubbing-bubbles-bathroom-grime-fighter-3-pk-32-oz-shelhealth-327.jpg?v=1663369412&amp;width=1946")</f>
        <v/>
      </c>
      <c r="H1259">
        <f>_xludf.IMAGE("https://m.media-amazon.com/images/I/81AWbbYysaL._AC_UL320_.jpg")</f>
        <v/>
      </c>
      <c r="K1259" t="inlineStr">
        <is>
          <t>16.99</t>
        </is>
      </c>
      <c r="L1259" t="n">
        <v>25.28</v>
      </c>
      <c r="M1259" s="1" t="inlineStr">
        <is>
          <t>48.79%</t>
        </is>
      </c>
      <c r="N1259" s="3" t="n">
        <v>48.79</v>
      </c>
      <c r="O1259" t="n">
        <v>4.6</v>
      </c>
      <c r="P1259" t="n">
        <v>15</v>
      </c>
      <c r="R1259" t="inlineStr">
        <is>
          <t>InStock</t>
        </is>
      </c>
      <c r="S1259" t="inlineStr">
        <is>
          <t>16.99</t>
        </is>
      </c>
      <c r="T1259" t="inlineStr">
        <is>
          <t>4619084791897</t>
        </is>
      </c>
    </row>
    <row r="1260" hidden="1" ht="15.75" customHeight="1">
      <c r="A1260" s="2">
        <f>HYPERLINK("https://www.shelhealth.com/products/rubbermaid-brilliance-10-pc-food-storage-set", "https://www.shelhealth.com/products/rubbermaid-brilliance-10-pc-food-storage-set")</f>
        <v/>
      </c>
      <c r="B1260" s="2">
        <f>HYPERLINK("https://www.shelhealth.com/products/rubbermaid-brilliance-10-pc-food-storage-set", "https://www.shelhealth.com/products/rubbermaid-brilliance-10-pc-food-storage-set")</f>
        <v/>
      </c>
      <c r="C1260" t="inlineStr">
        <is>
          <t>Rubbermaid Brilliance 10-Pc. Food Storage Set</t>
        </is>
      </c>
      <c r="D1260" t="inlineStr">
        <is>
          <t>Rubbermaid Brilliance Food Storage Container, 10-Piece Set, 100% Leak-Proof, Plastic, Clear</t>
        </is>
      </c>
      <c r="E1260" s="2">
        <f>HYPERLINK("https://www.amazon.com/Rubbermaid-Brilliance-Container-10-Piece-Leak-Proof/dp/B075KL7G8Z/ref=sr_1_6?keywords=Rubbermaid+Brilliance+10-Pc.+Food+Storage+Set&amp;qid=1695170563&amp;sr=8-6", "https://www.amazon.com/Rubbermaid-Brilliance-Container-10-Piece-Leak-Proof/dp/B075KL7G8Z/ref=sr_1_6?keywords=Rubbermaid+Brilliance+10-Pc.+Food+Storage+Set&amp;qid=1695170563&amp;sr=8-6")</f>
        <v/>
      </c>
      <c r="F1260" t="inlineStr">
        <is>
          <t>B075KL7G8Z</t>
        </is>
      </c>
      <c r="G1260">
        <f>_xludf.IMAGE("https://www.shelhealth.com/cdn/shop/products/rubbermaid-brilliance-10-pc-food-storage-set-shelhealth-862.jpg?v=1663356522&amp;width=1946")</f>
        <v/>
      </c>
      <c r="H1260">
        <f>_xludf.IMAGE("https://m.media-amazon.com/images/I/81cONM8yf5L._AC_UL320_.jpg")</f>
        <v/>
      </c>
      <c r="K1260" t="inlineStr">
        <is>
          <t>26.99</t>
        </is>
      </c>
      <c r="L1260" t="n">
        <v>39.99</v>
      </c>
      <c r="M1260" s="1" t="inlineStr">
        <is>
          <t>48.17%</t>
        </is>
      </c>
      <c r="N1260" s="3" t="n">
        <v>48.17</v>
      </c>
      <c r="O1260" t="n">
        <v>4.8</v>
      </c>
      <c r="P1260" t="n">
        <v>359</v>
      </c>
      <c r="R1260" t="inlineStr">
        <is>
          <t>OutOfStock</t>
        </is>
      </c>
      <c r="S1260" t="inlineStr">
        <is>
          <t>26.99</t>
        </is>
      </c>
      <c r="T1260" t="inlineStr">
        <is>
          <t>4178950684724</t>
        </is>
      </c>
    </row>
    <row r="1261" hidden="1" ht="15.75" customHeight="1">
      <c r="A1261" s="2">
        <f>HYPERLINK("https://www.shelhealth.com/products/808124113664-mrs-meyers-clean-day-snowdrop-soy-candle-large-7-2-oz", "https://www.shelhealth.com/products/808124113664-mrs-meyers-clean-day-snowdrop-soy-candle-large-7-2-oz")</f>
        <v/>
      </c>
      <c r="B1261" s="2">
        <f>HYPERLINK("https://www.shelhealth.com/products/808124113664-mrs-meyers-clean-day-snowdrop-soy-candle-large-7-2-oz", "https://www.shelhealth.com/products/808124113664-mrs-meyers-clean-day-snowdrop-soy-candle-large-7-2-oz")</f>
        <v/>
      </c>
      <c r="C1261" t="inlineStr">
        <is>
          <t>MRS MEYERS CLEAN DAY Snowdrop Soy Candle Large, 7.2 oz</t>
        </is>
      </c>
      <c r="D1261" t="inlineStr">
        <is>
          <t>MRS. MEYER'S CLEAN DAY Soy Aromatherapy Candle, 35 Hour Burn Time, Made with Soy Wax and Essential Oils, Limited Edition Snowdrop, 7.2 oz - Pack of 2</t>
        </is>
      </c>
      <c r="E1261" s="2">
        <f>HYPERLINK("https://www.amazon.com/Scented-Aromatherapy-Essential-Limited-Snowdrop/dp/B09CQGLP5V/ref=sr_1_1?keywords=MRS+MEYERS+CLEAN+DAY+Snowdrop+Soy+Candle+Large%2C+7.2+oz&amp;qid=1695170518&amp;sr=8-1", "https://www.amazon.com/Scented-Aromatherapy-Essential-Limited-Snowdrop/dp/B09CQGLP5V/ref=sr_1_1?keywords=MRS+MEYERS+CLEAN+DAY+Snowdrop+Soy+Candle+Large%2C+7.2+oz&amp;qid=1695170518&amp;sr=8-1")</f>
        <v/>
      </c>
      <c r="F1261" t="inlineStr">
        <is>
          <t>B09CQGLP5V</t>
        </is>
      </c>
      <c r="G1261">
        <f>_xludf.IMAGE("https://www.shelhealth.com/cdn/shop/files/mrs-meyers-clean-day-snowdrop-soy-candle-large-7-2-oz-home-products-shelhealth-652.jpg?v=1686219986&amp;width=1946")</f>
        <v/>
      </c>
      <c r="H1261">
        <f>_xludf.IMAGE("https://m.media-amazon.com/images/I/71v1FBPXIpL._AC_UL320_.jpg")</f>
        <v/>
      </c>
      <c r="K1261" t="inlineStr">
        <is>
          <t>14.99</t>
        </is>
      </c>
      <c r="L1261" t="n">
        <v>22</v>
      </c>
      <c r="M1261" s="1" t="inlineStr">
        <is>
          <t>46.76%</t>
        </is>
      </c>
      <c r="N1261" s="3" t="n">
        <v>46.76</v>
      </c>
      <c r="O1261" t="n">
        <v>4.3</v>
      </c>
      <c r="P1261" t="n">
        <v>1031</v>
      </c>
      <c r="R1261" t="inlineStr">
        <is>
          <t>OutOfStock</t>
        </is>
      </c>
      <c r="S1261" t="inlineStr">
        <is>
          <t>14.99</t>
        </is>
      </c>
      <c r="T1261" t="inlineStr">
        <is>
          <t>7574209724648</t>
        </is>
      </c>
    </row>
    <row r="1262" hidden="1" ht="15.75" customHeight="1">
      <c r="A1262" s="2">
        <f>HYPERLINK("https://www.shelhealth.com/products/sprayway-glass-cleaner-4-pk-19-oz", "https://www.shelhealth.com/products/sprayway-glass-cleaner-4-pk-19-oz")</f>
        <v/>
      </c>
      <c r="B1262" s="2">
        <f>HYPERLINK("https://www.shelhealth.com/products/sprayway-glass-cleaner-4-pk-19-oz", "https://www.shelhealth.com/products/sprayway-glass-cleaner-4-pk-19-oz")</f>
        <v/>
      </c>
      <c r="C1262" t="inlineStr">
        <is>
          <t>Sprayway Glass Cleaner, 4 pk./ 19 oz.</t>
        </is>
      </c>
      <c r="D1262" t="inlineStr">
        <is>
          <t>Sprayway, Glass Cleaner, window cleaner, Pack of 2 spray foam with 1-Pack Bonus Tituaa Mk 16x16 Microfiber Cleaning Cloth Towel Rags (19 Oz Can)</t>
        </is>
      </c>
      <c r="E1262" s="2">
        <f>HYPERLINK("https://www.amazon.com/Sprayway-Cleaner-cleaner-Microfiber-Cleaning/dp/B0CBQGFDVZ/ref=sr_1_10?keywords=Sprayway+Glass+Cleaner%2C+4+pk.%2F+19+oz.&amp;qid=1695170389&amp;sr=8-10", "https://www.amazon.com/Sprayway-Cleaner-cleaner-Microfiber-Cleaning/dp/B0CBQGFDVZ/ref=sr_1_10?keywords=Sprayway+Glass+Cleaner%2C+4+pk.%2F+19+oz.&amp;qid=1695170389&amp;sr=8-10")</f>
        <v/>
      </c>
      <c r="F1262" t="inlineStr">
        <is>
          <t>B0CBQGFDVZ</t>
        </is>
      </c>
      <c r="G1262">
        <f>_xludf.IMAGE("https://www.shelhealth.com/cdn/shop/files/sprayway-glass-cleaner-4-pk-19-oz-grocery-household-petcleaning-goods-shelhealth-745.jpg?v=1686284019&amp;width=1946")</f>
        <v/>
      </c>
      <c r="H1262">
        <f>_xludf.IMAGE("https://m.media-amazon.com/images/I/61Y5FE1RDAL._AC_UL320_.jpg")</f>
        <v/>
      </c>
      <c r="K1262" t="inlineStr">
        <is>
          <t>14.99</t>
        </is>
      </c>
      <c r="L1262" t="n">
        <v>21.99</v>
      </c>
      <c r="M1262" s="1" t="inlineStr">
        <is>
          <t>46.70%</t>
        </is>
      </c>
      <c r="N1262" s="3" t="n">
        <v>46.7</v>
      </c>
      <c r="O1262" t="n">
        <v>5</v>
      </c>
      <c r="P1262" t="n">
        <v>6</v>
      </c>
      <c r="R1262" t="inlineStr">
        <is>
          <t>InStock</t>
        </is>
      </c>
      <c r="S1262" t="inlineStr">
        <is>
          <t>14.99</t>
        </is>
      </c>
      <c r="T1262" t="inlineStr">
        <is>
          <t>4169787932724</t>
        </is>
      </c>
    </row>
    <row r="1263" hidden="1" ht="15.75" customHeight="1">
      <c r="A1263" s="2">
        <f>HYPERLINK("https://www.shelhealth.com/products/downy-fresh-protect-with-febreze-april-fresh-in-wash-odor-defense-beads-30-3-oz", "https://www.shelhealth.com/products/downy-fresh-protect-with-febreze-april-fresh-in-wash-odor-defense-beads-30-3-oz")</f>
        <v/>
      </c>
      <c r="B1263" s="2">
        <f>HYPERLINK("https://www.shelhealth.com/products/downy-fresh-protect-with-febreze-april-fresh-in-wash-odor-defense-beads-30-3-oz", "https://www.shelhealth.com/products/downy-fresh-protect-with-febreze-april-fresh-in-wash-odor-defense-beads-30-3-oz")</f>
        <v/>
      </c>
      <c r="C1263" t="inlineStr">
        <is>
          <t>Downy Fresh Protect With Febreze April Fresh In-Wash Odor Defense Beads, 30.3 oz.</t>
        </is>
      </c>
      <c r="D1263" t="inlineStr">
        <is>
          <t>Downy Fresh Protect Laundry Scent Booster Beads for Washer with Febreze Odor Defense, April Fresh, 10 oz, 4 Count</t>
        </is>
      </c>
      <c r="E1263" s="2">
        <f>HYPERLINK("https://www.amazon.com/Downy-Fresh-Protect-Febreze-Defense/dp/B07S9YWTSZ/ref=sr_1_7?keywords=Downy+Fresh+Protect+With+Febreze+April+Fresh+In-Wash+Odor+Defense+Beads%2C+30.3+oz.&amp;qid=1695170433&amp;sr=8-7", "https://www.amazon.com/Downy-Fresh-Protect-Febreze-Defense/dp/B07S9YWTSZ/ref=sr_1_7?keywords=Downy+Fresh+Protect+With+Febreze+April+Fresh+In-Wash+Odor+Defense+Beads%2C+30.3+oz.&amp;qid=1695170433&amp;sr=8-7")</f>
        <v/>
      </c>
      <c r="F1263" t="inlineStr">
        <is>
          <t>B07S9YWTSZ</t>
        </is>
      </c>
      <c r="G1263">
        <f>_xludf.IMAGE("https://www.shelhealth.com/cdn/shop/products/downy-fresh-protect-with-febreze-april-in-wash-odor-defense-beads-30-3-oz-shelhealth-371.jpg?v=1663356602&amp;width=1946")</f>
        <v/>
      </c>
      <c r="H1263">
        <f>_xludf.IMAGE("https://m.media-amazon.com/images/I/8148mGkpU7L._AC_UL320_.jpg")</f>
        <v/>
      </c>
      <c r="K1263" t="inlineStr">
        <is>
          <t>23.99</t>
        </is>
      </c>
      <c r="L1263" t="n">
        <v>35.19</v>
      </c>
      <c r="M1263" s="1" t="inlineStr">
        <is>
          <t>46.69%</t>
        </is>
      </c>
      <c r="N1263" s="3" t="n">
        <v>46.69</v>
      </c>
      <c r="O1263" t="n">
        <v>4.8</v>
      </c>
      <c r="P1263" t="n">
        <v>1889</v>
      </c>
      <c r="R1263" t="inlineStr">
        <is>
          <t>InStock</t>
        </is>
      </c>
      <c r="S1263" t="inlineStr">
        <is>
          <t>23.99</t>
        </is>
      </c>
      <c r="T1263" t="inlineStr">
        <is>
          <t>4179005046836</t>
        </is>
      </c>
    </row>
    <row r="1264" hidden="1" ht="15.75" customHeight="1">
      <c r="A1264" s="2">
        <f>HYPERLINK("https://www.shelhealth.com/products/glad-forceflex-13-gal-tall-kitchen-bags-140-ct", "https://www.shelhealth.com/products/glad-forceflex-13-gal-tall-kitchen-bags-140-ct")</f>
        <v/>
      </c>
      <c r="B1264" s="2">
        <f>HYPERLINK("https://www.shelhealth.com/products/glad-forceflex-13-gal-tall-kitchen-bags-140-ct", "https://www.shelhealth.com/products/glad-forceflex-13-gal-tall-kitchen-bags-140-ct")</f>
        <v/>
      </c>
      <c r="C1264" t="inlineStr">
        <is>
          <t>Glad ForceFlex 13-Gal. Tall Kitchen Bags, 140 ct.</t>
        </is>
      </c>
      <c r="D1264" t="inlineStr">
        <is>
          <t>Glad Tall Kitchen Trash Bags, 13 Gal, 140 Ct</t>
        </is>
      </c>
      <c r="E1264" s="2">
        <f>HYPERLINK("https://www.amazon.com/Glad-Forceflex-Kitchen-Drawstring-Gallon/dp/B00U52SHLM/ref=sr_1_3?keywords=Glad+ForceFlex+13-Gal.+Tall+Kitchen+Bags%2C+140+ct.&amp;qid=1695170438&amp;sr=8-3", "https://www.amazon.com/Glad-Forceflex-Kitchen-Drawstring-Gallon/dp/B00U52SHLM/ref=sr_1_3?keywords=Glad+ForceFlex+13-Gal.+Tall+Kitchen+Bags%2C+140+ct.&amp;qid=1695170438&amp;sr=8-3")</f>
        <v/>
      </c>
      <c r="F1264" t="inlineStr">
        <is>
          <t>B00U52SHLM</t>
        </is>
      </c>
      <c r="G1264">
        <f>_xludf.IMAGE("https://www.shelhealth.com/cdn/shop/products/glad-forceflex-13-gal-tall-kitchen-bags-140-ct-shelhealth-272.jpg?v=1663354948&amp;width=1946")</f>
        <v/>
      </c>
      <c r="H1264">
        <f>_xludf.IMAGE("https://m.media-amazon.com/images/I/8104OnN84zL._AC_UL320_.jpg")</f>
        <v/>
      </c>
      <c r="K1264" t="inlineStr">
        <is>
          <t>32.99</t>
        </is>
      </c>
      <c r="L1264" t="n">
        <v>47.9</v>
      </c>
      <c r="M1264" s="1" t="inlineStr">
        <is>
          <t>45.20%</t>
        </is>
      </c>
      <c r="N1264" s="3" t="n">
        <v>45.2</v>
      </c>
      <c r="O1264" t="n">
        <v>4.2</v>
      </c>
      <c r="P1264" t="n">
        <v>118</v>
      </c>
      <c r="R1264" t="inlineStr">
        <is>
          <t>InStock</t>
        </is>
      </c>
      <c r="S1264" t="inlineStr">
        <is>
          <t>32.99</t>
        </is>
      </c>
      <c r="T1264" t="inlineStr">
        <is>
          <t>4169526771764</t>
        </is>
      </c>
    </row>
    <row r="1265" hidden="1" ht="15.75" customHeight="1">
      <c r="A1265" s="2">
        <f>HYPERLINK("https://www.shelhealth.com/products/soft-scrub-with-bleach-cleanser-36-oz-3-ct", "https://www.shelhealth.com/products/soft-scrub-with-bleach-cleanser-36-oz-3-ct")</f>
        <v/>
      </c>
      <c r="B1265" s="2">
        <f>HYPERLINK("https://www.shelhealth.com/products/soft-scrub-with-bleach-cleanser-36-oz-3-ct", "https://www.shelhealth.com/products/soft-scrub-with-bleach-cleanser-36-oz-3-ct")</f>
        <v/>
      </c>
      <c r="C1265" t="inlineStr">
        <is>
          <t>Soft Scrub with Bleach Cleanser, 36 oz., 3 ct.</t>
        </is>
      </c>
      <c r="D1265" t="inlineStr">
        <is>
          <t>Soft Scrub Antibacterial Cleaner with Bleach Surface Cleanser, 36 Ounce, Pack of 6</t>
        </is>
      </c>
      <c r="E1265" s="2">
        <f>HYPERLINK("https://www.amazon.com/Soft-Scrub-Bleach-Cleanser-Ounce/dp/B001CY0OZO/ref=sr_1_1?keywords=Soft+Scrub+with+Bleach+Cleanser%2C+36+oz.%2C+3+ct.&amp;qid=1695170388&amp;rdc=1&amp;sr=8-1", "https://www.amazon.com/Soft-Scrub-Bleach-Cleanser-Ounce/dp/B001CY0OZO/ref=sr_1_1?keywords=Soft+Scrub+with+Bleach+Cleanser%2C+36+oz.%2C+3+ct.&amp;qid=1695170388&amp;rdc=1&amp;sr=8-1")</f>
        <v/>
      </c>
      <c r="F1265" t="inlineStr">
        <is>
          <t>B001CY0OZO</t>
        </is>
      </c>
      <c r="G1265">
        <f>_xludf.IMAGE("https://www.shelhealth.com/cdn/shop/files/soft-scrub-with-bleach-cleanser-36-oz-3-ct-grocery-household-petcleaning-goods-shelhealth-691.jpg?v=1686283055&amp;width=1946")</f>
        <v/>
      </c>
      <c r="H1265">
        <f>_xludf.IMAGE("https://m.media-amazon.com/images/I/81OS4jDq7kL._AC_UL320_.jpg")</f>
        <v/>
      </c>
      <c r="K1265" t="inlineStr">
        <is>
          <t>19.99</t>
        </is>
      </c>
      <c r="L1265" t="n">
        <v>28.68</v>
      </c>
      <c r="M1265" s="1" t="inlineStr">
        <is>
          <t>43.47%</t>
        </is>
      </c>
      <c r="N1265" s="3" t="n">
        <v>43.47</v>
      </c>
      <c r="O1265" t="n">
        <v>4.6</v>
      </c>
      <c r="P1265" t="n">
        <v>809</v>
      </c>
      <c r="R1265" t="inlineStr">
        <is>
          <t>InStock</t>
        </is>
      </c>
      <c r="S1265" t="inlineStr">
        <is>
          <t>19.99</t>
        </is>
      </c>
      <c r="T1265" t="inlineStr">
        <is>
          <t>4169746612276</t>
        </is>
      </c>
    </row>
    <row r="1266" hidden="1" ht="15.75" customHeight="1">
      <c r="A1266" s="2">
        <f>HYPERLINK("https://www.shelhealth.com/products/ziploc-double-zipper-quart-freezer-bags-216-count", "https://www.shelhealth.com/products/ziploc-double-zipper-quart-freezer-bags-216-count")</f>
        <v/>
      </c>
      <c r="B1266" s="2">
        <f>HYPERLINK("https://www.shelhealth.com/products/ziploc-double-zipper-quart-freezer-bags-216-count", "https://www.shelhealth.com/products/ziploc-double-zipper-quart-freezer-bags-216-count")</f>
        <v/>
      </c>
      <c r="C1266" t="inlineStr">
        <is>
          <t>Ziploc Double Zipper Quart Freezer Bags, 216 Count</t>
        </is>
      </c>
      <c r="D1266" t="inlineStr">
        <is>
          <t>Double Zipper Quart Freezer Bags, Mega Pack of 216Count</t>
        </is>
      </c>
      <c r="E1266" s="2">
        <f>HYPERLINK("https://www.amazon.com/Double-Zipper-Quart-Freezer-216Count/dp/B07KQDHMKJ/ref=sr_1_4?keywords=Ziploc+Double+Zipper+Quart+Freezer+Bags%2C+216+Count&amp;qid=1695170418&amp;sr=8-4", "https://www.amazon.com/Double-Zipper-Quart-Freezer-216Count/dp/B07KQDHMKJ/ref=sr_1_4?keywords=Ziploc+Double+Zipper+Quart+Freezer+Bags%2C+216+Count&amp;qid=1695170418&amp;sr=8-4")</f>
        <v/>
      </c>
      <c r="F1266" t="inlineStr">
        <is>
          <t>B07KQDHMKJ</t>
        </is>
      </c>
      <c r="G1266">
        <f>_xludf.IMAGE("https://www.shelhealth.com/cdn/shop/products/ziploc-double-zipper-quart-freezer-bags-216-count-shelhealth-163.jpg?v=1663344339&amp;width=1946")</f>
        <v/>
      </c>
      <c r="H1266">
        <f>_xludf.IMAGE("https://m.media-amazon.com/images/I/61Cq2QX-6QL._AC_UL320_.jpg")</f>
        <v/>
      </c>
      <c r="K1266" t="inlineStr">
        <is>
          <t>21.99</t>
        </is>
      </c>
      <c r="L1266" t="n">
        <v>31.49</v>
      </c>
      <c r="M1266" s="1" t="inlineStr">
        <is>
          <t>43.20%</t>
        </is>
      </c>
      <c r="N1266" s="3" t="n">
        <v>43.2</v>
      </c>
      <c r="O1266" t="n">
        <v>5</v>
      </c>
      <c r="P1266" t="n">
        <v>1</v>
      </c>
      <c r="R1266" t="inlineStr">
        <is>
          <t>InStock</t>
        </is>
      </c>
      <c r="S1266" t="inlineStr">
        <is>
          <t>21.99</t>
        </is>
      </c>
      <c r="T1266" t="inlineStr">
        <is>
          <t>3824968433716</t>
        </is>
      </c>
    </row>
    <row r="1267" hidden="1" ht="15.75" customHeight="1">
      <c r="A1267" s="2">
        <f>HYPERLINK("https://www.shelhealth.com/products/808124144408-mrs-meyer-s-multi-surface-concentrate-basil-scent-32-oz", "https://www.shelhealth.com/products/808124144408-mrs-meyer-s-multi-surface-concentrate-basil-scent-32-oz")</f>
        <v/>
      </c>
      <c r="B1267" s="2">
        <f>HYPERLINK("https://www.shelhealth.com/products/808124144408-mrs-meyer-s-multi-surface-concentrate-basil-scent-32-oz", "https://www.shelhealth.com/products/808124144408-mrs-meyer-s-multi-surface-concentrate-basil-scent-32-oz")</f>
        <v/>
      </c>
      <c r="C1267" t="inlineStr">
        <is>
          <t>Mrs. Meyer'S Multi-Surface Concentrate Basil Scent, 32 Oz</t>
        </is>
      </c>
      <c r="D1267" t="inlineStr">
        <is>
          <t>MRS. MEYER'S CLEAN DAY Multi-Surface Cleaner Concentrate, Use to Clean Floors, Tile, Counters, Basil, 32 fl. oz - Pack of 2</t>
        </is>
      </c>
      <c r="E1267" s="2">
        <f>HYPERLINK("https://www.amazon.com/Mrs-Meyers-Clean-Multi-Surface-Concentrate/dp/B01MDPI0AI/ref=sr_1_3?keywords=Mrs.+MeyerS+Multi-Surface+Concentrate+Basil+Scent%2C+32+Oz&amp;qid=1695170461&amp;sr=8-3", "https://www.amazon.com/Mrs-Meyers-Clean-Multi-Surface-Concentrate/dp/B01MDPI0AI/ref=sr_1_3?keywords=Mrs.+MeyerS+Multi-Surface+Concentrate+Basil+Scent%2C+32+Oz&amp;qid=1695170461&amp;sr=8-3")</f>
        <v/>
      </c>
      <c r="F1267" t="inlineStr">
        <is>
          <t>B01MDPI0AI</t>
        </is>
      </c>
      <c r="G1267">
        <f>_xludf.IMAGE("https://www.shelhealth.com/cdn/shop/files/mrs-meyers-multi-surface-concentrate-basil-scent-32-oz-home-products-clean-day-shelhealth-266.jpg?v=1686532600&amp;width=1946")</f>
        <v/>
      </c>
      <c r="H1267">
        <f>_xludf.IMAGE("https://m.media-amazon.com/images/I/71oWxSfMYwL._AC_UL320_.jpg")</f>
        <v/>
      </c>
      <c r="K1267" t="inlineStr">
        <is>
          <t>12.99</t>
        </is>
      </c>
      <c r="L1267" t="n">
        <v>18.58</v>
      </c>
      <c r="M1267" s="1" t="inlineStr">
        <is>
          <t>43.03%</t>
        </is>
      </c>
      <c r="N1267" s="3" t="n">
        <v>43.03</v>
      </c>
      <c r="O1267" t="n">
        <v>4.9</v>
      </c>
      <c r="P1267" t="n">
        <v>10651</v>
      </c>
      <c r="R1267" t="inlineStr">
        <is>
          <t>InStock</t>
        </is>
      </c>
      <c r="S1267" t="inlineStr">
        <is>
          <t>12.99</t>
        </is>
      </c>
      <c r="T1267" t="inlineStr">
        <is>
          <t>7241836593340</t>
        </is>
      </c>
    </row>
    <row r="1268" hidden="1" ht="15.75" customHeight="1">
      <c r="A1268" s="2">
        <f>HYPERLINK("https://www.shelhealth.com/products/808124411166-mrs-meyers-clean-day-lavender-soy-candle-large-7-2-oz", "https://www.shelhealth.com/products/808124411166-mrs-meyers-clean-day-lavender-soy-candle-large-7-2-oz")</f>
        <v/>
      </c>
      <c r="B1268" s="2">
        <f>HYPERLINK("https://www.shelhealth.com/products/808124411166-mrs-meyers-clean-day-lavender-soy-candle-large-7-2-oz", "https://www.shelhealth.com/products/808124411166-mrs-meyers-clean-day-lavender-soy-candle-large-7-2-oz")</f>
        <v/>
      </c>
      <c r="C1268" t="inlineStr">
        <is>
          <t>MRS MEYERS CLEAN DAY Lavender Soy Candle Large, 7.2 oz</t>
        </is>
      </c>
      <c r="D1268" t="inlineStr">
        <is>
          <t>MRS. MEYER'S CLEAN DAY Soy Aromatherapy Candle, 35 Hour Burn Time, Made with Soy Wax and Essential Oils, Lavender, 7.2 oz - Pack of 11</t>
        </is>
      </c>
      <c r="E1268" s="2">
        <f>HYPERLINK("https://www.amazon.com/Mrs-Meyers-Scented-Candle-Lavender/dp/B01MG29NPS/ref=sr_1_1?keywords=MRS+MEYERS+CLEAN+DAY+Lavender+Soy+Candle+Large%2C+7.2+oz&amp;qid=1695170514&amp;sr=8-1", "https://www.amazon.com/Mrs-Meyers-Scented-Candle-Lavender/dp/B01MG29NPS/ref=sr_1_1?keywords=MRS+MEYERS+CLEAN+DAY+Lavender+Soy+Candle+Large%2C+7.2+oz&amp;qid=1695170514&amp;sr=8-1")</f>
        <v/>
      </c>
      <c r="F1268" t="inlineStr">
        <is>
          <t>B01MG29NPS</t>
        </is>
      </c>
      <c r="G1268">
        <f>_xludf.IMAGE("https://www.shelhealth.com/cdn/shop/files/mrs-meyers-clean-day-lavender-soy-candle-large-7-2-oz-home-products-shelhealth-544.jpg?v=1688712044&amp;width=1946")</f>
        <v/>
      </c>
      <c r="H1268">
        <f>_xludf.IMAGE("https://m.media-amazon.com/images/I/61Fg+dyOYYL._AC_UL320_.jpg")</f>
        <v/>
      </c>
      <c r="K1268" t="inlineStr">
        <is>
          <t>13.99</t>
        </is>
      </c>
      <c r="L1268" t="n">
        <v>19.96</v>
      </c>
      <c r="M1268" s="1" t="inlineStr">
        <is>
          <t>42.67%</t>
        </is>
      </c>
      <c r="N1268" s="3" t="n">
        <v>42.67</v>
      </c>
      <c r="O1268" t="n">
        <v>4.5</v>
      </c>
      <c r="P1268" t="n">
        <v>8330</v>
      </c>
      <c r="R1268" t="inlineStr">
        <is>
          <t>InStock</t>
        </is>
      </c>
      <c r="S1268" t="inlineStr">
        <is>
          <t>13.99</t>
        </is>
      </c>
      <c r="T1268" t="inlineStr">
        <is>
          <t>7574209233128</t>
        </is>
      </c>
    </row>
    <row r="1269" hidden="1" ht="15.75" customHeight="1">
      <c r="A1269" s="2">
        <f>HYPERLINK("https://www.shelhealth.com/products/glad-4-gal-small-trash-bags-156-ct", "https://www.shelhealth.com/products/glad-4-gal-small-trash-bags-156-ct")</f>
        <v/>
      </c>
      <c r="B1269" s="2">
        <f>HYPERLINK("https://www.shelhealth.com/products/glad-4-gal-small-trash-bags-156-ct", "https://www.shelhealth.com/products/glad-4-gal-small-trash-bags-156-ct")</f>
        <v/>
      </c>
      <c r="C1269" t="inlineStr">
        <is>
          <t>Glad 4-Gal. Small Trash Bags, 156 ct.</t>
        </is>
      </c>
      <c r="D1269" t="inlineStr">
        <is>
          <t>Glad Odor Shield 4 Gallon Household or On the Go Trash Bags, Fresh Clean Scent (156 bags) (Pack of 3)</t>
        </is>
      </c>
      <c r="E1269" s="2">
        <f>HYPERLINK("https://www.amazon.com/Shield-Gallon-Household-Trash-Fresh/dp/B01LVUEOPM/ref=sr_1_3?keywords=Glad+4-Gal.+Small+Trash+Bags%2C+156+ct.&amp;qid=1695170438&amp;sr=8-3", "https://www.amazon.com/Shield-Gallon-Household-Trash-Fresh/dp/B01LVUEOPM/ref=sr_1_3?keywords=Glad+4-Gal.+Small+Trash+Bags%2C+156+ct.&amp;qid=1695170438&amp;sr=8-3")</f>
        <v/>
      </c>
      <c r="F1269" t="inlineStr">
        <is>
          <t>B01LVUEOPM</t>
        </is>
      </c>
      <c r="G1269">
        <f>_xludf.IMAGE("https://www.shelhealth.com/cdn/shop/products/glad-4-gal-small-trash-bags-156-ct-shelhealth-773.jpg?v=1663354908&amp;width=1946")</f>
        <v/>
      </c>
      <c r="H1269">
        <f>_xludf.IMAGE("https://m.media-amazon.com/images/I/51BAjPJ5wOL._AC_UL320_.jpg")</f>
        <v/>
      </c>
      <c r="K1269" t="inlineStr">
        <is>
          <t>23.99</t>
        </is>
      </c>
      <c r="L1269" t="n">
        <v>33.95</v>
      </c>
      <c r="M1269" s="1" t="inlineStr">
        <is>
          <t>41.52%</t>
        </is>
      </c>
      <c r="N1269" s="3" t="n">
        <v>41.52</v>
      </c>
      <c r="O1269" t="n">
        <v>4.6</v>
      </c>
      <c r="P1269" t="n">
        <v>16</v>
      </c>
      <c r="R1269" t="inlineStr">
        <is>
          <t>InStock</t>
        </is>
      </c>
      <c r="S1269" t="inlineStr">
        <is>
          <t>23.99</t>
        </is>
      </c>
      <c r="T1269" t="inlineStr">
        <is>
          <t>4169508683828</t>
        </is>
      </c>
    </row>
    <row r="1270" hidden="1" ht="15.75" customHeight="1">
      <c r="A1270" s="2">
        <f>HYPERLINK("https://www.shelhealth.com/products/downy-infusions-liquid-fabric-softener-115-fl-oz", "https://www.shelhealth.com/products/downy-infusions-liquid-fabric-softener-115-fl-oz")</f>
        <v/>
      </c>
      <c r="B1270" s="2">
        <f>HYPERLINK("https://www.shelhealth.com/products/downy-infusions-liquid-fabric-softener-115-fl-oz", "https://www.shelhealth.com/products/downy-infusions-liquid-fabric-softener-115-fl-oz")</f>
        <v/>
      </c>
      <c r="C1270" t="inlineStr">
        <is>
          <t>Downy Infusions Liquid Fabric Softener, 115 fl. oz.</t>
        </is>
      </c>
      <c r="D1270" t="inlineStr">
        <is>
          <t>Downy Infusions Radiant Liquid Fabric Softener, Pineapple &amp; Coconut Grove (170 loads, 115 fl. oz.)</t>
        </is>
      </c>
      <c r="E1270" s="2">
        <f>HYPERLINK("https://www.amazon.com/Infusions-Radiant-Softener-Pineapple-Coconut/dp/B0C87N5FN2/ref=sr_1_2?keywords=Downy+Infusions+Liquid+Fabric+Softener%2C+115+fl.+oz.&amp;qid=1695170396&amp;sr=8-2", "https://www.amazon.com/Infusions-Radiant-Softener-Pineapple-Coconut/dp/B0C87N5FN2/ref=sr_1_2?keywords=Downy+Infusions+Liquid+Fabric+Softener%2C+115+fl.+oz.&amp;qid=1695170396&amp;sr=8-2")</f>
        <v/>
      </c>
      <c r="F1270" t="inlineStr">
        <is>
          <t>B0C87N5FN2</t>
        </is>
      </c>
      <c r="G1270">
        <f>_xludf.IMAGE("https://www.shelhealth.com/cdn/shop/products/downy-infusions-liquid-fabric-softener-115-fl-oz-shelhealth-669.jpg?v=1663356546&amp;width=1946")</f>
        <v/>
      </c>
      <c r="H1270">
        <f>_xludf.IMAGE("https://m.media-amazon.com/images/I/51bFxC3iY5L._AC_UL320_.jpg")</f>
        <v/>
      </c>
      <c r="K1270" t="inlineStr">
        <is>
          <t>27.99</t>
        </is>
      </c>
      <c r="L1270" t="n">
        <v>39.47</v>
      </c>
      <c r="M1270" s="1" t="inlineStr">
        <is>
          <t>41.01%</t>
        </is>
      </c>
      <c r="N1270" s="3" t="n">
        <v>41.01</v>
      </c>
      <c r="O1270" t="n">
        <v>3.8</v>
      </c>
      <c r="P1270" t="n">
        <v>9</v>
      </c>
      <c r="R1270" t="inlineStr">
        <is>
          <t>OutOfStock</t>
        </is>
      </c>
      <c r="S1270" t="inlineStr">
        <is>
          <t>27.99</t>
        </is>
      </c>
      <c r="T1270" t="inlineStr">
        <is>
          <t>4178968412212</t>
        </is>
      </c>
    </row>
    <row r="1271" hidden="1" ht="15.75" customHeight="1">
      <c r="A1271" s="2">
        <f>HYPERLINK("https://www.shelhealth.com/products/717256000042-bio-kleen-cleaner-all-purpose-cntrt-128-fo", "https://www.shelhealth.com/products/717256000042-bio-kleen-cleaner-all-purpose-cntrt-128-fo")</f>
        <v/>
      </c>
      <c r="B1271" s="2">
        <f>HYPERLINK("https://www.shelhealth.com/products/717256000042-bio-kleen-cleaner-all-purpose-cntrt-128-fo", "https://www.shelhealth.com/products/717256000042-bio-kleen-cleaner-all-purpose-cntrt-128-fo")</f>
        <v/>
      </c>
      <c r="C1271" t="inlineStr">
        <is>
          <t>BIO KLEEN Cleaner All Purpose Cntrt, 128 fo</t>
        </is>
      </c>
      <c r="D1271" t="inlineStr">
        <is>
          <t>Kleen-Free Naturally Preformed Enzyme Cleaner, Enzyme Solution, Multi-Purpose Cleaner, Laundry Additive, and More - Ready-to-Use - Fresh and Clean Scent - 128oz (1 Gallon)</t>
        </is>
      </c>
      <c r="E1271" s="2">
        <f>HYPERLINK("https://www.amazon.com/Kleen-Free-Naturally-Preformed-Cleaner-1-Gallon/dp/B00E3W5PII/ref=sr_1_9?keywords=BIO+KLEEN+Cleaner+All+Purpose+Cntrt%2C+128+fo&amp;qid=1695170473&amp;sr=8-9", "https://www.amazon.com/Kleen-Free-Naturally-Preformed-Cleaner-1-Gallon/dp/B00E3W5PII/ref=sr_1_9?keywords=BIO+KLEEN+Cleaner+All+Purpose+Cntrt%2C+128+fo&amp;qid=1695170473&amp;sr=8-9")</f>
        <v/>
      </c>
      <c r="F1271" t="inlineStr">
        <is>
          <t>B00E3W5PII</t>
        </is>
      </c>
      <c r="G1271">
        <f>_xludf.IMAGE("https://www.shelhealth.com/cdn/shop/files/bio-kleen-cleaner-all-purpose-cntrt-128-fo-home-products-shelhealth-814.jpg?v=1686140525&amp;width=1946")</f>
        <v/>
      </c>
      <c r="H1271">
        <f>_xludf.IMAGE("https://m.media-amazon.com/images/I/61MCbRU+qXL._AC_UL320_.jpg")</f>
        <v/>
      </c>
      <c r="K1271" t="inlineStr">
        <is>
          <t>27.99</t>
        </is>
      </c>
      <c r="L1271" t="n">
        <v>39.45</v>
      </c>
      <c r="M1271" s="1" t="inlineStr">
        <is>
          <t>40.94%</t>
        </is>
      </c>
      <c r="N1271" s="3" t="n">
        <v>40.94</v>
      </c>
      <c r="O1271" t="n">
        <v>4.6</v>
      </c>
      <c r="P1271" t="n">
        <v>34</v>
      </c>
      <c r="R1271" t="inlineStr">
        <is>
          <t>OutOfStock</t>
        </is>
      </c>
      <c r="S1271" t="inlineStr">
        <is>
          <t>27.99</t>
        </is>
      </c>
      <c r="T1271" t="inlineStr">
        <is>
          <t>7573984215272</t>
        </is>
      </c>
    </row>
    <row r="1272" hidden="1" ht="15.75" customHeight="1">
      <c r="A1272" s="2">
        <f>HYPERLINK("https://www.shelhealth.com/products/663204362208-zum-frankincense-myrrh-laundry-soap-32-fo", "https://www.shelhealth.com/products/663204362208-zum-frankincense-myrrh-laundry-soap-32-fo")</f>
        <v/>
      </c>
      <c r="B1272" s="2">
        <f>HYPERLINK("https://www.shelhealth.com/products/663204362208-zum-frankincense-myrrh-laundry-soap-32-fo", "https://www.shelhealth.com/products/663204362208-zum-frankincense-myrrh-laundry-soap-32-fo")</f>
        <v/>
      </c>
      <c r="C1272" t="inlineStr">
        <is>
          <t>ZUM Frankincense Myrrh Laundry Soap, 32 fo</t>
        </is>
      </c>
      <c r="D1272" t="inlineStr">
        <is>
          <t>Zum Clean Aromatherapy Laundry Soap, Frankincense &amp; Myrrh 64 oz (1.89 l) by zum clean</t>
        </is>
      </c>
      <c r="E1272" s="2">
        <f>HYPERLINK("https://www.amazon.com/Clean-Aromatherapy-Laundry-Frankincense-Myrrh/dp/B01MU82BIR/ref=sr_1_2?keywords=ZUM+Frankincense+Myrrh+Laundry+Soap%2C+32+fo&amp;qid=1695170519&amp;sr=8-2", "https://www.amazon.com/Clean-Aromatherapy-Laundry-Frankincense-Myrrh/dp/B01MU82BIR/ref=sr_1_2?keywords=ZUM+Frankincense+Myrrh+Laundry+Soap%2C+32+fo&amp;qid=1695170519&amp;sr=8-2")</f>
        <v/>
      </c>
      <c r="F1272" t="inlineStr">
        <is>
          <t>B01MU82BIR</t>
        </is>
      </c>
      <c r="G1272">
        <f>_xludf.IMAGE("https://www.shelhealth.com/cdn/shop/products/zum-frankincense-myrrh-laundry-soap-32-fo-shelhealth-229.jpg?v=1663790293&amp;width=1946")</f>
        <v/>
      </c>
      <c r="H1272">
        <f>_xludf.IMAGE("https://m.media-amazon.com/images/I/61Jgy7vzWGL._AC_UL320_.jpg")</f>
        <v/>
      </c>
      <c r="K1272" t="inlineStr">
        <is>
          <t>10.99</t>
        </is>
      </c>
      <c r="L1272" t="n">
        <v>15.4</v>
      </c>
      <c r="M1272" s="1" t="inlineStr">
        <is>
          <t>40.13%</t>
        </is>
      </c>
      <c r="N1272" s="3" t="n">
        <v>40.13</v>
      </c>
      <c r="O1272" t="n">
        <v>5</v>
      </c>
      <c r="P1272" t="n">
        <v>8</v>
      </c>
      <c r="R1272" t="inlineStr">
        <is>
          <t>OutOfStock</t>
        </is>
      </c>
      <c r="S1272" t="inlineStr">
        <is>
          <t>10.99</t>
        </is>
      </c>
      <c r="T1272" t="inlineStr">
        <is>
          <t>7574368420072</t>
        </is>
      </c>
    </row>
    <row r="1273" hidden="1" ht="15.75" customHeight="1">
      <c r="A1273" s="2">
        <f>HYPERLINK("https://www.shelhealth.com/products/663204362208-zum-frankincense-myrrh-laundry-soap-32-fo", "https://www.shelhealth.com/products/663204362208-zum-frankincense-myrrh-laundry-soap-32-fo")</f>
        <v/>
      </c>
      <c r="B1273" s="2">
        <f>HYPERLINK("https://www.shelhealth.com/products/663204362208-zum-frankincense-myrrh-laundry-soap-32-fo", "https://www.shelhealth.com/products/663204362208-zum-frankincense-myrrh-laundry-soap-32-fo")</f>
        <v/>
      </c>
      <c r="C1273" t="inlineStr">
        <is>
          <t>ZUM Frankincense Myrrh Laundry Soap, 32 fo</t>
        </is>
      </c>
      <c r="D1273" t="inlineStr">
        <is>
          <t>Zum Clean Aromatherapy Laundry Soap, Frankincense &amp; Myrrh 64 oz (1.89 l)(Pack of 1)</t>
        </is>
      </c>
      <c r="E1273" s="2">
        <f>HYPERLINK("https://www.amazon.com/Clean-Aromatherapy-Laundry-Frankincense-Myrrh/dp/B01CQPDJGI/ref=sr_1_3?keywords=ZUM+Frankincense+Myrrh+Laundry+Soap%2C+32+fo&amp;qid=1695170519&amp;sr=8-3", "https://www.amazon.com/Clean-Aromatherapy-Laundry-Frankincense-Myrrh/dp/B01CQPDJGI/ref=sr_1_3?keywords=ZUM+Frankincense+Myrrh+Laundry+Soap%2C+32+fo&amp;qid=1695170519&amp;sr=8-3")</f>
        <v/>
      </c>
      <c r="F1273" t="inlineStr">
        <is>
          <t>B01CQPDJGI</t>
        </is>
      </c>
      <c r="G1273">
        <f>_xludf.IMAGE("https://www.shelhealth.com/cdn/shop/products/zum-frankincense-myrrh-laundry-soap-32-fo-shelhealth-229.jpg?v=1663790293&amp;width=1946")</f>
        <v/>
      </c>
      <c r="H1273">
        <f>_xludf.IMAGE("https://m.media-amazon.com/images/I/61RRcrMQz2L._AC_UL320_.jpg")</f>
        <v/>
      </c>
      <c r="K1273" t="inlineStr">
        <is>
          <t>10.99</t>
        </is>
      </c>
      <c r="L1273" t="n">
        <v>15.4</v>
      </c>
      <c r="M1273" s="1" t="inlineStr">
        <is>
          <t>40.13%</t>
        </is>
      </c>
      <c r="N1273" s="3" t="n">
        <v>40.13</v>
      </c>
      <c r="O1273" t="n">
        <v>4.8</v>
      </c>
      <c r="P1273" t="n">
        <v>103</v>
      </c>
      <c r="R1273" t="inlineStr">
        <is>
          <t>OutOfStock</t>
        </is>
      </c>
      <c r="S1273" t="inlineStr">
        <is>
          <t>10.99</t>
        </is>
      </c>
      <c r="T1273" t="inlineStr">
        <is>
          <t>7574368420072</t>
        </is>
      </c>
    </row>
    <row r="1274" hidden="1" ht="15.75" customHeight="1">
      <c r="A1274" s="2">
        <f>HYPERLINK("https://www.shelhealth.com/products/odoban-concentrate-multi-purpose-odor-eliminator-1-gallon", "https://www.shelhealth.com/products/odoban-concentrate-multi-purpose-odor-eliminator-1-gallon")</f>
        <v/>
      </c>
      <c r="B1274" s="2">
        <f>HYPERLINK("https://www.shelhealth.com/products/odoban-concentrate-multi-purpose-odor-eliminator-1-gallon", "https://www.shelhealth.com/products/odoban-concentrate-multi-purpose-odor-eliminator-1-gallon")</f>
        <v/>
      </c>
      <c r="C1274" t="inlineStr">
        <is>
          <t>OdoBan Concentrate Multi-Purpose Odor Eliminator, 1 Gallon</t>
        </is>
      </c>
      <c r="D1274" t="inlineStr">
        <is>
          <t>OdoBan Ready-to-Use Disinfectant and Odor Eliminator, Set of 2, 32 oz Spray and 1 Gallon Concentrate, Lavender Scent</t>
        </is>
      </c>
      <c r="E1274" s="2">
        <f>HYPERLINK("https://www.amazon.com/OdoBan-Ready-Bottle-Concentrate-Lavender/dp/B079Z6XH2R/ref=sr_1_10?keywords=OdoBan+Concentrate+Multi-Purpose+Odor+Eliminator%2C+1+Gallon&amp;qid=1695170549&amp;sr=8-10", "https://www.amazon.com/OdoBan-Ready-Bottle-Concentrate-Lavender/dp/B079Z6XH2R/ref=sr_1_10?keywords=OdoBan+Concentrate+Multi-Purpose+Odor+Eliminator%2C+1+Gallon&amp;qid=1695170549&amp;sr=8-10")</f>
        <v/>
      </c>
      <c r="F1274" t="inlineStr">
        <is>
          <t>B079Z6XH2R</t>
        </is>
      </c>
      <c r="G1274">
        <f>_xludf.IMAGE("https://www.shelhealth.com/cdn/shop/products/odoban-concentrate-multi-purpose-odor-eliminator-1-gallon-shelhealth-978.jpg?v=1663370619&amp;width=1946")</f>
        <v/>
      </c>
      <c r="H1274">
        <f>_xludf.IMAGE("https://m.media-amazon.com/images/I/81-egmtjhoL._AC_UY218_.jpg")</f>
        <v/>
      </c>
      <c r="K1274" t="inlineStr">
        <is>
          <t>19.99</t>
        </is>
      </c>
      <c r="L1274" t="n">
        <v>27.99</v>
      </c>
      <c r="M1274" s="1" t="inlineStr">
        <is>
          <t>40.02%</t>
        </is>
      </c>
      <c r="N1274" s="3" t="n">
        <v>40.02</v>
      </c>
      <c r="O1274" t="n">
        <v>4.5</v>
      </c>
      <c r="P1274" t="n">
        <v>782</v>
      </c>
      <c r="R1274" t="inlineStr">
        <is>
          <t>InStock</t>
        </is>
      </c>
      <c r="S1274" t="inlineStr">
        <is>
          <t>19.99</t>
        </is>
      </c>
      <c r="T1274" t="inlineStr">
        <is>
          <t>4664315838553</t>
        </is>
      </c>
    </row>
    <row r="1275" hidden="1" ht="15.75" customHeight="1">
      <c r="A1275" s="2">
        <f>HYPERLINK("https://www.shelhealth.com/products/rubbermaid-18-pc-easy-find-lids-food-storage-containers", "https://www.shelhealth.com/products/rubbermaid-18-pc-easy-find-lids-food-storage-containers")</f>
        <v/>
      </c>
      <c r="B1275" s="2">
        <f>HYPERLINK("https://www.shelhealth.com/products/rubbermaid-18-pc-easy-find-lids-food-storage-containers", "https://www.shelhealth.com/products/rubbermaid-18-pc-easy-find-lids-food-storage-containers")</f>
        <v/>
      </c>
      <c r="C1275" t="inlineStr">
        <is>
          <t>Rubbermaid 18-Pc. Easy Find Lids Food Storage Containers</t>
        </is>
      </c>
      <c r="D1275" t="inlineStr">
        <is>
          <t>Rubbermaid Easy Find Lids Food Storage-Containers, Racer Red, 18-Piece Set</t>
        </is>
      </c>
      <c r="E1275" s="2">
        <f>HYPERLINK("https://www.amazon.com/Rubbermaid-Storage-Containers-18-Piece-1783145/dp/B001HBI7CY/ref=sr_1_3?keywords=Rubbermaid+18-Pc.+Easy+Find+Lids+Food+Storage+Containers&amp;qid=1695170422&amp;sr=8-3", "https://www.amazon.com/Rubbermaid-Storage-Containers-18-Piece-1783145/dp/B001HBI7CY/ref=sr_1_3?keywords=Rubbermaid+18-Pc.+Easy+Find+Lids+Food+Storage+Containers&amp;qid=1695170422&amp;sr=8-3")</f>
        <v/>
      </c>
      <c r="F1275" t="inlineStr">
        <is>
          <t>B001HBI7CY</t>
        </is>
      </c>
      <c r="G1275">
        <f>_xludf.IMAGE("https://www.shelhealth.com/cdn/shop/products/rubbermaid-18-pc-easy-find-lids-food-storage-containers-shelhealth-268.jpg?v=1663356506&amp;width=1946")</f>
        <v/>
      </c>
      <c r="H1275">
        <f>_xludf.IMAGE("https://m.media-amazon.com/images/I/81cB4+rtWDL._AC_UL320_.jpg")</f>
        <v/>
      </c>
      <c r="K1275" t="inlineStr">
        <is>
          <t>21.99</t>
        </is>
      </c>
      <c r="L1275" t="n">
        <v>30.78</v>
      </c>
      <c r="M1275" s="1" t="inlineStr">
        <is>
          <t>39.97%</t>
        </is>
      </c>
      <c r="N1275" s="3" t="n">
        <v>39.97</v>
      </c>
      <c r="O1275" t="n">
        <v>4.3</v>
      </c>
      <c r="P1275" t="n">
        <v>641</v>
      </c>
      <c r="R1275" t="inlineStr">
        <is>
          <t>OutOfStock</t>
        </is>
      </c>
      <c r="S1275" t="inlineStr">
        <is>
          <t>21.99</t>
        </is>
      </c>
      <c r="T1275" t="inlineStr">
        <is>
          <t>4178949701684</t>
        </is>
      </c>
    </row>
    <row r="1276" hidden="1" ht="15.75" customHeight="1">
      <c r="A1276" s="2">
        <f>HYPERLINK("https://www.shelhealth.com/products/swiffer-wetjet-multi-purpose-open-window-fresh-scent-floor-cleaner-solution-refill-3-pk-1-25l", "https://www.shelhealth.com/products/swiffer-wetjet-multi-purpose-open-window-fresh-scent-floor-cleaner-solution-refill-3-pk-1-25l")</f>
        <v/>
      </c>
      <c r="B1276" s="2">
        <f>HYPERLINK("https://www.shelhealth.com/products/swiffer-wetjet-multi-purpose-open-window-fresh-scent-floor-cleaner-solution-refill-3-pk-1-25l", "https://www.shelhealth.com/products/swiffer-wetjet-multi-purpose-open-window-fresh-scent-floor-cleaner-solution-refill-3-pk-1-25l")</f>
        <v/>
      </c>
      <c r="C1276" t="inlineStr">
        <is>
          <t>Swiffer WetJet Multi-Purpose Open Window Fresh Scent Floor Cleaner Solution Refill, 3 pk./1.25L</t>
        </is>
      </c>
      <c r="D1276" t="inlineStr">
        <is>
          <t>Swiffer WetJet Multi-purpose Floor Cleaner Solution Refill, Open Window Fresh Scent, 1.25L, (Pack of 6)</t>
        </is>
      </c>
      <c r="E1276" s="2">
        <f>HYPERLINK("https://www.amazon.com/Swiffer-WetJet-Multi-purpose-Cleaner-Solution/dp/B07FVV648N/ref=sr_1_3?keywords=Swiffer+WetJet+Multi-Purpose+Open+Window+Fresh+Scent+Floor+Cleaner+Solution+Refill%2C+3+pk.%2F1.25L&amp;qid=1695170391&amp;sr=8-3", "https://www.amazon.com/Swiffer-WetJet-Multi-purpose-Cleaner-Solution/dp/B07FVV648N/ref=sr_1_3?keywords=Swiffer+WetJet+Multi-Purpose+Open+Window+Fresh+Scent+Floor+Cleaner+Solution+Refill%2C+3+pk.%2F1.25L&amp;qid=1695170391&amp;sr=8-3")</f>
        <v/>
      </c>
      <c r="F1276" t="inlineStr">
        <is>
          <t>B07FVV648N</t>
        </is>
      </c>
      <c r="G1276">
        <f>_xludf.IMAGE("https://www.shelhealth.com/cdn/shop/products/swiffer-wetjet-multi-purpose-open-window-fresh-scent-floor-cleaner-solution-refill-3-pk-1-25l-shelhealth-238.jpg?v=1663355207&amp;width=1946")</f>
        <v/>
      </c>
      <c r="H1276">
        <f>_xludf.IMAGE("https://m.media-amazon.com/images/I/51XgZ357p4L._AC_UL320_.jpg")</f>
        <v/>
      </c>
      <c r="K1276" t="inlineStr">
        <is>
          <t>30.99</t>
        </is>
      </c>
      <c r="L1276" t="n">
        <v>43.26</v>
      </c>
      <c r="M1276" s="1" t="inlineStr">
        <is>
          <t>39.59%</t>
        </is>
      </c>
      <c r="N1276" s="3" t="n">
        <v>39.59</v>
      </c>
      <c r="O1276" t="n">
        <v>4.7</v>
      </c>
      <c r="P1276" t="n">
        <v>4020</v>
      </c>
      <c r="R1276" t="inlineStr">
        <is>
          <t>InStock</t>
        </is>
      </c>
      <c r="S1276" t="inlineStr">
        <is>
          <t>30.99</t>
        </is>
      </c>
      <c r="T1276" t="inlineStr">
        <is>
          <t>4169743859764</t>
        </is>
      </c>
    </row>
    <row r="1277" hidden="1" ht="15.75" customHeight="1">
      <c r="A1277" s="2">
        <f>HYPERLINK("https://www.shelhealth.com/products/berkley-jensen-13-gal-trash-bags-140-ct", "https://www.shelhealth.com/products/berkley-jensen-13-gal-trash-bags-140-ct")</f>
        <v/>
      </c>
      <c r="B1277" s="2">
        <f>HYPERLINK("https://www.shelhealth.com/products/berkley-jensen-13-gal-trash-bags-140-ct", "https://www.shelhealth.com/products/berkley-jensen-13-gal-trash-bags-140-ct")</f>
        <v/>
      </c>
      <c r="C1277" t="inlineStr">
        <is>
          <t>Berkley Jensen 13-Gal. Trash Bags, 140 ct.</t>
        </is>
      </c>
      <c r="D1277" t="inlineStr">
        <is>
          <t>Berkley Jensen 13 Gallon Fresh Scent Drawstring Trash Bag, 200 ct.</t>
        </is>
      </c>
      <c r="E1277" s="2">
        <f>HYPERLINK("https://www.amazon.com/Berkley-Jensen-Gallon-Fresh-Drawstring/dp/B08H4XSJR8/ref=sr_1_2?keywords=Berkley+Jensen+13-Gal.+Trash+Bags%2C+140+ct.&amp;qid=1695170567&amp;sr=8-2", "https://www.amazon.com/Berkley-Jensen-Gallon-Fresh-Drawstring/dp/B08H4XSJR8/ref=sr_1_2?keywords=Berkley+Jensen+13-Gal.+Trash+Bags%2C+140+ct.&amp;qid=1695170567&amp;sr=8-2")</f>
        <v/>
      </c>
      <c r="F1277" t="inlineStr">
        <is>
          <t>B08H4XSJR8</t>
        </is>
      </c>
      <c r="G1277">
        <f>_xludf.IMAGE("https://www.shelhealth.com/cdn/shop/products/berkley-jensen-13-gal-trash-bags-140-ct-shelhealth-815.jpg?v=1663354901&amp;width=1946")</f>
        <v/>
      </c>
      <c r="H1277">
        <f>_xludf.IMAGE("https://m.media-amazon.com/images/I/51aa9KCMTqL._AC_UL320_.jpg")</f>
        <v/>
      </c>
      <c r="K1277" t="inlineStr">
        <is>
          <t>32.99</t>
        </is>
      </c>
      <c r="L1277" t="n">
        <v>45.99</v>
      </c>
      <c r="M1277" s="1" t="inlineStr">
        <is>
          <t>39.41%</t>
        </is>
      </c>
      <c r="N1277" s="3" t="n">
        <v>39.41</v>
      </c>
      <c r="O1277" t="n">
        <v>2.4</v>
      </c>
      <c r="P1277" t="n">
        <v>3</v>
      </c>
      <c r="R1277" t="inlineStr">
        <is>
          <t>InStock</t>
        </is>
      </c>
      <c r="S1277" t="inlineStr">
        <is>
          <t>32.99</t>
        </is>
      </c>
      <c r="T1277" t="inlineStr">
        <is>
          <t>4169506816052</t>
        </is>
      </c>
    </row>
    <row r="1278" hidden="1" ht="15.75" customHeight="1">
      <c r="A1278" s="2">
        <f>HYPERLINK("https://www.shelhealth.com/products/swiffer-sweeper-wet-cloth-refill-64-count", "https://www.shelhealth.com/products/swiffer-sweeper-wet-cloth-refill-64-count")</f>
        <v/>
      </c>
      <c r="B1278" s="2">
        <f>HYPERLINK("https://www.shelhealth.com/products/swiffer-sweeper-wet-cloth-refill-64-count", "https://www.shelhealth.com/products/swiffer-sweeper-wet-cloth-refill-64-count")</f>
        <v/>
      </c>
      <c r="C1278" t="inlineStr">
        <is>
          <t>Swiffer Sweeper Wet Cloth Refill, 64 Count</t>
        </is>
      </c>
      <c r="D1278" t="inlineStr">
        <is>
          <t>Swiffer Sweeper Wet Mopping Cloth Refill - Open Window Fresh , 24 Count (2 Pack)</t>
        </is>
      </c>
      <c r="E1278" s="2">
        <f>HYPERLINK("https://www.amazon.com/Swiffer-Sweeper-Mopping-Cloth-Refill/dp/B071VSZ1FK/ref=sr_1_2?keywords=Swiffer+Sweeper+Wet+Cloth+Refill%2C+64+Count&amp;qid=1695170382&amp;sr=8-2", "https://www.amazon.com/Swiffer-Sweeper-Mopping-Cloth-Refill/dp/B071VSZ1FK/ref=sr_1_2?keywords=Swiffer+Sweeper+Wet+Cloth+Refill%2C+64+Count&amp;qid=1695170382&amp;sr=8-2")</f>
        <v/>
      </c>
      <c r="F1278" t="inlineStr">
        <is>
          <t>B071VSZ1FK</t>
        </is>
      </c>
      <c r="G1278">
        <f>_xludf.IMAGE("https://www.shelhealth.com/cdn/shop/products/swiffer-sweeper-wet-cloth-refill-64-count-shelhealth-364.jpg?v=1663342907&amp;width=1946")</f>
        <v/>
      </c>
      <c r="H1278">
        <f>_xludf.IMAGE("https://m.media-amazon.com/images/I/61ao-kBYZoL._AC_UL320_.jpg")</f>
        <v/>
      </c>
      <c r="K1278" t="inlineStr">
        <is>
          <t>30.99</t>
        </is>
      </c>
      <c r="L1278" t="n">
        <v>43</v>
      </c>
      <c r="M1278" s="1" t="inlineStr">
        <is>
          <t>38.75%</t>
        </is>
      </c>
      <c r="N1278" s="3" t="n">
        <v>38.75</v>
      </c>
      <c r="O1278" t="n">
        <v>4.1</v>
      </c>
      <c r="P1278" t="n">
        <v>3</v>
      </c>
      <c r="R1278" t="inlineStr">
        <is>
          <t>InStock</t>
        </is>
      </c>
      <c r="S1278" t="inlineStr">
        <is>
          <t>30.99</t>
        </is>
      </c>
      <c r="T1278" t="inlineStr">
        <is>
          <t>3818793271348</t>
        </is>
      </c>
    </row>
    <row r="1279" hidden="1" ht="15.75" customHeight="1">
      <c r="A1279" s="2">
        <f>HYPERLINK("https://www.shelhealth.com/products/berkley-jensen-soft-fresh-dryer-sheets-2-pk-190-ct", "https://www.shelhealth.com/products/berkley-jensen-soft-fresh-dryer-sheets-2-pk-190-ct")</f>
        <v/>
      </c>
      <c r="B1279" s="2">
        <f>HYPERLINK("https://www.shelhealth.com/products/berkley-jensen-soft-fresh-dryer-sheets-2-pk-190-ct", "https://www.shelhealth.com/products/berkley-jensen-soft-fresh-dryer-sheets-2-pk-190-ct")</f>
        <v/>
      </c>
      <c r="C1279" t="inlineStr">
        <is>
          <t>Berkley Jensen Soft &amp; Fresh Dryer Sheets, 2 pk./190 ct.</t>
        </is>
      </c>
      <c r="D1279" t="inlineStr">
        <is>
          <t>Berkley &amp; Jensen Soft and Fresh Dryer Sheets, 320 ct. (2608536)</t>
        </is>
      </c>
      <c r="E1279" s="2">
        <f>HYPERLINK("https://www.amazon.com/Berkley-Jensen-Fresh-Sheets-2608536/dp/B09SBQJ89L/ref=sr_1_2?keywords=Berkley+Jensen+Soft&amp;qid=1695170408&amp;sr=8-2", "https://www.amazon.com/Berkley-Jensen-Fresh-Sheets-2608536/dp/B09SBQJ89L/ref=sr_1_2?keywords=Berkley+Jensen+Soft&amp;qid=1695170408&amp;sr=8-2")</f>
        <v/>
      </c>
      <c r="F1279" t="inlineStr">
        <is>
          <t>B09SBQJ89L</t>
        </is>
      </c>
      <c r="G1279">
        <f>_xludf.IMAGE("https://www.shelhealth.com/cdn/shop/products/berkley-jensen-soft-fresh-dryer-sheets-2-pk-190-ct-shelhealth-703.jpg?v=1663356965&amp;width=1946")</f>
        <v/>
      </c>
      <c r="H1279">
        <f>_xludf.IMAGE("https://m.media-amazon.com/images/I/61mBWmRT65L._AC_UL320_.jpg")</f>
        <v/>
      </c>
      <c r="K1279" t="inlineStr">
        <is>
          <t>12.99</t>
        </is>
      </c>
      <c r="L1279" t="n">
        <v>17.99</v>
      </c>
      <c r="M1279" s="1" t="inlineStr">
        <is>
          <t>38.49%</t>
        </is>
      </c>
      <c r="N1279" s="3" t="n">
        <v>38.49</v>
      </c>
      <c r="O1279" t="n">
        <v>5</v>
      </c>
      <c r="P1279" t="n">
        <v>2</v>
      </c>
      <c r="R1279" t="inlineStr">
        <is>
          <t>InStock</t>
        </is>
      </c>
      <c r="S1279" t="inlineStr">
        <is>
          <t>12.99</t>
        </is>
      </c>
      <c r="T1279" t="inlineStr">
        <is>
          <t>4179116589108</t>
        </is>
      </c>
    </row>
    <row r="1280" hidden="1" ht="15.75" customHeight="1">
      <c r="A1280" s="2">
        <f>HYPERLINK("https://www.shelhealth.com/products/duracell-durabeam-ultra-led-flashlight-500-lumens-3-count", "https://www.shelhealth.com/products/duracell-durabeam-ultra-led-flashlight-500-lumens-3-count")</f>
        <v/>
      </c>
      <c r="B1280" s="2">
        <f>HYPERLINK("https://www.shelhealth.com/products/duracell-durabeam-ultra-led-flashlight-500-lumens-3-count", "https://www.shelhealth.com/products/duracell-durabeam-ultra-led-flashlight-500-lumens-3-count")</f>
        <v/>
      </c>
      <c r="C1280" t="inlineStr">
        <is>
          <t>Duracell Durabeam Ultra LED Flashlight 500 Lumens, 3 Count</t>
        </is>
      </c>
      <c r="D1280" t="inlineStr">
        <is>
          <t>DURACELL Durabeam Ultra LED Flashlight 600 Lumens 3 Count</t>
        </is>
      </c>
      <c r="E1280" s="2">
        <f>HYPERLINK("https://www.amazon.com/Duracell-Durabeam-Flashlight-600-Lumens/dp/B09XKYDJVJ/ref=sr_1_5?keywords=Duracell+Durabeam+Ultra+LED+Flashlight+500+Lumens%2C+3+Count&amp;qid=1695170416&amp;sr=8-5", "https://www.amazon.com/Duracell-Durabeam-Flashlight-600-Lumens/dp/B09XKYDJVJ/ref=sr_1_5?keywords=Duracell+Durabeam+Ultra+LED+Flashlight+500+Lumens%2C+3+Count&amp;qid=1695170416&amp;sr=8-5")</f>
        <v/>
      </c>
      <c r="F1280" t="inlineStr">
        <is>
          <t>B09XKYDJVJ</t>
        </is>
      </c>
      <c r="G1280">
        <f>_xludf.IMAGE("https://www.shelhealth.com/cdn/shop/products/duracell-durabeam-ultra-led-flashlight-500-lumens-3-count-shelhealth-611.jpg?v=1663374061&amp;width=1946")</f>
        <v/>
      </c>
      <c r="H1280">
        <f>_xludf.IMAGE("https://m.media-amazon.com/images/I/81jltkT0W8L._AC_UL320_.jpg")</f>
        <v/>
      </c>
      <c r="K1280" t="inlineStr">
        <is>
          <t>30.99</t>
        </is>
      </c>
      <c r="L1280" t="n">
        <v>42.9</v>
      </c>
      <c r="M1280" s="1" t="inlineStr">
        <is>
          <t>38.43%</t>
        </is>
      </c>
      <c r="N1280" s="3" t="n">
        <v>38.43</v>
      </c>
      <c r="O1280" t="n">
        <v>4.7</v>
      </c>
      <c r="P1280" t="n">
        <v>27</v>
      </c>
      <c r="R1280" t="inlineStr">
        <is>
          <t>InStock</t>
        </is>
      </c>
      <c r="S1280" t="inlineStr">
        <is>
          <t>30.99</t>
        </is>
      </c>
      <c r="T1280" t="inlineStr">
        <is>
          <t>4711936295001</t>
        </is>
      </c>
    </row>
    <row r="1281" hidden="1" ht="15.75" customHeight="1">
      <c r="A1281" s="2">
        <f>HYPERLINK("https://www.shelhealth.com/products/febreze-air-freshener-variety-pack-4-pk-8-8-oz", "https://www.shelhealth.com/products/febreze-air-freshener-variety-pack-4-pk-8-8-oz")</f>
        <v/>
      </c>
      <c r="B1281" s="2">
        <f>HYPERLINK("https://www.shelhealth.com/products/febreze-air-freshener-variety-pack-4-pk-8-8-oz", "https://www.shelhealth.com/products/febreze-air-freshener-variety-pack-4-pk-8-8-oz")</f>
        <v/>
      </c>
      <c r="C1281" t="inlineStr">
        <is>
          <t>Febreze AIR Freshener Variety Pack, 4 pk./8.8 oz.</t>
        </is>
      </c>
      <c r="D1281" t="inlineStr">
        <is>
          <t>Febreze Air Freshener and Odor Eliminator Spray Variety Pack, Original Gain Scent, Linen &amp; Sky, Hawaiian Aloha, and Ocean Scent, 8.8 oz (Pack of 4)</t>
        </is>
      </c>
      <c r="E1281" s="2">
        <f>HYPERLINK("https://www.amazon.com/Febreze-Air/dp/B08YXJGMNZ/ref=sr_1_3?keywords=Febreze+AIR+Freshener+Variety+Pack%2C+4+pk.%2F8.8+oz.&amp;qid=1695170383&amp;sr=8-3", "https://www.amazon.com/Febreze-Air/dp/B08YXJGMNZ/ref=sr_1_3?keywords=Febreze+AIR+Freshener+Variety+Pack%2C+4+pk.%2F8.8+oz.&amp;qid=1695170383&amp;sr=8-3")</f>
        <v/>
      </c>
      <c r="F1281" t="inlineStr">
        <is>
          <t>B08YXJGMNZ</t>
        </is>
      </c>
      <c r="G1281">
        <f>_xludf.IMAGE("https://www.shelhealth.com/cdn/shop/products/febreze-air-freshener-variety-pack-4-pk-8-oz-shelhealth-946.jpg?v=1663355336&amp;width=1946")</f>
        <v/>
      </c>
      <c r="H1281">
        <f>_xludf.IMAGE("https://m.media-amazon.com/images/I/71cpTkuoJcL._AC_UL320_.jpg")</f>
        <v/>
      </c>
      <c r="K1281" t="inlineStr">
        <is>
          <t>13.99</t>
        </is>
      </c>
      <c r="L1281" t="n">
        <v>19.29</v>
      </c>
      <c r="M1281" s="1" t="inlineStr">
        <is>
          <t>37.88%</t>
        </is>
      </c>
      <c r="N1281" s="3" t="n">
        <v>37.88</v>
      </c>
      <c r="O1281" t="n">
        <v>3.7</v>
      </c>
      <c r="P1281" t="n">
        <v>8</v>
      </c>
      <c r="R1281" t="inlineStr">
        <is>
          <t>InStock</t>
        </is>
      </c>
      <c r="S1281" t="inlineStr">
        <is>
          <t>13.99</t>
        </is>
      </c>
      <c r="T1281" t="inlineStr">
        <is>
          <t>4169810182196</t>
        </is>
      </c>
    </row>
    <row r="1282" hidden="1" ht="15.75" customHeight="1">
      <c r="A1282" s="2">
        <f>HYPERLINK("https://www.shelhealth.com/products/acrylic-beverage-dispenser-2-5-gallon", "https://www.shelhealth.com/products/acrylic-beverage-dispenser-2-5-gallon")</f>
        <v/>
      </c>
      <c r="B1282" s="2">
        <f>HYPERLINK("https://www.shelhealth.com/products/acrylic-beverage-dispenser-2-5-gallon", "https://www.shelhealth.com/products/acrylic-beverage-dispenser-2-5-gallon")</f>
        <v/>
      </c>
      <c r="C1282" t="inlineStr">
        <is>
          <t>Acrylic Beverage Dispenser 2.5 Gallon</t>
        </is>
      </c>
      <c r="D1282" t="inlineStr">
        <is>
          <t>Style Setter Beverage Dispenser Cold Drink Dispenser Glass Jug, Metal Stand &amp; Leak-Proof Acrylic Spigot Great for Parties, Weddings &amp; More (2.5 Gallon, Glass with Cork Lid)</t>
        </is>
      </c>
      <c r="E1282" s="2">
        <f>HYPERLINK("https://www.amazon.com/Style-Setter-Beverage-Dispenser-Leak-Proof/dp/B09V5TB2VT/ref=sr_1_4?keywords=Acrylic+Beverage+Dispenser+2.5+Gallon&amp;qid=1695170553&amp;sr=8-4", "https://www.amazon.com/Style-Setter-Beverage-Dispenser-Leak-Proof/dp/B09V5TB2VT/ref=sr_1_4?keywords=Acrylic+Beverage+Dispenser+2.5+Gallon&amp;qid=1695170553&amp;sr=8-4")</f>
        <v/>
      </c>
      <c r="F1282" t="inlineStr">
        <is>
          <t>B09V5TB2VT</t>
        </is>
      </c>
      <c r="G1282">
        <f>_xludf.IMAGE("https://www.shelhealth.com/cdn/shop/products/acrylic-beverage-dispenser-2-5-gallon-shelhealth-551.jpg?v=1663357185&amp;width=1946")</f>
        <v/>
      </c>
      <c r="H1282">
        <f>_xludf.IMAGE("https://m.media-amazon.com/images/I/71cnaGDzqnL._AC_UL320_.jpg")</f>
        <v/>
      </c>
      <c r="K1282" t="inlineStr">
        <is>
          <t>36.99</t>
        </is>
      </c>
      <c r="L1282" t="n">
        <v>49.99</v>
      </c>
      <c r="M1282" s="1" t="inlineStr">
        <is>
          <t>35.14%</t>
        </is>
      </c>
      <c r="N1282" s="3" t="n">
        <v>35.14</v>
      </c>
      <c r="O1282" t="n">
        <v>3.6</v>
      </c>
      <c r="P1282" t="n">
        <v>45</v>
      </c>
      <c r="R1282" t="inlineStr">
        <is>
          <t>OutOfStock</t>
        </is>
      </c>
      <c r="S1282" t="inlineStr">
        <is>
          <t>36.99</t>
        </is>
      </c>
      <c r="T1282" t="inlineStr">
        <is>
          <t>4179239501876</t>
        </is>
      </c>
    </row>
    <row r="1283" hidden="1" ht="15.75" customHeight="1">
      <c r="A1283" s="2">
        <f>HYPERLINK("https://www.shelhealth.com/products/808124701120-mrs-meyers-clean-day-laundry-detergent-honeysuckle-2x-64-oz", "https://www.shelhealth.com/products/808124701120-mrs-meyers-clean-day-laundry-detergent-honeysuckle-2x-64-oz")</f>
        <v/>
      </c>
      <c r="B1283" s="2">
        <f>HYPERLINK("https://www.shelhealth.com/products/808124701120-mrs-meyers-clean-day-laundry-detergent-honeysuckle-2x-64-oz", "https://www.shelhealth.com/products/808124701120-mrs-meyers-clean-day-laundry-detergent-honeysuckle-2x-64-oz")</f>
        <v/>
      </c>
      <c r="C1283" t="inlineStr">
        <is>
          <t>Mrs Meyers Clean Day Laundry Detergent Honeysuckle 2X, 64 Oz</t>
        </is>
      </c>
      <c r="D1283" t="inlineStr">
        <is>
          <t>Mrs. Meyer’s Clean Day Laundry Detergent, Rainwater Scent, 64 FL OZ. (1 Pack)</t>
        </is>
      </c>
      <c r="E1283" s="2">
        <f>HYPERLINK("https://www.amazon.com/Meyers-Clean-Laundry-Detergent-Rainwater/dp/B0BKK5D1N8/ref=sr_1_7?keywords=Mrs+Meyers+Clean+Day+Laundry+Detergent+Honeysuckle+2X%2C+64+Oz&amp;qid=1695170536&amp;sr=8-7", "https://www.amazon.com/Meyers-Clean-Laundry-Detergent-Rainwater/dp/B0BKK5D1N8/ref=sr_1_7?keywords=Mrs+Meyers+Clean+Day+Laundry+Detergent+Honeysuckle+2X%2C+64+Oz&amp;qid=1695170536&amp;sr=8-7")</f>
        <v/>
      </c>
      <c r="F1283" t="inlineStr">
        <is>
          <t>B0BKK5D1N8</t>
        </is>
      </c>
      <c r="G1283">
        <f>_xludf.IMAGE("https://www.shelhealth.com/cdn/shop/files/mrs-meyers-clean-day-laundry-detergent-honeysuckle-2x-64-oz-home-products-shelhealth-133.jpg?v=1686486311&amp;width=1946")</f>
        <v/>
      </c>
      <c r="H1283">
        <f>_xludf.IMAGE("https://m.media-amazon.com/images/I/716dc7uxHWL._AC_UL320_.jpg")</f>
        <v/>
      </c>
      <c r="K1283" t="inlineStr">
        <is>
          <t>25.99</t>
        </is>
      </c>
      <c r="L1283" t="n">
        <v>34.95</v>
      </c>
      <c r="M1283" s="1" t="inlineStr">
        <is>
          <t>34.47%</t>
        </is>
      </c>
      <c r="N1283" s="3" t="n">
        <v>34.47</v>
      </c>
      <c r="O1283" t="n">
        <v>4.1</v>
      </c>
      <c r="P1283" t="n">
        <v>11</v>
      </c>
      <c r="R1283" t="inlineStr">
        <is>
          <t>InStock</t>
        </is>
      </c>
      <c r="S1283" t="inlineStr">
        <is>
          <t>25.99</t>
        </is>
      </c>
      <c r="T1283" t="inlineStr">
        <is>
          <t>7241832825020</t>
        </is>
      </c>
    </row>
    <row r="1284" hidden="1" ht="15.75" customHeight="1">
      <c r="A1284" s="2">
        <f>HYPERLINK("https://www.shelhealth.com/products/808124703490-mrs-meyers-clean-day-mint-dish-soap-16-fo", "https://www.shelhealth.com/products/808124703490-mrs-meyers-clean-day-mint-dish-soap-16-fo")</f>
        <v/>
      </c>
      <c r="B1284" s="2">
        <f>HYPERLINK("https://www.shelhealth.com/products/808124703490-mrs-meyers-clean-day-mint-dish-soap-16-fo", "https://www.shelhealth.com/products/808124703490-mrs-meyers-clean-day-mint-dish-soap-16-fo")</f>
        <v/>
      </c>
      <c r="C1284" t="inlineStr">
        <is>
          <t>Mrs Meyers Clean Day Mint Dish Soap, 16 Fo (Case of 4)</t>
        </is>
      </c>
      <c r="D1284" t="inlineStr">
        <is>
          <t>Mrs. Meyer's Clean Day Liquid Dish Soap, Cruelty Free Formula, Mint Scent, 16 oz- Pack of 6</t>
        </is>
      </c>
      <c r="E1284" s="2">
        <f>HYPERLINK("https://www.amazon.com/Mrs-Meyers-Clean-Day-Fluid/dp/B078L92JYT/ref=sr_1_2?keywords=Mrs+Meyers+Clean+Day+Mint+Dish+Soap%2C+16+Fo+%28Case+of+4%29&amp;qid=1695170491&amp;sr=8-2", "https://www.amazon.com/Mrs-Meyers-Clean-Day-Fluid/dp/B078L92JYT/ref=sr_1_2?keywords=Mrs+Meyers+Clean+Day+Mint+Dish+Soap%2C+16+Fo+%28Case+of+4%29&amp;qid=1695170491&amp;sr=8-2")</f>
        <v/>
      </c>
      <c r="F1284" t="inlineStr">
        <is>
          <t>B078L92JYT</t>
        </is>
      </c>
      <c r="G1284">
        <f>_xludf.IMAGE("https://www.shelhealth.com/cdn/shop/files/mrs-meyers-clean-day-mint-dish-soap-16-fo-case-of-4-home-products-shelhealth-596.jpg?v=1686141962&amp;width=1946")</f>
        <v/>
      </c>
      <c r="H1284">
        <f>_xludf.IMAGE("https://m.media-amazon.com/images/I/71M6NjaGEFL._AC_UL320_.jpg")</f>
        <v/>
      </c>
      <c r="K1284" t="inlineStr">
        <is>
          <t>24.99</t>
        </is>
      </c>
      <c r="L1284" t="n">
        <v>33.38</v>
      </c>
      <c r="M1284" s="1" t="inlineStr">
        <is>
          <t>33.57%</t>
        </is>
      </c>
      <c r="N1284" s="3" t="n">
        <v>33.57</v>
      </c>
      <c r="O1284" t="n">
        <v>4.7</v>
      </c>
      <c r="P1284" t="n">
        <v>5113</v>
      </c>
      <c r="R1284" t="inlineStr">
        <is>
          <t>OutOfStock</t>
        </is>
      </c>
      <c r="S1284" t="inlineStr">
        <is>
          <t>24.99</t>
        </is>
      </c>
      <c r="T1284" t="inlineStr">
        <is>
          <t>7241833349308</t>
        </is>
      </c>
    </row>
    <row r="1285" hidden="1" ht="15.75" customHeight="1">
      <c r="A1285" s="2">
        <f>HYPERLINK("https://www.shelhealth.com/products/scotch-brite-non-scratch-scrub-sponges-21-sponges-total", "https://www.shelhealth.com/products/scotch-brite-non-scratch-scrub-sponges-21-sponges-total")</f>
        <v/>
      </c>
      <c r="B1285" s="2">
        <f>HYPERLINK("https://www.shelhealth.com/products/scotch-brite-non-scratch-scrub-sponges-21-sponges-total", "https://www.shelhealth.com/products/scotch-brite-non-scratch-scrub-sponges-21-sponges-total")</f>
        <v/>
      </c>
      <c r="C1285" t="inlineStr">
        <is>
          <t>Scotch-Brite Non-Scratch Scrub Sponges, 21 Sponges Total</t>
        </is>
      </c>
      <c r="D1285" t="inlineStr">
        <is>
          <t>Scotch-Brite Non-Scratch Scrub Sponges, 24 Scrub Sponges, Lasts 50% Longer than the Leading National Value Brand</t>
        </is>
      </c>
      <c r="E1285" s="2">
        <f>HYPERLINK("https://www.amazon.com/Scotch-Brite-Non-Scratch-Nonstick-Cookware-3-Sponges/dp/B000P57CV0/ref=sr_1_7?keywords=Scotch-Brite+Non-Scratch+Scrub+Sponges%2C+21+Sponges+Total&amp;qid=1695170382&amp;sr=8-7", "https://www.amazon.com/Scotch-Brite-Non-Scratch-Nonstick-Cookware-3-Sponges/dp/B000P57CV0/ref=sr_1_7?keywords=Scotch-Brite+Non-Scratch+Scrub+Sponges%2C+21+Sponges+Total&amp;qid=1695170382&amp;sr=8-7")</f>
        <v/>
      </c>
      <c r="F1285" t="inlineStr">
        <is>
          <t>B000P57CV0</t>
        </is>
      </c>
      <c r="G1285">
        <f>_xludf.IMAGE("https://www.shelhealth.com/cdn/shop/products/scotch-brite-non-scratch-scrub-sponges-21-total-shelhealth-257.jpg?v=1663343405&amp;width=1946")</f>
        <v/>
      </c>
      <c r="H1285">
        <f>_xludf.IMAGE("https://m.media-amazon.com/images/I/81y0OU+AvDL._AC_UL320_.jpg")</f>
        <v/>
      </c>
      <c r="K1285" t="inlineStr">
        <is>
          <t>21.99</t>
        </is>
      </c>
      <c r="L1285" t="n">
        <v>29.35</v>
      </c>
      <c r="M1285" s="1" t="inlineStr">
        <is>
          <t>33.47%</t>
        </is>
      </c>
      <c r="N1285" s="3" t="n">
        <v>33.47</v>
      </c>
      <c r="O1285" t="n">
        <v>4.6</v>
      </c>
      <c r="P1285" t="n">
        <v>346</v>
      </c>
      <c r="R1285" t="inlineStr">
        <is>
          <t>InStock</t>
        </is>
      </c>
      <c r="S1285" t="inlineStr">
        <is>
          <t>21.99</t>
        </is>
      </c>
      <c r="T1285" t="inlineStr">
        <is>
          <t>3820350996532</t>
        </is>
      </c>
    </row>
    <row r="1286" hidden="1" ht="15.75" customHeight="1">
      <c r="A1286" s="2">
        <f>HYPERLINK("https://www.shelhealth.com/products/808124701120-mrs-meyers-clean-day-laundry-detergent-honeysuckle-2x-64-oz", "https://www.shelhealth.com/products/808124701120-mrs-meyers-clean-day-laundry-detergent-honeysuckle-2x-64-oz")</f>
        <v/>
      </c>
      <c r="B1286" s="2">
        <f>HYPERLINK("https://www.shelhealth.com/products/808124701120-mrs-meyers-clean-day-laundry-detergent-honeysuckle-2x-64-oz", "https://www.shelhealth.com/products/808124701120-mrs-meyers-clean-day-laundry-detergent-honeysuckle-2x-64-oz")</f>
        <v/>
      </c>
      <c r="C1286" t="inlineStr">
        <is>
          <t>Mrs Meyers Clean Day Laundry Detergent Honeysuckle 2X, 64 Oz</t>
        </is>
      </c>
      <c r="D1286" t="inlineStr">
        <is>
          <t>MRS. MEYER'S CLEAN DAY Liquid Laundry Detergent, Biodegradable Formula Infused with Essential Oils, Honeysuckle, 64 oz - Pack of 2 (128 Loads)</t>
        </is>
      </c>
      <c r="E1286" s="2">
        <f>HYPERLINK("https://www.amazon.com/MRS-MEYERS-CLEAN-DAY-Biodegradable/dp/B01N9CGG7W/ref=sr_1_1?keywords=Mrs+Meyers+Clean+Day+Laundry+Detergent+Honeysuckle+2X%2C+64+Oz&amp;qid=1695170536&amp;sr=8-1", "https://www.amazon.com/MRS-MEYERS-CLEAN-DAY-Biodegradable/dp/B01N9CGG7W/ref=sr_1_1?keywords=Mrs+Meyers+Clean+Day+Laundry+Detergent+Honeysuckle+2X%2C+64+Oz&amp;qid=1695170536&amp;sr=8-1")</f>
        <v/>
      </c>
      <c r="F1286" t="inlineStr">
        <is>
          <t>B01N9CGG7W</t>
        </is>
      </c>
      <c r="G1286">
        <f>_xludf.IMAGE("https://www.shelhealth.com/cdn/shop/files/mrs-meyers-clean-day-laundry-detergent-honeysuckle-2x-64-oz-home-products-shelhealth-133.jpg?v=1686486311&amp;width=1946")</f>
        <v/>
      </c>
      <c r="H1286">
        <f>_xludf.IMAGE("https://m.media-amazon.com/images/I/81nOR9vy6SL._AC_UL320_.jpg")</f>
        <v/>
      </c>
      <c r="K1286" t="inlineStr">
        <is>
          <t>25.99</t>
        </is>
      </c>
      <c r="L1286" t="n">
        <v>34.67</v>
      </c>
      <c r="M1286" s="1" t="inlineStr">
        <is>
          <t>33.40%</t>
        </is>
      </c>
      <c r="N1286" s="3" t="n">
        <v>33.4</v>
      </c>
      <c r="O1286" t="n">
        <v>4.7</v>
      </c>
      <c r="P1286" t="n">
        <v>21088</v>
      </c>
      <c r="R1286" t="inlineStr">
        <is>
          <t>InStock</t>
        </is>
      </c>
      <c r="S1286" t="inlineStr">
        <is>
          <t>25.99</t>
        </is>
      </c>
      <c r="T1286" t="inlineStr">
        <is>
          <t>7241832825020</t>
        </is>
      </c>
    </row>
    <row r="1287" hidden="1" ht="15.75" customHeight="1">
      <c r="A1287" s="2">
        <f>HYPERLINK("https://www.shelhealth.com/products/palmolive-ultra-dishwashing-liquid-dish-soap-original-102-fl-oz", "https://www.shelhealth.com/products/palmolive-ultra-dishwashing-liquid-dish-soap-original-102-fl-oz")</f>
        <v/>
      </c>
      <c r="B1287" s="2">
        <f>HYPERLINK("https://www.shelhealth.com/products/palmolive-ultra-dishwashing-liquid-dish-soap-original-102-fl-oz", "https://www.shelhealth.com/products/palmolive-ultra-dishwashing-liquid-dish-soap-original-102-fl-oz")</f>
        <v/>
      </c>
      <c r="C1287" t="inlineStr">
        <is>
          <t>Palmolive Ultra Dishwashing Liquid Dish Soap, Original, 102 fl. oz.</t>
        </is>
      </c>
      <c r="D1287" t="inlineStr">
        <is>
          <t>Product of Palmolive Ultra Original Dish Liquid, 102 fl. oz. - Dish Soap [Bulk Savings]</t>
        </is>
      </c>
      <c r="E1287" s="2">
        <f>HYPERLINK("https://www.amazon.com/Product-Palmolive-Ultra-Original-Liquid/dp/B07D6F4MNB/ref=sr_1_1?keywords=Palmolive+Ultra+Dishwashing+Liquid+Dish+Soap%2C+Original%2C+102+fl.+oz.&amp;qid=1695170433&amp;sr=8-1", "https://www.amazon.com/Product-Palmolive-Ultra-Original-Liquid/dp/B07D6F4MNB/ref=sr_1_1?keywords=Palmolive+Ultra+Dishwashing+Liquid+Dish+Soap%2C+Original%2C+102+fl.+oz.&amp;qid=1695170433&amp;sr=8-1")</f>
        <v/>
      </c>
      <c r="F1287" t="inlineStr">
        <is>
          <t>B07D6F4MNB</t>
        </is>
      </c>
      <c r="G1287">
        <f>_xludf.IMAGE("https://www.shelhealth.com/cdn/shop/files/palmolive-ultra-dishwashing-liquid-dish-soap-original-102-fl-oz-grocery-household-petcleaning-goods-shelhealth-124.jpg?v=1686283062&amp;width=1946")</f>
        <v/>
      </c>
      <c r="H1287">
        <f>_xludf.IMAGE("https://m.media-amazon.com/images/I/713yiW8aRXL._AC_UL320_.jpg")</f>
        <v/>
      </c>
      <c r="K1287" t="inlineStr">
        <is>
          <t>15.99</t>
        </is>
      </c>
      <c r="L1287" t="n">
        <v>20.95</v>
      </c>
      <c r="M1287" s="1" t="inlineStr">
        <is>
          <t>31.02%</t>
        </is>
      </c>
      <c r="N1287" s="3" t="n">
        <v>31.02</v>
      </c>
      <c r="O1287" t="n">
        <v>4.7</v>
      </c>
      <c r="P1287" t="n">
        <v>26</v>
      </c>
      <c r="R1287" t="inlineStr">
        <is>
          <t>InStock</t>
        </is>
      </c>
      <c r="S1287" t="inlineStr">
        <is>
          <t>15.99</t>
        </is>
      </c>
      <c r="T1287" t="inlineStr">
        <is>
          <t>4169704669236</t>
        </is>
      </c>
    </row>
    <row r="1288" hidden="1" ht="15.75" customHeight="1">
      <c r="A1288" s="2">
        <f>HYPERLINK("https://www.shelhealth.com/products/iron-out-powder-rust-stain-remover-2-x-76-oz", "https://www.shelhealth.com/products/iron-out-powder-rust-stain-remover-2-x-76-oz")</f>
        <v/>
      </c>
      <c r="B1288" s="2">
        <f>HYPERLINK("https://www.shelhealth.com/products/iron-out-powder-rust-stain-remover-2-x-76-oz", "https://www.shelhealth.com/products/iron-out-powder-rust-stain-remover-2-x-76-oz")</f>
        <v/>
      </c>
      <c r="C1288" t="inlineStr">
        <is>
          <t>Iron OUT Powder Rust Stain Remover, 2 x 76 oz.</t>
        </is>
      </c>
      <c r="D1288" t="inlineStr">
        <is>
          <t>Iron Out Rust Stain Remover Powder, 4 lb 12 oz, 2 Bottles</t>
        </is>
      </c>
      <c r="E1288" s="2">
        <f>HYPERLINK("https://www.amazon.com/Iron-Out-Remover-Powder-Bottles/dp/B07N4KGV2Q/ref=sr_1_10?keywords=Iron+OUT+Powder+Rust+Stain+Remover%2C+2+x+76+oz.&amp;qid=1695170543&amp;sr=8-10", "https://www.amazon.com/Iron-Out-Remover-Powder-Bottles/dp/B07N4KGV2Q/ref=sr_1_10?keywords=Iron+OUT+Powder+Rust+Stain+Remover%2C+2+x+76+oz.&amp;qid=1695170543&amp;sr=8-10")</f>
        <v/>
      </c>
      <c r="F1288" t="inlineStr">
        <is>
          <t>B07N4KGV2Q</t>
        </is>
      </c>
      <c r="G1288">
        <f>_xludf.IMAGE("https://www.shelhealth.com/cdn/shop/products/iron-out-powder-rust-stain-remover-2-x-76-oz-shelhealth-985.jpg?v=1663370441&amp;width=1946")</f>
        <v/>
      </c>
      <c r="H1288">
        <f>_xludf.IMAGE("https://m.media-amazon.com/images/I/61LjtKiRSML._AC_UL320_.jpg")</f>
        <v/>
      </c>
      <c r="K1288" t="inlineStr">
        <is>
          <t>32.99</t>
        </is>
      </c>
      <c r="L1288" t="n">
        <v>42.99</v>
      </c>
      <c r="M1288" s="1" t="inlineStr">
        <is>
          <t>30.31%</t>
        </is>
      </c>
      <c r="N1288" s="3" t="n">
        <v>30.31</v>
      </c>
      <c r="O1288" t="n">
        <v>4.7</v>
      </c>
      <c r="P1288" t="n">
        <v>61</v>
      </c>
      <c r="R1288" t="inlineStr">
        <is>
          <t>InStock</t>
        </is>
      </c>
      <c r="S1288" t="inlineStr">
        <is>
          <t>32.99</t>
        </is>
      </c>
      <c r="T1288" t="inlineStr">
        <is>
          <t>4664144298073</t>
        </is>
      </c>
    </row>
    <row r="1289" hidden="1" ht="15.75" customHeight="1">
      <c r="A1289" s="2">
        <f>HYPERLINK("https://www.shelhealth.com/products/o-cedar-dual-action-micro-fiber-flip-mop", "https://www.shelhealth.com/products/o-cedar-dual-action-micro-fiber-flip-mop")</f>
        <v/>
      </c>
      <c r="B1289" s="2">
        <f>HYPERLINK("https://www.shelhealth.com/products/o-cedar-dual-action-micro-fiber-flip-mop", "https://www.shelhealth.com/products/o-cedar-dual-action-micro-fiber-flip-mop")</f>
        <v/>
      </c>
      <c r="C1289" t="inlineStr">
        <is>
          <t>O-Cedar Dual-Action Micro Fiber Flip Mop</t>
        </is>
      </c>
      <c r="D1289" t="inlineStr">
        <is>
          <t>O-Cedar Dual-Action Microfiber flip mop Refill (Pack of 4)</t>
        </is>
      </c>
      <c r="E1289" s="2">
        <f>HYPERLINK("https://www.amazon.com/Cedar-Dual-Action-Microfiber-flip-Refill/dp/B07VTXVGPZ/ref=sr_1_5?keywords=o-cedar+dual-action+microfiber+flip+mop&amp;qid=1695170453&amp;sr=8-5", "https://www.amazon.com/Cedar-Dual-Action-Microfiber-flip-Refill/dp/B07VTXVGPZ/ref=sr_1_5?keywords=o-cedar+dual-action+microfiber+flip+mop&amp;qid=1695170453&amp;sr=8-5")</f>
        <v/>
      </c>
      <c r="F1289" t="inlineStr">
        <is>
          <t>B07VTXVGPZ</t>
        </is>
      </c>
      <c r="G1289">
        <f>_xludf.IMAGE("https://www.shelhealth.com/cdn/shop/products/o-cedar-dual-action-micro-fiber-flip-mop-shelhealth-130.jpg?v=1663357602&amp;width=1946")</f>
        <v/>
      </c>
      <c r="H1289">
        <f>_xludf.IMAGE("https://m.media-amazon.com/images/I/91vgtFRTUkL._AC_UL320_.jpg")</f>
        <v/>
      </c>
      <c r="K1289" t="inlineStr">
        <is>
          <t>23.99</t>
        </is>
      </c>
      <c r="L1289" t="n">
        <v>30.98</v>
      </c>
      <c r="M1289" s="1" t="inlineStr">
        <is>
          <t>29.14%</t>
        </is>
      </c>
      <c r="N1289" s="3" t="n">
        <v>29.14</v>
      </c>
      <c r="O1289" t="n">
        <v>4.6</v>
      </c>
      <c r="P1289" t="n">
        <v>105</v>
      </c>
      <c r="R1289" t="inlineStr">
        <is>
          <t>OutOfStock</t>
        </is>
      </c>
      <c r="S1289" t="inlineStr">
        <is>
          <t>23.99</t>
        </is>
      </c>
      <c r="T1289" t="inlineStr">
        <is>
          <t>4251125514292</t>
        </is>
      </c>
    </row>
    <row r="1290" hidden="1" ht="15.75" customHeight="1">
      <c r="A1290" s="2">
        <f>HYPERLINK("https://www.shelhealth.com/products/persil-original-power-liquid-laundry-detergent-170-oz", "https://www.shelhealth.com/products/persil-original-power-liquid-laundry-detergent-170-oz")</f>
        <v/>
      </c>
      <c r="B1290" s="2">
        <f>HYPERLINK("https://www.shelhealth.com/products/persil-original-power-liquid-laundry-detergent-170-oz", "https://www.shelhealth.com/products/persil-original-power-liquid-laundry-detergent-170-oz")</f>
        <v/>
      </c>
      <c r="C1290" t="inlineStr">
        <is>
          <t>Persil Original Power-Liquid Laundry Detergent, 170 oz.</t>
        </is>
      </c>
      <c r="D1290" t="inlineStr">
        <is>
          <t>Persil ProClean Power-Liquid Laundry Detergent, Original Scent, 2-in-1 Liquid Detergent, 50 Fl Oz (2 Pack)</t>
        </is>
      </c>
      <c r="E1290" s="2">
        <f>HYPERLINK("https://www.amazon.com/Persil-ProClean-Liquid-Laundry-Detergent/dp/B07942SKKM/ref=sr_1_4?keywords=Persil+Original+Power-Liquid+Laundry+Detergent%2C+170+oz.&amp;qid=1695170399&amp;sr=8-4", "https://www.amazon.com/Persil-ProClean-Liquid-Laundry-Detergent/dp/B07942SKKM/ref=sr_1_4?keywords=Persil+Original+Power-Liquid+Laundry+Detergent%2C+170+oz.&amp;qid=1695170399&amp;sr=8-4")</f>
        <v/>
      </c>
      <c r="F1290" t="inlineStr">
        <is>
          <t>B07942SKKM</t>
        </is>
      </c>
      <c r="G1290">
        <f>_xludf.IMAGE("https://www.shelhealth.com/cdn/shop/products/persil-original-power-liquid-laundry-detergent-170-oz-shelhealth-822.jpg?v=1663356996&amp;width=1946")</f>
        <v/>
      </c>
      <c r="H1290">
        <f>_xludf.IMAGE("https://m.media-amazon.com/images/I/61t8IjO5-hL._AC_UL320_.jpg")</f>
        <v/>
      </c>
      <c r="K1290" t="inlineStr">
        <is>
          <t>38.99</t>
        </is>
      </c>
      <c r="L1290" t="n">
        <v>49.99</v>
      </c>
      <c r="M1290" s="1" t="inlineStr">
        <is>
          <t>28.21%</t>
        </is>
      </c>
      <c r="N1290" s="3" t="n">
        <v>28.21</v>
      </c>
      <c r="O1290" t="n">
        <v>5</v>
      </c>
      <c r="P1290" t="n">
        <v>3</v>
      </c>
      <c r="R1290" t="inlineStr">
        <is>
          <t>InStock</t>
        </is>
      </c>
      <c r="S1290" t="inlineStr">
        <is>
          <t>38.99</t>
        </is>
      </c>
      <c r="T1290" t="inlineStr">
        <is>
          <t>4179126943796</t>
        </is>
      </c>
    </row>
    <row r="1291" hidden="1" ht="15.75" customHeight="1">
      <c r="A1291" s="2">
        <f>HYPERLINK("https://www.shelhealth.com/products/895454002041-better-life-what-ever-natural-all-purpose-cleaner-clary-sage-citrus-32-oz", "https://www.shelhealth.com/products/895454002041-better-life-what-ever-natural-all-purpose-cleaner-clary-sage-citrus-32-oz")</f>
        <v/>
      </c>
      <c r="B1291" s="2">
        <f>HYPERLINK("https://www.shelhealth.com/products/895454002041-better-life-what-ever-natural-all-purpose-cleaner-clary-sage-citrus-32-oz", "https://www.shelhealth.com/products/895454002041-better-life-what-ever-natural-all-purpose-cleaner-clary-sage-citrus-32-oz")</f>
        <v/>
      </c>
      <c r="C1291" t="inlineStr">
        <is>
          <t>Better Life What-Ever! Natural All-Purpose Cleaner Clary Sage &amp; Citrus, 32 Oz (Case of 3)</t>
        </is>
      </c>
      <c r="D1291" t="inlineStr">
        <is>
          <t>Better Life What Ever All Purpose Cleaner Clary Sage &amp; Citrus, 32 Oz (Pack of 3)</t>
        </is>
      </c>
      <c r="E1291" s="2">
        <f>HYPERLINK("https://www.amazon.com/Better-Life-Purpose-Cleaner-Citrus/dp/B00I5MSZM0/ref=sr_1_1?keywords=Better+Life+What-Ever%21+Natural+All-Purpose+Cleaner+Clary+Sage&amp;qid=1695170478&amp;sr=8-1", "https://www.amazon.com/Better-Life-Purpose-Cleaner-Citrus/dp/B00I5MSZM0/ref=sr_1_1?keywords=Better+Life+What-Ever%21+Natural+All-Purpose+Cleaner+Clary+Sage&amp;qid=1695170478&amp;sr=8-1")</f>
        <v/>
      </c>
      <c r="F1291" t="inlineStr">
        <is>
          <t>B00I5MSZM0</t>
        </is>
      </c>
      <c r="G1291">
        <f>_xludf.IMAGE("https://www.shelhealth.com/cdn/shop/files/better-life-what-ever-natural-all-purpose-cleaner-clary-sage-citrus-32-oz-case-of-3-home-products-shelhealth-926.jpg?v=1686522786&amp;width=1946")</f>
        <v/>
      </c>
      <c r="H1291">
        <f>_xludf.IMAGE("https://m.media-amazon.com/images/I/61zNVqjRy4L._AC_UL320_.jpg")</f>
        <v/>
      </c>
      <c r="K1291" t="inlineStr">
        <is>
          <t>24.99</t>
        </is>
      </c>
      <c r="L1291" t="n">
        <v>32.01</v>
      </c>
      <c r="M1291" s="1" t="inlineStr">
        <is>
          <t>28.09%</t>
        </is>
      </c>
      <c r="N1291" s="3" t="n">
        <v>28.09</v>
      </c>
      <c r="O1291" t="n">
        <v>4.6</v>
      </c>
      <c r="P1291" t="n">
        <v>37</v>
      </c>
      <c r="R1291" t="inlineStr">
        <is>
          <t>InStock</t>
        </is>
      </c>
      <c r="S1291" t="inlineStr">
        <is>
          <t>24.99</t>
        </is>
      </c>
      <c r="T1291" t="inlineStr">
        <is>
          <t>7241505865916</t>
        </is>
      </c>
    </row>
    <row r="1292" hidden="1" ht="15.75" customHeight="1">
      <c r="A1292" s="2">
        <f>HYPERLINK("https://www.shelhealth.com/products/finish-powerball-max-in-1-automatic-dishwasher-detergent-tablets-117-ct", "https://www.shelhealth.com/products/finish-powerball-max-in-1-automatic-dishwasher-detergent-tablets-117-ct")</f>
        <v/>
      </c>
      <c r="B1292" s="2">
        <f>HYPERLINK("https://www.shelhealth.com/products/finish-powerball-max-in-1-automatic-dishwasher-detergent-tablets-117-ct", "https://www.shelhealth.com/products/finish-powerball-max-in-1-automatic-dishwasher-detergent-tablets-117-ct")</f>
        <v/>
      </c>
      <c r="C1292" t="inlineStr">
        <is>
          <t>Finish Powerball Max-in-1 Automatic Dishwasher Detergent Tablets, 117 ct.</t>
        </is>
      </c>
      <c r="D1292" t="inlineStr">
        <is>
          <t>Finish Max in One Plus Dishwasher Detergent Powerball Tabs (105 ct.)</t>
        </is>
      </c>
      <c r="E1292" s="2">
        <f>HYPERLINK("https://www.amazon.com/Finish-Plus-Dishwasher-Detergent-Powerball/dp/B074KQN99F/ref=sr_1_9?keywords=Finish+Powerball+Max-in-1+Automatic+Dishwasher+Detergent+Tablets%2C+117+ct.&amp;qid=1695170566&amp;sr=8-9", "https://www.amazon.com/Finish-Plus-Dishwasher-Detergent-Powerball/dp/B074KQN99F/ref=sr_1_9?keywords=Finish+Powerball+Max-in-1+Automatic+Dishwasher+Detergent+Tablets%2C+117+ct.&amp;qid=1695170566&amp;sr=8-9")</f>
        <v/>
      </c>
      <c r="F1292" t="inlineStr">
        <is>
          <t>B074KQN99F</t>
        </is>
      </c>
      <c r="G1292">
        <f>_xludf.IMAGE("https://www.shelhealth.com/cdn/shop/products/finish-powerball-max-in-1-automatic-dishwasher-detergent-tablets-117-ct-shelhealth-544.jpg?v=1663355177&amp;width=1946")</f>
        <v/>
      </c>
      <c r="H1292">
        <f>_xludf.IMAGE("https://m.media-amazon.com/images/I/71NxlVSxPnL._AC_UL320_.jpg")</f>
        <v/>
      </c>
      <c r="K1292" t="inlineStr">
        <is>
          <t>25.99</t>
        </is>
      </c>
      <c r="L1292" t="n">
        <v>33.1</v>
      </c>
      <c r="M1292" s="1" t="inlineStr">
        <is>
          <t>27.36%</t>
        </is>
      </c>
      <c r="N1292" s="3" t="n">
        <v>27.36</v>
      </c>
      <c r="O1292" t="n">
        <v>4.7</v>
      </c>
      <c r="P1292" t="n">
        <v>313</v>
      </c>
      <c r="R1292" t="inlineStr">
        <is>
          <t>OutOfStock</t>
        </is>
      </c>
      <c r="S1292" t="inlineStr">
        <is>
          <t>25.99</t>
        </is>
      </c>
      <c r="T1292" t="inlineStr">
        <is>
          <t>4169699196980</t>
        </is>
      </c>
    </row>
    <row r="1293" hidden="1" ht="15.75" customHeight="1">
      <c r="A1293" s="2">
        <f>HYPERLINK("https://www.shelhealth.com/products/mavea-10-cup-water-filter-pitcher", "https://www.shelhealth.com/products/mavea-10-cup-water-filter-pitcher")</f>
        <v/>
      </c>
      <c r="B1293" s="2">
        <f>HYPERLINK("https://www.shelhealth.com/products/mavea-10-cup-water-filter-pitcher", "https://www.shelhealth.com/products/mavea-10-cup-water-filter-pitcher")</f>
        <v/>
      </c>
      <c r="C1293" t="inlineStr">
        <is>
          <t>Mavea 10-Cup Water Filter Pitcher</t>
        </is>
      </c>
      <c r="D1293" t="inlineStr">
        <is>
          <t>Brita Large Water Filter Pitcher for Tap and Drinking Water with 1 Standard Filter, Lasts 2 Months, 10-Cup Capacity, BPA Free, White (Design May Vary)</t>
        </is>
      </c>
      <c r="E1293" s="2">
        <f>HYPERLINK("https://www.amazon.com/Brita-Pitchers-36205-Everyday-Pitcher/dp/B01FXN3E74/ref=sr_1_3?keywords=Mavea+10-Cup+Water+Filter+Pitcher&amp;qid=1695170405&amp;sr=8-3", "https://www.amazon.com/Brita-Pitchers-36205-Everyday-Pitcher/dp/B01FXN3E74/ref=sr_1_3?keywords=Mavea+10-Cup+Water+Filter+Pitcher&amp;qid=1695170405&amp;sr=8-3")</f>
        <v/>
      </c>
      <c r="F1293" t="inlineStr">
        <is>
          <t>B01FXN3E74</t>
        </is>
      </c>
      <c r="G1293">
        <f>_xludf.IMAGE("https://www.shelhealth.com/cdn/shop/products/mavea-10-cup-water-filter-pitcher-shelhealth-109.jpg?v=1663344360&amp;width=1946")</f>
        <v/>
      </c>
      <c r="H1293">
        <f>_xludf.IMAGE("https://m.media-amazon.com/images/I/71iSyz79aqL._AC_UL320_.jpg")</f>
        <v/>
      </c>
      <c r="K1293" t="inlineStr">
        <is>
          <t>23.99</t>
        </is>
      </c>
      <c r="L1293" t="n">
        <v>30.49</v>
      </c>
      <c r="M1293" s="1" t="inlineStr">
        <is>
          <t>27.09%</t>
        </is>
      </c>
      <c r="N1293" s="3" t="n">
        <v>27.09</v>
      </c>
      <c r="O1293" t="n">
        <v>4.6</v>
      </c>
      <c r="P1293" t="n">
        <v>54252</v>
      </c>
      <c r="R1293" t="inlineStr">
        <is>
          <t>OutOfStock</t>
        </is>
      </c>
      <c r="S1293" t="inlineStr">
        <is>
          <t>23.99</t>
        </is>
      </c>
      <c r="T1293" t="inlineStr">
        <is>
          <t>3824977379380</t>
        </is>
      </c>
    </row>
    <row r="1294" hidden="1" ht="15.75" customHeight="1">
      <c r="A1294" s="2">
        <f>HYPERLINK("https://www.shelhealth.com/products/downy-unstopables-in-wash-scent-booster-beads-fresh-30-3-oz", "https://www.shelhealth.com/products/downy-unstopables-in-wash-scent-booster-beads-fresh-30-3-oz")</f>
        <v/>
      </c>
      <c r="B1294" s="2">
        <f>HYPERLINK("https://www.shelhealth.com/products/downy-unstopables-in-wash-scent-booster-beads-fresh-30-3-oz", "https://www.shelhealth.com/products/downy-unstopables-in-wash-scent-booster-beads-fresh-30-3-oz")</f>
        <v/>
      </c>
      <c r="C1294" t="inlineStr">
        <is>
          <t>Downy Unstopables in-Wash Scent Booster Beads, Fresh (30.3 oz.)</t>
        </is>
      </c>
      <c r="D1294" t="inlineStr">
        <is>
          <t>Downy Unstopables In-Wash Fresh Scent Booster Laundry Beads (37.6 oz.)</t>
        </is>
      </c>
      <c r="E1294" s="2">
        <f>HYPERLINK("https://www.amazon.com/Downy-Unstopables-Wash-Booster-Laundry/dp/B073K1WN17/ref=sr_1_4?keywords=Downy+Unstopables+in-Wash+Scent+Booster+Beads%2C+Fresh+%2830.3+oz.%29&amp;qid=1695170384&amp;sr=8-4", "https://www.amazon.com/Downy-Unstopables-Wash-Booster-Laundry/dp/B073K1WN17/ref=sr_1_4?keywords=Downy+Unstopables+in-Wash+Scent+Booster+Beads%2C+Fresh+%2830.3+oz.%29&amp;qid=1695170384&amp;sr=8-4")</f>
        <v/>
      </c>
      <c r="F1294" t="inlineStr">
        <is>
          <t>B073K1WN17</t>
        </is>
      </c>
      <c r="G1294">
        <f>_xludf.IMAGE("https://www.shelhealth.com/cdn/shop/products/downy-unstopables-in-wash-scent-booster-beads-fresh-30-3-oz-shelhealth-182.jpg?v=1663343197&amp;width=1946")</f>
        <v/>
      </c>
      <c r="H1294">
        <f>_xludf.IMAGE("https://m.media-amazon.com/images/I/71AV0ul25EL._AC_UL320_.jpg")</f>
        <v/>
      </c>
      <c r="K1294" t="inlineStr">
        <is>
          <t>21.99</t>
        </is>
      </c>
      <c r="L1294" t="n">
        <v>27.86</v>
      </c>
      <c r="M1294" s="1" t="inlineStr">
        <is>
          <t>26.69%</t>
        </is>
      </c>
      <c r="N1294" s="3" t="n">
        <v>26.69</v>
      </c>
      <c r="O1294" t="n">
        <v>4.8</v>
      </c>
      <c r="P1294" t="n">
        <v>477</v>
      </c>
      <c r="R1294" t="inlineStr">
        <is>
          <t>InStock</t>
        </is>
      </c>
      <c r="S1294" t="inlineStr">
        <is>
          <t>21.99</t>
        </is>
      </c>
      <c r="T1294" t="inlineStr">
        <is>
          <t>3819605065780</t>
        </is>
      </c>
    </row>
    <row r="1295" hidden="1" ht="15.75" customHeight="1">
      <c r="A1295" s="2">
        <f>HYPERLINK("https://www.shelhealth.com/products/sprayway-glass-cleaner-4-pk-19-oz", "https://www.shelhealth.com/products/sprayway-glass-cleaner-4-pk-19-oz")</f>
        <v/>
      </c>
      <c r="B1295" s="2">
        <f>HYPERLINK("https://www.shelhealth.com/products/sprayway-glass-cleaner-4-pk-19-oz", "https://www.shelhealth.com/products/sprayway-glass-cleaner-4-pk-19-oz")</f>
        <v/>
      </c>
      <c r="C1295" t="inlineStr">
        <is>
          <t>Sprayway Glass Cleaner, 4 pk./ 19 oz.</t>
        </is>
      </c>
      <c r="D1295" t="inlineStr">
        <is>
          <t>A Product of Sprayway Glass Cleaner (19oz, 4pk.)</t>
        </is>
      </c>
      <c r="E1295" s="2">
        <f>HYPERLINK("https://www.amazon.com/Product-Sprayway-Glass-Cleaner-19oz/dp/B07QBMZVY1/ref=sr_1_1?keywords=Sprayway+Glass+Cleaner%2C+4+pk.%2F+19+oz.&amp;qid=1695170389&amp;sr=8-1", "https://www.amazon.com/Product-Sprayway-Glass-Cleaner-19oz/dp/B07QBMZVY1/ref=sr_1_1?keywords=Sprayway+Glass+Cleaner%2C+4+pk.%2F+19+oz.&amp;qid=1695170389&amp;sr=8-1")</f>
        <v/>
      </c>
      <c r="F1295" t="inlineStr">
        <is>
          <t>B07QBMZVY1</t>
        </is>
      </c>
      <c r="G1295">
        <f>_xludf.IMAGE("https://www.shelhealth.com/cdn/shop/files/sprayway-glass-cleaner-4-pk-19-oz-grocery-household-petcleaning-goods-shelhealth-745.jpg?v=1686284019&amp;width=1946")</f>
        <v/>
      </c>
      <c r="H1295">
        <f>_xludf.IMAGE("https://m.media-amazon.com/images/I/71V2DyqfEHL._AC_UL320_.jpg")</f>
        <v/>
      </c>
      <c r="K1295" t="inlineStr">
        <is>
          <t>14.99</t>
        </is>
      </c>
      <c r="L1295" t="n">
        <v>18.99</v>
      </c>
      <c r="M1295" s="1" t="inlineStr">
        <is>
          <t>26.68%</t>
        </is>
      </c>
      <c r="N1295" s="3" t="n">
        <v>26.68</v>
      </c>
      <c r="O1295" t="n">
        <v>4.8</v>
      </c>
      <c r="P1295" t="n">
        <v>1487</v>
      </c>
      <c r="R1295" t="inlineStr">
        <is>
          <t>InStock</t>
        </is>
      </c>
      <c r="S1295" t="inlineStr">
        <is>
          <t>14.99</t>
        </is>
      </c>
      <c r="T1295" t="inlineStr">
        <is>
          <t>4169787932724</t>
        </is>
      </c>
    </row>
    <row r="1296" hidden="1" ht="15.75" customHeight="1">
      <c r="A1296" s="2">
        <f>HYPERLINK("https://www.shelhealth.com/products/rabbit-electric-corkscrew-with-cutter", "https://www.shelhealth.com/products/rabbit-electric-corkscrew-with-cutter")</f>
        <v/>
      </c>
      <c r="B1296" s="2">
        <f>HYPERLINK("https://www.shelhealth.com/products/rabbit-electric-corkscrew-with-cutter", "https://www.shelhealth.com/products/rabbit-electric-corkscrew-with-cutter")</f>
        <v/>
      </c>
      <c r="C1296" t="inlineStr">
        <is>
          <t>Rabbit Electric Corkscrew with Cutter</t>
        </is>
      </c>
      <c r="D1296" t="inlineStr">
        <is>
          <t>Rabbit Original Lever Corkscrew Wine Opener with Foil Cutter and Extra Spiral (Silver)</t>
        </is>
      </c>
      <c r="E1296" s="2">
        <f>HYPERLINK("https://www.amazon.com/Rabbit-Original-Corkscrew-Opener-Cutter/dp/B00005NPHL/ref=sr_1_3?keywords=Rabbit+Electric+Corkscrew+with+Cutter&amp;qid=1695170554&amp;sr=8-3", "https://www.amazon.com/Rabbit-Original-Corkscrew-Opener-Cutter/dp/B00005NPHL/ref=sr_1_3?keywords=Rabbit+Electric+Corkscrew+with+Cutter&amp;qid=1695170554&amp;sr=8-3")</f>
        <v/>
      </c>
      <c r="F1296" t="inlineStr">
        <is>
          <t>B00005NPHL</t>
        </is>
      </c>
      <c r="G1296">
        <f>_xludf.IMAGE("https://www.shelhealth.com/cdn/shop/products/rabbit-electric-corkscrew-with-cutter-shelhealth-844.jpg?v=1663356971&amp;width=1946")</f>
        <v/>
      </c>
      <c r="H1296">
        <f>_xludf.IMAGE("https://m.media-amazon.com/images/I/71O0B3LPEAL._AC_UY218_.jpg")</f>
        <v/>
      </c>
      <c r="K1296" t="inlineStr">
        <is>
          <t>31.99</t>
        </is>
      </c>
      <c r="L1296" t="n">
        <v>40.4</v>
      </c>
      <c r="M1296" s="1" t="inlineStr">
        <is>
          <t>26.29%</t>
        </is>
      </c>
      <c r="N1296" s="3" t="n">
        <v>26.29</v>
      </c>
      <c r="O1296" t="n">
        <v>4</v>
      </c>
      <c r="P1296" t="n">
        <v>2891</v>
      </c>
      <c r="R1296" t="inlineStr">
        <is>
          <t>OutOfStock</t>
        </is>
      </c>
      <c r="S1296" t="inlineStr">
        <is>
          <t>31.99</t>
        </is>
      </c>
      <c r="T1296" t="inlineStr">
        <is>
          <t>4179121078324</t>
        </is>
      </c>
    </row>
    <row r="1297" hidden="1" ht="15.75" customHeight="1">
      <c r="A1297" s="2">
        <f>HYPERLINK("https://www.shelhealth.com/products/downy-infusions-liquid-fabric-softener-115-fl-oz", "https://www.shelhealth.com/products/downy-infusions-liquid-fabric-softener-115-fl-oz")</f>
        <v/>
      </c>
      <c r="B1297" s="2">
        <f>HYPERLINK("https://www.shelhealth.com/products/downy-infusions-liquid-fabric-softener-115-fl-oz", "https://www.shelhealth.com/products/downy-infusions-liquid-fabric-softener-115-fl-oz")</f>
        <v/>
      </c>
      <c r="C1297" t="inlineStr">
        <is>
          <t>Downy Infusions Liquid Fabric Softener, 115 fl. oz.</t>
        </is>
      </c>
      <c r="D1297" t="inlineStr">
        <is>
          <t>Downy Ultra Infusions Botanical Mist Liquid Fabric Softener 115 Fl. Oz 170 Loads</t>
        </is>
      </c>
      <c r="E1297" s="2">
        <f>HYPERLINK("https://www.amazon.com/Downy-Infusions-Botanical-Liquid-Softener/dp/B07TN1N5W9/ref=sr_1_1?keywords=Downy+Infusions+Liquid+Fabric+Softener%2C+115+fl.+oz.&amp;qid=1695170396&amp;sr=8-1", "https://www.amazon.com/Downy-Infusions-Botanical-Liquid-Softener/dp/B07TN1N5W9/ref=sr_1_1?keywords=Downy+Infusions+Liquid+Fabric+Softener%2C+115+fl.+oz.&amp;qid=1695170396&amp;sr=8-1")</f>
        <v/>
      </c>
      <c r="F1297" t="inlineStr">
        <is>
          <t>B07TN1N5W9</t>
        </is>
      </c>
      <c r="G1297">
        <f>_xludf.IMAGE("https://www.shelhealth.com/cdn/shop/products/downy-infusions-liquid-fabric-softener-115-fl-oz-shelhealth-669.jpg?v=1663356546&amp;width=1946")</f>
        <v/>
      </c>
      <c r="H1297">
        <f>_xludf.IMAGE("https://m.media-amazon.com/images/I/61QD6Sma56L._AC_UL320_.jpg")</f>
        <v/>
      </c>
      <c r="K1297" t="inlineStr">
        <is>
          <t>27.99</t>
        </is>
      </c>
      <c r="L1297" t="n">
        <v>35.01</v>
      </c>
      <c r="M1297" s="1" t="inlineStr">
        <is>
          <t>25.08%</t>
        </is>
      </c>
      <c r="N1297" s="3" t="n">
        <v>25.08</v>
      </c>
      <c r="O1297" t="n">
        <v>4.6</v>
      </c>
      <c r="P1297" t="n">
        <v>709</v>
      </c>
      <c r="R1297" t="inlineStr">
        <is>
          <t>OutOfStock</t>
        </is>
      </c>
      <c r="S1297" t="inlineStr">
        <is>
          <t>27.99</t>
        </is>
      </c>
      <c r="T1297" t="inlineStr">
        <is>
          <t>4178968412212</t>
        </is>
      </c>
    </row>
    <row r="1298" hidden="1" ht="15.75" customHeight="1">
      <c r="A1298" s="2">
        <f>HYPERLINK("https://www.shelhealth.com/products/air-wick-scented-oil-plug-in-with-9-additional-refills-virgin-islands-and-fresh-waters", "https://www.shelhealth.com/products/air-wick-scented-oil-plug-in-with-9-additional-refills-virgin-islands-and-fresh-waters")</f>
        <v/>
      </c>
      <c r="B1298" s="2">
        <f>HYPERLINK("https://www.shelhealth.com/products/air-wick-scented-oil-plug-in-with-9-additional-refills-virgin-islands-and-fresh-waters", "https://www.shelhealth.com/products/air-wick-scented-oil-plug-in-with-9-additional-refills-virgin-islands-and-fresh-waters")</f>
        <v/>
      </c>
      <c r="C1298" t="inlineStr">
        <is>
          <t>Air Wick scented oil plug in with 9 additional refills , Virgin Islands and Fresh Waters</t>
        </is>
      </c>
      <c r="D1298" t="inlineStr">
        <is>
          <t>Air Wick scented oil plug in with 9 additional refills , Virgin Islands and Fresh Waters</t>
        </is>
      </c>
      <c r="E1298" s="2">
        <f>HYPERLINK("https://www.amazon.com/Air-Wick-scented-additional-refills/dp/B06VW6X9BQ/ref=sr_1_1?keywords=Air+Wick+scented+oil+plug+in+with+9+additional+refills+%2C+Virgin+Islands+and+Fresh+Waters&amp;qid=1695170574&amp;sr=8-1", "https://www.amazon.com/Air-Wick-scented-additional-refills/dp/B06VW6X9BQ/ref=sr_1_1?keywords=Air+Wick+scented+oil+plug+in+with+9+additional+refills+%2C+Virgin+Islands+and+Fresh+Waters&amp;qid=1695170574&amp;sr=8-1")</f>
        <v/>
      </c>
      <c r="F1298" t="inlineStr">
        <is>
          <t>B06VW6X9BQ</t>
        </is>
      </c>
      <c r="G1298">
        <f>_xludf.IMAGE("https://www.shelhealth.com/cdn/shop/products/air-wick-scented-oil-plug-in-with-9-additional-refills-virgin-islands-and-fresh-waters-airwick-shelhealth-503.jpg?v=1663343269&amp;width=1946")</f>
        <v/>
      </c>
      <c r="H1298">
        <f>_xludf.IMAGE("https://m.media-amazon.com/images/I/5120j3c79KL._AC_UL320_.jpg")</f>
        <v/>
      </c>
      <c r="K1298" t="inlineStr">
        <is>
          <t>23.99</t>
        </is>
      </c>
      <c r="L1298" t="n">
        <v>29.99</v>
      </c>
      <c r="M1298" s="1" t="inlineStr">
        <is>
          <t>25.01%</t>
        </is>
      </c>
      <c r="N1298" s="3" t="n">
        <v>25.01</v>
      </c>
      <c r="O1298" t="n">
        <v>4.7</v>
      </c>
      <c r="P1298" t="n">
        <v>113</v>
      </c>
      <c r="R1298" t="inlineStr">
        <is>
          <t>InStock</t>
        </is>
      </c>
      <c r="S1298" t="inlineStr">
        <is>
          <t>23.99</t>
        </is>
      </c>
      <c r="T1298" t="inlineStr">
        <is>
          <t>3819982585908</t>
        </is>
      </c>
    </row>
    <row r="1299" hidden="1" ht="15.75" customHeight="1">
      <c r="A1299" s="2">
        <f>HYPERLINK("https://www.shelhealth.com/products/pledge-lemon-clean-furniture-polish-3-pk-14-2-oz", "https://www.shelhealth.com/products/pledge-lemon-clean-furniture-polish-3-pk-14-2-oz")</f>
        <v/>
      </c>
      <c r="B1299" s="2">
        <f>HYPERLINK("https://www.shelhealth.com/products/pledge-lemon-clean-furniture-polish-3-pk-14-2-oz", "https://www.shelhealth.com/products/pledge-lemon-clean-furniture-polish-3-pk-14-2-oz")</f>
        <v/>
      </c>
      <c r="C1299" t="inlineStr">
        <is>
          <t>Pledge Lemon Clean Furniture Polish, 3 pk./14.2 oz.</t>
        </is>
      </c>
      <c r="D1299" t="inlineStr">
        <is>
          <t>NikCatcher Pledge Lemon Clean Furniture Polish Enhancing Furniture Spray 14.2 Oz (2-Pack) w 16x16 Microfiber Cleaning Cloth Towel Bonus (3-Pack), Shines and Protects Wood Granite, and Leather</t>
        </is>
      </c>
      <c r="E1299" s="2">
        <f>HYPERLINK("https://www.amazon.com/Furniture-Enhancing-NikCatcher-Microfiber-Cleaning/dp/B0BM6D48S9/ref=sr_1_3?keywords=Pledge+Lemon+Clean+Furniture+Polish%2C+3+pk.%2F14.2+oz.&amp;qid=1695170412&amp;sr=8-3", "https://www.amazon.com/Furniture-Enhancing-NikCatcher-Microfiber-Cleaning/dp/B0BM6D48S9/ref=sr_1_3?keywords=Pledge+Lemon+Clean+Furniture+Polish%2C+3+pk.%2F14.2+oz.&amp;qid=1695170412&amp;sr=8-3")</f>
        <v/>
      </c>
      <c r="F1299" t="inlineStr">
        <is>
          <t>B0BM6D48S9</t>
        </is>
      </c>
      <c r="G1299">
        <f>_xludf.IMAGE("https://www.shelhealth.com/cdn/shop/products/pledge-lemon-clean-furniture-polish-3-pk-14-2-oz-shelhealth-349.jpg?v=1663355330&amp;width=1946")</f>
        <v/>
      </c>
      <c r="H1299">
        <f>_xludf.IMAGE("https://m.media-amazon.com/images/I/61-sPY2JZHL._AC_UL320_.jpg")</f>
        <v/>
      </c>
      <c r="K1299" t="inlineStr">
        <is>
          <t>23.99</t>
        </is>
      </c>
      <c r="L1299" t="n">
        <v>29.99</v>
      </c>
      <c r="M1299" s="1" t="inlineStr">
        <is>
          <t>25.01%</t>
        </is>
      </c>
      <c r="N1299" s="3" t="n">
        <v>25.01</v>
      </c>
      <c r="O1299" t="n">
        <v>4.7</v>
      </c>
      <c r="P1299" t="n">
        <v>18</v>
      </c>
      <c r="R1299" t="inlineStr">
        <is>
          <t>InStock</t>
        </is>
      </c>
      <c r="S1299" t="inlineStr">
        <is>
          <t>23.99</t>
        </is>
      </c>
      <c r="T1299" t="inlineStr">
        <is>
          <t>4169808183348</t>
        </is>
      </c>
    </row>
    <row r="1300" hidden="1" ht="15.75" customHeight="1">
      <c r="A1300" s="2">
        <f>HYPERLINK("https://www.shelhealth.com/products/swiffer-wetjet-hardwood-floor-spray-mop-pad-refill-extra-power-30-ct", "https://www.shelhealth.com/products/swiffer-wetjet-hardwood-floor-spray-mop-pad-refill-extra-power-30-ct")</f>
        <v/>
      </c>
      <c r="B1300" s="2">
        <f>HYPERLINK("https://www.shelhealth.com/products/swiffer-wetjet-hardwood-floor-spray-mop-pad-refill-extra-power-30-ct", "https://www.shelhealth.com/products/swiffer-wetjet-hardwood-floor-spray-mop-pad-refill-extra-power-30-ct")</f>
        <v/>
      </c>
      <c r="C1300" t="inlineStr">
        <is>
          <t>Swiffer WetJet Hardwood Floor Spray Mop Pad Refill Extra Power, 30 ct</t>
        </is>
      </c>
      <c r="D1300" t="inlineStr">
        <is>
          <t>Swiffer WetJet Hardwood Floor Spray Mop Pad Refill Extra Power Bulk (30-Pack)</t>
        </is>
      </c>
      <c r="E1300" s="2">
        <f>HYPERLINK("https://www.amazon.com/Swiffer-WetJet-Hardwood-Refill-30-Pack/dp/B09QMT69JF/ref=sr_1_1?keywords=Swiffer+WetJet+Hardwood+Floor+Spray+Mop+Pad+Refill+Extra+Power%2C+30+ct&amp;qid=1695170409&amp;sr=8-1", "https://www.amazon.com/Swiffer-WetJet-Hardwood-Refill-30-Pack/dp/B09QMT69JF/ref=sr_1_1?keywords=Swiffer+WetJet+Hardwood+Floor+Spray+Mop+Pad+Refill+Extra+Power%2C+30+ct&amp;qid=1695170409&amp;sr=8-1")</f>
        <v/>
      </c>
      <c r="F1300" t="inlineStr">
        <is>
          <t>B09QMT69JF</t>
        </is>
      </c>
      <c r="G1300">
        <f>_xludf.IMAGE("https://www.shelhealth.com/cdn/shop/products/swiffer-wetjet-hardwood-floor-spray-mop-pad-refill-extra-power-30-ct-shelhealth-572.jpg?v=1663355307&amp;width=1946")</f>
        <v/>
      </c>
      <c r="H1300">
        <f>_xludf.IMAGE("https://m.media-amazon.com/images/I/61dwgwhk-0L._AC_UL320_.jpg")</f>
        <v/>
      </c>
      <c r="K1300" t="inlineStr">
        <is>
          <t>25.99</t>
        </is>
      </c>
      <c r="L1300" t="n">
        <v>32.4</v>
      </c>
      <c r="M1300" s="1" t="inlineStr">
        <is>
          <t>24.66%</t>
        </is>
      </c>
      <c r="N1300" s="3" t="n">
        <v>24.66</v>
      </c>
      <c r="O1300" t="n">
        <v>4.6</v>
      </c>
      <c r="P1300" t="n">
        <v>66</v>
      </c>
      <c r="R1300" t="inlineStr">
        <is>
          <t>InStock</t>
        </is>
      </c>
      <c r="S1300" t="inlineStr">
        <is>
          <t>25.99</t>
        </is>
      </c>
      <c r="T1300" t="inlineStr">
        <is>
          <t>4169796976692</t>
        </is>
      </c>
    </row>
    <row r="1301" hidden="1" ht="15.75" customHeight="1">
      <c r="A1301" s="2">
        <f>HYPERLINK("https://www.shelhealth.com/products/tide-simply-clean-fresh-refreshing-breeze-ultra-concentrated-liquid-laundry-detergent-200-fl-oz", "https://www.shelhealth.com/products/tide-simply-clean-fresh-refreshing-breeze-ultra-concentrated-liquid-laundry-detergent-200-fl-oz")</f>
        <v/>
      </c>
      <c r="B1301" s="2">
        <f>HYPERLINK("https://www.shelhealth.com/products/tide-simply-clean-fresh-refreshing-breeze-ultra-concentrated-liquid-laundry-detergent-200-fl-oz", "https://www.shelhealth.com/products/tide-simply-clean-fresh-refreshing-breeze-ultra-concentrated-liquid-laundry-detergent-200-fl-oz")</f>
        <v/>
      </c>
      <c r="C1301" t="inlineStr">
        <is>
          <t>Tide Simply Clean &amp; Fresh Refreshing Breeze Ultra Concentrated Liquid Laundry Detergent, 200 fl. oz.</t>
        </is>
      </c>
      <c r="D1301" t="inlineStr">
        <is>
          <t>Tide Simply Clean &amp; Fresh Refreshing Breeze Liquid Laundry Detergent, 225 Oz.</t>
        </is>
      </c>
      <c r="E1301" s="2">
        <f>HYPERLINK("https://www.amazon.com/Simply-Refreshing-Breeze-Laundry-Detergent/dp/B01A0IXUGM/ref=sr_1_9?keywords=Tide+Simply+Clean+%26+Fresh+Refreshing+Breeze+Ultra+Concentrated+Liquid+Laundry+Detergent%2C+200+fl.+oz.&amp;qid=1695170558&amp;sr=8-9", "https://www.amazon.com/Simply-Refreshing-Breeze-Laundry-Detergent/dp/B01A0IXUGM/ref=sr_1_9?keywords=Tide+Simply+Clean+%26+Fresh+Refreshing+Breeze+Ultra+Concentrated+Liquid+Laundry+Detergent%2C+200+fl.+oz.&amp;qid=1695170558&amp;sr=8-9")</f>
        <v/>
      </c>
      <c r="F1301" t="inlineStr">
        <is>
          <t>B01A0IXUGM</t>
        </is>
      </c>
      <c r="G1301">
        <f>_xludf.IMAGE("https://www.shelhealth.com/cdn/shop/products/tide-simply-clean-fresh-refreshing-breeze-ultra-concentrated-liquid-laundry-detergent-200-fl-oz-shelhealth-860.jpg?v=1663356803&amp;width=1946")</f>
        <v/>
      </c>
      <c r="H1301">
        <f>_xludf.IMAGE("https://m.media-amazon.com/images/I/81fNvFZ0IoL._AC_UL320_.jpg")</f>
        <v/>
      </c>
      <c r="K1301" t="inlineStr">
        <is>
          <t>38.99</t>
        </is>
      </c>
      <c r="L1301" t="n">
        <v>48.5</v>
      </c>
      <c r="M1301" s="1" t="inlineStr">
        <is>
          <t>24.39%</t>
        </is>
      </c>
      <c r="N1301" s="3" t="n">
        <v>24.39</v>
      </c>
      <c r="O1301" t="n">
        <v>3.8</v>
      </c>
      <c r="P1301" t="n">
        <v>15</v>
      </c>
      <c r="R1301" t="inlineStr">
        <is>
          <t>InStock</t>
        </is>
      </c>
      <c r="S1301" t="inlineStr">
        <is>
          <t>38.99</t>
        </is>
      </c>
      <c r="T1301" t="inlineStr">
        <is>
          <t>4179086475316</t>
        </is>
      </c>
    </row>
    <row r="1302" hidden="1" ht="15.75" customHeight="1">
      <c r="A1302" s="2">
        <f>HYPERLINK("https://www.shelhealth.com/products/dawn-ultra-original-scent-dishwashing-liquid-dish-soap-90-oz", "https://www.shelhealth.com/products/dawn-ultra-original-scent-dishwashing-liquid-dish-soap-90-oz")</f>
        <v/>
      </c>
      <c r="B1302" s="2">
        <f>HYPERLINK("https://www.shelhealth.com/products/dawn-ultra-original-scent-dishwashing-liquid-dish-soap-90-oz", "https://www.shelhealth.com/products/dawn-ultra-original-scent-dishwashing-liquid-dish-soap-90-oz")</f>
        <v/>
      </c>
      <c r="C1302" t="inlineStr">
        <is>
          <t>Dawn Ultra Original Scent Dishwashing Liquid Dish Soap , 90 oz.</t>
        </is>
      </c>
      <c r="D1302" t="inlineStr">
        <is>
          <t>Dawn Ultra Dishwashing Liquid, Original Scent 90 Fl. Oz.</t>
        </is>
      </c>
      <c r="E1302" s="2">
        <f>HYPERLINK("https://www.amazon.com/Dawn-Ultra-Dishwashing-Liquid-Original/dp/B015JJPYAM/ref=sr_1_1?keywords=Dawn+Ultra+Original+Scent+Dishwashing+Liquid+Dish+Soap+%2C+90+oz.&amp;qid=1695170382&amp;sr=8-1", "https://www.amazon.com/Dawn-Ultra-Dishwashing-Liquid-Original/dp/B015JJPYAM/ref=sr_1_1?keywords=Dawn+Ultra+Original+Scent+Dishwashing+Liquid+Dish+Soap+%2C+90+oz.&amp;qid=1695170382&amp;sr=8-1")</f>
        <v/>
      </c>
      <c r="F1302" t="inlineStr">
        <is>
          <t>B015JJPYAM</t>
        </is>
      </c>
      <c r="G1302">
        <f>_xludf.IMAGE("https://www.shelhealth.com/cdn/shop/files/dawn-ultra-original-scent-dishwashing-liquid-dish-soap-90-oz-grocery-household-petcleaning-goods-shelhealth-673.jpg?v=1686283072&amp;width=1946")</f>
        <v/>
      </c>
      <c r="H1302">
        <f>_xludf.IMAGE("https://m.media-amazon.com/images/I/61q0+65kr7L._AC_UL320_.jpg")</f>
        <v/>
      </c>
      <c r="K1302" t="inlineStr">
        <is>
          <t>18.99</t>
        </is>
      </c>
      <c r="L1302" t="n">
        <v>23.4</v>
      </c>
      <c r="M1302" s="1" t="inlineStr">
        <is>
          <t>23.22%</t>
        </is>
      </c>
      <c r="N1302" s="3" t="n">
        <v>23.22</v>
      </c>
      <c r="O1302" t="n">
        <v>4.8</v>
      </c>
      <c r="P1302" t="n">
        <v>5740</v>
      </c>
      <c r="R1302" t="inlineStr">
        <is>
          <t>InStock</t>
        </is>
      </c>
      <c r="S1302" t="inlineStr">
        <is>
          <t>18.99</t>
        </is>
      </c>
      <c r="T1302" t="inlineStr">
        <is>
          <t>4169655058484</t>
        </is>
      </c>
    </row>
    <row r="1303" hidden="1" ht="15.75" customHeight="1">
      <c r="A1303" s="2">
        <f>HYPERLINK("https://www.shelhealth.com/products/damprid-hanging-moisture-absorber-fresh-scent-4-pack-16-oz-454g", "https://www.shelhealth.com/products/damprid-hanging-moisture-absorber-fresh-scent-4-pack-16-oz-454g")</f>
        <v/>
      </c>
      <c r="B1303" s="2">
        <f>HYPERLINK("https://www.shelhealth.com/products/damprid-hanging-moisture-absorber-fresh-scent-4-pack-16-oz-454g", "https://www.shelhealth.com/products/damprid-hanging-moisture-absorber-fresh-scent-4-pack-16-oz-454g")</f>
        <v/>
      </c>
      <c r="C1303" t="inlineStr">
        <is>
          <t>DampRid Hanging Moisture Absorber Fresh Scent - 4 Pack (16 oz/454g)</t>
        </is>
      </c>
      <c r="D1303" t="inlineStr">
        <is>
          <t>DampRid Refillable Moisture Absorber, 10.5 oz. Cups, 4 Pack, Fresh Scent, Traps Moisture for Fresher, Cleaner Air, No Electricity Required, Lasts Up To 60 Days</t>
        </is>
      </c>
      <c r="E1303" s="2">
        <f>HYPERLINK("https://www.amazon.com/DampRid-Fresh-Refillable-Moisture-Absorber/dp/B07V3N6KKZ/ref=sr_1_8?keywords=DampRid+Hanging+Moisture+Absorber+Fresh+Scent+-+4+Pack+%2816+oz%2F454g%29&amp;qid=1695170416&amp;sr=8-8", "https://www.amazon.com/DampRid-Fresh-Refillable-Moisture-Absorber/dp/B07V3N6KKZ/ref=sr_1_8?keywords=DampRid+Hanging+Moisture+Absorber+Fresh+Scent+-+4+Pack+%2816+oz%2F454g%29&amp;qid=1695170416&amp;sr=8-8")</f>
        <v/>
      </c>
      <c r="F1303" t="inlineStr">
        <is>
          <t>B07V3N6KKZ</t>
        </is>
      </c>
      <c r="G1303">
        <f>_xludf.IMAGE("https://www.shelhealth.com/cdn/shop/products/damprid-hanging-moisture-absorber-fresh-scent-4-pack-16-oz454g-shelhealth-863.jpg?v=1663343081&amp;width=1946")</f>
        <v/>
      </c>
      <c r="H1303">
        <f>_xludf.IMAGE("https://m.media-amazon.com/images/I/911TBpvXXpL._AC_UL320_.jpg")</f>
        <v/>
      </c>
      <c r="K1303" t="inlineStr">
        <is>
          <t>17.99</t>
        </is>
      </c>
      <c r="L1303" t="n">
        <v>22.15</v>
      </c>
      <c r="M1303" s="1" t="inlineStr">
        <is>
          <t>23.12%</t>
        </is>
      </c>
      <c r="N1303" s="3" t="n">
        <v>23.12</v>
      </c>
      <c r="O1303" t="n">
        <v>4.6</v>
      </c>
      <c r="P1303" t="n">
        <v>1901</v>
      </c>
      <c r="R1303" t="inlineStr">
        <is>
          <t>InStock</t>
        </is>
      </c>
      <c r="S1303" t="inlineStr">
        <is>
          <t>17.99</t>
        </is>
      </c>
      <c r="T1303" t="inlineStr">
        <is>
          <t>3819420418100</t>
        </is>
      </c>
    </row>
    <row r="1304" hidden="1" ht="15.75" customHeight="1">
      <c r="A1304" s="2">
        <f>HYPERLINK("https://www.shelhealth.com/products/duracell-variable-focus-led-flashlight-2500-lumen", "https://www.shelhealth.com/products/duracell-variable-focus-led-flashlight-2500-lumen")</f>
        <v/>
      </c>
      <c r="B1304" s="2">
        <f>HYPERLINK("https://www.shelhealth.com/products/duracell-variable-focus-led-flashlight-2500-lumen", "https://www.shelhealth.com/products/duracell-variable-focus-led-flashlight-2500-lumen")</f>
        <v/>
      </c>
      <c r="C1304" t="inlineStr">
        <is>
          <t>Duracell Variable Focus Led Flashlight, 2500 Lumen</t>
        </is>
      </c>
      <c r="D1304" t="inlineStr">
        <is>
          <t>Duracell DUREBEAM UL TRA Variable Focus LED Flashlight is 650 lumens 3pk, Black and copper (2322022)</t>
        </is>
      </c>
      <c r="E1304" s="2">
        <f>HYPERLINK("https://www.amazon.com/Duracell-DUREBEAM-Variable-Flashlight-2322022/dp/B0BKWTKKQH/ref=sr_1_1?keywords=Duracell+Variable+Focus+Led+Flashlight%2C+2500+Lumen&amp;qid=1695170406&amp;sr=8-1", "https://www.amazon.com/Duracell-DUREBEAM-Variable-Flashlight-2322022/dp/B0BKWTKKQH/ref=sr_1_1?keywords=Duracell+Variable+Focus+Led+Flashlight%2C+2500+Lumen&amp;qid=1695170406&amp;sr=8-1")</f>
        <v/>
      </c>
      <c r="F1304" t="inlineStr">
        <is>
          <t>B0BKWTKKQH</t>
        </is>
      </c>
      <c r="G1304">
        <f>_xludf.IMAGE("https://www.shelhealth.com/cdn/shop/products/duracell-variable-focus-led-flashlight-2500-lumen-shelhealth-907.jpg?v=1663374070&amp;width=1946")</f>
        <v/>
      </c>
      <c r="H1304">
        <f>_xludf.IMAGE("https://m.media-amazon.com/images/I/51D+DQB4aRL._AC_UL320_.jpg")</f>
        <v/>
      </c>
      <c r="K1304" t="inlineStr">
        <is>
          <t>38.99</t>
        </is>
      </c>
      <c r="L1304" t="n">
        <v>47.98</v>
      </c>
      <c r="M1304" s="1" t="inlineStr">
        <is>
          <t>23.06%</t>
        </is>
      </c>
      <c r="N1304" s="3" t="n">
        <v>23.06</v>
      </c>
      <c r="O1304" t="n">
        <v>4.6</v>
      </c>
      <c r="P1304" t="n">
        <v>42</v>
      </c>
      <c r="R1304" t="inlineStr">
        <is>
          <t>InStock</t>
        </is>
      </c>
      <c r="S1304" t="inlineStr">
        <is>
          <t>38.99</t>
        </is>
      </c>
      <c r="T1304" t="inlineStr">
        <is>
          <t>4711938031705</t>
        </is>
      </c>
    </row>
    <row r="1305" hidden="1" ht="15.75" customHeight="1">
      <c r="A1305" s="2">
        <f>HYPERLINK("https://www.shelhealth.com/products/acrylic-beverage-dispenser-2-5-gallon", "https://www.shelhealth.com/products/acrylic-beverage-dispenser-2-5-gallon")</f>
        <v/>
      </c>
      <c r="B1305" s="2">
        <f>HYPERLINK("https://www.shelhealth.com/products/acrylic-beverage-dispenser-2-5-gallon", "https://www.shelhealth.com/products/acrylic-beverage-dispenser-2-5-gallon")</f>
        <v/>
      </c>
      <c r="C1305" t="inlineStr">
        <is>
          <t>Acrylic Beverage Dispenser 2.5 Gallon</t>
        </is>
      </c>
      <c r="D1305" t="inlineStr">
        <is>
          <t>CreativeWare CreativWare 3-Gallon Mosaic Beverage Dispenser, Clear &amp; RM-BEV03 2.5-Gallon Bark Beverage Dispenser</t>
        </is>
      </c>
      <c r="E1305" s="2">
        <f>HYPERLINK("https://www.amazon.com/CreativeWare-CreativWare-3-Gallon-Dispenser-2-5-Gallon/dp/B0C7Q8PDGV/ref=sr_1_3?keywords=Acrylic+Beverage+Dispenser+2.5+Gallon&amp;qid=1695170553&amp;sr=8-3", "https://www.amazon.com/CreativeWare-CreativWare-3-Gallon-Dispenser-2-5-Gallon/dp/B0C7Q8PDGV/ref=sr_1_3?keywords=Acrylic+Beverage+Dispenser+2.5+Gallon&amp;qid=1695170553&amp;sr=8-3")</f>
        <v/>
      </c>
      <c r="F1305" t="inlineStr">
        <is>
          <t>B0C7Q8PDGV</t>
        </is>
      </c>
      <c r="G1305">
        <f>_xludf.IMAGE("https://www.shelhealth.com/cdn/shop/products/acrylic-beverage-dispenser-2-5-gallon-shelhealth-551.jpg?v=1663357185&amp;width=1946")</f>
        <v/>
      </c>
      <c r="H1305">
        <f>_xludf.IMAGE("https://m.media-amazon.com/images/I/512AO4ZZgKL._AC_UL320_.jpg")</f>
        <v/>
      </c>
      <c r="K1305" t="inlineStr">
        <is>
          <t>36.99</t>
        </is>
      </c>
      <c r="L1305" t="n">
        <v>45.44</v>
      </c>
      <c r="M1305" s="1" t="inlineStr">
        <is>
          <t>22.84%</t>
        </is>
      </c>
      <c r="N1305" s="3" t="n">
        <v>22.84</v>
      </c>
      <c r="O1305" t="n">
        <v>5</v>
      </c>
      <c r="P1305" t="n">
        <v>3</v>
      </c>
      <c r="R1305" t="inlineStr">
        <is>
          <t>OutOfStock</t>
        </is>
      </c>
      <c r="S1305" t="inlineStr">
        <is>
          <t>36.99</t>
        </is>
      </c>
      <c r="T1305" t="inlineStr">
        <is>
          <t>4179239501876</t>
        </is>
      </c>
    </row>
    <row r="1306" hidden="1" ht="15.75" customHeight="1">
      <c r="A1306" s="2">
        <f>HYPERLINK("https://www.shelhealth.com/products/ziploc-storage-bag-variety-pack-347-pack", "https://www.shelhealth.com/products/ziploc-storage-bag-variety-pack-347-pack")</f>
        <v/>
      </c>
      <c r="B1306" s="2">
        <f>HYPERLINK("https://www.shelhealth.com/products/ziploc-storage-bag-variety-pack-347-pack", "https://www.shelhealth.com/products/ziploc-storage-bag-variety-pack-347-pack")</f>
        <v/>
      </c>
      <c r="C1306" t="inlineStr">
        <is>
          <t>Ziploc Storage Bag Variety Pack, 347 Pack</t>
        </is>
      </c>
      <c r="D1306" t="inlineStr">
        <is>
          <t>Ziploc Food Storage and Sandwich Bags Variety Pack, New Stay Open Design with Stand-Up Bottom, Easy to Fill, 166 Bags Total</t>
        </is>
      </c>
      <c r="E1306" s="2">
        <f>HYPERLINK("https://www.amazon.com/Ziploc-Storage-Sandwich-Variety-Technology/dp/B0BJH8Q5N5/ref=sr_1_5?keywords=Ziploc+Storage+Bag+Variety+Pack%2C+347+Pack&amp;qid=1695170404&amp;sr=8-5", "https://www.amazon.com/Ziploc-Storage-Sandwich-Variety-Technology/dp/B0BJH8Q5N5/ref=sr_1_5?keywords=Ziploc+Storage+Bag+Variety+Pack%2C+347+Pack&amp;qid=1695170404&amp;sr=8-5")</f>
        <v/>
      </c>
      <c r="F1306" t="inlineStr">
        <is>
          <t>B0BJH8Q5N5</t>
        </is>
      </c>
      <c r="G1306">
        <f>_xludf.IMAGE("https://www.shelhealth.com/cdn/shop/products/ziploc-storage-bag-variety-pack-347-shelhealth-823.jpg?v=1663344330&amp;width=1946")</f>
        <v/>
      </c>
      <c r="H1306">
        <f>_xludf.IMAGE("https://m.media-amazon.com/images/I/81HGBNGNg7L._AC_UL320_.jpg")</f>
        <v/>
      </c>
      <c r="K1306" t="inlineStr">
        <is>
          <t>21.99</t>
        </is>
      </c>
      <c r="L1306" t="n">
        <v>26.99</v>
      </c>
      <c r="M1306" s="1" t="inlineStr">
        <is>
          <t>22.74%</t>
        </is>
      </c>
      <c r="N1306" s="3" t="n">
        <v>22.74</v>
      </c>
      <c r="O1306" t="n">
        <v>4.9</v>
      </c>
      <c r="P1306" t="n">
        <v>298</v>
      </c>
      <c r="R1306" t="inlineStr">
        <is>
          <t>InStock</t>
        </is>
      </c>
      <c r="S1306" t="inlineStr">
        <is>
          <t>21.99</t>
        </is>
      </c>
      <c r="T1306" t="inlineStr">
        <is>
          <t>3824965582900</t>
        </is>
      </c>
    </row>
    <row r="1307" hidden="1" ht="15.75" customHeight="1">
      <c r="A1307" s="2">
        <f>HYPERLINK("https://www.shelhealth.com/products/717256000905-bio-kleen-laundry-pwdr-premium-5-lb", "https://www.shelhealth.com/products/717256000905-bio-kleen-laundry-pwdr-premium-5-lb")</f>
        <v/>
      </c>
      <c r="B1307" s="2">
        <f>HYPERLINK("https://www.shelhealth.com/products/717256000905-bio-kleen-laundry-pwdr-premium-5-lb", "https://www.shelhealth.com/products/717256000905-bio-kleen-laundry-pwdr-premium-5-lb")</f>
        <v/>
      </c>
      <c r="C1307" t="inlineStr">
        <is>
          <t>BIO KLEEN Laundry Powder Premium, 5 lb</t>
        </is>
      </c>
      <c r="D1307" t="inlineStr">
        <is>
          <t>Biokleen Laundry Detergent Powder, Concentrated, Eco-Friendly, Non-Toxic, Plant-Based, No Artificial Fragrance, Colors or Preservatives, Citrus Essence, 5 Pounds - 75 HE Loads/50 Standard Loads</t>
        </is>
      </c>
      <c r="E1307" s="2">
        <f>HYPERLINK("https://www.amazon.com/Biokleen-Concentrated-Eco-Friendly-Plant-Based-Preservatives/dp/B0009ET4X6/ref=sr_1_2?keywords=BIO+KLEEN+Laundry+Powder+Premium%2C+5+lb&amp;qid=1695170532&amp;sr=8-2", "https://www.amazon.com/Biokleen-Concentrated-Eco-Friendly-Plant-Based-Preservatives/dp/B0009ET4X6/ref=sr_1_2?keywords=BIO+KLEEN+Laundry+Powder+Premium%2C+5+lb&amp;qid=1695170532&amp;sr=8-2")</f>
        <v/>
      </c>
      <c r="F1307" t="inlineStr">
        <is>
          <t>B0009ET4X6</t>
        </is>
      </c>
      <c r="G1307">
        <f>_xludf.IMAGE("https://www.shelhealth.com/cdn/shop/files/bio-kleen-laundry-powder-premium-5-lb-home-products-shelhealth-625.jpg?v=1686140521&amp;width=1946")</f>
        <v/>
      </c>
      <c r="H1307">
        <f>_xludf.IMAGE("https://m.media-amazon.com/images/I/71iZ6ojhe9L._AC_UY218_.jpg")</f>
        <v/>
      </c>
      <c r="K1307" t="inlineStr">
        <is>
          <t>18.99</t>
        </is>
      </c>
      <c r="L1307" t="n">
        <v>23.29</v>
      </c>
      <c r="M1307" s="1" t="inlineStr">
        <is>
          <t>22.64%</t>
        </is>
      </c>
      <c r="N1307" s="3" t="n">
        <v>22.64</v>
      </c>
      <c r="O1307" t="n">
        <v>4.2</v>
      </c>
      <c r="P1307" t="n">
        <v>109</v>
      </c>
      <c r="R1307" t="inlineStr">
        <is>
          <t>OutOfStock</t>
        </is>
      </c>
      <c r="S1307" t="inlineStr">
        <is>
          <t>18.99</t>
        </is>
      </c>
      <c r="T1307" t="inlineStr">
        <is>
          <t>7573984411880</t>
        </is>
      </c>
    </row>
    <row r="1308" hidden="1" ht="15.75" customHeight="1">
      <c r="A1308" s="2">
        <f>HYPERLINK("https://www.shelhealth.com/products/granite-stone-diamond-tiple-layer-non-stick-10-inches-fry-pan", "https://www.shelhealth.com/products/granite-stone-diamond-tiple-layer-non-stick-10-inches-fry-pan")</f>
        <v/>
      </c>
      <c r="B1308" s="2">
        <f>HYPERLINK("https://www.shelhealth.com/products/granite-stone-diamond-tiple-layer-non-stick-10-inches-fry-pan", "https://www.shelhealth.com/products/granite-stone-diamond-tiple-layer-non-stick-10-inches-fry-pan")</f>
        <v/>
      </c>
      <c r="C1308" t="inlineStr">
        <is>
          <t>Granite Stone Diamond Tiple Layer Non-Stick 10 Inches Fry Pan</t>
        </is>
      </c>
      <c r="D1308" t="inlineStr">
        <is>
          <t>Granitestone Armor Max 12 Inch Non Stick Frying Pan 4-Layer Ultra Nonstick Frying Pan for Cooking Hard Anodized Induction Frying Pan Nonstick Skillet Pan, Oven/Dishwasher Safe, 100% Non Toxic</t>
        </is>
      </c>
      <c r="E1308" s="2">
        <f>HYPERLINK("https://www.amazon.com/Granitestone-Nonstick-Anodized-Induction-Dishwasher/dp/B0C9NG85WL/ref=sr_1_5?keywords=Granite+Stone+Diamond+Tiple+Layer+Non-Stick+10+Inches+Fry+Pan&amp;qid=1695170410&amp;sr=8-5", "https://www.amazon.com/Granitestone-Nonstick-Anodized-Induction-Dishwasher/dp/B0C9NG85WL/ref=sr_1_5?keywords=Granite+Stone+Diamond+Tiple+Layer+Non-Stick+10+Inches+Fry+Pan&amp;qid=1695170410&amp;sr=8-5")</f>
        <v/>
      </c>
      <c r="F1308" t="inlineStr">
        <is>
          <t>B0C9NG85WL</t>
        </is>
      </c>
      <c r="G1308">
        <f>_xludf.IMAGE("https://www.shelhealth.com/cdn/shop/products/granite-stone-diamond-tiple-layer-non-stick-10-inches-fry-pan-shelhealth-991.jpg?v=1663357276&amp;width=1946")</f>
        <v/>
      </c>
      <c r="H1308">
        <f>_xludf.IMAGE("https://m.media-amazon.com/images/I/81fJaPb6taL._AC_UL320_.jpg")</f>
        <v/>
      </c>
      <c r="K1308" t="inlineStr">
        <is>
          <t>32.99</t>
        </is>
      </c>
      <c r="L1308" t="n">
        <v>39.97</v>
      </c>
      <c r="M1308" s="1" t="inlineStr">
        <is>
          <t>21.16%</t>
        </is>
      </c>
      <c r="N1308" s="3" t="n">
        <v>21.16</v>
      </c>
      <c r="O1308" t="n">
        <v>4.7</v>
      </c>
      <c r="P1308" t="n">
        <v>11</v>
      </c>
      <c r="R1308" t="inlineStr">
        <is>
          <t>OutOfStock</t>
        </is>
      </c>
      <c r="S1308" t="inlineStr">
        <is>
          <t>32.99</t>
        </is>
      </c>
      <c r="T1308" t="inlineStr">
        <is>
          <t>4181101019188</t>
        </is>
      </c>
    </row>
    <row r="1309" hidden="1" ht="15.75" customHeight="1">
      <c r="A1309" s="2">
        <f>HYPERLINK("https://www.shelhealth.com/products/o-cedar-dual-action-micro-fiber-flip-mop", "https://www.shelhealth.com/products/o-cedar-dual-action-micro-fiber-flip-mop")</f>
        <v/>
      </c>
      <c r="B1309" s="2">
        <f>HYPERLINK("https://www.shelhealth.com/products/o-cedar-dual-action-micro-fiber-flip-mop", "https://www.shelhealth.com/products/o-cedar-dual-action-micro-fiber-flip-mop")</f>
        <v/>
      </c>
      <c r="C1309" t="inlineStr">
        <is>
          <t>O-Cedar Dual-Action Micro Fiber Flip Mop</t>
        </is>
      </c>
      <c r="D1309" t="inlineStr">
        <is>
          <t>Microfiber Mop Refills, Compatible with O-Cedar Dual-Action Flip Mop, Replacement Mop Heads for Dry/Wet Use, Washable&amp; Reusable for All Floor Cleaning(Pack of 6)</t>
        </is>
      </c>
      <c r="E1309" s="2">
        <f>HYPERLINK("https://www.amazon.com/Microfiber-Compatible-Dual-Action-Replacement-Washable/dp/B0C4L2CBDY/ref=sr_1_8?keywords=o-cedar+dual-action+microfiber+flip+mop&amp;qid=1695170453&amp;sr=8-8", "https://www.amazon.com/Microfiber-Compatible-Dual-Action-Replacement-Washable/dp/B0C4L2CBDY/ref=sr_1_8?keywords=o-cedar+dual-action+microfiber+flip+mop&amp;qid=1695170453&amp;sr=8-8")</f>
        <v/>
      </c>
      <c r="F1309" t="inlineStr">
        <is>
          <t>B0C4L2CBDY</t>
        </is>
      </c>
      <c r="G1309">
        <f>_xludf.IMAGE("https://www.shelhealth.com/cdn/shop/products/o-cedar-dual-action-micro-fiber-flip-mop-shelhealth-130.jpg?v=1663357602&amp;width=1946")</f>
        <v/>
      </c>
      <c r="H1309">
        <f>_xludf.IMAGE("https://m.media-amazon.com/images/I/81hjP373BWL._AC_UL320_.jpg")</f>
        <v/>
      </c>
      <c r="K1309" t="inlineStr">
        <is>
          <t>23.99</t>
        </is>
      </c>
      <c r="L1309" t="n">
        <v>28.97</v>
      </c>
      <c r="M1309" s="1" t="inlineStr">
        <is>
          <t>20.76%</t>
        </is>
      </c>
      <c r="N1309" s="3" t="n">
        <v>20.76</v>
      </c>
      <c r="O1309" t="n">
        <v>4.7</v>
      </c>
      <c r="P1309" t="n">
        <v>24</v>
      </c>
      <c r="R1309" t="inlineStr">
        <is>
          <t>OutOfStock</t>
        </is>
      </c>
      <c r="S1309" t="inlineStr">
        <is>
          <t>23.99</t>
        </is>
      </c>
      <c r="T1309" t="inlineStr">
        <is>
          <t>4251125514292</t>
        </is>
      </c>
    </row>
    <row r="1310" hidden="1" ht="15.75" customHeight="1">
      <c r="A1310" s="2">
        <f>HYPERLINK("https://www.shelhealth.com/products/glade-plugins-hawaiian-breeze-scented-oil-warmer-refills-8-pk", "https://www.shelhealth.com/products/glade-plugins-hawaiian-breeze-scented-oil-warmer-refills-8-pk")</f>
        <v/>
      </c>
      <c r="B1310" s="2">
        <f>HYPERLINK("https://www.shelhealth.com/products/glade-plugins-hawaiian-breeze-scented-oil-warmer-refills-8-pk", "https://www.shelhealth.com/products/glade-plugins-hawaiian-breeze-scented-oil-warmer-refills-8-pk")</f>
        <v/>
      </c>
      <c r="C1310" t="inlineStr">
        <is>
          <t>Glade PlugIns Hawaiian Breeze Scented Oil Warmer Refills, 8 pk.</t>
        </is>
      </c>
      <c r="D1310" t="inlineStr">
        <is>
          <t>12 Glade Hawaiian Breeze Scented Oil Plugins Warmer Refills No Outer Package</t>
        </is>
      </c>
      <c r="E1310" s="2">
        <f>HYPERLINK("https://www.amazon.com/Glade-Hawaiian-Scented-Plugins-Refills/dp/B07BGGY1HW/ref=sr_1_7?keywords=Glade+PlugIns+Hawaiian+Breeze+Scented+Oil+Warmer+Refills%2C+8+pk.&amp;qid=1695170562&amp;sr=8-7", "https://www.amazon.com/Glade-Hawaiian-Scented-Plugins-Refills/dp/B07BGGY1HW/ref=sr_1_7?keywords=Glade+PlugIns+Hawaiian+Breeze+Scented+Oil+Warmer+Refills%2C+8+pk.&amp;qid=1695170562&amp;sr=8-7")</f>
        <v/>
      </c>
      <c r="F1310" t="inlineStr">
        <is>
          <t>B07BGGY1HW</t>
        </is>
      </c>
      <c r="G1310">
        <f>_xludf.IMAGE("https://www.shelhealth.com/cdn/shop/files/glade-plugins-hawaiian-breeze-scented-oil-warmer-refills-8-pk-grocery-household-petcleaning-goods-shelhealth-152.jpg?v=1686283077&amp;width=1946")</f>
        <v/>
      </c>
      <c r="H1310">
        <f>_xludf.IMAGE("https://m.media-amazon.com/images/I/61ASdXjMLWL._AC_UL320_.jpg")</f>
        <v/>
      </c>
      <c r="K1310" t="inlineStr">
        <is>
          <t>28.99</t>
        </is>
      </c>
      <c r="L1310" t="n">
        <v>34.95</v>
      </c>
      <c r="M1310" s="1" t="inlineStr">
        <is>
          <t>20.56%</t>
        </is>
      </c>
      <c r="N1310" s="3" t="n">
        <v>20.56</v>
      </c>
      <c r="O1310" t="n">
        <v>4.1</v>
      </c>
      <c r="P1310" t="n">
        <v>7</v>
      </c>
      <c r="R1310" t="inlineStr">
        <is>
          <t>OutOfStock</t>
        </is>
      </c>
      <c r="S1310" t="inlineStr">
        <is>
          <t>28.99</t>
        </is>
      </c>
      <c r="T1310" t="inlineStr">
        <is>
          <t>4169649750068</t>
        </is>
      </c>
    </row>
    <row r="1311" hidden="1" ht="15.75" customHeight="1">
      <c r="A1311" s="2">
        <f>HYPERLINK("https://www.shelhealth.com/products/brita-6-cup-space-saver-pitcher-includes-2-filters", "https://www.shelhealth.com/products/brita-6-cup-space-saver-pitcher-includes-2-filters")</f>
        <v/>
      </c>
      <c r="B1311" s="2">
        <f>HYPERLINK("https://www.shelhealth.com/products/brita-6-cup-space-saver-pitcher-includes-2-filters", "https://www.shelhealth.com/products/brita-6-cup-space-saver-pitcher-includes-2-filters")</f>
        <v/>
      </c>
      <c r="C1311" t="inlineStr">
        <is>
          <t>Brita 6 Cup Space Saver Pitcher, Includes 2 Filters</t>
        </is>
      </c>
      <c r="D1311" t="inlineStr">
        <is>
          <t>Brita Space Saver 6-Cup Pitcher with 2 Filters - Purple</t>
        </is>
      </c>
      <c r="E1311" s="2">
        <f>HYPERLINK("https://www.amazon.com/Brita-Space-Saver-Pitcher-Filters/dp/B08FZRJ3BX/ref=sr_1_1?keywords=Brita+6+Cup+Space+Saver+Pitcher%2C+Includes+2+Filters&amp;qid=1695170431&amp;sr=8-1", "https://www.amazon.com/Brita-Space-Saver-Pitcher-Filters/dp/B08FZRJ3BX/ref=sr_1_1?keywords=Brita+6+Cup+Space+Saver+Pitcher%2C+Includes+2+Filters&amp;qid=1695170431&amp;sr=8-1")</f>
        <v/>
      </c>
      <c r="F1311" t="inlineStr">
        <is>
          <t>B08FZRJ3BX</t>
        </is>
      </c>
      <c r="G1311">
        <f>_xludf.IMAGE("https://www.shelhealth.com/cdn/shop/products/brita-6-cup-space-saver-pitcher-includes-2-filters-shelhealth-366.jpg?v=1663357295&amp;width=1946")</f>
        <v/>
      </c>
      <c r="H1311">
        <f>_xludf.IMAGE("https://m.media-amazon.com/images/I/51OMcwkYB6L._AC_UL320_.jpg")</f>
        <v/>
      </c>
      <c r="K1311" t="inlineStr">
        <is>
          <t>38.99</t>
        </is>
      </c>
      <c r="L1311" t="n">
        <v>46.99</v>
      </c>
      <c r="M1311" s="1" t="inlineStr">
        <is>
          <t>20.52%</t>
        </is>
      </c>
      <c r="N1311" s="3" t="n">
        <v>20.52</v>
      </c>
      <c r="O1311" t="n">
        <v>4.6</v>
      </c>
      <c r="P1311" t="n">
        <v>538</v>
      </c>
      <c r="R1311" t="inlineStr">
        <is>
          <t>InStock</t>
        </is>
      </c>
      <c r="S1311" t="inlineStr">
        <is>
          <t>38.99</t>
        </is>
      </c>
      <c r="T1311" t="inlineStr">
        <is>
          <t>4181121531956</t>
        </is>
      </c>
    </row>
    <row r="1312" hidden="1" ht="15.75" customHeight="1">
      <c r="A1312" s="2">
        <f>HYPERLINK("https://www.shelhealth.com/products/gain-fireworks-in-wash-scent-booster-beads-30-3-oz", "https://www.shelhealth.com/products/gain-fireworks-in-wash-scent-booster-beads-30-3-oz")</f>
        <v/>
      </c>
      <c r="B1312" s="2">
        <f>HYPERLINK("https://www.shelhealth.com/products/gain-fireworks-in-wash-scent-booster-beads-30-3-oz", "https://www.shelhealth.com/products/gain-fireworks-in-wash-scent-booster-beads-30-3-oz")</f>
        <v/>
      </c>
      <c r="C1312" t="inlineStr">
        <is>
          <t>Gain Fireworks In-Wash Scent Booster Beads, 30.3 oz.</t>
        </is>
      </c>
      <c r="D1312" t="inlineStr">
        <is>
          <t>Gain Fireworks In-Wash Scent Booster Beads, Original, 9.1 oz (4 Pack)</t>
        </is>
      </c>
      <c r="E1312" s="2">
        <f>HYPERLINK("https://www.amazon.com/Gain-Fireworks-Wash-Booster-Original/dp/B0CCK2F8KS/ref=sr_1_8?keywords=Gain+Fireworks+In-Wash+Scent+Booster+Beads%2C+30.3+oz.&amp;qid=1695170556&amp;sr=8-8", "https://www.amazon.com/Gain-Fireworks-Wash-Booster-Original/dp/B0CCK2F8KS/ref=sr_1_8?keywords=Gain+Fireworks+In-Wash+Scent+Booster+Beads%2C+30.3+oz.&amp;qid=1695170556&amp;sr=8-8")</f>
        <v/>
      </c>
      <c r="F1312" t="inlineStr">
        <is>
          <t>B0CCK2F8KS</t>
        </is>
      </c>
      <c r="G1312">
        <f>_xludf.IMAGE("https://www.shelhealth.com/cdn/shop/products/gain-fireworks-in-wash-scent-booster-beads-30-3-oz-shelhealth-634.jpg?v=1663356812&amp;width=1946")</f>
        <v/>
      </c>
      <c r="H1312">
        <f>_xludf.IMAGE("https://m.media-amazon.com/images/I/71bZ4Vt0VpL._AC_UL320_.jpg")</f>
        <v/>
      </c>
      <c r="K1312" t="inlineStr">
        <is>
          <t>23.99</t>
        </is>
      </c>
      <c r="L1312" t="n">
        <v>28.7</v>
      </c>
      <c r="M1312" s="1" t="inlineStr">
        <is>
          <t>19.63%</t>
        </is>
      </c>
      <c r="N1312" s="3" t="n">
        <v>19.63</v>
      </c>
      <c r="O1312" t="n">
        <v>4.8</v>
      </c>
      <c r="P1312" t="n">
        <v>1234</v>
      </c>
      <c r="R1312" t="inlineStr">
        <is>
          <t>InStock</t>
        </is>
      </c>
      <c r="S1312" t="inlineStr">
        <is>
          <t>23.99</t>
        </is>
      </c>
      <c r="T1312" t="inlineStr">
        <is>
          <t>4179087622196</t>
        </is>
      </c>
    </row>
    <row r="1313" hidden="1" ht="15.75" customHeight="1">
      <c r="A1313" s="2">
        <f>HYPERLINK("https://www.shelhealth.com/products/tide-pods-liquid-laundry-detergent-pacs-spring-meadow-120-ct", "https://www.shelhealth.com/products/tide-pods-liquid-laundry-detergent-pacs-spring-meadow-120-ct")</f>
        <v/>
      </c>
      <c r="B1313" s="2">
        <f>HYPERLINK("https://www.shelhealth.com/products/tide-pods-liquid-laundry-detergent-pacs-spring-meadow-120-ct", "https://www.shelhealth.com/products/tide-pods-liquid-laundry-detergent-pacs-spring-meadow-120-ct")</f>
        <v/>
      </c>
      <c r="C1313" t="inlineStr">
        <is>
          <t>Tide PODS Liquid Laundry Detergent Pacs, Spring Meadow, 120 ct.</t>
        </is>
      </c>
      <c r="D1313" t="inlineStr">
        <is>
          <t>Tide PODS Liquid Laundry Detergent Pacs, Spring Meadow (168 ct.)</t>
        </is>
      </c>
      <c r="E1313" s="2">
        <f>HYPERLINK("https://www.amazon.com/Tide-Liquid-Laundry-Detergent-Spring/dp/B07QL3GFLN/ref=sr_1_1?keywords=Tide+PODS+Liquid+Laundry+Detergent+Pacs%2C+Spring+Meadow%2C+120+ct.&amp;qid=1695170557&amp;sr=8-1", "https://www.amazon.com/Tide-Liquid-Laundry-Detergent-Spring/dp/B07QL3GFLN/ref=sr_1_1?keywords=Tide+PODS+Liquid+Laundry+Detergent+Pacs%2C+Spring+Meadow%2C+120+ct.&amp;qid=1695170557&amp;sr=8-1")</f>
        <v/>
      </c>
      <c r="F1313" t="inlineStr">
        <is>
          <t>B07QL3GFLN</t>
        </is>
      </c>
      <c r="G1313">
        <f>_xludf.IMAGE("https://www.shelhealth.com/cdn/shop/products/tide-pods-liquid-laundry-detergent-pacs-spring-meadow-120-ct-shelhealth-862.jpg?v=1663356723&amp;width=1946")</f>
        <v/>
      </c>
      <c r="H1313">
        <f>_xludf.IMAGE("https://m.media-amazon.com/images/I/715gSwaoXUL._AC_UL320_.jpg")</f>
        <v/>
      </c>
      <c r="K1313" t="inlineStr">
        <is>
          <t>40.99</t>
        </is>
      </c>
      <c r="L1313" t="n">
        <v>48.99</v>
      </c>
      <c r="M1313" s="1" t="inlineStr">
        <is>
          <t>19.52%</t>
        </is>
      </c>
      <c r="N1313" s="3" t="n">
        <v>19.52</v>
      </c>
      <c r="O1313" t="n">
        <v>4.8</v>
      </c>
      <c r="P1313" t="n">
        <v>549</v>
      </c>
      <c r="R1313" t="inlineStr">
        <is>
          <t>InStock</t>
        </is>
      </c>
      <c r="S1313" t="inlineStr">
        <is>
          <t>40.99</t>
        </is>
      </c>
      <c r="T1313" t="inlineStr">
        <is>
          <t>4179063930932</t>
        </is>
      </c>
    </row>
    <row r="1314" hidden="1" ht="15.75" customHeight="1">
      <c r="A1314" s="2">
        <f>HYPERLINK("https://www.shelhealth.com/products/scrubbing-bubbles-fresh-citrus-toilet-cleaning-stamps-and-gel", "https://www.shelhealth.com/products/scrubbing-bubbles-fresh-citrus-toilet-cleaning-stamps-and-gel")</f>
        <v/>
      </c>
      <c r="B1314" s="2">
        <f>HYPERLINK("https://www.shelhealth.com/products/scrubbing-bubbles-fresh-citrus-toilet-cleaning-stamps-and-gel", "https://www.shelhealth.com/products/scrubbing-bubbles-fresh-citrus-toilet-cleaning-stamps-and-gel")</f>
        <v/>
      </c>
      <c r="C1314" t="inlineStr">
        <is>
          <t>Scrubbing Bubbles Fresh Citrus Toilet Cleaning Stamps and Gel</t>
        </is>
      </c>
      <c r="D1314" t="inlineStr">
        <is>
          <t>Scrubbing Bubbles Fresh Brush Starter, 1 Pack + Fresh Brush Refills, Citrus, 1 Pack + Fresh Gel Toilet Cleaning Stamp, Citrus, 1 Pack</t>
        </is>
      </c>
      <c r="E1314" s="2">
        <f>HYPERLINK("https://www.amazon.com/Scrubbing-Bubbles-Starter-Refills-Cleaning/dp/B07YCYYPCH/ref=sr_1_4?keywords=Scrubbing+Bubbles+Fresh+Citrus+Toilet+Cleaning+Stamps+and+Gel&amp;qid=1695170544&amp;sr=8-4", "https://www.amazon.com/Scrubbing-Bubbles-Starter-Refills-Cleaning/dp/B07YCYYPCH/ref=sr_1_4?keywords=Scrubbing+Bubbles+Fresh+Citrus+Toilet+Cleaning+Stamps+and+Gel&amp;qid=1695170544&amp;sr=8-4")</f>
        <v/>
      </c>
      <c r="F1314" t="inlineStr">
        <is>
          <t>B07YCYYPCH</t>
        </is>
      </c>
      <c r="G1314">
        <f>_xludf.IMAGE("https://www.shelhealth.com/cdn/shop/products/scrubbing-bubbles-fresh-citrus-toilet-cleaning-stamps-and-gel-shelhealth-822.jpg?v=1663369145&amp;width=1946")</f>
        <v/>
      </c>
      <c r="H1314">
        <f>_xludf.IMAGE("https://m.media-amazon.com/images/I/81kBOmDsm-L._AC_UL320_.jpg")</f>
        <v/>
      </c>
      <c r="K1314" t="inlineStr">
        <is>
          <t>17.99</t>
        </is>
      </c>
      <c r="L1314" t="n">
        <v>21.48</v>
      </c>
      <c r="M1314" s="1" t="inlineStr">
        <is>
          <t>19.40%</t>
        </is>
      </c>
      <c r="N1314" s="3" t="n">
        <v>19.4</v>
      </c>
      <c r="O1314" t="n">
        <v>4.6</v>
      </c>
      <c r="P1314" t="n">
        <v>201</v>
      </c>
      <c r="R1314" t="inlineStr">
        <is>
          <t>OutOfStock</t>
        </is>
      </c>
      <c r="S1314" t="inlineStr">
        <is>
          <t>17.99</t>
        </is>
      </c>
      <c r="T1314" t="inlineStr">
        <is>
          <t>4613432508505</t>
        </is>
      </c>
    </row>
    <row r="1315" hidden="1" ht="15.75" customHeight="1">
      <c r="A1315" s="2">
        <f>HYPERLINK("https://www.shelhealth.com/products/ziploc-0-5-gal-freezer-bags-144-pk", "https://www.shelhealth.com/products/ziploc-0-5-gal-freezer-bags-144-pk")</f>
        <v/>
      </c>
      <c r="B1315" s="2">
        <f>HYPERLINK("https://www.shelhealth.com/products/ziploc-0-5-gal-freezer-bags-144-pk", "https://www.shelhealth.com/products/ziploc-0-5-gal-freezer-bags-144-pk")</f>
        <v/>
      </c>
      <c r="C1315" t="inlineStr">
        <is>
          <t>Ziploc 0.5-Gal. Freezer Bags, 160-Pack</t>
        </is>
      </c>
      <c r="D1315" t="inlineStr">
        <is>
          <t>Ziploc 1/2 gallon Freezer Bags, 144 Count (Pack of 36), Original Version</t>
        </is>
      </c>
      <c r="E1315" s="2">
        <f>HYPERLINK("https://www.amazon.com/Ziploc-Half-Gallon-Freezer-boxes/dp/B017MK9JHU/ref=sr_1_3?keywords=Ziploc+0.5-Gal.+Freezer+Bags%2C+160-Pack&amp;qid=1695170388&amp;sr=8-3", "https://www.amazon.com/Ziploc-Half-Gallon-Freezer-boxes/dp/B017MK9JHU/ref=sr_1_3?keywords=Ziploc+0.5-Gal.+Freezer+Bags%2C+160-Pack&amp;qid=1695170388&amp;sr=8-3")</f>
        <v/>
      </c>
      <c r="F1315" t="inlineStr">
        <is>
          <t>B017MK9JHU</t>
        </is>
      </c>
      <c r="G1315">
        <f>_xludf.IMAGE("https://www.shelhealth.com/cdn/shop/products/ziploc-0-5-gal-freezer-bags-160-pack-shelhealth-981.jpg?v=1680011849&amp;width=1946")</f>
        <v/>
      </c>
      <c r="H1315">
        <f>_xludf.IMAGE("https://m.media-amazon.com/images/I/71e2MHTIYdL._AC_UL320_.jpg")</f>
        <v/>
      </c>
      <c r="K1315" t="inlineStr">
        <is>
          <t>23.99</t>
        </is>
      </c>
      <c r="L1315" t="n">
        <v>28.61</v>
      </c>
      <c r="M1315" s="1" t="inlineStr">
        <is>
          <t>19.26%</t>
        </is>
      </c>
      <c r="N1315" s="3" t="n">
        <v>19.26</v>
      </c>
      <c r="O1315" t="n">
        <v>4.8</v>
      </c>
      <c r="P1315" t="n">
        <v>2171</v>
      </c>
      <c r="R1315" t="inlineStr">
        <is>
          <t>InStock</t>
        </is>
      </c>
      <c r="S1315" t="inlineStr">
        <is>
          <t>23.99</t>
        </is>
      </c>
      <c r="T1315" t="inlineStr">
        <is>
          <t>4169549840436</t>
        </is>
      </c>
    </row>
    <row r="1316" hidden="1" ht="15.75" customHeight="1">
      <c r="A1316" s="2">
        <f>HYPERLINK("https://www.shelhealth.com/products/749174099099-ecos-ice-melt-6-5-lb", "https://www.shelhealth.com/products/749174099099-ecos-ice-melt-6-5-lb")</f>
        <v/>
      </c>
      <c r="B1316" s="2">
        <f>HYPERLINK("https://www.shelhealth.com/products/749174099099-ecos-ice-melt-6-5-lb", "https://www.shelhealth.com/products/749174099099-ecos-ice-melt-6-5-lb")</f>
        <v/>
      </c>
      <c r="C1316" t="inlineStr">
        <is>
          <t>ECOS Ice Melt, 6.5 lb</t>
        </is>
      </c>
      <c r="D1316" t="inlineStr">
        <is>
          <t>Earth Friendly Products, Ice Melt, Ice Melting Compound, 6.5lbs</t>
        </is>
      </c>
      <c r="E1316" s="2">
        <f>HYPERLINK("https://www.amazon.com/Earth-Friendly-Products-Specialty-Home/dp/B00CRSYPHW/ref=sr_1_2?keywords=ECOS+Ice+Melt%2C+6.5+lb&amp;qid=1695170513&amp;sr=8-2", "https://www.amazon.com/Earth-Friendly-Products-Specialty-Home/dp/B00CRSYPHW/ref=sr_1_2?keywords=ECOS+Ice+Melt%2C+6.5+lb&amp;qid=1695170513&amp;sr=8-2")</f>
        <v/>
      </c>
      <c r="F1316" t="inlineStr">
        <is>
          <t>B00CRSYPHW</t>
        </is>
      </c>
      <c r="G1316">
        <f>_xludf.IMAGE("https://www.shelhealth.com/cdn/shop/files/ecos-ice-melt-6-5-lb-home-products-shelhealth-277.jpg?v=1686211340&amp;width=1946")</f>
        <v/>
      </c>
      <c r="H1316">
        <f>_xludf.IMAGE("https://m.media-amazon.com/images/I/51j5H2n5nJL._AC_UY218_.jpg")</f>
        <v/>
      </c>
      <c r="K1316" t="inlineStr">
        <is>
          <t>20.99</t>
        </is>
      </c>
      <c r="L1316" t="n">
        <v>24.99</v>
      </c>
      <c r="M1316" s="1" t="inlineStr">
        <is>
          <t>19.06%</t>
        </is>
      </c>
      <c r="N1316" s="3" t="n">
        <v>19.06</v>
      </c>
      <c r="O1316" t="n">
        <v>4.5</v>
      </c>
      <c r="P1316" t="n">
        <v>5</v>
      </c>
      <c r="R1316" t="inlineStr">
        <is>
          <t>OutOfStock</t>
        </is>
      </c>
      <c r="S1316" t="inlineStr">
        <is>
          <t>20.99</t>
        </is>
      </c>
      <c r="T1316" t="inlineStr">
        <is>
          <t>7574071607528</t>
        </is>
      </c>
    </row>
    <row r="1317" hidden="1" ht="15.75" customHeight="1">
      <c r="A1317" s="2">
        <f>HYPERLINK("https://www.shelhealth.com/products/woolite-every-day-laundry-detergent-150-oz", "https://www.shelhealth.com/products/woolite-every-day-laundry-detergent-150-oz")</f>
        <v/>
      </c>
      <c r="B1317" s="2">
        <f>HYPERLINK("https://www.shelhealth.com/products/woolite-every-day-laundry-detergent-150-oz", "https://www.shelhealth.com/products/woolite-every-day-laundry-detergent-150-oz")</f>
        <v/>
      </c>
      <c r="C1317" t="inlineStr">
        <is>
          <t>Woolite Every Day Laundry Detergent, 150 oz.</t>
        </is>
      </c>
      <c r="D1317" t="inlineStr">
        <is>
          <t>Woolite Darks Liquid Laundry Detergent, 150 Fl. Oz, 75 Loads, High Efficiency, Black</t>
        </is>
      </c>
      <c r="E1317" s="2">
        <f>HYPERLINK("https://www.amazon.com/Woolite-Liquid-Laundry-Detergent-Efficiency/dp/B076PNL45Y/ref=sr_1_6?keywords=Woolite+Every+Day+Laundry+Detergent%2C+150+oz.&amp;qid=1695170426&amp;sr=8-6", "https://www.amazon.com/Woolite-Liquid-Laundry-Detergent-Efficiency/dp/B076PNL45Y/ref=sr_1_6?keywords=Woolite+Every+Day+Laundry+Detergent%2C+150+oz.&amp;qid=1695170426&amp;sr=8-6")</f>
        <v/>
      </c>
      <c r="F1317" t="inlineStr">
        <is>
          <t>B076PNL45Y</t>
        </is>
      </c>
      <c r="G1317">
        <f>_xludf.IMAGE("https://www.shelhealth.com/cdn/shop/products/woolite-every-day-laundry-detergent-150-oz-shelhealth-658.jpg?v=1663356914&amp;width=1946")</f>
        <v/>
      </c>
      <c r="H1317">
        <f>_xludf.IMAGE("https://m.media-amazon.com/images/I/41ayq-KvSjL._AC_UL320_.jpg")</f>
        <v/>
      </c>
      <c r="K1317" t="inlineStr">
        <is>
          <t>41.99</t>
        </is>
      </c>
      <c r="L1317" t="n">
        <v>49.99</v>
      </c>
      <c r="M1317" s="1" t="inlineStr">
        <is>
          <t>19.05%</t>
        </is>
      </c>
      <c r="N1317" s="3" t="n">
        <v>19.05</v>
      </c>
      <c r="O1317" t="n">
        <v>4.7</v>
      </c>
      <c r="P1317" t="n">
        <v>971</v>
      </c>
      <c r="R1317" t="inlineStr">
        <is>
          <t>InStock</t>
        </is>
      </c>
      <c r="S1317" t="inlineStr">
        <is>
          <t>41.99</t>
        </is>
      </c>
      <c r="T1317" t="inlineStr">
        <is>
          <t>4179100270644</t>
        </is>
      </c>
    </row>
    <row r="1318" hidden="1" ht="15.75" customHeight="1">
      <c r="A1318" s="2">
        <f>HYPERLINK("https://www.shelhealth.com/products/finish-power-ball-max-in-one-plus-125-tablets", "https://www.shelhealth.com/products/finish-power-ball-max-in-one-plus-125-tablets")</f>
        <v/>
      </c>
      <c r="B1318" s="2">
        <f>HYPERLINK("https://www.shelhealth.com/products/finish-power-ball-max-in-one-plus-125-tablets", "https://www.shelhealth.com/products/finish-power-ball-max-in-one-plus-125-tablets")</f>
        <v/>
      </c>
      <c r="C1318" t="inlineStr">
        <is>
          <t>Finish Power Ball Max In One Plus (125 Tablets)</t>
        </is>
      </c>
      <c r="D1318" t="inlineStr">
        <is>
          <t>Finish Max in One Plus Dishwasher Detergent Powerball Tabs (105 ct.)</t>
        </is>
      </c>
      <c r="E1318" s="2">
        <f>HYPERLINK("https://www.amazon.com/Finish-Plus-Dishwasher-Detergent-Powerball/dp/B074KQN99F/ref=sr_1_5?keywords=Finish+Power+Ball+Max+In+One+Plus+%28125+Tablets%29&amp;qid=1695170570&amp;sr=8-5", "https://www.amazon.com/Finish-Plus-Dishwasher-Detergent-Powerball/dp/B074KQN99F/ref=sr_1_5?keywords=Finish+Power+Ball+Max+In+One+Plus+%28125+Tablets%29&amp;qid=1695170570&amp;sr=8-5")</f>
        <v/>
      </c>
      <c r="F1318" t="inlineStr">
        <is>
          <t>B074KQN99F</t>
        </is>
      </c>
      <c r="G1318">
        <f>_xludf.IMAGE("https://www.shelhealth.com/cdn/shop/products/finish-power-ball-max-in-one-plus-125-tablets-shelhealth-574.jpg?v=1663343113&amp;width=1946")</f>
        <v/>
      </c>
      <c r="H1318">
        <f>_xludf.IMAGE("https://m.media-amazon.com/images/I/71NxlVSxPnL._AC_UL320_.jpg")</f>
        <v/>
      </c>
      <c r="K1318" t="inlineStr">
        <is>
          <t>27.99</t>
        </is>
      </c>
      <c r="L1318" t="n">
        <v>33.1</v>
      </c>
      <c r="M1318" s="1" t="inlineStr">
        <is>
          <t>18.26%</t>
        </is>
      </c>
      <c r="N1318" s="3" t="n">
        <v>18.26</v>
      </c>
      <c r="O1318" t="n">
        <v>4.7</v>
      </c>
      <c r="P1318" t="n">
        <v>313</v>
      </c>
      <c r="R1318" t="inlineStr">
        <is>
          <t>OutOfStock</t>
        </is>
      </c>
      <c r="S1318" t="inlineStr">
        <is>
          <t>27.99</t>
        </is>
      </c>
      <c r="T1318" t="inlineStr">
        <is>
          <t>3819431821364</t>
        </is>
      </c>
    </row>
    <row r="1319" hidden="1" ht="15.75" customHeight="1">
      <c r="A1319" s="2">
        <f>HYPERLINK("https://www.shelhealth.com/products/odoban-concentrate-multi-purpose-odor-eliminator-1-gallon", "https://www.shelhealth.com/products/odoban-concentrate-multi-purpose-odor-eliminator-1-gallon")</f>
        <v/>
      </c>
      <c r="B1319" s="2">
        <f>HYPERLINK("https://www.shelhealth.com/products/odoban-concentrate-multi-purpose-odor-eliminator-1-gallon", "https://www.shelhealth.com/products/odoban-concentrate-multi-purpose-odor-eliminator-1-gallon")</f>
        <v/>
      </c>
      <c r="C1319" t="inlineStr">
        <is>
          <t>OdoBan Concentrate Multi-Purpose Odor Eliminator, 1 Gallon</t>
        </is>
      </c>
      <c r="D1319" t="inlineStr">
        <is>
          <t>OdoBan Disinfectant and Odor Eliminator, Ready-to-Use 32 oz Spray Bottle and 1 Gallon Concentrate, Fresh Linen Scent</t>
        </is>
      </c>
      <c r="E1319" s="2">
        <f>HYPERLINK("https://www.amazon.com/OdoBan-Ready-Spray-Bottle-Concentrate/dp/B07CMJ7KX5/ref=sr_1_5?keywords=OdoBan+Concentrate+Multi-Purpose+Odor+Eliminator%2C+1+Gallon&amp;qid=1695170549&amp;sr=8-5", "https://www.amazon.com/OdoBan-Ready-Spray-Bottle-Concentrate/dp/B07CMJ7KX5/ref=sr_1_5?keywords=OdoBan+Concentrate+Multi-Purpose+Odor+Eliminator%2C+1+Gallon&amp;qid=1695170549&amp;sr=8-5")</f>
        <v/>
      </c>
      <c r="F1319" t="inlineStr">
        <is>
          <t>B07CMJ7KX5</t>
        </is>
      </c>
      <c r="G1319">
        <f>_xludf.IMAGE("https://www.shelhealth.com/cdn/shop/products/odoban-concentrate-multi-purpose-odor-eliminator-1-gallon-shelhealth-978.jpg?v=1663370619&amp;width=1946")</f>
        <v/>
      </c>
      <c r="H1319">
        <f>_xludf.IMAGE("https://m.media-amazon.com/images/I/81Mx2qJL3yL._AC_UY218_.jpg")</f>
        <v/>
      </c>
      <c r="K1319" t="inlineStr">
        <is>
          <t>19.99</t>
        </is>
      </c>
      <c r="L1319" t="n">
        <v>23.53</v>
      </c>
      <c r="M1319" s="1" t="inlineStr">
        <is>
          <t>17.71%</t>
        </is>
      </c>
      <c r="N1319" s="3" t="n">
        <v>17.71</v>
      </c>
      <c r="O1319" t="n">
        <v>4.6</v>
      </c>
      <c r="P1319" t="n">
        <v>157</v>
      </c>
      <c r="R1319" t="inlineStr">
        <is>
          <t>InStock</t>
        </is>
      </c>
      <c r="S1319" t="inlineStr">
        <is>
          <t>19.99</t>
        </is>
      </c>
      <c r="T1319" t="inlineStr">
        <is>
          <t>4664315838553</t>
        </is>
      </c>
    </row>
    <row r="1320" hidden="1" ht="15.75" customHeight="1">
      <c r="A1320" s="2">
        <f>HYPERLINK("https://www.shelhealth.com/products/cascade-complete-action-pacs-90-count", "https://www.shelhealth.com/products/cascade-complete-action-pacs-90-count")</f>
        <v/>
      </c>
      <c r="B1320" s="2">
        <f>HYPERLINK("https://www.shelhealth.com/products/cascade-complete-action-pacs-90-count", "https://www.shelhealth.com/products/cascade-complete-action-pacs-90-count")</f>
        <v/>
      </c>
      <c r="C1320" t="inlineStr">
        <is>
          <t>Cascade Complete Action Pacs, 90 count</t>
        </is>
      </c>
      <c r="D1320" t="inlineStr">
        <is>
          <t>Cascade Complete Action Pacs - 90 count</t>
        </is>
      </c>
      <c r="E1320" s="2">
        <f>HYPERLINK("https://www.amazon.com/Cascade-Complete-Action-Pacs-count/dp/B06XT4QMHB/ref=sr_1_3?keywords=cascade+complete+actionpacs%2C+90+count&amp;qid=1695170391&amp;sr=8-3", "https://www.amazon.com/Cascade-Complete-Action-Pacs-count/dp/B06XT4QMHB/ref=sr_1_3?keywords=cascade+complete+actionpacs%2C+90+count&amp;qid=1695170391&amp;sr=8-3")</f>
        <v/>
      </c>
      <c r="F1320" t="inlineStr">
        <is>
          <t>B06XT4QMHB</t>
        </is>
      </c>
      <c r="G1320">
        <f>_xludf.IMAGE("https://www.shelhealth.com/cdn/shop/products/cascade-complete-action-pacs-90-count-shelhealth-139.jpg?v=1663343181&amp;width=1946")</f>
        <v/>
      </c>
      <c r="H1320">
        <f>_xludf.IMAGE("https://m.media-amazon.com/images/I/91eVrMjSImL._AC_UL320_.jpg")</f>
        <v/>
      </c>
      <c r="K1320" t="inlineStr">
        <is>
          <t>27.99</t>
        </is>
      </c>
      <c r="L1320" t="n">
        <v>32.79</v>
      </c>
      <c r="M1320" s="1" t="inlineStr">
        <is>
          <t>17.15%</t>
        </is>
      </c>
      <c r="N1320" s="3" t="n">
        <v>17.15</v>
      </c>
      <c r="O1320" t="n">
        <v>5</v>
      </c>
      <c r="P1320" t="n">
        <v>1</v>
      </c>
      <c r="R1320" t="inlineStr">
        <is>
          <t>InStock</t>
        </is>
      </c>
      <c r="S1320" t="inlineStr">
        <is>
          <t>27.99</t>
        </is>
      </c>
      <c r="T1320" t="inlineStr">
        <is>
          <t>3819517050932</t>
        </is>
      </c>
    </row>
    <row r="1321" hidden="1" ht="15.75" customHeight="1">
      <c r="A1321" s="2">
        <f>HYPERLINK("https://www.shelhealth.com/products/palmolive-ultra-antibacterial-dish-liquid-102-fl-oz", "https://www.shelhealth.com/products/palmolive-ultra-antibacterial-dish-liquid-102-fl-oz")</f>
        <v/>
      </c>
      <c r="B1321" s="2">
        <f>HYPERLINK("https://www.shelhealth.com/products/palmolive-ultra-antibacterial-dish-liquid-102-fl-oz", "https://www.shelhealth.com/products/palmolive-ultra-antibacterial-dish-liquid-102-fl-oz")</f>
        <v/>
      </c>
      <c r="C1321" t="inlineStr">
        <is>
          <t>Palmolive Ultra Antibacterial Dish Liquid, 102 fl. oz.</t>
        </is>
      </c>
      <c r="D1321" t="inlineStr">
        <is>
          <t>Product of Palmolive Ultra Original Dish Liquid, 102 fl. oz. - Dish Soap [Bulk Savings]</t>
        </is>
      </c>
      <c r="E1321" s="2">
        <f>HYPERLINK("https://www.amazon.com/Product-Palmolive-Ultra-Original-Liquid/dp/B07D6F4MNB/ref=sr_1_5?keywords=Palmolive+Ultra+Antibacterial+Dish+Liquid%2C+102+fl.+oz.&amp;qid=1695170423&amp;sr=8-5", "https://www.amazon.com/Product-Palmolive-Ultra-Original-Liquid/dp/B07D6F4MNB/ref=sr_1_5?keywords=Palmolive+Ultra+Antibacterial+Dish+Liquid%2C+102+fl.+oz.&amp;qid=1695170423&amp;sr=8-5")</f>
        <v/>
      </c>
      <c r="F1321" t="inlineStr">
        <is>
          <t>B07D6F4MNB</t>
        </is>
      </c>
      <c r="G1321">
        <f>_xludf.IMAGE("https://www.shelhealth.com/cdn/shop/products/palmolive-ultra-antibacterial-dish-liquid-102-fl-oz-shelhealth-618.jpg?v=1663370285&amp;width=1946")</f>
        <v/>
      </c>
      <c r="H1321">
        <f>_xludf.IMAGE("https://m.media-amazon.com/images/I/713yiW8aRXL._AC_UL320_.jpg")</f>
        <v/>
      </c>
      <c r="K1321" t="inlineStr">
        <is>
          <t>17.99</t>
        </is>
      </c>
      <c r="L1321" t="n">
        <v>20.95</v>
      </c>
      <c r="M1321" s="1" t="inlineStr">
        <is>
          <t>16.45%</t>
        </is>
      </c>
      <c r="N1321" s="3" t="n">
        <v>16.45</v>
      </c>
      <c r="O1321" t="n">
        <v>4.7</v>
      </c>
      <c r="P1321" t="n">
        <v>26</v>
      </c>
      <c r="R1321" t="inlineStr">
        <is>
          <t>InStock</t>
        </is>
      </c>
      <c r="S1321" t="inlineStr">
        <is>
          <t>17.99</t>
        </is>
      </c>
      <c r="T1321" t="inlineStr">
        <is>
          <t>4664131813465</t>
        </is>
      </c>
    </row>
    <row r="1322" hidden="1" ht="15.75" customHeight="1">
      <c r="A1322" s="2">
        <f>HYPERLINK("https://www.shelhealth.com/products/downy-unstopables-fresh-in-wash-scent-booster-beads-30-3-oz", "https://www.shelhealth.com/products/downy-unstopables-fresh-in-wash-scent-booster-beads-30-3-oz")</f>
        <v/>
      </c>
      <c r="B1322" s="2">
        <f>HYPERLINK("https://www.shelhealth.com/products/downy-unstopables-fresh-in-wash-scent-booster-beads-30-3-oz", "https://www.shelhealth.com/products/downy-unstopables-fresh-in-wash-scent-booster-beads-30-3-oz")</f>
        <v/>
      </c>
      <c r="C1322" t="inlineStr">
        <is>
          <t>Downy Unstopables Fresh In-Wash Scent Booster Beads, 30.3 oz.</t>
        </is>
      </c>
      <c r="D1322" t="inlineStr">
        <is>
          <t>Downy Unstopables In-Wash Fresh Scent Booster Laundry Beads (37.6 oz.)</t>
        </is>
      </c>
      <c r="E1322" s="2">
        <f>HYPERLINK("https://www.amazon.com/Downy-Unstopables-Wash-Booster-Laundry/dp/B073K1WN17/ref=sr_1_7?keywords=Downy+Unstopables+Fresh+In-Wash+Scent+Booster+Beads%2C+30.3+oz.&amp;qid=1695170442&amp;sr=8-7", "https://www.amazon.com/Downy-Unstopables-Wash-Booster-Laundry/dp/B073K1WN17/ref=sr_1_7?keywords=Downy+Unstopables+Fresh+In-Wash+Scent+Booster+Beads%2C+30.3+oz.&amp;qid=1695170442&amp;sr=8-7")</f>
        <v/>
      </c>
      <c r="F1322" t="inlineStr">
        <is>
          <t>B073K1WN17</t>
        </is>
      </c>
      <c r="G1322">
        <f>_xludf.IMAGE("https://www.shelhealth.com/cdn/shop/products/downy-unstopables-fresh-in-wash-scent-booster-beads-30-3-oz-shelhealth-770.jpg?v=1663356562&amp;width=1946")</f>
        <v/>
      </c>
      <c r="H1322">
        <f>_xludf.IMAGE("https://m.media-amazon.com/images/I/71AV0ul25EL._AC_UL320_.jpg")</f>
        <v/>
      </c>
      <c r="K1322" t="inlineStr">
        <is>
          <t>23.99</t>
        </is>
      </c>
      <c r="L1322" t="n">
        <v>27.86</v>
      </c>
      <c r="M1322" s="1" t="inlineStr">
        <is>
          <t>16.13%</t>
        </is>
      </c>
      <c r="N1322" s="3" t="n">
        <v>16.13</v>
      </c>
      <c r="O1322" t="n">
        <v>4.8</v>
      </c>
      <c r="P1322" t="n">
        <v>477</v>
      </c>
      <c r="R1322" t="inlineStr">
        <is>
          <t>OutOfStock</t>
        </is>
      </c>
      <c r="S1322" t="inlineStr">
        <is>
          <t>23.99</t>
        </is>
      </c>
      <c r="T1322" t="inlineStr">
        <is>
          <t>4178984206388</t>
        </is>
      </c>
    </row>
    <row r="1323" hidden="1" ht="15.75" customHeight="1">
      <c r="A1323" s="2">
        <f>HYPERLINK("https://www.shelhealth.com/products/nutri-bites-freeze-dried-beef-liver-treats-17-6-oz", "https://www.shelhealth.com/products/nutri-bites-freeze-dried-beef-liver-treats-17-6-oz")</f>
        <v/>
      </c>
      <c r="B1323" s="2">
        <f>HYPERLINK("https://www.shelhealth.com/products/nutri-bites-freeze-dried-beef-liver-treats-17-6-oz", "https://www.shelhealth.com/products/nutri-bites-freeze-dried-beef-liver-treats-17-6-oz")</f>
        <v/>
      </c>
      <c r="C1323" t="inlineStr">
        <is>
          <t>Nutri Bites Freeze Dried Beef Liver Treats, 17.6 oz. (Pack of 2)</t>
        </is>
      </c>
      <c r="D1323" t="inlineStr">
        <is>
          <t>Nutri Bites Freeze Dried Liver Treats for Dogs &amp; Cats - High-Protein Single Ingredient Freeze Dried Dog Treats, Beef Liver - Grain Free, Easy to Digest - Proudly Made in Canada - 500g / 17.6oz (3pk)</t>
        </is>
      </c>
      <c r="E1323" s="2">
        <f>HYPERLINK("https://www.amazon.com/Nutri-Bites-Freeze-Dried-Treats/dp/B0BPRPVFVR/ref=sr_1_3?keywords=Nutri+Bites+Freeze+Dried+Beef+Liver+Treats%2C+17.6+oz.+%28Pack+of+2%29&amp;qid=1695170416&amp;sr=8-3", "https://www.amazon.com/Nutri-Bites-Freeze-Dried-Treats/dp/B0BPRPVFVR/ref=sr_1_3?keywords=Nutri+Bites+Freeze+Dried+Beef+Liver+Treats%2C+17.6+oz.+%28Pack+of+2%29&amp;qid=1695170416&amp;sr=8-3")</f>
        <v/>
      </c>
      <c r="F1323" t="inlineStr">
        <is>
          <t>B0BPRPVFVR</t>
        </is>
      </c>
      <c r="G1323">
        <f>_xludf.IMAGE("https://www.shelhealth.com/cdn/shop/files/nutri-bites-freeze-dried-beef-liver-treats-17-6-oz-pack-of-2-shelhealth-250.jpg?v=1685570645&amp;width=1946")</f>
        <v/>
      </c>
      <c r="H1323">
        <f>_xludf.IMAGE("https://m.media-amazon.com/images/I/81s3AlaG3yL._AC_UL320_.jpg")</f>
        <v/>
      </c>
      <c r="K1323" t="inlineStr">
        <is>
          <t>49.99</t>
        </is>
      </c>
      <c r="L1323" t="n">
        <v>57.99</v>
      </c>
      <c r="M1323" s="1" t="inlineStr">
        <is>
          <t>16.00%</t>
        </is>
      </c>
      <c r="N1323" s="3" t="n">
        <v>16</v>
      </c>
      <c r="O1323" t="n">
        <v>5</v>
      </c>
      <c r="P1323" t="n">
        <v>40</v>
      </c>
      <c r="R1323" t="inlineStr">
        <is>
          <t>InStock</t>
        </is>
      </c>
      <c r="S1323" t="inlineStr">
        <is>
          <t>49.99</t>
        </is>
      </c>
      <c r="T1323" t="inlineStr">
        <is>
          <t>8222814699752</t>
        </is>
      </c>
    </row>
    <row r="1324" hidden="1" ht="15.75" customHeight="1">
      <c r="A1324" s="2">
        <f>HYPERLINK("https://www.shelhealth.com/products/scrubbing-bubbles-fresh-citrus-toilet-cleaning-stamps-and-gel", "https://www.shelhealth.com/products/scrubbing-bubbles-fresh-citrus-toilet-cleaning-stamps-and-gel")</f>
        <v/>
      </c>
      <c r="B1324" s="2">
        <f>HYPERLINK("https://www.shelhealth.com/products/scrubbing-bubbles-fresh-citrus-toilet-cleaning-stamps-and-gel", "https://www.shelhealth.com/products/scrubbing-bubbles-fresh-citrus-toilet-cleaning-stamps-and-gel")</f>
        <v/>
      </c>
      <c r="C1324" t="inlineStr">
        <is>
          <t>Scrubbing Bubbles Fresh Citrus Toilet Cleaning Stamps and Gel</t>
        </is>
      </c>
      <c r="D1324" t="inlineStr">
        <is>
          <t>Scrubbing Bubbles Toilet and Bathroom Cleaner Multipack: Fresh Brush Starter Kit + Fresh Gel Toilet Bowl Cleaning Stamps, Citrus + Antibacterial Bathroom Flushable Wipes, 38 Wipes (Pack of 2)</t>
        </is>
      </c>
      <c r="E1324" s="2">
        <f>HYPERLINK("https://www.amazon.com/Scrubbing-Bubbles-Bathroom-Cleaner-Multipack/dp/B0881Z7V5W/ref=sr_1_5?keywords=Scrubbing+Bubbles+Fresh+Citrus+Toilet+Cleaning+Stamps+and+Gel&amp;qid=1695170544&amp;sr=8-5", "https://www.amazon.com/Scrubbing-Bubbles-Bathroom-Cleaner-Multipack/dp/B0881Z7V5W/ref=sr_1_5?keywords=Scrubbing+Bubbles+Fresh+Citrus+Toilet+Cleaning+Stamps+and+Gel&amp;qid=1695170544&amp;sr=8-5")</f>
        <v/>
      </c>
      <c r="F1324" t="inlineStr">
        <is>
          <t>B0881Z7V5W</t>
        </is>
      </c>
      <c r="G1324">
        <f>_xludf.IMAGE("https://www.shelhealth.com/cdn/shop/products/scrubbing-bubbles-fresh-citrus-toilet-cleaning-stamps-and-gel-shelhealth-822.jpg?v=1663369145&amp;width=1946")</f>
        <v/>
      </c>
      <c r="H1324">
        <f>_xludf.IMAGE("https://m.media-amazon.com/images/I/91z2xcHu0zL._AC_UL320_.jpg")</f>
        <v/>
      </c>
      <c r="K1324" t="inlineStr">
        <is>
          <t>17.99</t>
        </is>
      </c>
      <c r="L1324" t="n">
        <v>20.83</v>
      </c>
      <c r="M1324" s="1" t="inlineStr">
        <is>
          <t>15.79%</t>
        </is>
      </c>
      <c r="N1324" s="3" t="n">
        <v>15.79</v>
      </c>
      <c r="O1324" t="n">
        <v>4.2</v>
      </c>
      <c r="P1324" t="n">
        <v>17</v>
      </c>
      <c r="R1324" t="inlineStr">
        <is>
          <t>OutOfStock</t>
        </is>
      </c>
      <c r="S1324" t="inlineStr">
        <is>
          <t>17.99</t>
        </is>
      </c>
      <c r="T1324" t="inlineStr">
        <is>
          <t>4613432508505</t>
        </is>
      </c>
    </row>
    <row r="1325" hidden="1" ht="15.75" customHeight="1">
      <c r="A1325" s="2">
        <f>HYPERLINK("https://www.shelhealth.com/products/palmolive-ultra-antibacterial-dish-liquid-102-fl-oz", "https://www.shelhealth.com/products/palmolive-ultra-antibacterial-dish-liquid-102-fl-oz")</f>
        <v/>
      </c>
      <c r="B1325" s="2">
        <f>HYPERLINK("https://www.shelhealth.com/products/palmolive-ultra-antibacterial-dish-liquid-102-fl-oz", "https://www.shelhealth.com/products/palmolive-ultra-antibacterial-dish-liquid-102-fl-oz")</f>
        <v/>
      </c>
      <c r="C1325" t="inlineStr">
        <is>
          <t>Palmolive Ultra Antibacterial Dish Liquid, 102 fl. oz.</t>
        </is>
      </c>
      <c r="D1325" t="inlineStr">
        <is>
          <t>Palmolive Ultra Antibacterial Orange Dish Soap Refill, 102 Fl Oz</t>
        </is>
      </c>
      <c r="E1325" s="2">
        <f>HYPERLINK("https://www.amazon.com/Palmolive-Ultra-Antibacterial-Orange-Refill/dp/B07DGGV1YT/ref=sr_1_2?keywords=Palmolive+Ultra+Antibacterial+Dish+Liquid%2C+102+fl.+oz.&amp;qid=1695170423&amp;sr=8-2", "https://www.amazon.com/Palmolive-Ultra-Antibacterial-Orange-Refill/dp/B07DGGV1YT/ref=sr_1_2?keywords=Palmolive+Ultra+Antibacterial+Dish+Liquid%2C+102+fl.+oz.&amp;qid=1695170423&amp;sr=8-2")</f>
        <v/>
      </c>
      <c r="F1325" t="inlineStr">
        <is>
          <t>B07DGGV1YT</t>
        </is>
      </c>
      <c r="G1325">
        <f>_xludf.IMAGE("https://www.shelhealth.com/cdn/shop/products/palmolive-ultra-antibacterial-dish-liquid-102-fl-oz-shelhealth-618.jpg?v=1663370285&amp;width=1946")</f>
        <v/>
      </c>
      <c r="H1325">
        <f>_xludf.IMAGE("https://m.media-amazon.com/images/I/61x0pLJ-vTL._AC_UL320_.jpg")</f>
        <v/>
      </c>
      <c r="K1325" t="inlineStr">
        <is>
          <t>17.99</t>
        </is>
      </c>
      <c r="L1325" t="n">
        <v>20.8</v>
      </c>
      <c r="M1325" s="1" t="inlineStr">
        <is>
          <t>15.62%</t>
        </is>
      </c>
      <c r="N1325" s="3" t="n">
        <v>15.62</v>
      </c>
      <c r="O1325" t="n">
        <v>4.7</v>
      </c>
      <c r="P1325" t="n">
        <v>140</v>
      </c>
      <c r="R1325" t="inlineStr">
        <is>
          <t>InStock</t>
        </is>
      </c>
      <c r="S1325" t="inlineStr">
        <is>
          <t>17.99</t>
        </is>
      </c>
      <c r="T1325" t="inlineStr">
        <is>
          <t>4664131813465</t>
        </is>
      </c>
    </row>
    <row r="1326" hidden="1" ht="15.75" customHeight="1">
      <c r="A1326" s="2">
        <f>HYPERLINK("https://www.shelhealth.com/products/soft-scrub-with-bleach-cleanser-36-oz-3-ct", "https://www.shelhealth.com/products/soft-scrub-with-bleach-cleanser-36-oz-3-ct")</f>
        <v/>
      </c>
      <c r="B1326" s="2">
        <f>HYPERLINK("https://www.shelhealth.com/products/soft-scrub-with-bleach-cleanser-36-oz-3-ct", "https://www.shelhealth.com/products/soft-scrub-with-bleach-cleanser-36-oz-3-ct")</f>
        <v/>
      </c>
      <c r="C1326" t="inlineStr">
        <is>
          <t>Soft Scrub with Bleach Cleanser, 36 oz., 3 ct.</t>
        </is>
      </c>
      <c r="D1326" t="inlineStr">
        <is>
          <t>2 Soft Scrub with bleach cleanser, 36 oz. + Bundled with Zivigo Scrubbing Sponge - Microfiber cleaning cloth</t>
        </is>
      </c>
      <c r="E1326" s="2">
        <f>HYPERLINK("https://www.amazon.com/bleach-cleanser-Bundled-Zivigo-Scrubbing/dp/B0BSG9VW2S/ref=sr_1_5?keywords=Soft+Scrub+with+Bleach+Cleanser%2C+36+oz.%2C+3+ct.&amp;qid=1695170388&amp;sr=8-5", "https://www.amazon.com/bleach-cleanser-Bundled-Zivigo-Scrubbing/dp/B0BSG9VW2S/ref=sr_1_5?keywords=Soft+Scrub+with+Bleach+Cleanser%2C+36+oz.%2C+3+ct.&amp;qid=1695170388&amp;sr=8-5")</f>
        <v/>
      </c>
      <c r="F1326" t="inlineStr">
        <is>
          <t>B0BSG9VW2S</t>
        </is>
      </c>
      <c r="G1326">
        <f>_xludf.IMAGE("https://www.shelhealth.com/cdn/shop/files/soft-scrub-with-bleach-cleanser-36-oz-3-ct-grocery-household-petcleaning-goods-shelhealth-691.jpg?v=1686283055&amp;width=1946")</f>
        <v/>
      </c>
      <c r="H1326">
        <f>_xludf.IMAGE("https://m.media-amazon.com/images/I/71-kPfgpEtL._AC_UL320_.jpg")</f>
        <v/>
      </c>
      <c r="K1326" t="inlineStr">
        <is>
          <t>19.99</t>
        </is>
      </c>
      <c r="L1326" t="n">
        <v>22.99</v>
      </c>
      <c r="M1326" s="1" t="inlineStr">
        <is>
          <t>15.01%</t>
        </is>
      </c>
      <c r="N1326" s="3" t="n">
        <v>15.01</v>
      </c>
      <c r="O1326" t="n">
        <v>4.6</v>
      </c>
      <c r="P1326" t="n">
        <v>21</v>
      </c>
      <c r="R1326" t="inlineStr">
        <is>
          <t>InStock</t>
        </is>
      </c>
      <c r="S1326" t="inlineStr">
        <is>
          <t>19.99</t>
        </is>
      </c>
      <c r="T1326" t="inlineStr">
        <is>
          <t>4169746612276</t>
        </is>
      </c>
    </row>
    <row r="1327" hidden="1" ht="15.75" customHeight="1">
      <c r="A1327" s="2">
        <f>HYPERLINK("https://www.shelhealth.com/products/sprayway-glass-cleaner-4-pk-19-oz", "https://www.shelhealth.com/products/sprayway-glass-cleaner-4-pk-19-oz")</f>
        <v/>
      </c>
      <c r="B1327" s="2">
        <f>HYPERLINK("https://www.shelhealth.com/products/sprayway-glass-cleaner-4-pk-19-oz", "https://www.shelhealth.com/products/sprayway-glass-cleaner-4-pk-19-oz")</f>
        <v/>
      </c>
      <c r="C1327" t="inlineStr">
        <is>
          <t>Sprayway Glass Cleaner, 4 pk./ 19 oz.</t>
        </is>
      </c>
      <c r="D1327" t="inlineStr">
        <is>
          <t>Sprayway 443331 Ammonia Free Glass Cleaner, 19 Oz. (4-Pack) (Packaging May.</t>
        </is>
      </c>
      <c r="E1327" s="2">
        <f>HYPERLINK("https://www.amazon.com/Sprayway-443331-Ammonia-Cleaner-Packaging/dp/B07NP66V3Y/ref=sr_1_2?keywords=Sprayway+Glass+Cleaner%2C+4+pk.%2F+19+oz.&amp;qid=1695170389&amp;sr=8-2", "https://www.amazon.com/Sprayway-443331-Ammonia-Cleaner-Packaging/dp/B07NP66V3Y/ref=sr_1_2?keywords=Sprayway+Glass+Cleaner%2C+4+pk.%2F+19+oz.&amp;qid=1695170389&amp;sr=8-2")</f>
        <v/>
      </c>
      <c r="F1327" t="inlineStr">
        <is>
          <t>B07NP66V3Y</t>
        </is>
      </c>
      <c r="G1327">
        <f>_xludf.IMAGE("https://www.shelhealth.com/cdn/shop/files/sprayway-glass-cleaner-4-pk-19-oz-grocery-household-petcleaning-goods-shelhealth-745.jpg?v=1686284019&amp;width=1946")</f>
        <v/>
      </c>
      <c r="H1327">
        <f>_xludf.IMAGE("https://m.media-amazon.com/images/I/81PjT6okM7L._AC_UL320_.jpg")</f>
        <v/>
      </c>
      <c r="K1327" t="inlineStr">
        <is>
          <t>14.99</t>
        </is>
      </c>
      <c r="L1327" t="n">
        <v>17.18</v>
      </c>
      <c r="M1327" s="1" t="inlineStr">
        <is>
          <t>14.61%</t>
        </is>
      </c>
      <c r="N1327" s="3" t="n">
        <v>14.61</v>
      </c>
      <c r="O1327" t="n">
        <v>4.7</v>
      </c>
      <c r="P1327" t="n">
        <v>11773</v>
      </c>
      <c r="R1327" t="inlineStr">
        <is>
          <t>InStock</t>
        </is>
      </c>
      <c r="S1327" t="inlineStr">
        <is>
          <t>14.99</t>
        </is>
      </c>
      <c r="T1327" t="inlineStr">
        <is>
          <t>4169787932724</t>
        </is>
      </c>
    </row>
    <row r="1328" hidden="1" ht="15.75" customHeight="1">
      <c r="A1328" s="2">
        <f>HYPERLINK("https://www.shelhealth.com/products/mavea-10-cup-water-filter-pitcher", "https://www.shelhealth.com/products/mavea-10-cup-water-filter-pitcher")</f>
        <v/>
      </c>
      <c r="B1328" s="2">
        <f>HYPERLINK("https://www.shelhealth.com/products/mavea-10-cup-water-filter-pitcher", "https://www.shelhealth.com/products/mavea-10-cup-water-filter-pitcher")</f>
        <v/>
      </c>
      <c r="C1328" t="inlineStr">
        <is>
          <t>Mavea 10-Cup Water Filter Pitcher</t>
        </is>
      </c>
      <c r="D1328" t="inlineStr">
        <is>
          <t>Waterdrop 200-Gallon Long-Life Chubby 10-Cup Water Filter Pitcher with 1 Filter, NSF Certified, 5X Times Lifetime, Reduces PFAS, PFOA/PFOS, Chlorine, BPA Free, White</t>
        </is>
      </c>
      <c r="E1328" s="2">
        <f>HYPERLINK("https://www.amazon.com/Waterdrop-Long-Lasting-Lifetime-Filtration-Fluoride/dp/B07QCNTCK8/ref=sr_1_9?keywords=Mavea+10-Cup+Water+Filter+Pitcher&amp;qid=1695170405&amp;sr=8-9", "https://www.amazon.com/Waterdrop-Long-Lasting-Lifetime-Filtration-Fluoride/dp/B07QCNTCK8/ref=sr_1_9?keywords=Mavea+10-Cup+Water+Filter+Pitcher&amp;qid=1695170405&amp;sr=8-9")</f>
        <v/>
      </c>
      <c r="F1328" t="inlineStr">
        <is>
          <t>B07QCNTCK8</t>
        </is>
      </c>
      <c r="G1328">
        <f>_xludf.IMAGE("https://www.shelhealth.com/cdn/shop/products/mavea-10-cup-water-filter-pitcher-shelhealth-109.jpg?v=1663344360&amp;width=1946")</f>
        <v/>
      </c>
      <c r="H1328">
        <f>_xludf.IMAGE("https://m.media-amazon.com/images/I/61eAyClCnqL._AC_UL320_.jpg")</f>
        <v/>
      </c>
      <c r="K1328" t="inlineStr">
        <is>
          <t>23.99</t>
        </is>
      </c>
      <c r="L1328" t="n">
        <v>27.49</v>
      </c>
      <c r="M1328" s="1" t="inlineStr">
        <is>
          <t>14.59%</t>
        </is>
      </c>
      <c r="N1328" s="3" t="n">
        <v>14.59</v>
      </c>
      <c r="O1328" t="n">
        <v>4.6</v>
      </c>
      <c r="P1328" t="n">
        <v>9695</v>
      </c>
      <c r="R1328" t="inlineStr">
        <is>
          <t>OutOfStock</t>
        </is>
      </c>
      <c r="S1328" t="inlineStr">
        <is>
          <t>23.99</t>
        </is>
      </c>
      <c r="T1328" t="inlineStr">
        <is>
          <t>3824977379380</t>
        </is>
      </c>
    </row>
    <row r="1329" hidden="1" ht="15.75" customHeight="1">
      <c r="A1329" s="2">
        <f>HYPERLINK("https://www.shelhealth.com/products/sprayway-glass-cleaner-4-pk-19-oz", "https://www.shelhealth.com/products/sprayway-glass-cleaner-4-pk-19-oz")</f>
        <v/>
      </c>
      <c r="B1329" s="2">
        <f>HYPERLINK("https://www.shelhealth.com/products/sprayway-glass-cleaner-4-pk-19-oz", "https://www.shelhealth.com/products/sprayway-glass-cleaner-4-pk-19-oz")</f>
        <v/>
      </c>
      <c r="C1329" t="inlineStr">
        <is>
          <t>Sprayway Glass Cleaner, 4 pk./ 19 oz.</t>
        </is>
      </c>
      <c r="D1329" t="inlineStr">
        <is>
          <t>Sprayway 443331 Ammonia Free Glass Cleaner, 19 Oz. (4-Pack) (Packaging May Vary)</t>
        </is>
      </c>
      <c r="E1329" s="2">
        <f>HYPERLINK("https://www.amazon.com/Sprayway-443331-Ammonia-Cleaner-Packaging/dp/B00O22YEXQ/ref=sr_1_5?keywords=Sprayway+Glass+Cleaner%2C+4+pk.%2F+19+oz.&amp;qid=1695170389&amp;sr=8-5", "https://www.amazon.com/Sprayway-443331-Ammonia-Cleaner-Packaging/dp/B00O22YEXQ/ref=sr_1_5?keywords=Sprayway+Glass+Cleaner%2C+4+pk.%2F+19+oz.&amp;qid=1695170389&amp;sr=8-5")</f>
        <v/>
      </c>
      <c r="F1329" t="inlineStr">
        <is>
          <t>B00O22YEXQ</t>
        </is>
      </c>
      <c r="G1329">
        <f>_xludf.IMAGE("https://www.shelhealth.com/cdn/shop/files/sprayway-glass-cleaner-4-pk-19-oz-grocery-household-petcleaning-goods-shelhealth-745.jpg?v=1686284019&amp;width=1946")</f>
        <v/>
      </c>
      <c r="H1329">
        <f>_xludf.IMAGE("https://m.media-amazon.com/images/I/816ZKvlLuPL._AC_UL320_.jpg")</f>
        <v/>
      </c>
      <c r="K1329" t="inlineStr">
        <is>
          <t>14.99</t>
        </is>
      </c>
      <c r="L1329" t="n">
        <v>17.16</v>
      </c>
      <c r="M1329" s="1" t="inlineStr">
        <is>
          <t>14.48%</t>
        </is>
      </c>
      <c r="N1329" s="3" t="n">
        <v>14.48</v>
      </c>
      <c r="O1329" t="n">
        <v>4.7</v>
      </c>
      <c r="P1329" t="n">
        <v>1212</v>
      </c>
      <c r="R1329" t="inlineStr">
        <is>
          <t>InStock</t>
        </is>
      </c>
      <c r="S1329" t="inlineStr">
        <is>
          <t>14.99</t>
        </is>
      </c>
      <c r="T1329" t="inlineStr">
        <is>
          <t>4169787932724</t>
        </is>
      </c>
    </row>
    <row r="1330" hidden="1" ht="15.75" customHeight="1">
      <c r="A1330" s="2">
        <f>HYPERLINK("https://www.shelhealth.com/products/finish-power-ball-max-in-one-plus-125-tablets", "https://www.shelhealth.com/products/finish-power-ball-max-in-one-plus-125-tablets")</f>
        <v/>
      </c>
      <c r="B1330" s="2">
        <f>HYPERLINK("https://www.shelhealth.com/products/finish-power-ball-max-in-one-plus-125-tablets", "https://www.shelhealth.com/products/finish-power-ball-max-in-one-plus-125-tablets")</f>
        <v/>
      </c>
      <c r="C1330" t="inlineStr">
        <is>
          <t>Finish Power Ball Max In One Plus (125 Tablets)</t>
        </is>
      </c>
      <c r="D1330" t="inlineStr">
        <is>
          <t>Finish Power Ball Max In One Plus (125 Tablets Net Wt 79.1 Oz, 79.1 oz</t>
        </is>
      </c>
      <c r="E1330" s="2">
        <f>HYPERLINK("https://www.amazon.com/Finish-Power-Ball-Plus-Tablets/dp/B07L3CWGG4/ref=sr_1_1?keywords=Finish+Power+Ball+Max+In+One+Plus+%28125+Tablets%29&amp;qid=1695170570&amp;sr=8-1", "https://www.amazon.com/Finish-Power-Ball-Plus-Tablets/dp/B07L3CWGG4/ref=sr_1_1?keywords=Finish+Power+Ball+Max+In+One+Plus+%28125+Tablets%29&amp;qid=1695170570&amp;sr=8-1")</f>
        <v/>
      </c>
      <c r="F1330" t="inlineStr">
        <is>
          <t>B07L3CWGG4</t>
        </is>
      </c>
      <c r="G1330">
        <f>_xludf.IMAGE("https://www.shelhealth.com/cdn/shop/products/finish-power-ball-max-in-one-plus-125-tablets-shelhealth-574.jpg?v=1663343113&amp;width=1946")</f>
        <v/>
      </c>
      <c r="H1330">
        <f>_xludf.IMAGE("https://m.media-amazon.com/images/I/81MB2k-SlQL._AC_UL320_.jpg")</f>
        <v/>
      </c>
      <c r="K1330" t="inlineStr">
        <is>
          <t>27.99</t>
        </is>
      </c>
      <c r="L1330" t="n">
        <v>31.98</v>
      </c>
      <c r="M1330" s="1" t="inlineStr">
        <is>
          <t>14.26%</t>
        </is>
      </c>
      <c r="N1330" s="3" t="n">
        <v>14.26</v>
      </c>
      <c r="O1330" t="n">
        <v>4.7</v>
      </c>
      <c r="P1330" t="n">
        <v>901</v>
      </c>
      <c r="R1330" t="inlineStr">
        <is>
          <t>OutOfStock</t>
        </is>
      </c>
      <c r="S1330" t="inlineStr">
        <is>
          <t>27.99</t>
        </is>
      </c>
      <c r="T1330" t="inlineStr">
        <is>
          <t>3819431821364</t>
        </is>
      </c>
    </row>
    <row r="1331" hidden="1" ht="15.75" customHeight="1">
      <c r="A1331" s="2">
        <f>HYPERLINK("https://www.shelhealth.com/products/895454002010-better-life-cleaner-glass-see-clearly-now-32-oz", "https://www.shelhealth.com/products/895454002010-better-life-cleaner-glass-see-clearly-now-32-oz")</f>
        <v/>
      </c>
      <c r="B1331" s="2">
        <f>HYPERLINK("https://www.shelhealth.com/products/895454002010-better-life-cleaner-glass-see-clearly-now-32-oz", "https://www.shelhealth.com/products/895454002010-better-life-cleaner-glass-see-clearly-now-32-oz")</f>
        <v/>
      </c>
      <c r="C1331" t="inlineStr">
        <is>
          <t>Better Life Cleaner Glass See Clearly Now, 32 Oz (Case of 3)</t>
        </is>
      </c>
      <c r="D1331" t="inlineStr">
        <is>
          <t>Better Life See Clearly Glass Cleaner - Natural - Alcohol Free - Streak Free - 32 fl oz (Pack of 4)</t>
        </is>
      </c>
      <c r="E1331" s="2">
        <f>HYPERLINK("https://www.amazon.com/Better-Life-Clearly-Glass-Cleaner/dp/B071L4Z9GH/ref=sr_1_1?keywords=Better+Life+Cleaner+Glass+See+Clearly+Now%2C+32+Oz+%28Case+of+3%29&amp;qid=1695170491&amp;sr=8-1", "https://www.amazon.com/Better-Life-Clearly-Glass-Cleaner/dp/B071L4Z9GH/ref=sr_1_1?keywords=Better+Life+Cleaner+Glass+See+Clearly+Now%2C+32+Oz+%28Case+of+3%29&amp;qid=1695170491&amp;sr=8-1")</f>
        <v/>
      </c>
      <c r="F1331" t="inlineStr">
        <is>
          <t>B071L4Z9GH</t>
        </is>
      </c>
      <c r="G1331">
        <f>_xludf.IMAGE("https://www.shelhealth.com/cdn/shop/files/better-life-cleaner-glass-see-clearly-now-32-oz-case-of-3-home-products-shelhealth-510.jpg?v=1686522664&amp;width=1946")</f>
        <v/>
      </c>
      <c r="H1331">
        <f>_xludf.IMAGE("https://m.media-amazon.com/images/I/61mumTm1XxL._AC_UL320_.jpg")</f>
        <v/>
      </c>
      <c r="K1331" t="inlineStr">
        <is>
          <t>24.99</t>
        </is>
      </c>
      <c r="L1331" t="n">
        <v>28.51</v>
      </c>
      <c r="M1331" s="1" t="inlineStr">
        <is>
          <t>14.09%</t>
        </is>
      </c>
      <c r="N1331" s="3" t="n">
        <v>14.09</v>
      </c>
      <c r="O1331" t="n">
        <v>3</v>
      </c>
      <c r="P1331" t="n">
        <v>3</v>
      </c>
      <c r="R1331" t="inlineStr">
        <is>
          <t>OutOfStock</t>
        </is>
      </c>
      <c r="S1331" t="inlineStr">
        <is>
          <t>24.99</t>
        </is>
      </c>
      <c r="T1331" t="inlineStr">
        <is>
          <t>7241503801532</t>
        </is>
      </c>
    </row>
    <row r="1332" hidden="1" ht="15.75" customHeight="1">
      <c r="A1332" s="2">
        <f>HYPERLINK("https://www.shelhealth.com/products/gain-ultra-powder-laundry-detergent-original-206-oz-180-loads", "https://www.shelhealth.com/products/gain-ultra-powder-laundry-detergent-original-206-oz-180-loads")</f>
        <v/>
      </c>
      <c r="B1332" s="2">
        <f>HYPERLINK("https://www.shelhealth.com/products/gain-ultra-powder-laundry-detergent-original-206-oz-180-loads", "https://www.shelhealth.com/products/gain-ultra-powder-laundry-detergent-original-206-oz-180-loads")</f>
        <v/>
      </c>
      <c r="C1332" t="inlineStr">
        <is>
          <t>Gain Ultra Powder Laundry Detergent, Original (206 oz., 180 loads)</t>
        </is>
      </c>
      <c r="D1332" t="inlineStr">
        <is>
          <t>Gain Ultra Powder Laundry Detergent, Original (206 oz., 180 loads)</t>
        </is>
      </c>
      <c r="E1332" s="2">
        <f>HYPERLINK("https://www.amazon.com/Gain-Powder-Laundry-Detergent-Original/dp/B010CG68ES/ref=sr_1_1?keywords=Gain+Ultra+Powder+Laundry+Detergent%2C+Original+%28206+oz.%2C+180+loads%29&amp;qid=1695170569&amp;sr=8-1", "https://www.amazon.com/Gain-Powder-Laundry-Detergent-Original/dp/B010CG68ES/ref=sr_1_1?keywords=Gain+Ultra+Powder+Laundry+Detergent%2C+Original+%28206+oz.%2C+180+loads%29&amp;qid=1695170569&amp;sr=8-1")</f>
        <v/>
      </c>
      <c r="F1332" t="inlineStr">
        <is>
          <t>B010CG68ES</t>
        </is>
      </c>
      <c r="G1332">
        <f>_xludf.IMAGE("https://www.shelhealth.com/cdn/shop/products/gain-ultra-powder-laundry-detergent-original-206-oz-180-loads-supplies-shelhealth-329.jpg?v=1675320299&amp;width=1946")</f>
        <v/>
      </c>
      <c r="H1332">
        <f>_xludf.IMAGE("https://m.media-amazon.com/images/I/71nieum2bQL._AC_UL320_.jpg")</f>
        <v/>
      </c>
      <c r="K1332" t="inlineStr">
        <is>
          <t>34.99</t>
        </is>
      </c>
      <c r="L1332" t="n">
        <v>39.87</v>
      </c>
      <c r="M1332" s="1" t="inlineStr">
        <is>
          <t>13.95%</t>
        </is>
      </c>
      <c r="N1332" s="3" t="n">
        <v>13.95</v>
      </c>
      <c r="O1332" t="n">
        <v>4.7</v>
      </c>
      <c r="P1332" t="n">
        <v>142</v>
      </c>
      <c r="R1332" t="inlineStr">
        <is>
          <t>OutOfStock</t>
        </is>
      </c>
      <c r="S1332" t="inlineStr">
        <is>
          <t>34.99</t>
        </is>
      </c>
      <c r="T1332" t="inlineStr">
        <is>
          <t>3819425693748</t>
        </is>
      </c>
    </row>
    <row r="1333" hidden="1" ht="15.75" customHeight="1">
      <c r="A1333" s="2">
        <f>HYPERLINK("https://www.shelhealth.com/products/717256000776-bio-kleen-natural-dish-liquid-citrus-and-aloe-5-ga", "https://www.shelhealth.com/products/717256000776-bio-kleen-natural-dish-liquid-citrus-and-aloe-5-ga")</f>
        <v/>
      </c>
      <c r="B1333" s="2">
        <f>HYPERLINK("https://www.shelhealth.com/products/717256000776-bio-kleen-natural-dish-liquid-citrus-and-aloe-5-ga", "https://www.shelhealth.com/products/717256000776-bio-kleen-natural-dish-liquid-citrus-and-aloe-5-ga")</f>
        <v/>
      </c>
      <c r="C1333" t="inlineStr">
        <is>
          <t>BIO KLEEN Natural Dish Liquid Citrus and Aloe, 5 ga</t>
        </is>
      </c>
      <c r="D1333" t="inlineStr">
        <is>
          <t>Biokleen Dish Liquid Soap, Dishwashing, Hand Moisturizing, Eco-Friendly, Non-Toxic, Plant-Based, No Artificial Fragrance, Colors or Preservatives, Citrus &amp; Aloe, 32 Ounces (Pack of 12)</t>
        </is>
      </c>
      <c r="E1333" s="2">
        <f>HYPERLINK("https://www.amazon.com/Biokleen-Dishwashing-Moisturizing-Eco-Friendly-Preservatives/dp/B0017L9958/ref=sr_1_5?keywords=BIO+KLEEN+Natural+Dish+Liquid+Citrus+and+Aloe%2C+5+ga&amp;qid=1695170467&amp;sr=8-5", "https://www.amazon.com/Biokleen-Dishwashing-Moisturizing-Eco-Friendly-Preservatives/dp/B0017L9958/ref=sr_1_5?keywords=BIO+KLEEN+Natural+Dish+Liquid+Citrus+and+Aloe%2C+5+ga&amp;qid=1695170467&amp;sr=8-5")</f>
        <v/>
      </c>
      <c r="F1333" t="inlineStr">
        <is>
          <t>B0017L9958</t>
        </is>
      </c>
      <c r="G1333">
        <f>_xludf.IMAGE("https://www.shelhealth.com/cdn/shop/files/bio-kleen-natural-dish-liquid-citrus-and-aloe-5-ga-home-products-shelhealth-386.jpg?v=1686140510&amp;width=1946")</f>
        <v/>
      </c>
      <c r="H1333">
        <f>_xludf.IMAGE("https://m.media-amazon.com/images/I/61OugP6gDWL._AC_UL320_.jpg")</f>
        <v/>
      </c>
      <c r="K1333" t="inlineStr">
        <is>
          <t>94.99</t>
        </is>
      </c>
      <c r="L1333" t="n">
        <v>107.99</v>
      </c>
      <c r="M1333" s="1" t="inlineStr">
        <is>
          <t>13.69%</t>
        </is>
      </c>
      <c r="N1333" s="3" t="n">
        <v>13.69</v>
      </c>
      <c r="O1333" t="n">
        <v>4.5</v>
      </c>
      <c r="P1333" t="n">
        <v>598</v>
      </c>
      <c r="R1333" t="inlineStr">
        <is>
          <t>OutOfStock</t>
        </is>
      </c>
      <c r="S1333" t="inlineStr">
        <is>
          <t>94.99</t>
        </is>
      </c>
      <c r="T1333" t="inlineStr">
        <is>
          <t>7573984575720</t>
        </is>
      </c>
    </row>
    <row r="1334" hidden="1" ht="15.75" customHeight="1">
      <c r="A1334" s="2">
        <f>HYPERLINK("https://www.shelhealth.com/products/rubbermaid-18-pc-easy-find-lids-food-storage-containers", "https://www.shelhealth.com/products/rubbermaid-18-pc-easy-find-lids-food-storage-containers")</f>
        <v/>
      </c>
      <c r="B1334" s="2">
        <f>HYPERLINK("https://www.shelhealth.com/products/rubbermaid-18-pc-easy-find-lids-food-storage-containers", "https://www.shelhealth.com/products/rubbermaid-18-pc-easy-find-lids-food-storage-containers")</f>
        <v/>
      </c>
      <c r="C1334" t="inlineStr">
        <is>
          <t>Rubbermaid 18-Pc. Easy Find Lids Food Storage Containers</t>
        </is>
      </c>
      <c r="D1334" t="inlineStr">
        <is>
          <t>Rubbermaid Premier Easy Find Lids Food Storage Containers, 9 Cup, Gray</t>
        </is>
      </c>
      <c r="E1334" s="2">
        <f>HYPERLINK("https://www.amazon.com/Rubbermaid-Premier-Storage-Containers-1934582/dp/B01E07L4H6/ref=sr_1_5?keywords=Rubbermaid+18-Pc.+Easy+Find+Lids+Food+Storage+Containers&amp;qid=1695170422&amp;sr=8-5", "https://www.amazon.com/Rubbermaid-Premier-Storage-Containers-1934582/dp/B01E07L4H6/ref=sr_1_5?keywords=Rubbermaid+18-Pc.+Easy+Find+Lids+Food+Storage+Containers&amp;qid=1695170422&amp;sr=8-5")</f>
        <v/>
      </c>
      <c r="F1334" t="inlineStr">
        <is>
          <t>B01E07L4H6</t>
        </is>
      </c>
      <c r="G1334">
        <f>_xludf.IMAGE("https://www.shelhealth.com/cdn/shop/products/rubbermaid-18-pc-easy-find-lids-food-storage-containers-shelhealth-268.jpg?v=1663356506&amp;width=1946")</f>
        <v/>
      </c>
      <c r="H1334">
        <f>_xludf.IMAGE("https://m.media-amazon.com/images/I/81v2N8T6A-L._AC_UL320_.jpg")</f>
        <v/>
      </c>
      <c r="K1334" t="inlineStr">
        <is>
          <t>21.99</t>
        </is>
      </c>
      <c r="L1334" t="n">
        <v>24.83</v>
      </c>
      <c r="M1334" s="1" t="inlineStr">
        <is>
          <t>12.91%</t>
        </is>
      </c>
      <c r="N1334" s="3" t="n">
        <v>12.91</v>
      </c>
      <c r="O1334" t="n">
        <v>4.7</v>
      </c>
      <c r="P1334" t="n">
        <v>314</v>
      </c>
      <c r="R1334" t="inlineStr">
        <is>
          <t>OutOfStock</t>
        </is>
      </c>
      <c r="S1334" t="inlineStr">
        <is>
          <t>21.99</t>
        </is>
      </c>
      <c r="T1334" t="inlineStr">
        <is>
          <t>4178949701684</t>
        </is>
      </c>
    </row>
    <row r="1335" hidden="1" ht="15.75" customHeight="1">
      <c r="A1335" s="2">
        <f>HYPERLINK("https://www.shelhealth.com/products/dawn-platinum-powerwash-fresh-scent-value-pack", "https://www.shelhealth.com/products/dawn-platinum-powerwash-fresh-scent-value-pack")</f>
        <v/>
      </c>
      <c r="B1335" s="2">
        <f>HYPERLINK("https://www.shelhealth.com/products/dawn-platinum-powerwash-fresh-scent-value-pack", "https://www.shelhealth.com/products/dawn-platinum-powerwash-fresh-scent-value-pack")</f>
        <v/>
      </c>
      <c r="C1335" t="inlineStr">
        <is>
          <t>Dawn Platinum Powerwash Fresh Scent Value Pack</t>
        </is>
      </c>
      <c r="D1335" t="inlineStr">
        <is>
          <t>Dawn Platinum Powerwash Dish Spray Fresh Scent Refill - Multi 3 Pack</t>
        </is>
      </c>
      <c r="E1335" s="2">
        <f>HYPERLINK("https://www.amazon.com/Platinum-Powerwash-Spray-Fresh-Refill/dp/B08F4L1DST/ref=sr_1_2?keywords=Dawn+Platinum+Powerwash+Fresh+Scent+Value+Pack&amp;qid=1695170385&amp;sr=8-2", "https://www.amazon.com/Platinum-Powerwash-Spray-Fresh-Refill/dp/B08F4L1DST/ref=sr_1_2?keywords=Dawn+Platinum+Powerwash+Fresh+Scent+Value+Pack&amp;qid=1695170385&amp;sr=8-2")</f>
        <v/>
      </c>
      <c r="F1335" t="inlineStr">
        <is>
          <t>B08F4L1DST</t>
        </is>
      </c>
      <c r="G1335">
        <f>_xludf.IMAGE("https://www.shelhealth.com/cdn/shop/files/dawn-platinum-powerwash-fresh-scent-value-pack-grocery-household-petcleaning-goods-shelhealth-997.jpg?v=1686283881&amp;width=1946")</f>
        <v/>
      </c>
      <c r="H1335">
        <f>_xludf.IMAGE("https://m.media-amazon.com/images/I/61mcK7KA1-L._AC_UL320_.jpg")</f>
        <v/>
      </c>
      <c r="K1335" t="inlineStr">
        <is>
          <t>17.99</t>
        </is>
      </c>
      <c r="L1335" t="n">
        <v>20.31</v>
      </c>
      <c r="M1335" s="1" t="inlineStr">
        <is>
          <t>12.90%</t>
        </is>
      </c>
      <c r="N1335" s="3" t="n">
        <v>12.9</v>
      </c>
      <c r="O1335" t="n">
        <v>4.8</v>
      </c>
      <c r="P1335" t="n">
        <v>4683</v>
      </c>
      <c r="R1335" t="inlineStr">
        <is>
          <t>InStock</t>
        </is>
      </c>
      <c r="S1335" t="inlineStr">
        <is>
          <t>17.99</t>
        </is>
      </c>
      <c r="T1335" t="inlineStr">
        <is>
          <t>4618808819801</t>
        </is>
      </c>
    </row>
    <row r="1336" hidden="1" ht="15.75" customHeight="1">
      <c r="A1336" s="2">
        <f>HYPERLINK("https://www.shelhealth.com/products/rabbit-electric-corkscrew-with-cutter", "https://www.shelhealth.com/products/rabbit-electric-corkscrew-with-cutter")</f>
        <v/>
      </c>
      <c r="B1336" s="2">
        <f>HYPERLINK("https://www.shelhealth.com/products/rabbit-electric-corkscrew-with-cutter", "https://www.shelhealth.com/products/rabbit-electric-corkscrew-with-cutter")</f>
        <v/>
      </c>
      <c r="C1336" t="inlineStr">
        <is>
          <t>Rabbit Electric Corkscrew with Cutter</t>
        </is>
      </c>
      <c r="D1336" t="inlineStr">
        <is>
          <t>Vin Fresco Electric Wine Opener with Charging Base &amp; Foil Cutter - Automatic Wine Bottle Opener - Electric Corkscrew Wine Opener - Electric Wine Bottle Opener Rechargeable Wine Gift for Wine Lovers</t>
        </is>
      </c>
      <c r="E1336" s="2">
        <f>HYPERLINK("https://www.amazon.com/Vin-Fresco-Automatic-Corkscrew-Rechargeable/dp/B08848YTZ1/ref=sr_1_10?keywords=Rabbit+Electric+Corkscrew+with+Cutter&amp;qid=1695170554&amp;sr=8-10", "https://www.amazon.com/Vin-Fresco-Automatic-Corkscrew-Rechargeable/dp/B08848YTZ1/ref=sr_1_10?keywords=Rabbit+Electric+Corkscrew+with+Cutter&amp;qid=1695170554&amp;sr=8-10")</f>
        <v/>
      </c>
      <c r="F1336" t="inlineStr">
        <is>
          <t>B08848YTZ1</t>
        </is>
      </c>
      <c r="G1336">
        <f>_xludf.IMAGE("https://www.shelhealth.com/cdn/shop/products/rabbit-electric-corkscrew-with-cutter-shelhealth-844.jpg?v=1663356971&amp;width=1946")</f>
        <v/>
      </c>
      <c r="H1336">
        <f>_xludf.IMAGE("https://m.media-amazon.com/images/I/61ID2TUpxDL._AC_UY218_.jpg")</f>
        <v/>
      </c>
      <c r="K1336" t="inlineStr">
        <is>
          <t>31.99</t>
        </is>
      </c>
      <c r="L1336" t="n">
        <v>35.99</v>
      </c>
      <c r="M1336" s="1" t="inlineStr">
        <is>
          <t>12.50%</t>
        </is>
      </c>
      <c r="N1336" s="3" t="n">
        <v>12.5</v>
      </c>
      <c r="O1336" t="n">
        <v>4.4</v>
      </c>
      <c r="P1336" t="n">
        <v>2731</v>
      </c>
      <c r="R1336" t="inlineStr">
        <is>
          <t>OutOfStock</t>
        </is>
      </c>
      <c r="S1336" t="inlineStr">
        <is>
          <t>31.99</t>
        </is>
      </c>
      <c r="T1336" t="inlineStr">
        <is>
          <t>4179121078324</t>
        </is>
      </c>
    </row>
    <row r="1337" hidden="1" ht="15.75" customHeight="1">
      <c r="A1337" s="2">
        <f>HYPERLINK("https://www.shelhealth.com/products/duracell-optimum-aa-batteries-28-ct", "https://www.shelhealth.com/products/duracell-optimum-aa-batteries-28-ct")</f>
        <v/>
      </c>
      <c r="B1337" s="2">
        <f>HYPERLINK("https://www.shelhealth.com/products/duracell-optimum-aa-batteries-28-ct", "https://www.shelhealth.com/products/duracell-optimum-aa-batteries-28-ct")</f>
        <v/>
      </c>
      <c r="C1337" t="inlineStr">
        <is>
          <t>Duracell Optimum AA Batteries, 28 ct.</t>
        </is>
      </c>
      <c r="D1337" t="inlineStr">
        <is>
          <t>Duracell Optimum AA Batteries, 28 Count Pack Double A Battery with Long-lasting Power Alkaline AA Battery for Household and Office Devices (Ecommerce Packaging)</t>
        </is>
      </c>
      <c r="E1337" s="2">
        <f>HYPERLINK("https://www.amazon.com/Duracell-Optimum-Batteries-Alkaline-Household/dp/B09FVR22R2/ref=sr_1_5?keywords=Duracell+Optimum+AA+Batteries%2C+28+ct.&amp;qid=1695170436&amp;sr=8-5", "https://www.amazon.com/Duracell-Optimum-Batteries-Alkaline-Household/dp/B09FVR22R2/ref=sr_1_5?keywords=Duracell+Optimum+AA+Batteries%2C+28+ct.&amp;qid=1695170436&amp;sr=8-5")</f>
        <v/>
      </c>
      <c r="F1337" t="inlineStr">
        <is>
          <t>B09FVR22R2</t>
        </is>
      </c>
      <c r="G1337">
        <f>_xludf.IMAGE("https://www.shelhealth.com/cdn/shop/products/duracell-optimum-aa-batteries-28-ct-shelhealth-697.jpg?v=1663355440&amp;width=1946")</f>
        <v/>
      </c>
      <c r="H1337">
        <f>_xludf.IMAGE("https://m.media-amazon.com/images/I/81e3IkSQU3L._AC_UL320_.jpg")</f>
        <v/>
      </c>
      <c r="K1337" t="inlineStr">
        <is>
          <t>36.99</t>
        </is>
      </c>
      <c r="L1337" t="n">
        <v>41.5</v>
      </c>
      <c r="M1337" s="1" t="inlineStr">
        <is>
          <t>12.19%</t>
        </is>
      </c>
      <c r="N1337" s="3" t="n">
        <v>12.19</v>
      </c>
      <c r="O1337" t="n">
        <v>4.8</v>
      </c>
      <c r="P1337" t="n">
        <v>3097</v>
      </c>
      <c r="R1337" t="inlineStr">
        <is>
          <t>InStock</t>
        </is>
      </c>
      <c r="S1337" t="inlineStr">
        <is>
          <t>36.99</t>
        </is>
      </c>
      <c r="T1337" t="inlineStr">
        <is>
          <t>4169892921396</t>
        </is>
      </c>
    </row>
    <row r="1338" hidden="1" ht="15.75" customHeight="1">
      <c r="A1338" s="2">
        <f>HYPERLINK("https://www.shelhealth.com/products/berkley-jensen-13-gal-0-9mil-drawstring-kitchen-bags-150-ct", "https://www.shelhealth.com/products/berkley-jensen-13-gal-0-9mil-drawstring-kitchen-bags-150-ct")</f>
        <v/>
      </c>
      <c r="B1338" s="2">
        <f>HYPERLINK("https://www.shelhealth.com/products/berkley-jensen-13-gal-0-9mil-drawstring-kitchen-bags-150-ct", "https://www.shelhealth.com/products/berkley-jensen-13-gal-0-9mil-drawstring-kitchen-bags-150-ct")</f>
        <v/>
      </c>
      <c r="C1338" t="inlineStr">
        <is>
          <t>Berkley Jensen 13-Gal. 0.9mil Drawstring Kitchen Bags, 150 ct.</t>
        </is>
      </c>
      <c r="D1338" t="inlineStr">
        <is>
          <t>Berkley Jensen 13-Gal. 0.9mil Drawstring Kitchen Bags, 150 ct. AS</t>
        </is>
      </c>
      <c r="E1338" s="2">
        <f>HYPERLINK("https://www.amazon.com/Berkley-Jensen-13-Gal-Drawstring-Kitchen/dp/B078HNYTM6/ref=sr_1_1?keywords=Berkley+Jensen+13-Gal.+0.9mil+Drawstring+Kitchen+Bags%2C+150+ct.&amp;qid=1695170571&amp;sr=8-1", "https://www.amazon.com/Berkley-Jensen-13-Gal-Drawstring-Kitchen/dp/B078HNYTM6/ref=sr_1_1?keywords=Berkley+Jensen+13-Gal.+0.9mil+Drawstring+Kitchen+Bags%2C+150+ct.&amp;qid=1695170571&amp;sr=8-1")</f>
        <v/>
      </c>
      <c r="F1338" t="inlineStr">
        <is>
          <t>B078HNYTM6</t>
        </is>
      </c>
      <c r="G1338">
        <f>_xludf.IMAGE("https://www.shelhealth.com/cdn/shop/products/berkley-jensen-13-gal-0-9mil-drawstring-kitchen-bags-150-ct-shelhealth-866.jpg?v=1663354894&amp;width=1946")</f>
        <v/>
      </c>
      <c r="H1338">
        <f>_xludf.IMAGE("https://m.media-amazon.com/images/I/41a05qqgSOL._AC_UL320_.jpg")</f>
        <v/>
      </c>
      <c r="K1338" t="inlineStr">
        <is>
          <t>32.99</t>
        </is>
      </c>
      <c r="L1338" t="n">
        <v>36.99</v>
      </c>
      <c r="M1338" s="1" t="inlineStr">
        <is>
          <t>12.12%</t>
        </is>
      </c>
      <c r="N1338" s="3" t="n">
        <v>12.12</v>
      </c>
      <c r="O1338" t="n">
        <v>4.3</v>
      </c>
      <c r="P1338" t="n">
        <v>5</v>
      </c>
      <c r="R1338" t="inlineStr">
        <is>
          <t>InStock</t>
        </is>
      </c>
      <c r="S1338" t="inlineStr">
        <is>
          <t>32.99</t>
        </is>
      </c>
      <c r="T1338" t="inlineStr">
        <is>
          <t>4169504129076</t>
        </is>
      </c>
    </row>
    <row r="1339" hidden="1" ht="15.75" customHeight="1">
      <c r="A1339" s="2">
        <f>HYPERLINK("https://www.shelhealth.com/products/berkley-jensen-13-gal-trash-bags-140-ct", "https://www.shelhealth.com/products/berkley-jensen-13-gal-trash-bags-140-ct")</f>
        <v/>
      </c>
      <c r="B1339" s="2">
        <f>HYPERLINK("https://www.shelhealth.com/products/berkley-jensen-13-gal-trash-bags-140-ct", "https://www.shelhealth.com/products/berkley-jensen-13-gal-trash-bags-140-ct")</f>
        <v/>
      </c>
      <c r="C1339" t="inlineStr">
        <is>
          <t>Berkley Jensen 13-Gal. Trash Bags, 140 ct.</t>
        </is>
      </c>
      <c r="D1339" t="inlineStr">
        <is>
          <t>Berkley Jensen 13-Gal. 0.9mil Drawstring Kitchen Bags, 150 ct. AS</t>
        </is>
      </c>
      <c r="E1339" s="2">
        <f>HYPERLINK("https://www.amazon.com/Berkley-Jensen-13-Gal-Drawstring-Kitchen/dp/B078HNYTM6/ref=sr_1_5?keywords=Berkley+Jensen+13-Gal.+Trash+Bags%2C+140+ct.&amp;qid=1695170567&amp;sr=8-5", "https://www.amazon.com/Berkley-Jensen-13-Gal-Drawstring-Kitchen/dp/B078HNYTM6/ref=sr_1_5?keywords=Berkley+Jensen+13-Gal.+Trash+Bags%2C+140+ct.&amp;qid=1695170567&amp;sr=8-5")</f>
        <v/>
      </c>
      <c r="F1339" t="inlineStr">
        <is>
          <t>B078HNYTM6</t>
        </is>
      </c>
      <c r="G1339">
        <f>_xludf.IMAGE("https://www.shelhealth.com/cdn/shop/products/berkley-jensen-13-gal-trash-bags-140-ct-shelhealth-815.jpg?v=1663354901&amp;width=1946")</f>
        <v/>
      </c>
      <c r="H1339">
        <f>_xludf.IMAGE("https://m.media-amazon.com/images/I/41a05qqgSOL._AC_UL320_.jpg")</f>
        <v/>
      </c>
      <c r="K1339" t="inlineStr">
        <is>
          <t>32.99</t>
        </is>
      </c>
      <c r="L1339" t="n">
        <v>36.99</v>
      </c>
      <c r="M1339" s="1" t="inlineStr">
        <is>
          <t>12.12%</t>
        </is>
      </c>
      <c r="N1339" s="3" t="n">
        <v>12.12</v>
      </c>
      <c r="O1339" t="n">
        <v>4.3</v>
      </c>
      <c r="P1339" t="n">
        <v>5</v>
      </c>
      <c r="R1339" t="inlineStr">
        <is>
          <t>InStock</t>
        </is>
      </c>
      <c r="S1339" t="inlineStr">
        <is>
          <t>32.99</t>
        </is>
      </c>
      <c r="T1339" t="inlineStr">
        <is>
          <t>4169506816052</t>
        </is>
      </c>
    </row>
    <row r="1340" hidden="1" ht="15.75" customHeight="1">
      <c r="A1340" s="2">
        <f>HYPERLINK("https://www.shelhealth.com/products/berkley-jensen-13-gal-0-69ml-kitchen-bags-200-ct", "https://www.shelhealth.com/products/berkley-jensen-13-gal-0-69ml-kitchen-bags-200-ct")</f>
        <v/>
      </c>
      <c r="B1340" s="2">
        <f>HYPERLINK("https://www.shelhealth.com/products/berkley-jensen-13-gal-0-69ml-kitchen-bags-200-ct", "https://www.shelhealth.com/products/berkley-jensen-13-gal-0-69ml-kitchen-bags-200-ct")</f>
        <v/>
      </c>
      <c r="C1340" t="inlineStr">
        <is>
          <t>Berkley Jensen 13-Gal. 0.69mL Kitchen Bags, 200 ct.</t>
        </is>
      </c>
      <c r="D1340" t="inlineStr">
        <is>
          <t>Berkley Jensen 13-Gal. 0.9mil Drawstring Kitchen Bags, 150 ct. AS</t>
        </is>
      </c>
      <c r="E1340" s="2">
        <f>HYPERLINK("https://www.amazon.com/Berkley-Jensen-13-Gal-Drawstring-Kitchen/dp/B078HNYTM6/ref=sr_1_4?keywords=Berkley+Jensen+13-Gal.+0.69mL+Kitchen+Bags%2C+200+ct.&amp;qid=1695170414&amp;sr=8-4", "https://www.amazon.com/Berkley-Jensen-13-Gal-Drawstring-Kitchen/dp/B078HNYTM6/ref=sr_1_4?keywords=Berkley+Jensen+13-Gal.+0.69mL+Kitchen+Bags%2C+200+ct.&amp;qid=1695170414&amp;sr=8-4")</f>
        <v/>
      </c>
      <c r="F1340" t="inlineStr">
        <is>
          <t>B078HNYTM6</t>
        </is>
      </c>
      <c r="G1340">
        <f>_xludf.IMAGE("https://www.shelhealth.com/cdn/shop/products/berkley-jensen-13-gal-0-69ml-kitchen-bags-200-ct-shelhealth-859.jpg?v=1663357633&amp;width=1946")</f>
        <v/>
      </c>
      <c r="H1340">
        <f>_xludf.IMAGE("https://m.media-amazon.com/images/I/41a05qqgSOL._AC_UL320_.jpg")</f>
        <v/>
      </c>
      <c r="K1340" t="inlineStr">
        <is>
          <t>32.99</t>
        </is>
      </c>
      <c r="L1340" t="n">
        <v>36.99</v>
      </c>
      <c r="M1340" s="1" t="inlineStr">
        <is>
          <t>12.12%</t>
        </is>
      </c>
      <c r="N1340" s="3" t="n">
        <v>12.12</v>
      </c>
      <c r="O1340" t="n">
        <v>4.3</v>
      </c>
      <c r="P1340" t="n">
        <v>5</v>
      </c>
      <c r="R1340" t="inlineStr">
        <is>
          <t>InStock</t>
        </is>
      </c>
      <c r="S1340" t="inlineStr">
        <is>
          <t>32.99</t>
        </is>
      </c>
      <c r="T1340" t="inlineStr">
        <is>
          <t>4251342110772</t>
        </is>
      </c>
    </row>
    <row r="1341" hidden="1" ht="15.75" customHeight="1">
      <c r="A1341" s="2">
        <f>HYPERLINK("https://www.shelhealth.com/products/berkley-jensen-13-gal-stretchflex-tall-kitchen-bags-120-ct", "https://www.shelhealth.com/products/berkley-jensen-13-gal-stretchflex-tall-kitchen-bags-120-ct")</f>
        <v/>
      </c>
      <c r="B1341" s="2">
        <f>HYPERLINK("https://www.shelhealth.com/products/berkley-jensen-13-gal-stretchflex-tall-kitchen-bags-120-ct", "https://www.shelhealth.com/products/berkley-jensen-13-gal-stretchflex-tall-kitchen-bags-120-ct")</f>
        <v/>
      </c>
      <c r="C1341" t="inlineStr">
        <is>
          <t>Berkley Jensen 13-Gal. StretchFlex Tall Kitchen Bags, 120 ct.</t>
        </is>
      </c>
      <c r="D1341" t="inlineStr">
        <is>
          <t>Berkley Jensen 13-Gal. 0.9mil Drawstring Kitchen Bags, 150 ct. AS</t>
        </is>
      </c>
      <c r="E1341" s="2">
        <f>HYPERLINK("https://www.amazon.com/Berkley-Jensen-13-Gal-Drawstring-Kitchen/dp/B078HNYTM6/ref=sr_1_3?keywords=Berkley+Jensen+13-Gal.+StretchFlex+Tall+Kitchen+Bags%2C+120+ct.&amp;qid=1695170570&amp;sr=8-3", "https://www.amazon.com/Berkley-Jensen-13-Gal-Drawstring-Kitchen/dp/B078HNYTM6/ref=sr_1_3?keywords=Berkley+Jensen+13-Gal.+StretchFlex+Tall+Kitchen+Bags%2C+120+ct.&amp;qid=1695170570&amp;sr=8-3")</f>
        <v/>
      </c>
      <c r="F1341" t="inlineStr">
        <is>
          <t>B078HNYTM6</t>
        </is>
      </c>
      <c r="G1341">
        <f>_xludf.IMAGE("https://www.shelhealth.com/cdn/shop/products/berkley-jensen-13-gal-stretchflex-tall-kitchen-bags-120-ct-shelhealth-249.jpg?v=1663354873&amp;width=1946")</f>
        <v/>
      </c>
      <c r="H1341">
        <f>_xludf.IMAGE("https://m.media-amazon.com/images/I/41a05qqgSOL._AC_UL320_.jpg")</f>
        <v/>
      </c>
      <c r="K1341" t="inlineStr">
        <is>
          <t>32.99</t>
        </is>
      </c>
      <c r="L1341" t="n">
        <v>36.99</v>
      </c>
      <c r="M1341" s="1" t="inlineStr">
        <is>
          <t>12.12%</t>
        </is>
      </c>
      <c r="N1341" s="3" t="n">
        <v>12.12</v>
      </c>
      <c r="O1341" t="n">
        <v>4.3</v>
      </c>
      <c r="P1341" t="n">
        <v>5</v>
      </c>
      <c r="R1341" t="inlineStr">
        <is>
          <t>InStock</t>
        </is>
      </c>
      <c r="S1341" t="inlineStr">
        <is>
          <t>32.99</t>
        </is>
      </c>
      <c r="T1341" t="inlineStr">
        <is>
          <t>4169499213876</t>
        </is>
      </c>
    </row>
    <row r="1342" hidden="1" ht="15.75" customHeight="1">
      <c r="A1342" s="2">
        <f>HYPERLINK("https://www.shelhealth.com/products/757072517010-charlies-soap-biodegradable-booster-hard-water-treatment-2-64-lb", "https://www.shelhealth.com/products/757072517010-charlies-soap-biodegradable-booster-hard-water-treatment-2-64-lb")</f>
        <v/>
      </c>
      <c r="B1342" s="2">
        <f>HYPERLINK("https://www.shelhealth.com/products/757072517010-charlies-soap-biodegradable-booster-hard-water-treatment-2-64-lb", "https://www.shelhealth.com/products/757072517010-charlies-soap-biodegradable-booster-hard-water-treatment-2-64-lb")</f>
        <v/>
      </c>
      <c r="C1342" t="inlineStr">
        <is>
          <t>CHARLIES SOAP Biodegradable Booster &amp; Hard Water Treatment, 2.64 lb</t>
        </is>
      </c>
      <c r="D1342" t="inlineStr">
        <is>
          <t>Charlie's Soap Booster &amp; Hard Water Treatment 160 Loads (2.64 Lbs, 1 Pack) Natural Powdered Water Softener and Laundry Booster – Safe and Effective</t>
        </is>
      </c>
      <c r="E1342" s="2">
        <f>HYPERLINK("https://www.amazon.com/Charlies-Soap-Laundry-Booster-Treatment/dp/B004U86V8S/ref=sr_1_2?keywords=charlie%27s+soap+biodegradable+booster&amp;qid=1695170503&amp;sr=8-2", "https://www.amazon.com/Charlies-Soap-Laundry-Booster-Treatment/dp/B004U86V8S/ref=sr_1_2?keywords=charlie%27s+soap+biodegradable+booster&amp;qid=1695170503&amp;sr=8-2")</f>
        <v/>
      </c>
      <c r="F1342" t="inlineStr">
        <is>
          <t>B004U86V8S</t>
        </is>
      </c>
      <c r="G1342">
        <f>_xludf.IMAGE("https://www.shelhealth.com/cdn/shop/files/charlies-soap-biodegradable-booster-hard-water-treatment-2-64-lb-home-products-shelhealth-215.jpg?v=1686207272&amp;width=1946")</f>
        <v/>
      </c>
      <c r="H1342">
        <f>_xludf.IMAGE("https://m.media-amazon.com/images/I/81iCe-RY8iL._AC_UL320_.jpg")</f>
        <v/>
      </c>
      <c r="K1342" t="inlineStr">
        <is>
          <t>24.99</t>
        </is>
      </c>
      <c r="L1342" t="n">
        <v>27.99</v>
      </c>
      <c r="M1342" s="1" t="inlineStr">
        <is>
          <t>12.00%</t>
        </is>
      </c>
      <c r="N1342" s="3" t="n">
        <v>12</v>
      </c>
      <c r="O1342" t="n">
        <v>4.7</v>
      </c>
      <c r="P1342" t="n">
        <v>1832</v>
      </c>
      <c r="R1342" t="inlineStr">
        <is>
          <t>OutOfStock</t>
        </is>
      </c>
      <c r="S1342" t="inlineStr">
        <is>
          <t>24.99</t>
        </is>
      </c>
      <c r="T1342" t="inlineStr">
        <is>
          <t>7574016164072</t>
        </is>
      </c>
    </row>
    <row r="1343" hidden="1" ht="15.75" customHeight="1">
      <c r="A1343" s="2">
        <f>HYPERLINK("https://www.shelhealth.com/products/dawn-platinum-refreshing-rain-dishwashing-liquid-dish-soap-2-pk-40-fl-oz", "https://www.shelhealth.com/products/dawn-platinum-refreshing-rain-dishwashing-liquid-dish-soap-2-pk-40-fl-oz")</f>
        <v/>
      </c>
      <c r="B1343" s="2">
        <f>HYPERLINK("https://www.shelhealth.com/products/dawn-platinum-refreshing-rain-dishwashing-liquid-dish-soap-2-pk-40-fl-oz", "https://www.shelhealth.com/products/dawn-platinum-refreshing-rain-dishwashing-liquid-dish-soap-2-pk-40-fl-oz")</f>
        <v/>
      </c>
      <c r="C1343" t="inlineStr">
        <is>
          <t>Dawn Platinum Refreshing Rain Dishwashing Liquid Dish Soap, 2 pk./40 fl. oz.</t>
        </is>
      </c>
      <c r="D1343" t="inlineStr">
        <is>
          <t>Dawn Platinum Dishwashing Liquid Dish Soap, Refreshing Rain (40 oz, 2 pk.)</t>
        </is>
      </c>
      <c r="E1343" s="2">
        <f>HYPERLINK("https://www.amazon.com/Dawn-Platinum-Dishwashing-Liquid-Refreshing/dp/B07J3N71QT/ref=sr_1_2?keywords=Dawn+Platinum+Refreshing+Rain+Dishwashing+Liquid+Dish+Soap%2C+2+pk.%2F40+fl.+oz.&amp;qid=1695170388&amp;sr=8-2", "https://www.amazon.com/Dawn-Platinum-Dishwashing-Liquid-Refreshing/dp/B07J3N71QT/ref=sr_1_2?keywords=Dawn+Platinum+Refreshing+Rain+Dishwashing+Liquid+Dish+Soap%2C+2+pk.%2F40+fl.+oz.&amp;qid=1695170388&amp;sr=8-2")</f>
        <v/>
      </c>
      <c r="F1343" t="inlineStr">
        <is>
          <t>B07J3N71QT</t>
        </is>
      </c>
      <c r="G1343">
        <f>_xludf.IMAGE("https://www.shelhealth.com/cdn/shop/products/dawn-platinum-refreshing-rain-dishwashing-liquid-dish-soap-2-pk-40-fl-oz-berkley-jensen-shelhealth-396.jpg?v=1663355134&amp;width=1946")</f>
        <v/>
      </c>
      <c r="H1343">
        <f>_xludf.IMAGE("https://m.media-amazon.com/images/I/61wUSihlJxL._AC_UL320_.jpg")</f>
        <v/>
      </c>
      <c r="K1343" t="inlineStr">
        <is>
          <t>23.99</t>
        </is>
      </c>
      <c r="L1343" t="n">
        <v>26.83</v>
      </c>
      <c r="M1343" s="1" t="inlineStr">
        <is>
          <t>11.84%</t>
        </is>
      </c>
      <c r="N1343" s="3" t="n">
        <v>11.84</v>
      </c>
      <c r="O1343" t="n">
        <v>4.8</v>
      </c>
      <c r="P1343" t="n">
        <v>5740</v>
      </c>
      <c r="R1343" t="inlineStr">
        <is>
          <t>InStock</t>
        </is>
      </c>
      <c r="S1343" t="inlineStr">
        <is>
          <t>23.99</t>
        </is>
      </c>
      <c r="T1343" t="inlineStr">
        <is>
          <t>4169680584756</t>
        </is>
      </c>
    </row>
    <row r="1344" hidden="1" ht="15.75" customHeight="1">
      <c r="A1344" s="2">
        <f>HYPERLINK("https://www.shelhealth.com/products/3m-post-it-notes-3-in-x-3-in-1000-notes", "https://www.shelhealth.com/products/3m-post-it-notes-3-in-x-3-in-1000-notes")</f>
        <v/>
      </c>
      <c r="B1344" s="2">
        <f>HYPERLINK("https://www.shelhealth.com/products/3m-post-it-notes-3-in-x-3-in-1000-notes", "https://www.shelhealth.com/products/3m-post-it-notes-3-in-x-3-in-1000-notes")</f>
        <v/>
      </c>
      <c r="C1344" t="inlineStr">
        <is>
          <t>3M Post-It Notes 3 in. x 3 in. (1000 Notes)</t>
        </is>
      </c>
      <c r="D1344" t="inlineStr">
        <is>
          <t>Post-it Notes 3 in x 3 in, 24 Pads, America's’s #1 Favorite Sticky Notes, Canary Yellow, Clean Removal, Recyclable (654-24VAD-B)</t>
        </is>
      </c>
      <c r="E1344" s="2">
        <f>HYPERLINK("https://www.amazon.com/Post-Americas-Favorite-Sticky-Canary/dp/B000JE8WIE/ref=sr_1_9?keywords=3M+Post-It+Notes+3+in.+x+3+in.+%281000+Notes%29&amp;qid=1695170543&amp;sr=8-9", "https://www.amazon.com/Post-Americas-Favorite-Sticky-Canary/dp/B000JE8WIE/ref=sr_1_9?keywords=3M+Post-It+Notes+3+in.+x+3+in.+%281000+Notes%29&amp;qid=1695170543&amp;sr=8-9")</f>
        <v/>
      </c>
      <c r="F1344" t="inlineStr">
        <is>
          <t>B000JE8WIE</t>
        </is>
      </c>
      <c r="G1344">
        <f>_xludf.IMAGE("https://www.shelhealth.com/cdn/shop/products/3m-post-it-notes-3-in-x-1000-shelhealth-901.jpg?v=1663372777&amp;width=1946")</f>
        <v/>
      </c>
      <c r="H1344">
        <f>_xludf.IMAGE("https://m.media-amazon.com/images/I/61D1gsviK3L._AC_UL320_.jpg")</f>
        <v/>
      </c>
      <c r="K1344" t="inlineStr">
        <is>
          <t>27.99</t>
        </is>
      </c>
      <c r="L1344" t="n">
        <v>31.24</v>
      </c>
      <c r="M1344" s="1" t="inlineStr">
        <is>
          <t>11.61%</t>
        </is>
      </c>
      <c r="N1344" s="3" t="n">
        <v>11.61</v>
      </c>
      <c r="O1344" t="n">
        <v>4.3</v>
      </c>
      <c r="P1344" t="n">
        <v>58</v>
      </c>
      <c r="R1344" t="inlineStr">
        <is>
          <t>InStock</t>
        </is>
      </c>
      <c r="S1344" t="inlineStr">
        <is>
          <t>27.99</t>
        </is>
      </c>
      <c r="T1344" t="inlineStr">
        <is>
          <t>4696977703001</t>
        </is>
      </c>
    </row>
    <row r="1345" hidden="1" ht="15.75" customHeight="1">
      <c r="A1345" s="2">
        <f>HYPERLINK("https://www.shelhealth.com/products/rubbermaid-18-pc-easy-find-lids-food-storage-containers", "https://www.shelhealth.com/products/rubbermaid-18-pc-easy-find-lids-food-storage-containers")</f>
        <v/>
      </c>
      <c r="B1345" s="2">
        <f>HYPERLINK("https://www.shelhealth.com/products/rubbermaid-18-pc-easy-find-lids-food-storage-containers", "https://www.shelhealth.com/products/rubbermaid-18-pc-easy-find-lids-food-storage-containers")</f>
        <v/>
      </c>
      <c r="C1345" t="inlineStr">
        <is>
          <t>Rubbermaid 18-Pc. Easy Find Lids Food Storage Containers</t>
        </is>
      </c>
      <c r="D1345" t="inlineStr">
        <is>
          <t>Rubbermaid Premier Easy Find Lids Food Storage Containers, 14 Cup, Gray</t>
        </is>
      </c>
      <c r="E1345" s="2">
        <f>HYPERLINK("https://www.amazon.com/Rubbermaid-Premier-Storage-Containers-1934583/dp/B01E07KY6I/ref=sr_1_2?keywords=Rubbermaid+18-Pc.+Easy+Find+Lids+Food+Storage+Containers&amp;qid=1695170422&amp;sr=8-2", "https://www.amazon.com/Rubbermaid-Premier-Storage-Containers-1934583/dp/B01E07KY6I/ref=sr_1_2?keywords=Rubbermaid+18-Pc.+Easy+Find+Lids+Food+Storage+Containers&amp;qid=1695170422&amp;sr=8-2")</f>
        <v/>
      </c>
      <c r="F1345" t="inlineStr">
        <is>
          <t>B01E07KY6I</t>
        </is>
      </c>
      <c r="G1345">
        <f>_xludf.IMAGE("https://www.shelhealth.com/cdn/shop/products/rubbermaid-18-pc-easy-find-lids-food-storage-containers-shelhealth-268.jpg?v=1663356506&amp;width=1946")</f>
        <v/>
      </c>
      <c r="H1345">
        <f>_xludf.IMAGE("https://m.media-amazon.com/images/I/814CsAjtb3L._AC_UL320_.jpg")</f>
        <v/>
      </c>
      <c r="K1345" t="inlineStr">
        <is>
          <t>21.99</t>
        </is>
      </c>
      <c r="L1345" t="n">
        <v>24.51</v>
      </c>
      <c r="M1345" s="1" t="inlineStr">
        <is>
          <t>11.46%</t>
        </is>
      </c>
      <c r="N1345" s="3" t="n">
        <v>11.46</v>
      </c>
      <c r="O1345" t="n">
        <v>4.8</v>
      </c>
      <c r="P1345" t="n">
        <v>364</v>
      </c>
      <c r="R1345" t="inlineStr">
        <is>
          <t>OutOfStock</t>
        </is>
      </c>
      <c r="S1345" t="inlineStr">
        <is>
          <t>21.99</t>
        </is>
      </c>
      <c r="T1345" t="inlineStr">
        <is>
          <t>4178949701684</t>
        </is>
      </c>
    </row>
    <row r="1346" hidden="1" ht="15.75" customHeight="1">
      <c r="A1346" s="2">
        <f>HYPERLINK("https://www.shelhealth.com/products/rid-x-septic-tank-system-treatment-5-ct", "https://www.shelhealth.com/products/rid-x-septic-tank-system-treatment-5-ct")</f>
        <v/>
      </c>
      <c r="B1346" s="2">
        <f>HYPERLINK("https://www.shelhealth.com/products/rid-x-septic-tank-system-treatment-5-ct", "https://www.shelhealth.com/products/rid-x-septic-tank-system-treatment-5-ct")</f>
        <v/>
      </c>
      <c r="C1346" t="inlineStr">
        <is>
          <t>Rid-X Septic Tank System Treatment, 5 ct.</t>
        </is>
      </c>
      <c r="D1346" t="inlineStr">
        <is>
          <t>Rid-X Septic Tank System Treatment, 5 ct.</t>
        </is>
      </c>
      <c r="E1346" s="2">
        <f>HYPERLINK("https://www.amazon.com/Rid-X-Septic-Tank-System-Treatment/dp/B06WRVBZB1/ref=sr_1_1?keywords=Rid-X+Septic+Tank+System+Treatment%2C+5+ct.&amp;qid=1695170434&amp;sr=8-1", "https://www.amazon.com/Rid-X-Septic-Tank-System-Treatment/dp/B06WRVBZB1/ref=sr_1_1?keywords=Rid-X+Septic+Tank+System+Treatment%2C+5+ct.&amp;qid=1695170434&amp;sr=8-1")</f>
        <v/>
      </c>
      <c r="F1346" t="inlineStr">
        <is>
          <t>B06WRVBZB1</t>
        </is>
      </c>
      <c r="G1346">
        <f>_xludf.IMAGE("https://www.shelhealth.com/cdn/shop/products/rid-x-septic-tank-system-treatment-5-ct-shelhealth-784.jpg?v=1663355313&amp;width=1946")</f>
        <v/>
      </c>
      <c r="H1346">
        <f>_xludf.IMAGE("https://m.media-amazon.com/images/I/71aHrJgaZcL._AC_UL320_.jpg")</f>
        <v/>
      </c>
      <c r="K1346" t="inlineStr">
        <is>
          <t>25.99</t>
        </is>
      </c>
      <c r="L1346" t="n">
        <v>28.95</v>
      </c>
      <c r="M1346" s="1" t="inlineStr">
        <is>
          <t>11.39%</t>
        </is>
      </c>
      <c r="N1346" s="3" t="n">
        <v>11.39</v>
      </c>
      <c r="O1346" t="n">
        <v>4.7</v>
      </c>
      <c r="P1346" t="n">
        <v>956</v>
      </c>
      <c r="R1346" t="inlineStr">
        <is>
          <t>InStock</t>
        </is>
      </c>
      <c r="S1346" t="inlineStr">
        <is>
          <t>25.99</t>
        </is>
      </c>
      <c r="T1346" t="inlineStr">
        <is>
          <t>4169801531444</t>
        </is>
      </c>
    </row>
    <row r="1347" hidden="1" ht="15.75" customHeight="1">
      <c r="A1347" s="2">
        <f>HYPERLINK("https://www.shelhealth.com/products/39938664947-creative-converting-plate-dinner-bbq-8-ea", "https://www.shelhealth.com/products/39938664947-creative-converting-plate-dinner-bbq-8-ea")</f>
        <v/>
      </c>
      <c r="B1347" s="2">
        <f>HYPERLINK("https://www.shelhealth.com/products/39938664947-creative-converting-plate-dinner-bbq-8-ea", "https://www.shelhealth.com/products/39938664947-creative-converting-plate-dinner-bbq-8-ea")</f>
        <v/>
      </c>
      <c r="C1347" t="inlineStr">
        <is>
          <t>CREATIVE CONVERTING Plate Dinner Bbq, 8 ea (Case of 5)</t>
        </is>
      </c>
      <c r="D1347" t="inlineStr">
        <is>
          <t>Creative Converting Touch of Color 18 Count Square Paper Dinner Plates, Bermuda Blue</t>
        </is>
      </c>
      <c r="E1347" s="2">
        <f>HYPERLINK("https://www.amazon.com/Creative-Converting-Square-Dinner-Bermuda/dp/B00A76876G/ref=sr_1_8?keywords=CREATIVE+CONVERTING+Plate+Dinner+Bbq%2C+8+ea+%28Case+of+5%29&amp;qid=1695170507&amp;sr=8-8", "https://www.amazon.com/Creative-Converting-Square-Dinner-Bermuda/dp/B00A76876G/ref=sr_1_8?keywords=CREATIVE+CONVERTING+Plate+Dinner+Bbq%2C+8+ea+%28Case+of+5%29&amp;qid=1695170507&amp;sr=8-8")</f>
        <v/>
      </c>
      <c r="F1347" t="inlineStr">
        <is>
          <t>B00A76876G</t>
        </is>
      </c>
      <c r="G1347">
        <f>_xludf.IMAGE("https://www.shelhealth.com/cdn/shop/files/creative-converting-plate-dinner-bbq-8-ea-case-of-5-home-products-shelhealth-479.jpg?v=1686208104&amp;width=1946")</f>
        <v/>
      </c>
      <c r="H1347">
        <f>_xludf.IMAGE("https://m.media-amazon.com/images/I/51YcTlwLZML._AC_UL320_.jpg")</f>
        <v/>
      </c>
      <c r="K1347" t="inlineStr">
        <is>
          <t>7.99</t>
        </is>
      </c>
      <c r="L1347" t="n">
        <v>8.890000000000001</v>
      </c>
      <c r="M1347" s="1" t="inlineStr">
        <is>
          <t>11.26%</t>
        </is>
      </c>
      <c r="N1347" s="3" t="n">
        <v>11.26</v>
      </c>
      <c r="O1347" t="n">
        <v>4.3</v>
      </c>
      <c r="P1347" t="n">
        <v>4</v>
      </c>
      <c r="R1347" t="inlineStr">
        <is>
          <t>OutOfStock</t>
        </is>
      </c>
      <c r="S1347" t="inlineStr">
        <is>
          <t>7.99</t>
        </is>
      </c>
      <c r="T1347" t="inlineStr">
        <is>
          <t>7574038151400</t>
        </is>
      </c>
    </row>
    <row r="1348" hidden="1" ht="15.75" customHeight="1">
      <c r="A1348" s="2">
        <f>HYPERLINK("https://www.shelhealth.com/products/39938664930-creative-converting-plate-dinner-bbq-8-ea", "https://www.shelhealth.com/products/39938664930-creative-converting-plate-dinner-bbq-8-ea")</f>
        <v/>
      </c>
      <c r="B1348" s="2">
        <f>HYPERLINK("https://www.shelhealth.com/products/39938664930-creative-converting-plate-dinner-bbq-8-ea", "https://www.shelhealth.com/products/39938664930-creative-converting-plate-dinner-bbq-8-ea")</f>
        <v/>
      </c>
      <c r="C1348" t="inlineStr">
        <is>
          <t>CREATIVE CONVERTING Plate Dinner Bbq, 8 ea (Case of 5)</t>
        </is>
      </c>
      <c r="D1348" t="inlineStr">
        <is>
          <t>Creative Converting Touch of Color 18 Count Square Paper Dinner Plates, Bermuda Blue</t>
        </is>
      </c>
      <c r="E1348" s="2">
        <f>HYPERLINK("https://www.amazon.com/Creative-Converting-Square-Dinner-Bermuda/dp/B00A76876G/ref=sr_1_8?keywords=CREATIVE+CONVERTING+Plate+Dinner+Bbq%2C+8+ea+%28Case+of+5%29&amp;qid=1695170505&amp;sr=8-8", "https://www.amazon.com/Creative-Converting-Square-Dinner-Bermuda/dp/B00A76876G/ref=sr_1_8?keywords=CREATIVE+CONVERTING+Plate+Dinner+Bbq%2C+8+ea+%28Case+of+5%29&amp;qid=1695170505&amp;sr=8-8")</f>
        <v/>
      </c>
      <c r="F1348" t="inlineStr">
        <is>
          <t>B00A76876G</t>
        </is>
      </c>
      <c r="G1348">
        <f>_xludf.IMAGE("https://www.shelhealth.com/cdn/shop/files/creative-converting-plate-dinner-bbq-8-ea-case-of-5-home-products-shelhealth-299.jpg?v=1686208105&amp;width=1946")</f>
        <v/>
      </c>
      <c r="H1348">
        <f>_xludf.IMAGE("https://m.media-amazon.com/images/I/51YcTlwLZML._AC_UL320_.jpg")</f>
        <v/>
      </c>
      <c r="K1348" t="inlineStr">
        <is>
          <t>7.99</t>
        </is>
      </c>
      <c r="L1348" t="n">
        <v>8.890000000000001</v>
      </c>
      <c r="M1348" s="1" t="inlineStr">
        <is>
          <t>11.26%</t>
        </is>
      </c>
      <c r="N1348" s="3" t="n">
        <v>11.26</v>
      </c>
      <c r="O1348" t="n">
        <v>4.3</v>
      </c>
      <c r="P1348" t="n">
        <v>4</v>
      </c>
      <c r="R1348" t="inlineStr">
        <is>
          <t>OutOfStock</t>
        </is>
      </c>
      <c r="S1348" t="inlineStr">
        <is>
          <t>7.99</t>
        </is>
      </c>
      <c r="T1348" t="inlineStr">
        <is>
          <t>7574038118632</t>
        </is>
      </c>
    </row>
    <row r="1349" hidden="1" ht="15.75" customHeight="1">
      <c r="A1349" s="2">
        <f>HYPERLINK("https://www.shelhealth.com/products/downy-unstopables-in-wash-scent-booster-beads-fresh-30-3-oz", "https://www.shelhealth.com/products/downy-unstopables-in-wash-scent-booster-beads-fresh-30-3-oz")</f>
        <v/>
      </c>
      <c r="B1349" s="2">
        <f>HYPERLINK("https://www.shelhealth.com/products/downy-unstopables-in-wash-scent-booster-beads-fresh-30-3-oz", "https://www.shelhealth.com/products/downy-unstopables-in-wash-scent-booster-beads-fresh-30-3-oz")</f>
        <v/>
      </c>
      <c r="C1349" t="inlineStr">
        <is>
          <t>Downy Unstopables in-Wash Scent Booster Beads, Fresh (30.3 oz.)</t>
        </is>
      </c>
      <c r="D1349" t="inlineStr">
        <is>
          <t>Downy Unstopables in-Wash Scent Booster Beads, Fresh Scent, 750 g - Packaging May Vary</t>
        </is>
      </c>
      <c r="E1349" s="2">
        <f>HYPERLINK("https://www.amazon.com/Downy-Unstopables-Wash-Scent-Booster/dp/B00J4GT9TY/ref=sr_1_7?keywords=Downy+Unstopables+in-Wash+Scent+Booster+Beads%2C+Fresh+%2830.3+oz.%29&amp;qid=1695170384&amp;sr=8-7", "https://www.amazon.com/Downy-Unstopables-Wash-Scent-Booster/dp/B00J4GT9TY/ref=sr_1_7?keywords=Downy+Unstopables+in-Wash+Scent+Booster+Beads%2C+Fresh+%2830.3+oz.%29&amp;qid=1695170384&amp;sr=8-7")</f>
        <v/>
      </c>
      <c r="F1349" t="inlineStr">
        <is>
          <t>B00J4GT9TY</t>
        </is>
      </c>
      <c r="G1349">
        <f>_xludf.IMAGE("https://www.shelhealth.com/cdn/shop/products/downy-unstopables-in-wash-scent-booster-beads-fresh-30-3-oz-shelhealth-182.jpg?v=1663343197&amp;width=1946")</f>
        <v/>
      </c>
      <c r="H1349">
        <f>_xludf.IMAGE("https://m.media-amazon.com/images/I/81pDIdsDt7L._AC_UL320_.jpg")</f>
        <v/>
      </c>
      <c r="K1349" t="inlineStr">
        <is>
          <t>21.99</t>
        </is>
      </c>
      <c r="L1349" t="n">
        <v>24.44</v>
      </c>
      <c r="M1349" s="1" t="inlineStr">
        <is>
          <t>11.14%</t>
        </is>
      </c>
      <c r="N1349" s="3" t="n">
        <v>11.14</v>
      </c>
      <c r="O1349" t="n">
        <v>4.7</v>
      </c>
      <c r="P1349" t="n">
        <v>1494</v>
      </c>
      <c r="R1349" t="inlineStr">
        <is>
          <t>InStock</t>
        </is>
      </c>
      <c r="S1349" t="inlineStr">
        <is>
          <t>21.99</t>
        </is>
      </c>
      <c r="T1349" t="inlineStr">
        <is>
          <t>3819605065780</t>
        </is>
      </c>
    </row>
    <row r="1350" hidden="1" ht="15.75" customHeight="1">
      <c r="A1350" s="2">
        <f>HYPERLINK("https://www.shelhealth.com/products/damprid-hanging-moisture-absorber-fresh-scent-4-pack-16-oz-454g", "https://www.shelhealth.com/products/damprid-hanging-moisture-absorber-fresh-scent-4-pack-16-oz-454g")</f>
        <v/>
      </c>
      <c r="B1350" s="2">
        <f>HYPERLINK("https://www.shelhealth.com/products/damprid-hanging-moisture-absorber-fresh-scent-4-pack-16-oz-454g", "https://www.shelhealth.com/products/damprid-hanging-moisture-absorber-fresh-scent-4-pack-16-oz-454g")</f>
        <v/>
      </c>
      <c r="C1350" t="inlineStr">
        <is>
          <t>DampRid Hanging Moisture Absorber Fresh Scent - 4 Pack (16 oz/454g)</t>
        </is>
      </c>
      <c r="D1350" t="inlineStr">
        <is>
          <t>DampRid Refill Bag, 4-Pack - Fresh Scent Moisture Absorbers for Rooms with Excess Humidity, Long-Lasting, Eliminates Musty Odors and Creates Fresher Air, 4/2 lb. 12 oz (1.24 kg)</t>
        </is>
      </c>
      <c r="E1350" s="2">
        <f>HYPERLINK("https://www.amazon.com/DampRid-Refill-Bag-4-Pack-Long-Lasting/dp/B09QXS6MH2/ref=sr_1_4?keywords=DampRid+Hanging+Moisture+Absorber+Fresh+Scent+-+4+Pack+%2816+oz%2F454g%29&amp;qid=1695170416&amp;sr=8-4", "https://www.amazon.com/DampRid-Refill-Bag-4-Pack-Long-Lasting/dp/B09QXS6MH2/ref=sr_1_4?keywords=DampRid+Hanging+Moisture+Absorber+Fresh+Scent+-+4+Pack+%2816+oz%2F454g%29&amp;qid=1695170416&amp;sr=8-4")</f>
        <v/>
      </c>
      <c r="F1350" t="inlineStr">
        <is>
          <t>B09QXS6MH2</t>
        </is>
      </c>
      <c r="G1350">
        <f>_xludf.IMAGE("https://www.shelhealth.com/cdn/shop/products/damprid-hanging-moisture-absorber-fresh-scent-4-pack-16-oz454g-shelhealth-863.jpg?v=1663343081&amp;width=1946")</f>
        <v/>
      </c>
      <c r="H1350">
        <f>_xludf.IMAGE("https://m.media-amazon.com/images/I/81aXfe-fJsL._AC_UL320_.jpg")</f>
        <v/>
      </c>
      <c r="K1350" t="inlineStr">
        <is>
          <t>17.99</t>
        </is>
      </c>
      <c r="L1350" t="n">
        <v>19.92</v>
      </c>
      <c r="M1350" s="1" t="inlineStr">
        <is>
          <t>10.73%</t>
        </is>
      </c>
      <c r="N1350" s="3" t="n">
        <v>10.73</v>
      </c>
      <c r="O1350" t="n">
        <v>4.8</v>
      </c>
      <c r="P1350" t="n">
        <v>917</v>
      </c>
      <c r="R1350" t="inlineStr">
        <is>
          <t>InStock</t>
        </is>
      </c>
      <c r="S1350" t="inlineStr">
        <is>
          <t>17.99</t>
        </is>
      </c>
      <c r="T1350" t="inlineStr">
        <is>
          <t>3819420418100</t>
        </is>
      </c>
    </row>
    <row r="1351" hidden="1" ht="15.75" customHeight="1">
      <c r="A1351" s="2">
        <f>HYPERLINK("https://www.shelhealth.com/products/swiffer-wetjet-hardwood-floor-spray-mop-starter-kit", "https://www.shelhealth.com/products/swiffer-wetjet-hardwood-floor-spray-mop-starter-kit")</f>
        <v/>
      </c>
      <c r="B1351" s="2">
        <f>HYPERLINK("https://www.shelhealth.com/products/swiffer-wetjet-hardwood-floor-spray-mop-starter-kit", "https://www.shelhealth.com/products/swiffer-wetjet-hardwood-floor-spray-mop-starter-kit")</f>
        <v/>
      </c>
      <c r="C1351" t="inlineStr">
        <is>
          <t>Swiffer WetJet Hardwood Floor Spray Mop Starter Kit</t>
        </is>
      </c>
      <c r="D1351" t="inlineStr">
        <is>
          <t>Swiffer WetJet Hardwood Floor Spray Mop Starter Kit (Pack of 2)</t>
        </is>
      </c>
      <c r="E1351" s="2">
        <f>HYPERLINK("https://www.amazon.com/Swiffer-WetJet-Hardwood-Floor-Starter/dp/B00YBP795O/ref=sr_1_6?keywords=Swiffer+WetJet+Hardwood+Floor+Spray+Mop+Starter+Kit&amp;qid=1695170436&amp;sr=8-6", "https://www.amazon.com/Swiffer-WetJet-Hardwood-Floor-Starter/dp/B00YBP795O/ref=sr_1_6?keywords=Swiffer+WetJet+Hardwood+Floor+Spray+Mop+Starter+Kit&amp;qid=1695170436&amp;sr=8-6")</f>
        <v/>
      </c>
      <c r="F1351" t="inlineStr">
        <is>
          <t>B00YBP795O</t>
        </is>
      </c>
      <c r="G1351">
        <f>_xludf.IMAGE("https://www.shelhealth.com/cdn/shop/files/swiffer-wetjet-hardwood-floor-spray-mop-starter-kit-grocery-household-petcleaning-goods-shelhealth-863.jpg?v=1686284011&amp;width=1946")</f>
        <v/>
      </c>
      <c r="H1351">
        <f>_xludf.IMAGE("https://m.media-amazon.com/images/I/81L3071NhKL._AC_UL320_.jpg")</f>
        <v/>
      </c>
      <c r="K1351" t="inlineStr">
        <is>
          <t>46.99</t>
        </is>
      </c>
      <c r="L1351" t="n">
        <v>51.94</v>
      </c>
      <c r="M1351" s="1" t="inlineStr">
        <is>
          <t>10.53%</t>
        </is>
      </c>
      <c r="N1351" s="3" t="n">
        <v>10.53</v>
      </c>
      <c r="O1351" t="n">
        <v>4.5</v>
      </c>
      <c r="P1351" t="n">
        <v>17</v>
      </c>
      <c r="R1351" t="inlineStr">
        <is>
          <t>InStock</t>
        </is>
      </c>
      <c r="S1351" t="inlineStr">
        <is>
          <t>46.99</t>
        </is>
      </c>
      <c r="T1351" t="inlineStr">
        <is>
          <t>4169877585972</t>
        </is>
      </c>
    </row>
    <row r="1352" hidden="1" ht="15.75" customHeight="1">
      <c r="A1352" s="2">
        <f>HYPERLINK("https://www.shelhealth.com/products/639713990881-evolution-salt-lamp-salt-himalyan-white-6-lb", "https://www.shelhealth.com/products/639713990881-evolution-salt-lamp-salt-himalyan-white-6-lb")</f>
        <v/>
      </c>
      <c r="B1352" s="2">
        <f>HYPERLINK("https://www.shelhealth.com/products/639713990881-evolution-salt-lamp-salt-himalyan-white-6-lb", "https://www.shelhealth.com/products/639713990881-evolution-salt-lamp-salt-himalyan-white-6-lb")</f>
        <v/>
      </c>
      <c r="C1352" t="inlineStr">
        <is>
          <t>EVOLUTION SALT Lamp Salt Himalyan White, 6 lb</t>
        </is>
      </c>
      <c r="D1352" t="inlineStr">
        <is>
          <t>Evolution Salt - Pillar Crystal Himalayan Salt Lamp 4-6 lbs</t>
        </is>
      </c>
      <c r="E1352" s="2">
        <f>HYPERLINK("https://www.amazon.com/Evolution-Salt-Pillar-Crystal-Himalayan/dp/B009Y8048C/ref=sr_1_3?keywords=evolution+salt+lamp+salt+himalayan+white%2C+6+lb&amp;qid=1695170512&amp;sr=8-3", "https://www.amazon.com/Evolution-Salt-Pillar-Crystal-Himalayan/dp/B009Y8048C/ref=sr_1_3?keywords=evolution+salt+lamp+salt+himalayan+white%2C+6+lb&amp;qid=1695170512&amp;sr=8-3")</f>
        <v/>
      </c>
      <c r="F1352" t="inlineStr">
        <is>
          <t>B009Y8048C</t>
        </is>
      </c>
      <c r="G1352">
        <f>_xludf.IMAGE("https://www.shelhealth.com/cdn/shop/files/evolution-salt-lamp-himalyan-white-6-lb-home-products-shelhealth-446.jpg?v=1686211505&amp;width=1946")</f>
        <v/>
      </c>
      <c r="H1352">
        <f>_xludf.IMAGE("https://m.media-amazon.com/images/I/71LgpeZGN9L._AC_UL320_.jpg")</f>
        <v/>
      </c>
      <c r="K1352" t="inlineStr">
        <is>
          <t>33.99</t>
        </is>
      </c>
      <c r="L1352" t="n">
        <v>37.51</v>
      </c>
      <c r="M1352" s="1" t="inlineStr">
        <is>
          <t>10.36%</t>
        </is>
      </c>
      <c r="N1352" s="3" t="n">
        <v>10.36</v>
      </c>
      <c r="O1352" t="n">
        <v>1</v>
      </c>
      <c r="P1352" t="n">
        <v>2</v>
      </c>
      <c r="R1352" t="inlineStr">
        <is>
          <t>OutOfStock</t>
        </is>
      </c>
      <c r="S1352" t="inlineStr">
        <is>
          <t>33.99</t>
        </is>
      </c>
      <c r="T1352" t="inlineStr">
        <is>
          <t>7574079537384</t>
        </is>
      </c>
    </row>
    <row r="1353" hidden="1" ht="15.75" customHeight="1">
      <c r="A1353" s="2">
        <f>HYPERLINK("https://www.shelhealth.com/products/soft-scrub-lemon-all-purpose-surface-cleanser-with-2-scrub-daddys", "https://www.shelhealth.com/products/soft-scrub-lemon-all-purpose-surface-cleanser-with-2-scrub-daddys")</f>
        <v/>
      </c>
      <c r="B1353" s="2">
        <f>HYPERLINK("https://www.shelhealth.com/products/soft-scrub-lemon-all-purpose-surface-cleanser-with-2-scrub-daddys", "https://www.shelhealth.com/products/soft-scrub-lemon-all-purpose-surface-cleanser-with-2-scrub-daddys")</f>
        <v/>
      </c>
      <c r="C1353" t="inlineStr">
        <is>
          <t>Soft Scrub Lemon All Purpose Surface Cleanser with 2 Scrub Daddys</t>
        </is>
      </c>
      <c r="D1353" t="inlineStr">
        <is>
          <t>Soft Scrub Total All Purpose Bath &amp; Kitchen Cleanser, Lemon Scent 24 oz (Pack of 3)</t>
        </is>
      </c>
      <c r="E1353" s="2">
        <f>HYPERLINK("https://www.amazon.com/Soft-Scrub-Purpose-Kitchen-Cleanser/dp/B00QU55SW4/ref=sr_1_5?keywords=Soft+Scrub+Lemon+All+Purpose+Surface+Cleanser+with+2+Scrub+Daddys&amp;qid=1695170547&amp;sr=8-5", "https://www.amazon.com/Soft-Scrub-Purpose-Kitchen-Cleanser/dp/B00QU55SW4/ref=sr_1_5?keywords=Soft+Scrub+Lemon+All+Purpose+Surface+Cleanser+with+2+Scrub+Daddys&amp;qid=1695170547&amp;sr=8-5")</f>
        <v/>
      </c>
      <c r="F1353" t="inlineStr">
        <is>
          <t>B00QU55SW4</t>
        </is>
      </c>
      <c r="G1353">
        <f>_xludf.IMAGE("https://www.shelhealth.com/cdn/shop/products/soft-scrub-lemon-all-purpose-surface-cleanser-with-2-daddys-daddy-shelhealth-355.jpg?v=1663369396&amp;width=1946")</f>
        <v/>
      </c>
      <c r="H1353">
        <f>_xludf.IMAGE("https://m.media-amazon.com/images/I/71oTRaguTML._AC_UL320_.jpg")</f>
        <v/>
      </c>
      <c r="K1353" t="inlineStr">
        <is>
          <t>17.99</t>
        </is>
      </c>
      <c r="L1353" t="n">
        <v>19.85</v>
      </c>
      <c r="M1353" s="1" t="inlineStr">
        <is>
          <t>10.34%</t>
        </is>
      </c>
      <c r="N1353" s="3" t="n">
        <v>10.34</v>
      </c>
      <c r="O1353" t="n">
        <v>4.8</v>
      </c>
      <c r="P1353" t="n">
        <v>281</v>
      </c>
      <c r="R1353" t="inlineStr">
        <is>
          <t>InStock</t>
        </is>
      </c>
      <c r="S1353" t="inlineStr">
        <is>
          <t>17.99</t>
        </is>
      </c>
      <c r="T1353" t="inlineStr">
        <is>
          <t>4618805706841</t>
        </is>
      </c>
    </row>
    <row r="1354" hidden="1" ht="15.75" customHeight="1">
      <c r="A1354" s="2">
        <f>HYPERLINK("https://www.shelhealth.com/products/glad-forceflex-13-gal-tall-kitchen-bags-with-gain-odorshield-120-ct", "https://www.shelhealth.com/products/glad-forceflex-13-gal-tall-kitchen-bags-with-gain-odorshield-120-ct")</f>
        <v/>
      </c>
      <c r="B1354" s="2">
        <f>HYPERLINK("https://www.shelhealth.com/products/glad-forceflex-13-gal-tall-kitchen-bags-with-gain-odorshield-120-ct", "https://www.shelhealth.com/products/glad-forceflex-13-gal-tall-kitchen-bags-with-gain-odorshield-120-ct")</f>
        <v/>
      </c>
      <c r="C1354" t="inlineStr">
        <is>
          <t>Glad ForceFlex 13-Gal. Tall Kitchen Bags with Gain Odorshield, 120 ct.</t>
        </is>
      </c>
      <c r="D1354" t="inlineStr">
        <is>
          <t>Glad ForceFlex Tall Kitchen 13 Gallon Trash Bag With Odor Shield, Gain Original Scent (120 count)</t>
        </is>
      </c>
      <c r="E1354" s="2">
        <f>HYPERLINK("https://www.amazon.com/Glad-ForceFlex-Kitchen-Gallon-Original/dp/B010RZR9S8/ref=sr_1_1?keywords=Glad+ForceFlex+13-Gal.+Tall+Kitchen+Bags+with+Gain+Odorshield%2C+120+ct.&amp;qid=1695170573&amp;sr=8-1", "https://www.amazon.com/Glad-ForceFlex-Kitchen-Gallon-Original/dp/B010RZR9S8/ref=sr_1_1?keywords=Glad+ForceFlex+13-Gal.+Tall+Kitchen+Bags+with+Gain+Odorshield%2C+120+ct.&amp;qid=1695170573&amp;sr=8-1")</f>
        <v/>
      </c>
      <c r="F1354" t="inlineStr">
        <is>
          <t>B010RZR9S8</t>
        </is>
      </c>
      <c r="G1354">
        <f>_xludf.IMAGE("https://www.shelhealth.com/cdn/shop/products/glad-forceflex-13-gal-tall-kitchen-bags-with-gain-odorshield-120-ct-shelhealth-778.jpg?v=1663354927&amp;width=1946")</f>
        <v/>
      </c>
      <c r="H1354">
        <f>_xludf.IMAGE("https://m.media-amazon.com/images/I/811mCzYbNFL._AC_UL320_.jpg")</f>
        <v/>
      </c>
      <c r="K1354" t="inlineStr">
        <is>
          <t>30.99</t>
        </is>
      </c>
      <c r="L1354" t="n">
        <v>34</v>
      </c>
      <c r="M1354" s="1" t="inlineStr">
        <is>
          <t>9.71%</t>
        </is>
      </c>
      <c r="N1354" s="3" t="n">
        <v>9.710000000000001</v>
      </c>
      <c r="O1354" t="n">
        <v>4.7</v>
      </c>
      <c r="P1354" t="n">
        <v>185</v>
      </c>
      <c r="R1354" t="inlineStr">
        <is>
          <t>InStock</t>
        </is>
      </c>
      <c r="S1354" t="inlineStr">
        <is>
          <t>30.99</t>
        </is>
      </c>
      <c r="T1354" t="inlineStr">
        <is>
          <t>4169517596724</t>
        </is>
      </c>
    </row>
    <row r="1355" hidden="1" ht="15.75" customHeight="1">
      <c r="A1355" s="2">
        <f>HYPERLINK("https://www.shelhealth.com/products/732913137312-seventh-generation-100-recycled-paper-towels-140-2-ply-sheets-6-rolls", "https://www.shelhealth.com/products/732913137312-seventh-generation-100-recycled-paper-towels-140-2-ply-sheets-6-rolls")</f>
        <v/>
      </c>
      <c r="B1355" s="2">
        <f>HYPERLINK("https://www.shelhealth.com/products/732913137312-seventh-generation-100-recycled-paper-towels-140-2-ply-sheets-6-rolls", "https://www.shelhealth.com/products/732913137312-seventh-generation-100-recycled-paper-towels-140-2-ply-sheets-6-rolls")</f>
        <v/>
      </c>
      <c r="C1355" t="inlineStr">
        <is>
          <t>SEVENTH GENERATION 100% Recycled Paper Towels 140 2-Ply Sheets, 6 Rolls</t>
        </is>
      </c>
      <c r="D1355" t="inlineStr">
        <is>
          <t>100% Recycled Paper Towel Rolls, 2-Ply, 11 X 5.4 Sheets, 140 Sheets/Rl, 6/Pk</t>
        </is>
      </c>
      <c r="E1355" s="2">
        <f>HYPERLINK("https://www.amazon.com/Seventh-Generation-13731PK-Recycled-Sheets/dp/B00Q4KXD54/ref=sr_1_2?keywords=SEVENTH+GENERATION+100%25+Recycled+Paper+Towels+140+2-Ply+Sheets%2C+6+Rolls&amp;qid=1695170537&amp;sr=8-2", "https://www.amazon.com/Seventh-Generation-13731PK-Recycled-Sheets/dp/B00Q4KXD54/ref=sr_1_2?keywords=SEVENTH+GENERATION+100%25+Recycled+Paper+Towels+140+2-Ply+Sheets%2C+6+Rolls&amp;qid=1695170537&amp;sr=8-2")</f>
        <v/>
      </c>
      <c r="F1355" t="inlineStr">
        <is>
          <t>B00Q4KXD54</t>
        </is>
      </c>
      <c r="G1355">
        <f>_xludf.IMAGE("https://www.shelhealth.com/cdn/shop/products/seventh-generation-100-recycled-paper-towels-140-2-ply-sheets-6-rolls-shelhealth-281.jpg?v=1663783108&amp;width=1946")</f>
        <v/>
      </c>
      <c r="H1355">
        <f>_xludf.IMAGE("https://m.media-amazon.com/images/I/710+QIAl08L._AC_UL320_.jpg")</f>
        <v/>
      </c>
      <c r="K1355" t="inlineStr">
        <is>
          <t>20.39</t>
        </is>
      </c>
      <c r="L1355" t="n">
        <v>22.3</v>
      </c>
      <c r="M1355" s="1" t="inlineStr">
        <is>
          <t>9.37%</t>
        </is>
      </c>
      <c r="N1355" s="3" t="n">
        <v>9.369999999999999</v>
      </c>
      <c r="O1355" t="n">
        <v>4.6</v>
      </c>
      <c r="P1355" t="n">
        <v>76</v>
      </c>
      <c r="R1355" t="inlineStr">
        <is>
          <t>OutOfStock</t>
        </is>
      </c>
      <c r="S1355" t="inlineStr">
        <is>
          <t>20.39</t>
        </is>
      </c>
      <c r="T1355" t="inlineStr">
        <is>
          <t>7574287909096</t>
        </is>
      </c>
    </row>
    <row r="1356" hidden="1" ht="15.75" customHeight="1">
      <c r="A1356" s="2">
        <f>HYPERLINK("https://www.shelhealth.com/products/glade-plugins-hawaiian-breeze-scented-oil-warmer-refills-8-pk", "https://www.shelhealth.com/products/glade-plugins-hawaiian-breeze-scented-oil-warmer-refills-8-pk")</f>
        <v/>
      </c>
      <c r="B1356" s="2">
        <f>HYPERLINK("https://www.shelhealth.com/products/glade-plugins-hawaiian-breeze-scented-oil-warmer-refills-8-pk", "https://www.shelhealth.com/products/glade-plugins-hawaiian-breeze-scented-oil-warmer-refills-8-pk")</f>
        <v/>
      </c>
      <c r="C1356" t="inlineStr">
        <is>
          <t>Glade PlugIns Hawaiian Breeze Scented Oil Warmer Refills, 8 pk.</t>
        </is>
      </c>
      <c r="D1356" t="inlineStr">
        <is>
          <t>Glade PlugIns Refills Air Freshener Starter Kit, Scented and Essential Oils for Home and Bathroom, Hawaiian Breeze, 4.02 Fl Oz, 2 Warmers + 6 Refills</t>
        </is>
      </c>
      <c r="E1356" s="2">
        <f>HYPERLINK("https://www.amazon.com/Glade-PlugIns-Hawaiian-StarterKit-Essential/dp/B07QPPF4S2/ref=sr_1_5?keywords=Glade+PlugIns+Hawaiian+Breeze+Scented+Oil+Warmer+Refills%2C+8+pk.&amp;qid=1695170562&amp;sr=8-5", "https://www.amazon.com/Glade-PlugIns-Hawaiian-StarterKit-Essential/dp/B07QPPF4S2/ref=sr_1_5?keywords=Glade+PlugIns+Hawaiian+Breeze+Scented+Oil+Warmer+Refills%2C+8+pk.&amp;qid=1695170562&amp;sr=8-5")</f>
        <v/>
      </c>
      <c r="F1356" t="inlineStr">
        <is>
          <t>B07QPPF4S2</t>
        </is>
      </c>
      <c r="G1356">
        <f>_xludf.IMAGE("https://www.shelhealth.com/cdn/shop/files/glade-plugins-hawaiian-breeze-scented-oil-warmer-refills-8-pk-grocery-household-petcleaning-goods-shelhealth-152.jpg?v=1686283077&amp;width=1946")</f>
        <v/>
      </c>
      <c r="H1356">
        <f>_xludf.IMAGE("https://m.media-amazon.com/images/I/81TjCs3VHJL._AC_UL320_.jpg")</f>
        <v/>
      </c>
      <c r="K1356" t="inlineStr">
        <is>
          <t>28.99</t>
        </is>
      </c>
      <c r="L1356" t="n">
        <v>31.5</v>
      </c>
      <c r="M1356" s="1" t="inlineStr">
        <is>
          <t>8.66%</t>
        </is>
      </c>
      <c r="N1356" s="3" t="n">
        <v>8.66</v>
      </c>
      <c r="O1356" t="n">
        <v>4.6</v>
      </c>
      <c r="P1356" t="n">
        <v>74707</v>
      </c>
      <c r="R1356" t="inlineStr">
        <is>
          <t>OutOfStock</t>
        </is>
      </c>
      <c r="S1356" t="inlineStr">
        <is>
          <t>28.99</t>
        </is>
      </c>
      <c r="T1356" t="inlineStr">
        <is>
          <t>4169649750068</t>
        </is>
      </c>
    </row>
    <row r="1357" hidden="1" ht="15.75" customHeight="1">
      <c r="A1357" s="2">
        <f>HYPERLINK("https://www.shelhealth.com/products/merrick-non-slip-rubberized-hangers-20-pack", "https://www.shelhealth.com/products/merrick-non-slip-rubberized-hangers-20-pack")</f>
        <v/>
      </c>
      <c r="B1357" s="2">
        <f>HYPERLINK("https://www.shelhealth.com/products/merrick-non-slip-rubberized-hangers-20-pack", "https://www.shelhealth.com/products/merrick-non-slip-rubberized-hangers-20-pack")</f>
        <v/>
      </c>
      <c r="C1357" t="inlineStr">
        <is>
          <t>merrick non slip rubberized hangers, 20 pack</t>
        </is>
      </c>
      <c r="D1357" t="inlineStr">
        <is>
          <t>ELONG HOME Plastic Hangers for Clothes, Upgraded Rubber Non Slip Clothes Hangers, Non Velvet Durable Clothing Hangers, 15.7 Inches for Adults Clothes, Gray, 20 Pack</t>
        </is>
      </c>
      <c r="E1357" s="2">
        <f>HYPERLINK("https://www.amazon.com/Standard-Plastic-Hangers-Clothes-Clothing/dp/B07L9WTYZX/ref=sr_1_1?keywords=merrick+non+slip+rubberized+hangers%2C+20+pack&amp;qid=1695170569&amp;sr=8-1", "https://www.amazon.com/Standard-Plastic-Hangers-Clothes-Clothing/dp/B07L9WTYZX/ref=sr_1_1?keywords=merrick+non+slip+rubberized+hangers%2C+20+pack&amp;qid=1695170569&amp;sr=8-1")</f>
        <v/>
      </c>
      <c r="F1357" t="inlineStr">
        <is>
          <t>B07L9WTYZX</t>
        </is>
      </c>
      <c r="G1357">
        <f>_xludf.IMAGE("https://www.shelhealth.com/cdn/shop/products/merrick-non-slip-rubberized-hangers-20-pack-shelhealth-923.jpg?v=1663357221&amp;width=1946")</f>
        <v/>
      </c>
      <c r="H1357">
        <f>_xludf.IMAGE("https://m.media-amazon.com/images/I/61XDGop5eFL._AC_UL320_.jpg")</f>
        <v/>
      </c>
      <c r="K1357" t="inlineStr">
        <is>
          <t>21.99</t>
        </is>
      </c>
      <c r="L1357" t="n">
        <v>23.89</v>
      </c>
      <c r="M1357" s="1" t="inlineStr">
        <is>
          <t>8.64%</t>
        </is>
      </c>
      <c r="N1357" s="3" t="n">
        <v>8.640000000000001</v>
      </c>
      <c r="O1357" t="n">
        <v>4.6</v>
      </c>
      <c r="P1357" t="n">
        <v>625</v>
      </c>
      <c r="R1357" t="inlineStr">
        <is>
          <t>OutOfStock</t>
        </is>
      </c>
      <c r="S1357" t="inlineStr">
        <is>
          <t>21.99</t>
        </is>
      </c>
      <c r="T1357" t="inlineStr">
        <is>
          <t>4179256672308</t>
        </is>
      </c>
    </row>
    <row r="1358" hidden="1" ht="15.75" customHeight="1">
      <c r="A1358" s="2">
        <f>HYPERLINK("https://www.shelhealth.com/products/suavitel-fabric-softener-field-flowers-169-fl-oz", "https://www.shelhealth.com/products/suavitel-fabric-softener-field-flowers-169-fl-oz")</f>
        <v/>
      </c>
      <c r="B1358" s="2">
        <f>HYPERLINK("https://www.shelhealth.com/products/suavitel-fabric-softener-field-flowers-169-fl-oz", "https://www.shelhealth.com/products/suavitel-fabric-softener-field-flowers-169-fl-oz")</f>
        <v/>
      </c>
      <c r="C1358" t="inlineStr">
        <is>
          <t>Suavitel Fabric Softener, Field Flowers, 169 fl. oz.</t>
        </is>
      </c>
      <c r="D1358" t="inlineStr">
        <is>
          <t>Suavitel Complete Fabric Softener, Field Flowers, (Pack of 6) 264 Fl Oz</t>
        </is>
      </c>
      <c r="E1358" s="2">
        <f>HYPERLINK("https://www.amazon.com/Suavitel-Complete-Fabric-Softener-Flowers/dp/B07HXPF7PX/ref=sr_1_1?keywords=Suavitel+Fabric+Softener%2C+Field+Flowers%2C+169+fl.+oz.&amp;qid=1695170554&amp;sr=8-1", "https://www.amazon.com/Suavitel-Complete-Fabric-Softener-Flowers/dp/B07HXPF7PX/ref=sr_1_1?keywords=Suavitel+Fabric+Softener%2C+Field+Flowers%2C+169+fl.+oz.&amp;qid=1695170554&amp;sr=8-1")</f>
        <v/>
      </c>
      <c r="F1358" t="inlineStr">
        <is>
          <t>B07HXPF7PX</t>
        </is>
      </c>
      <c r="G1358">
        <f>_xludf.IMAGE("https://www.shelhealth.com/cdn/shop/products/suavitel-fabric-softener-field-flowers-169-fl-oz-shelhealth-293.jpg?v=1663357078&amp;width=1946")</f>
        <v/>
      </c>
      <c r="H1358">
        <f>_xludf.IMAGE("https://m.media-amazon.com/images/I/91bS6Rk+XNL._AC_UL320_.jpg")</f>
        <v/>
      </c>
      <c r="K1358" t="inlineStr">
        <is>
          <t>35.99</t>
        </is>
      </c>
      <c r="L1358" t="n">
        <v>38.99</v>
      </c>
      <c r="M1358" s="1" t="inlineStr">
        <is>
          <t>8.34%</t>
        </is>
      </c>
      <c r="N1358" s="3" t="n">
        <v>8.34</v>
      </c>
      <c r="O1358" t="n">
        <v>4</v>
      </c>
      <c r="P1358" t="n">
        <v>15</v>
      </c>
      <c r="R1358" t="inlineStr">
        <is>
          <t>InStock</t>
        </is>
      </c>
      <c r="S1358" t="inlineStr">
        <is>
          <t>35.99</t>
        </is>
      </c>
      <c r="T1358" t="inlineStr">
        <is>
          <t>4179174686772</t>
        </is>
      </c>
    </row>
    <row r="1359" hidden="1" ht="15.75" customHeight="1">
      <c r="A1359" s="2">
        <f>HYPERLINK("https://www.shelhealth.com/products/639713990263-evolution-salt-lamp-usb-sphere-mlticolor-2-lb", "https://www.shelhealth.com/products/639713990263-evolution-salt-lamp-usb-sphere-mlticolor-2-lb")</f>
        <v/>
      </c>
      <c r="B1359" s="2">
        <f>HYPERLINK("https://www.shelhealth.com/products/639713990263-evolution-salt-lamp-usb-sphere-mlticolor-2-lb", "https://www.shelhealth.com/products/639713990263-evolution-salt-lamp-usb-sphere-mlticolor-2-lb")</f>
        <v/>
      </c>
      <c r="C1359" t="inlineStr">
        <is>
          <t>EVOLUTION SALT Lamp Usb Sphere Mlticolor, 2 lb</t>
        </is>
      </c>
      <c r="D1359" t="inlineStr">
        <is>
          <t>Evolution Salt Natural, 3.5" x 3.5" x 5" 853 USB Himalayan Salt Lamp Multi Color Changing 1-2 lbs</t>
        </is>
      </c>
      <c r="E1359" s="2">
        <f>HYPERLINK("https://www.amazon.com/Evolution-Salt-853-Himalayan-Changing/dp/B009Y802ZW/ref=sr_1_2?keywords=evolution+salt+lamp+usb+sphere+multicolor%2C+2+lb&amp;qid=1695170514&amp;sr=8-2", "https://www.amazon.com/Evolution-Salt-853-Himalayan-Changing/dp/B009Y802ZW/ref=sr_1_2?keywords=evolution+salt+lamp+usb+sphere+multicolor%2C+2+lb&amp;qid=1695170514&amp;sr=8-2")</f>
        <v/>
      </c>
      <c r="F1359" t="inlineStr">
        <is>
          <t>B009Y802ZW</t>
        </is>
      </c>
      <c r="G1359">
        <f>_xludf.IMAGE("https://www.shelhealth.com/cdn/shop/files/evolution-salt-lamp-usb-sphere-mlticolor-2-lb-home-products-shelhealth-780.jpg?v=1686211500&amp;width=1946")</f>
        <v/>
      </c>
      <c r="H1359">
        <f>_xludf.IMAGE("https://m.media-amazon.com/images/I/71NxEzWaAXL._AC_UL320_.jpg")</f>
        <v/>
      </c>
      <c r="K1359" t="inlineStr">
        <is>
          <t>18.99</t>
        </is>
      </c>
      <c r="L1359" t="n">
        <v>20.42</v>
      </c>
      <c r="M1359" s="1" t="inlineStr">
        <is>
          <t>7.53%</t>
        </is>
      </c>
      <c r="N1359" s="3" t="n">
        <v>7.53</v>
      </c>
      <c r="O1359" t="n">
        <v>4.1</v>
      </c>
      <c r="P1359" t="n">
        <v>854</v>
      </c>
      <c r="R1359" t="inlineStr">
        <is>
          <t>OutOfStock</t>
        </is>
      </c>
      <c r="S1359" t="inlineStr">
        <is>
          <t>18.99</t>
        </is>
      </c>
      <c r="T1359" t="inlineStr">
        <is>
          <t>7574079733992</t>
        </is>
      </c>
    </row>
    <row r="1360" hidden="1" ht="15.75" customHeight="1">
      <c r="A1360" s="2">
        <f>HYPERLINK("https://www.shelhealth.com/products/tide-antibacterial-fabric-spray-22-fl-oz", "https://www.shelhealth.com/products/tide-antibacterial-fabric-spray-22-fl-oz")</f>
        <v/>
      </c>
      <c r="B1360" s="2">
        <f>HYPERLINK("https://www.shelhealth.com/products/tide-antibacterial-fabric-spray-22-fl-oz", "https://www.shelhealth.com/products/tide-antibacterial-fabric-spray-22-fl-oz")</f>
        <v/>
      </c>
      <c r="C1360" t="inlineStr">
        <is>
          <t>Tide Antibacterial Fabric Spray, 22 fl Oz.</t>
        </is>
      </c>
      <c r="D1360" t="inlineStr">
        <is>
          <t>Tide Antibacterial Fabric Spray, 2 Count, 22 Fl oz Each</t>
        </is>
      </c>
      <c r="E1360" s="2">
        <f>HYPERLINK("https://www.amazon.com/Tide-Antibacterial-Fabric-Spray-Count/dp/B08N2BS9VY/ref=sr_1_1?keywords=Tide+Antibacterial+Fabric+Spray%2C+22+fl+Oz.&amp;qid=1695170417&amp;sr=8-1", "https://www.amazon.com/Tide-Antibacterial-Fabric-Spray-Count/dp/B08N2BS9VY/ref=sr_1_1?keywords=Tide+Antibacterial+Fabric+Spray%2C+22+fl+Oz.&amp;qid=1695170417&amp;sr=8-1")</f>
        <v/>
      </c>
      <c r="F1360" t="inlineStr">
        <is>
          <t>B08N2BS9VY</t>
        </is>
      </c>
      <c r="G1360">
        <f>_xludf.IMAGE("https://www.shelhealth.com/cdn/shop/products/tide-antibacterial-fabric-spray-22-fl-oz-shelhealth-199.jpg?v=1663373337&amp;width=1946")</f>
        <v/>
      </c>
      <c r="H1360">
        <f>_xludf.IMAGE("https://m.media-amazon.com/images/I/81gzfZDal7L._AC_UL320_.jpg")</f>
        <v/>
      </c>
      <c r="K1360" t="inlineStr">
        <is>
          <t>11.99</t>
        </is>
      </c>
      <c r="L1360" t="n">
        <v>12.88</v>
      </c>
      <c r="M1360" s="1" t="inlineStr">
        <is>
          <t>7.42%</t>
        </is>
      </c>
      <c r="N1360" s="3" t="n">
        <v>7.42</v>
      </c>
      <c r="O1360" t="n">
        <v>4.7</v>
      </c>
      <c r="P1360" t="n">
        <v>17460</v>
      </c>
      <c r="R1360" t="inlineStr">
        <is>
          <t>OutOfStock</t>
        </is>
      </c>
      <c r="S1360" t="inlineStr">
        <is>
          <t>11.99</t>
        </is>
      </c>
      <c r="T1360" t="inlineStr">
        <is>
          <t>4706379038809</t>
        </is>
      </c>
    </row>
    <row r="1361" hidden="1" ht="15.75" customHeight="1">
      <c r="A1361" s="2">
        <f>HYPERLINK("https://www.shelhealth.com/products/tide-ultra-concentrated-with-ultra-oxi-liquid-laundry-detergent-101-loads-138-fl-oz", "https://www.shelhealth.com/products/tide-ultra-concentrated-with-ultra-oxi-liquid-laundry-detergent-101-loads-138-fl-oz")</f>
        <v/>
      </c>
      <c r="B1361" s="2">
        <f>HYPERLINK("https://www.shelhealth.com/products/tide-ultra-concentrated-with-ultra-oxi-liquid-laundry-detergent-101-loads-138-fl-oz", "https://www.shelhealth.com/products/tide-ultra-concentrated-with-ultra-oxi-liquid-laundry-detergent-101-loads-138-fl-oz")</f>
        <v/>
      </c>
      <c r="C1361" t="inlineStr">
        <is>
          <t>Tide Ultra Concentrated with Ultra OXI Liquid Laundry Detergent, 101 loads, 138 fl. oz.</t>
        </is>
      </c>
      <c r="D1361" t="inlineStr">
        <is>
          <t>Tide Ultra OXI Advanced Power Concentrated Liquid Laundry Detergent High Efficiency (HE), 89 Loads, 165 Fl Oz 4 kilograms</t>
        </is>
      </c>
      <c r="E1361" s="2">
        <f>HYPERLINK("https://www.amazon.com/Tide-Advanced-Concentrated-Detergent-Efficiency/dp/B09G3BFW8K/ref=sr_1_5?keywords=Tide+Ultra+Concentrated+with+Ultra+OXI+Liquid+Laundry+Detergent%2C+101+loads%2C+138+fl.+oz.&amp;qid=1695170393&amp;sr=8-5", "https://www.amazon.com/Tide-Advanced-Concentrated-Detergent-Efficiency/dp/B09G3BFW8K/ref=sr_1_5?keywords=Tide+Ultra+Concentrated+with+Ultra+OXI+Liquid+Laundry+Detergent%2C+101+loads%2C+138+fl.+oz.&amp;qid=1695170393&amp;sr=8-5")</f>
        <v/>
      </c>
      <c r="F1361" t="inlineStr">
        <is>
          <t>B09G3BFW8K</t>
        </is>
      </c>
      <c r="G1361">
        <f>_xludf.IMAGE("https://www.shelhealth.com/cdn/shop/products/tide-ultra-concentrated-with-oxi-liquid-laundry-detergent-101-loads-138-fl-oz-shelhealth-438.jpg?v=1663356764&amp;width=1946")</f>
        <v/>
      </c>
      <c r="H1361">
        <f>_xludf.IMAGE("https://m.media-amazon.com/images/I/61nlE4PTmEL._AC_UL320_.jpg")</f>
        <v/>
      </c>
      <c r="K1361" t="inlineStr">
        <is>
          <t>41.99</t>
        </is>
      </c>
      <c r="L1361" t="n">
        <v>44.99</v>
      </c>
      <c r="M1361" s="1" t="inlineStr">
        <is>
          <t>7.14%</t>
        </is>
      </c>
      <c r="N1361" s="3" t="n">
        <v>7.14</v>
      </c>
      <c r="O1361" t="n">
        <v>4.6</v>
      </c>
      <c r="P1361" t="n">
        <v>94</v>
      </c>
      <c r="R1361" t="inlineStr">
        <is>
          <t>InStock</t>
        </is>
      </c>
      <c r="S1361" t="inlineStr">
        <is>
          <t>41.99</t>
        </is>
      </c>
      <c r="T1361" t="inlineStr">
        <is>
          <t>4179079987252</t>
        </is>
      </c>
    </row>
    <row r="1362" hidden="1" ht="15.75" customHeight="1">
      <c r="A1362" s="2">
        <f>HYPERLINK("https://www.shelhealth.com/products/duracell-rechargeable-aa-pre-charged-batteries-6-ct", "https://www.shelhealth.com/products/duracell-rechargeable-aa-pre-charged-batteries-6-ct")</f>
        <v/>
      </c>
      <c r="B1362" s="2">
        <f>HYPERLINK("https://www.shelhealth.com/products/duracell-rechargeable-aa-pre-charged-batteries-6-ct", "https://www.shelhealth.com/products/duracell-rechargeable-aa-pre-charged-batteries-6-ct")</f>
        <v/>
      </c>
      <c r="C1362" t="inlineStr">
        <is>
          <t>Duracell Rechargeable AA Pre-Charged Batteries, 6 ct.</t>
        </is>
      </c>
      <c r="D1362" t="inlineStr">
        <is>
          <t>Duracell Rechargeable AAA Batteries, 12 Count Pack, Triple A Battery for Long-lasting Power, All-Purpose Pre-Charged Battery for Household and Business Devices</t>
        </is>
      </c>
      <c r="E1362" s="2">
        <f>HYPERLINK("https://www.amazon.com/Duracell-Rechargeable-Batteries-2500mAh-12-Count/dp/B09RZMHV27/ref=sr_1_10?keywords=Duracell+Rechargeable+AA+Pre-Charged+Batteries%2C+6+ct.&amp;qid=1695170567&amp;sr=8-10", "https://www.amazon.com/Duracell-Rechargeable-Batteries-2500mAh-12-Count/dp/B09RZMHV27/ref=sr_1_10?keywords=Duracell+Rechargeable+AA+Pre-Charged+Batteries%2C+6+ct.&amp;qid=1695170567&amp;sr=8-10")</f>
        <v/>
      </c>
      <c r="F1362" t="inlineStr">
        <is>
          <t>B09RZMHV27</t>
        </is>
      </c>
      <c r="G1362">
        <f>_xludf.IMAGE("https://www.shelhealth.com/cdn/shop/products/duracell-rechargeable-aa-pre-charged-batteries-6-ct-shelhealth-446.jpg?v=1675325310&amp;width=1946")</f>
        <v/>
      </c>
      <c r="H1362">
        <f>_xludf.IMAGE("https://m.media-amazon.com/images/I/71jR7k+gXCL._AC_UL320_.jpg")</f>
        <v/>
      </c>
      <c r="K1362" t="inlineStr">
        <is>
          <t>34.99</t>
        </is>
      </c>
      <c r="L1362" t="n">
        <v>37.47</v>
      </c>
      <c r="M1362" s="1" t="inlineStr">
        <is>
          <t>7.09%</t>
        </is>
      </c>
      <c r="N1362" s="3" t="n">
        <v>7.09</v>
      </c>
      <c r="O1362" t="n">
        <v>4.4</v>
      </c>
      <c r="P1362" t="n">
        <v>155</v>
      </c>
      <c r="R1362" t="inlineStr">
        <is>
          <t>InStock</t>
        </is>
      </c>
      <c r="S1362" t="inlineStr">
        <is>
          <t>34.99</t>
        </is>
      </c>
      <c r="T1362" t="inlineStr">
        <is>
          <t>4167656767540</t>
        </is>
      </c>
    </row>
    <row r="1363" hidden="1" ht="15.75" customHeight="1">
      <c r="A1363" s="2">
        <f>HYPERLINK("https://www.shelhealth.com/products/bona-hardwood-floor-cleaner-22-oz-with-96-oz-refill", "https://www.shelhealth.com/products/bona-hardwood-floor-cleaner-22-oz-with-96-oz-refill")</f>
        <v/>
      </c>
      <c r="B1363" s="2">
        <f>HYPERLINK("https://www.shelhealth.com/products/bona-hardwood-floor-cleaner-22-oz-with-96-oz-refill", "https://www.shelhealth.com/products/bona-hardwood-floor-cleaner-22-oz-with-96-oz-refill")</f>
        <v/>
      </c>
      <c r="C1363" t="inlineStr">
        <is>
          <t>Bona Hardwood Floor Cleaner, 22 oz. with 96 oz. Refill</t>
        </is>
      </c>
      <c r="D1363" t="inlineStr">
        <is>
          <t>Product of Bona Hardwood Floor Cleaner, 22 oz. with 96 oz. Refill [Biz Discount]</t>
        </is>
      </c>
      <c r="E1363" s="2">
        <f>HYPERLINK("https://www.amazon.com/Product-Bona-Hardwood-Cleaner-Discount/dp/B07QNMFTGR/ref=sr_1_2?keywords=Bona+Hardwood+Floor+Cleaner%2C+22+oz.+with+96+oz.+Refill&amp;qid=1695170445&amp;sr=8-2", "https://www.amazon.com/Product-Bona-Hardwood-Cleaner-Discount/dp/B07QNMFTGR/ref=sr_1_2?keywords=Bona+Hardwood+Floor+Cleaner%2C+22+oz.+with+96+oz.+Refill&amp;qid=1695170445&amp;sr=8-2")</f>
        <v/>
      </c>
      <c r="F1363" t="inlineStr">
        <is>
          <t>B07QNMFTGR</t>
        </is>
      </c>
      <c r="G1363">
        <f>_xludf.IMAGE("https://www.shelhealth.com/cdn/shop/files/bona-hardwood-floor-cleaner-22-oz-with-96-refill-grocery-household-petcleaning-goods-shelhealth-504.jpg?v=1686283074&amp;width=1946")</f>
        <v/>
      </c>
      <c r="H1363">
        <f>_xludf.IMAGE("https://m.media-amazon.com/images/I/61FJcqi1bEL._AC_UL320_.jpg")</f>
        <v/>
      </c>
      <c r="K1363" t="inlineStr">
        <is>
          <t>27.99</t>
        </is>
      </c>
      <c r="L1363" t="n">
        <v>29.87</v>
      </c>
      <c r="M1363" s="1" t="inlineStr">
        <is>
          <t>6.72%</t>
        </is>
      </c>
      <c r="N1363" s="3" t="n">
        <v>6.72</v>
      </c>
      <c r="O1363" t="n">
        <v>5</v>
      </c>
      <c r="P1363" t="n">
        <v>7</v>
      </c>
      <c r="R1363" t="inlineStr">
        <is>
          <t>InStock</t>
        </is>
      </c>
      <c r="S1363" t="inlineStr">
        <is>
          <t>27.99</t>
        </is>
      </c>
      <c r="T1363" t="inlineStr">
        <is>
          <t>4169651585076</t>
        </is>
      </c>
    </row>
    <row r="1364" hidden="1" ht="15.75" customHeight="1">
      <c r="A1364" s="2">
        <f>HYPERLINK("https://www.shelhealth.com/products/krud-kutter-heavy-duty-cleaner-and-disinfectant-1-gal", "https://www.shelhealth.com/products/krud-kutter-heavy-duty-cleaner-and-disinfectant-1-gal")</f>
        <v/>
      </c>
      <c r="B1364" s="2">
        <f>HYPERLINK("https://www.shelhealth.com/products/krud-kutter-heavy-duty-cleaner-and-disinfectant-1-gal", "https://www.shelhealth.com/products/krud-kutter-heavy-duty-cleaner-and-disinfectant-1-gal")</f>
        <v/>
      </c>
      <c r="C1364" t="inlineStr">
        <is>
          <t>Krud Kutter Heavy Duty Cleaner and Disinfectant (1 Gal.)</t>
        </is>
      </c>
      <c r="D1364" t="inlineStr">
        <is>
          <t>Krud Kutter DH01 Heavy Duty Cleaner and Disinfectant, 1 Gallon</t>
        </is>
      </c>
      <c r="E1364" s="2">
        <f>HYPERLINK("https://www.amazon.com/Krud-Kutter-Cleaner-Disinfectant-Gallon/dp/B005FMZ31Y/ref=sr_1_1?keywords=Krud+Kutter+Heavy+Duty+Cleaner+and+Disinfectant+%281+Gal.%29&amp;qid=1695170424&amp;sr=8-1", "https://www.amazon.com/Krud-Kutter-Cleaner-Disinfectant-Gallon/dp/B005FMZ31Y/ref=sr_1_1?keywords=Krud+Kutter+Heavy+Duty+Cleaner+and+Disinfectant+%281+Gal.%29&amp;qid=1695170424&amp;sr=8-1")</f>
        <v/>
      </c>
      <c r="F1364" t="inlineStr">
        <is>
          <t>B005FMZ31Y</t>
        </is>
      </c>
      <c r="G1364">
        <f>_xludf.IMAGE("https://www.shelhealth.com/cdn/shop/products/krud-kutter-heavy-duty-cleaner-and-disinfectant-1-gal-shelhealth-995.jpg?v=1663373994&amp;width=1946")</f>
        <v/>
      </c>
      <c r="H1364">
        <f>_xludf.IMAGE("https://m.media-amazon.com/images/I/81hRT5MmrwL._AC_UY218_.jpg")</f>
        <v/>
      </c>
      <c r="K1364" t="inlineStr">
        <is>
          <t>17.99</t>
        </is>
      </c>
      <c r="L1364" t="n">
        <v>18.99</v>
      </c>
      <c r="M1364" s="1" t="inlineStr">
        <is>
          <t>5.56%</t>
        </is>
      </c>
      <c r="N1364" s="3" t="n">
        <v>5.56</v>
      </c>
      <c r="O1364" t="n">
        <v>4.5</v>
      </c>
      <c r="P1364" t="n">
        <v>234</v>
      </c>
      <c r="R1364" t="inlineStr">
        <is>
          <t>InStock</t>
        </is>
      </c>
      <c r="S1364" t="inlineStr">
        <is>
          <t>17.99</t>
        </is>
      </c>
      <c r="T1364" t="inlineStr">
        <is>
          <t>4711397097561</t>
        </is>
      </c>
    </row>
    <row r="1365" hidden="1" ht="15.75" customHeight="1">
      <c r="A1365" s="2">
        <f>HYPERLINK("https://www.shelhealth.com/products/glad-13-gal-tall-kitchen-drawstring-plastic-trash-bags-150-ct-white", "https://www.shelhealth.com/products/glad-13-gal-tall-kitchen-drawstring-plastic-trash-bags-150-ct-white")</f>
        <v/>
      </c>
      <c r="B1365" s="2">
        <f>HYPERLINK("https://www.shelhealth.com/products/glad-13-gal-tall-kitchen-drawstring-plastic-trash-bags-150-ct-white", "https://www.shelhealth.com/products/glad-13-gal-tall-kitchen-drawstring-plastic-trash-bags-150-ct-white")</f>
        <v/>
      </c>
      <c r="C1365" t="inlineStr">
        <is>
          <t>Glad 13-Gal. Tall Kitchen Drawstring Plastic Trash Bags, 150 ct. - White</t>
        </is>
      </c>
      <c r="D1365" t="inlineStr">
        <is>
          <t>GLAD ForceFlex Tall Kitchen Drawstring White Trash Bags, Gain Original Scent with Febreze Freshness (13 gal, 150 ct.)</t>
        </is>
      </c>
      <c r="E1365" s="2">
        <f>HYPERLINK("https://www.amazon.com/ForceFlex-Kitchen-Drawstring-Original-Freshness/dp/B0C2J4WR29/ref=sr_1_8?keywords=Glad+13-Gal.+Tall+Kitchen+Drawstring+Plastic+Trash+Bags%2C+150+ct.+-+White&amp;qid=1695170433&amp;sr=8-8", "https://www.amazon.com/ForceFlex-Kitchen-Drawstring-Original-Freshness/dp/B0C2J4WR29/ref=sr_1_8?keywords=Glad+13-Gal.+Tall+Kitchen+Drawstring+Plastic+Trash+Bags%2C+150+ct.+-+White&amp;qid=1695170433&amp;sr=8-8")</f>
        <v/>
      </c>
      <c r="F1365" t="inlineStr">
        <is>
          <t>B0C2J4WR29</t>
        </is>
      </c>
      <c r="G1365">
        <f>_xludf.IMAGE("https://www.shelhealth.com/cdn/shop/products/glad-13-gal-tall-kitchen-drawstring-plastic-trash-bags-150-ct-white-shelhealth-340.jpg?v=1663354914&amp;width=1946")</f>
        <v/>
      </c>
      <c r="H1365">
        <f>_xludf.IMAGE("https://m.media-amazon.com/images/I/71VrQVWKJtL._AC_UL320_.jpg")</f>
        <v/>
      </c>
      <c r="K1365" t="inlineStr">
        <is>
          <t>30.99</t>
        </is>
      </c>
      <c r="L1365" t="n">
        <v>32.7</v>
      </c>
      <c r="M1365" s="1" t="inlineStr">
        <is>
          <t>5.52%</t>
        </is>
      </c>
      <c r="N1365" s="3" t="n">
        <v>5.52</v>
      </c>
      <c r="O1365" t="n">
        <v>5</v>
      </c>
      <c r="P1365" t="n">
        <v>6</v>
      </c>
      <c r="R1365" t="inlineStr">
        <is>
          <t>InStock</t>
        </is>
      </c>
      <c r="S1365" t="inlineStr">
        <is>
          <t>30.99</t>
        </is>
      </c>
      <c r="T1365" t="inlineStr">
        <is>
          <t>4169511305268</t>
        </is>
      </c>
    </row>
    <row r="1366" hidden="1" ht="15.75" customHeight="1">
      <c r="A1366" s="2">
        <f>HYPERLINK("https://www.shelhealth.com/products/glad-13-gal-forceflex-odorshield-drawstring-plastic-trash-bags-120-ct-white", "https://www.shelhealth.com/products/glad-13-gal-forceflex-odorshield-drawstring-plastic-trash-bags-120-ct-white")</f>
        <v/>
      </c>
      <c r="B1366" s="2">
        <f>HYPERLINK("https://www.shelhealth.com/products/glad-13-gal-forceflex-odorshield-drawstring-plastic-trash-bags-120-ct-white", "https://www.shelhealth.com/products/glad-13-gal-forceflex-odorshield-drawstring-plastic-trash-bags-120-ct-white")</f>
        <v/>
      </c>
      <c r="C1366" t="inlineStr">
        <is>
          <t>Glad 13-Gal. ForceFlex OdorShield Drawstring Plastic Trash Bags, 120 ct. - White</t>
        </is>
      </c>
      <c r="D1366" t="inlineStr">
        <is>
          <t>GLAD ForceFlex Tall Kitchen Drawstring White Trash Bags, Gain Original Scent with Febreze Freshness (13 gal, 150 ct.)</t>
        </is>
      </c>
      <c r="E1366" s="2">
        <f>HYPERLINK("https://www.amazon.com/ForceFlex-Kitchen-Drawstring-Original-Freshness/dp/B0C2J4WR29/ref=sr_1_5?keywords=Glad+13-Gal.+ForceFlex+OdorShield+Drawstring+Plastic+Trash+Bags%2C+120+ct.+-+White&amp;qid=1695170438&amp;sr=8-5", "https://www.amazon.com/ForceFlex-Kitchen-Drawstring-Original-Freshness/dp/B0C2J4WR29/ref=sr_1_5?keywords=Glad+13-Gal.+ForceFlex+OdorShield+Drawstring+Plastic+Trash+Bags%2C+120+ct.+-+White&amp;qid=1695170438&amp;sr=8-5")</f>
        <v/>
      </c>
      <c r="F1366" t="inlineStr">
        <is>
          <t>B0C2J4WR29</t>
        </is>
      </c>
      <c r="G1366">
        <f>_xludf.IMAGE("https://www.shelhealth.com/cdn/shop/products/glad-13-gal-forceflex-odorshield-drawstring-plastic-trash-bags-120-ct-white-shelhealth-751.jpg?v=1663354933&amp;width=1946")</f>
        <v/>
      </c>
      <c r="H1366">
        <f>_xludf.IMAGE("https://m.media-amazon.com/images/I/71VrQVWKJtL._AC_UL320_.jpg")</f>
        <v/>
      </c>
      <c r="K1366" t="inlineStr">
        <is>
          <t>30.99</t>
        </is>
      </c>
      <c r="L1366" t="n">
        <v>32.7</v>
      </c>
      <c r="M1366" s="1" t="inlineStr">
        <is>
          <t>5.52%</t>
        </is>
      </c>
      <c r="N1366" s="3" t="n">
        <v>5.52</v>
      </c>
      <c r="O1366" t="n">
        <v>5</v>
      </c>
      <c r="P1366" t="n">
        <v>6</v>
      </c>
      <c r="R1366" t="inlineStr">
        <is>
          <t>InStock</t>
        </is>
      </c>
      <c r="S1366" t="inlineStr">
        <is>
          <t>30.99</t>
        </is>
      </c>
      <c r="T1366" t="inlineStr">
        <is>
          <t>4169520873524</t>
        </is>
      </c>
    </row>
    <row r="1367" hidden="1" ht="15.75" customHeight="1">
      <c r="A1367" s="2">
        <f>HYPERLINK("https://www.shelhealth.com/products/glad-forceflex-13-gal-tall-kitchen-bags-with-gain-odorshield-120-ct", "https://www.shelhealth.com/products/glad-forceflex-13-gal-tall-kitchen-bags-with-gain-odorshield-120-ct")</f>
        <v/>
      </c>
      <c r="B1367" s="2">
        <f>HYPERLINK("https://www.shelhealth.com/products/glad-forceflex-13-gal-tall-kitchen-bags-with-gain-odorshield-120-ct", "https://www.shelhealth.com/products/glad-forceflex-13-gal-tall-kitchen-bags-with-gain-odorshield-120-ct")</f>
        <v/>
      </c>
      <c r="C1367" t="inlineStr">
        <is>
          <t>Glad ForceFlex 13-Gal. Tall Kitchen Bags with Gain Odorshield, 120 ct.</t>
        </is>
      </c>
      <c r="D1367" t="inlineStr">
        <is>
          <t>GLAD ForceFlex Tall Kitchen Drawstring White Trash Bags, Gain Original Scent with Febreze Freshness (13 gal, 150 ct.)</t>
        </is>
      </c>
      <c r="E1367" s="2">
        <f>HYPERLINK("https://www.amazon.com/ForceFlex-Kitchen-Drawstring-Original-Freshness/dp/B0C2J4WR29/ref=sr_1_6?keywords=Glad+ForceFlex+13-Gal.+Tall+Kitchen+Bags+with+Gain+Odorshield%2C+120+ct.&amp;qid=1695170573&amp;sr=8-6", "https://www.amazon.com/ForceFlex-Kitchen-Drawstring-Original-Freshness/dp/B0C2J4WR29/ref=sr_1_6?keywords=Glad+ForceFlex+13-Gal.+Tall+Kitchen+Bags+with+Gain+Odorshield%2C+120+ct.&amp;qid=1695170573&amp;sr=8-6")</f>
        <v/>
      </c>
      <c r="F1367" t="inlineStr">
        <is>
          <t>B0C2J4WR29</t>
        </is>
      </c>
      <c r="G1367">
        <f>_xludf.IMAGE("https://www.shelhealth.com/cdn/shop/products/glad-forceflex-13-gal-tall-kitchen-bags-with-gain-odorshield-120-ct-shelhealth-778.jpg?v=1663354927&amp;width=1946")</f>
        <v/>
      </c>
      <c r="H1367">
        <f>_xludf.IMAGE("https://m.media-amazon.com/images/I/71VrQVWKJtL._AC_UL320_.jpg")</f>
        <v/>
      </c>
      <c r="K1367" t="inlineStr">
        <is>
          <t>30.99</t>
        </is>
      </c>
      <c r="L1367" t="n">
        <v>32.7</v>
      </c>
      <c r="M1367" s="1" t="inlineStr">
        <is>
          <t>5.52%</t>
        </is>
      </c>
      <c r="N1367" s="3" t="n">
        <v>5.52</v>
      </c>
      <c r="O1367" t="n">
        <v>5</v>
      </c>
      <c r="P1367" t="n">
        <v>6</v>
      </c>
      <c r="R1367" t="inlineStr">
        <is>
          <t>InStock</t>
        </is>
      </c>
      <c r="S1367" t="inlineStr">
        <is>
          <t>30.99</t>
        </is>
      </c>
      <c r="T1367" t="inlineStr">
        <is>
          <t>4169517596724</t>
        </is>
      </c>
    </row>
    <row r="1368" hidden="1" ht="15.75" customHeight="1">
      <c r="A1368" s="2">
        <f>HYPERLINK("https://www.shelhealth.com/products/639713990263-evolution-salt-lamp-usb-sphere-mlticolor-2-lb", "https://www.shelhealth.com/products/639713990263-evolution-salt-lamp-usb-sphere-mlticolor-2-lb")</f>
        <v/>
      </c>
      <c r="B1368" s="2">
        <f>HYPERLINK("https://www.shelhealth.com/products/639713990263-evolution-salt-lamp-usb-sphere-mlticolor-2-lb", "https://www.shelhealth.com/products/639713990263-evolution-salt-lamp-usb-sphere-mlticolor-2-lb")</f>
        <v/>
      </c>
      <c r="C1368" t="inlineStr">
        <is>
          <t>EVOLUTION SALT Lamp Usb Sphere Mlticolor, 2 lb</t>
        </is>
      </c>
      <c r="D1368" t="inlineStr">
        <is>
          <t>Evolution Salt SL USB Sphere Himalayan Salt Lamp Multi Color Changing 1-2 lbs, 1 EA</t>
        </is>
      </c>
      <c r="E1368" s="2">
        <f>HYPERLINK("https://www.amazon.com/Evolution-Salt-Sphere-Himalayan-Changing/dp/B01BHFBC7Q/ref=sr_1_1?keywords=evolution+salt+lamp+usb+sphere+multicolor%2C+2+lb&amp;qid=1695170514&amp;sr=8-1", "https://www.amazon.com/Evolution-Salt-Sphere-Himalayan-Changing/dp/B01BHFBC7Q/ref=sr_1_1?keywords=evolution+salt+lamp+usb+sphere+multicolor%2C+2+lb&amp;qid=1695170514&amp;sr=8-1")</f>
        <v/>
      </c>
      <c r="F1368" t="inlineStr">
        <is>
          <t>B01BHFBC7Q</t>
        </is>
      </c>
      <c r="G1368">
        <f>_xludf.IMAGE("https://www.shelhealth.com/cdn/shop/files/evolution-salt-lamp-usb-sphere-mlticolor-2-lb-home-products-shelhealth-780.jpg?v=1686211500&amp;width=1946")</f>
        <v/>
      </c>
      <c r="H1368">
        <f>_xludf.IMAGE("https://m.media-amazon.com/images/I/71i0ipQbBAL._AC_UL320_.jpg")</f>
        <v/>
      </c>
      <c r="K1368" t="inlineStr">
        <is>
          <t>18.99</t>
        </is>
      </c>
      <c r="L1368" t="n">
        <v>19.95</v>
      </c>
      <c r="M1368" s="1" t="inlineStr">
        <is>
          <t>5.06%</t>
        </is>
      </c>
      <c r="N1368" s="3" t="n">
        <v>5.06</v>
      </c>
      <c r="O1368" t="n">
        <v>4</v>
      </c>
      <c r="P1368" t="n">
        <v>59</v>
      </c>
      <c r="R1368" t="inlineStr">
        <is>
          <t>OutOfStock</t>
        </is>
      </c>
      <c r="S1368" t="inlineStr">
        <is>
          <t>18.99</t>
        </is>
      </c>
      <c r="T1368" t="inlineStr">
        <is>
          <t>7574079733992</t>
        </is>
      </c>
    </row>
    <row r="1369" hidden="1" ht="15.75" customHeight="1">
      <c r="A1369" s="2">
        <f>HYPERLINK("https://www.shelhealth.com/products/bona-hardwood-floor-cleaner-22-oz-with-96-oz-refill", "https://www.shelhealth.com/products/bona-hardwood-floor-cleaner-22-oz-with-96-oz-refill")</f>
        <v/>
      </c>
      <c r="B1369" s="2">
        <f>HYPERLINK("https://www.shelhealth.com/products/bona-hardwood-floor-cleaner-22-oz-with-96-oz-refill", "https://www.shelhealth.com/products/bona-hardwood-floor-cleaner-22-oz-with-96-oz-refill")</f>
        <v/>
      </c>
      <c r="C1369" t="inlineStr">
        <is>
          <t>Bona Hardwood Floor Cleaner, 22 oz. with 96 oz. Refill</t>
        </is>
      </c>
      <c r="D1369" t="inlineStr">
        <is>
          <t>Bona Hardwood Floor Cleaner, Original Formula, 96 Ounce Refill, Plus Bonus 22 Ounce Spray</t>
        </is>
      </c>
      <c r="E1369" s="2">
        <f>HYPERLINK("https://www.amazon.com/Bona-Hardwood-Cleaner-Original-Formula/dp/B07GC6N35C/ref=sr_1_1?keywords=Bona+Hardwood+Floor+Cleaner%2C+22+oz.+with+96+oz.+Refill&amp;qid=1695170445&amp;sr=8-1", "https://www.amazon.com/Bona-Hardwood-Cleaner-Original-Formula/dp/B07GC6N35C/ref=sr_1_1?keywords=Bona+Hardwood+Floor+Cleaner%2C+22+oz.+with+96+oz.+Refill&amp;qid=1695170445&amp;sr=8-1")</f>
        <v/>
      </c>
      <c r="F1369" t="inlineStr">
        <is>
          <t>B07GC6N35C</t>
        </is>
      </c>
      <c r="G1369">
        <f>_xludf.IMAGE("https://www.shelhealth.com/cdn/shop/files/bona-hardwood-floor-cleaner-22-oz-with-96-refill-grocery-household-petcleaning-goods-shelhealth-504.jpg?v=1686283074&amp;width=1946")</f>
        <v/>
      </c>
      <c r="H1369">
        <f>_xludf.IMAGE("https://m.media-amazon.com/images/I/71msibe7EHL._AC_UL320_.jpg")</f>
        <v/>
      </c>
      <c r="K1369" t="inlineStr">
        <is>
          <t>27.99</t>
        </is>
      </c>
      <c r="L1369" t="n">
        <v>29.39</v>
      </c>
      <c r="M1369" s="1" t="inlineStr">
        <is>
          <t>5.00%</t>
        </is>
      </c>
      <c r="N1369" s="3" t="n">
        <v>5</v>
      </c>
      <c r="O1369" t="n">
        <v>4.6</v>
      </c>
      <c r="P1369" t="n">
        <v>300</v>
      </c>
      <c r="R1369" t="inlineStr">
        <is>
          <t>InStock</t>
        </is>
      </c>
      <c r="S1369" t="inlineStr">
        <is>
          <t>27.99</t>
        </is>
      </c>
      <c r="T1369" t="inlineStr">
        <is>
          <t>4169651585076</t>
        </is>
      </c>
    </row>
    <row r="1370" hidden="1" ht="15.75" customHeight="1">
      <c r="A1370" s="2">
        <f>HYPERLINK("https://www.shelhealth.com/products/808124700475-mrs-meyers-clean-day-mum-dish-soap-16-oz", "https://www.shelhealth.com/products/808124700475-mrs-meyers-clean-day-mum-dish-soap-16-oz")</f>
        <v/>
      </c>
      <c r="B1370" s="2">
        <f>HYPERLINK("https://www.shelhealth.com/products/808124700475-mrs-meyers-clean-day-mum-dish-soap-16-oz", "https://www.shelhealth.com/products/808124700475-mrs-meyers-clean-day-mum-dish-soap-16-oz")</f>
        <v/>
      </c>
      <c r="C1370" t="inlineStr">
        <is>
          <t>Mrs Meyers Clean Day Mum Dish Soap, 16 Oz (Case of 3)</t>
        </is>
      </c>
      <c r="D1370" t="inlineStr">
        <is>
          <t>MRS. MEYER'S CLEAN DAY Liquid Dish Soap, Biodegradable Formula, Mum, 16 Fl Oz. (Pack of 3)</t>
        </is>
      </c>
      <c r="E1370" s="2">
        <f>HYPERLINK("https://www.amazon.com/MRS-MEYERS-CLEAN-DAY-Biodegradable/dp/B0BWZVRGNZ/ref=sr_1_1?keywords=Mrs+Meyers+Clean+Day+Mum+Dish+Soap%2C+16+Oz+%28Case+of+3%29&amp;qid=1695170489&amp;sr=8-1", "https://www.amazon.com/MRS-MEYERS-CLEAN-DAY-Biodegradable/dp/B0BWZVRGNZ/ref=sr_1_1?keywords=Mrs+Meyers+Clean+Day+Mum+Dish+Soap%2C+16+Oz+%28Case+of+3%29&amp;qid=1695170489&amp;sr=8-1")</f>
        <v/>
      </c>
      <c r="F1370" t="inlineStr">
        <is>
          <t>B0BWZVRGNZ</t>
        </is>
      </c>
      <c r="G1370">
        <f>_xludf.IMAGE("https://www.shelhealth.com/cdn/shop/files/mrs-meyers-clean-day-mum-dish-soap-16-oz-case-of-3-home-products-shelhealth-132.jpg?v=1686141945&amp;width=1946")</f>
        <v/>
      </c>
      <c r="H1370">
        <f>_xludf.IMAGE("https://m.media-amazon.com/images/I/51w5ELP3sKL._AC_UL320_.jpg")</f>
        <v/>
      </c>
      <c r="K1370" t="inlineStr">
        <is>
          <t>20.99</t>
        </is>
      </c>
      <c r="L1370" t="n">
        <v>22.01</v>
      </c>
      <c r="M1370" s="1" t="inlineStr">
        <is>
          <t>4.86%</t>
        </is>
      </c>
      <c r="N1370" s="3" t="n">
        <v>4.86</v>
      </c>
      <c r="O1370" t="n">
        <v>3.5</v>
      </c>
      <c r="P1370" t="n">
        <v>4</v>
      </c>
      <c r="R1370" t="inlineStr">
        <is>
          <t>OutOfStock</t>
        </is>
      </c>
      <c r="S1370" t="inlineStr">
        <is>
          <t>20.99</t>
        </is>
      </c>
      <c r="T1370" t="inlineStr">
        <is>
          <t>7241834201276</t>
        </is>
      </c>
    </row>
    <row r="1371" hidden="1" ht="15.75" customHeight="1">
      <c r="A1371" s="2">
        <f>HYPERLINK("https://www.shelhealth.com/products/scotch-brite-50-sticker-95-sheet-lint-roller-3-pk", "https://www.shelhealth.com/products/scotch-brite-50-sticker-95-sheet-lint-roller-3-pk")</f>
        <v/>
      </c>
      <c r="B1371" s="2">
        <f>HYPERLINK("https://www.shelhealth.com/products/scotch-brite-50-sticker-95-sheet-lint-roller-3-pk", "https://www.shelhealth.com/products/scotch-brite-50-sticker-95-sheet-lint-roller-3-pk")</f>
        <v/>
      </c>
      <c r="C1371" t="inlineStr">
        <is>
          <t>Scotch-Brite 50% Sticker 95-Sheet Lint Roller, 3 pk.</t>
        </is>
      </c>
      <c r="D1371" t="inlineStr">
        <is>
          <t>3M Scotch-Brite Lint Roller, 95 Sheets (3 Pack)</t>
        </is>
      </c>
      <c r="E1371" s="2">
        <f>HYPERLINK("https://www.amazon.com/Scotch-Brite-Lint-Roller-Sheets-Pack/dp/B00SVICTO8/ref=sr_1_4?keywords=Scotch-Brite+50%25+Sticker+95-Sheet+Lint+Roller%2C+3+pk.&amp;qid=1695170568&amp;sr=8-4", "https://www.amazon.com/Scotch-Brite-Lint-Roller-Sheets-Pack/dp/B00SVICTO8/ref=sr_1_4?keywords=Scotch-Brite+50%25+Sticker+95-Sheet+Lint+Roller%2C+3+pk.&amp;qid=1695170568&amp;sr=8-4")</f>
        <v/>
      </c>
      <c r="F1371" t="inlineStr">
        <is>
          <t>B00SVICTO8</t>
        </is>
      </c>
      <c r="G1371">
        <f>_xludf.IMAGE("https://www.shelhealth.com/cdn/shop/products/scotch-brite-50-sticker-95-sheet-lint-roller-3-pk-shelhealth-383.jpg?v=1663354603&amp;width=1946")</f>
        <v/>
      </c>
      <c r="H1371">
        <f>_xludf.IMAGE("https://m.media-amazon.com/images/I/31f1dzuL6PL._AC_UL320_.jpg")</f>
        <v/>
      </c>
      <c r="K1371" t="inlineStr">
        <is>
          <t>20.99</t>
        </is>
      </c>
      <c r="L1371" t="n">
        <v>21.98</v>
      </c>
      <c r="M1371" s="1" t="inlineStr">
        <is>
          <t>4.72%</t>
        </is>
      </c>
      <c r="N1371" s="3" t="n">
        <v>4.72</v>
      </c>
      <c r="O1371" t="n">
        <v>4.1</v>
      </c>
      <c r="P1371" t="n">
        <v>49</v>
      </c>
      <c r="R1371" t="inlineStr">
        <is>
          <t>InStock</t>
        </is>
      </c>
      <c r="S1371" t="inlineStr">
        <is>
          <t>20.99</t>
        </is>
      </c>
      <c r="T1371" t="inlineStr">
        <is>
          <t>4167667351604</t>
        </is>
      </c>
    </row>
    <row r="1372" hidden="1" ht="15.75" customHeight="1">
      <c r="A1372" s="2">
        <f>HYPERLINK("https://www.shelhealth.com/products/feit-electric-dimmable-led-br-30-flood-65w-soft-white-6-count", "https://www.shelhealth.com/products/feit-electric-dimmable-led-br-30-flood-65w-soft-white-6-count")</f>
        <v/>
      </c>
      <c r="B1372" s="2">
        <f>HYPERLINK("https://www.shelhealth.com/products/feit-electric-dimmable-led-br-30-flood-65w-soft-white-6-count", "https://www.shelhealth.com/products/feit-electric-dimmable-led-br-30-flood-65w-soft-white-6-count")</f>
        <v/>
      </c>
      <c r="C1372" t="inlineStr">
        <is>
          <t>Feit Electric Dimmable Led BR 30 Flood 65W Soft White, 6 Count</t>
        </is>
      </c>
      <c r="D1372" t="inlineStr">
        <is>
          <t>Feit Electric Dimmable Led BR 30 Flood 65W 6 Pack Daylight, 6Count(Pack of 1)</t>
        </is>
      </c>
      <c r="E1372" s="2">
        <f>HYPERLINK("https://www.amazon.com/Feit-Electric-Dimmable-Daylight-6Count/dp/B07NRBT3V8/ref=sr_1_2?keywords=Feit+Electric+Dimmable+Led+BR+30+Flood+65W+Soft+White%2C+6+Count&amp;qid=1695170551&amp;sr=8-2", "https://www.amazon.com/Feit-Electric-Dimmable-Daylight-6Count/dp/B07NRBT3V8/ref=sr_1_2?keywords=Feit+Electric+Dimmable+Led+BR+30+Flood+65W+Soft+White%2C+6+Count&amp;qid=1695170551&amp;sr=8-2")</f>
        <v/>
      </c>
      <c r="F1372" t="inlineStr">
        <is>
          <t>B07NRBT3V8</t>
        </is>
      </c>
      <c r="G1372">
        <f>_xludf.IMAGE("https://www.shelhealth.com/cdn/shop/products/feit-electric-dimmable-led-br-30-flood-65w-soft-white-6-count-shelhealth-424.jpg?v=1663357848&amp;width=1946")</f>
        <v/>
      </c>
      <c r="H1372">
        <f>_xludf.IMAGE("https://m.media-amazon.com/images/I/71T5FJAXEeL._AC_UL320_.jpg")</f>
        <v/>
      </c>
      <c r="K1372" t="inlineStr">
        <is>
          <t>21.99</t>
        </is>
      </c>
      <c r="L1372" t="n">
        <v>23</v>
      </c>
      <c r="M1372" s="1" t="inlineStr">
        <is>
          <t>4.59%</t>
        </is>
      </c>
      <c r="N1372" s="3" t="n">
        <v>4.59</v>
      </c>
      <c r="O1372" t="n">
        <v>4.4</v>
      </c>
      <c r="P1372" t="n">
        <v>117</v>
      </c>
      <c r="R1372" t="inlineStr">
        <is>
          <t>InStock</t>
        </is>
      </c>
      <c r="S1372" t="inlineStr">
        <is>
          <t>21.99</t>
        </is>
      </c>
      <c r="T1372" t="inlineStr">
        <is>
          <t>4268904579124</t>
        </is>
      </c>
    </row>
    <row r="1373" hidden="1" ht="15.75" customHeight="1">
      <c r="A1373" s="2">
        <f>HYPERLINK("https://www.shelhealth.com/products/merrick-non-slip-rubberized-hangers-20-pack", "https://www.shelhealth.com/products/merrick-non-slip-rubberized-hangers-20-pack")</f>
        <v/>
      </c>
      <c r="B1373" s="2">
        <f>HYPERLINK("https://www.shelhealth.com/products/merrick-non-slip-rubberized-hangers-20-pack", "https://www.shelhealth.com/products/merrick-non-slip-rubberized-hangers-20-pack")</f>
        <v/>
      </c>
      <c r="C1373" t="inlineStr">
        <is>
          <t>merrick non slip rubberized hangers, 20 pack</t>
        </is>
      </c>
      <c r="D1373" t="inlineStr">
        <is>
          <t>ELONG HOME Plastic Clothes Hangers, Upgraded Rubber Non Slip Plastic Hangers, Non Velvet Durable Slim Clothing Hangers, 17.7 Inches Wide for Adults Clothes, 20 Pack</t>
        </is>
      </c>
      <c r="E1373" s="2">
        <f>HYPERLINK("https://www.amazon.com/Standard-Clothes-Hangers-Plastic-Clothing/dp/B07L9W7F91/ref=sr_1_3?keywords=merrick+non+slip+rubberized+hangers%2C+20+pack&amp;qid=1695170569&amp;sr=8-3", "https://www.amazon.com/Standard-Clothes-Hangers-Plastic-Clothing/dp/B07L9W7F91/ref=sr_1_3?keywords=merrick+non+slip+rubberized+hangers%2C+20+pack&amp;qid=1695170569&amp;sr=8-3")</f>
        <v/>
      </c>
      <c r="F1373" t="inlineStr">
        <is>
          <t>B07L9W7F91</t>
        </is>
      </c>
      <c r="G1373">
        <f>_xludf.IMAGE("https://www.shelhealth.com/cdn/shop/products/merrick-non-slip-rubberized-hangers-20-pack-shelhealth-923.jpg?v=1663357221&amp;width=1946")</f>
        <v/>
      </c>
      <c r="H1373">
        <f>_xludf.IMAGE("https://m.media-amazon.com/images/I/71OE04NZxVL._AC_UL320_.jpg")</f>
        <v/>
      </c>
      <c r="K1373" t="inlineStr">
        <is>
          <t>21.99</t>
        </is>
      </c>
      <c r="L1373" t="n">
        <v>22.98</v>
      </c>
      <c r="M1373" s="1" t="inlineStr">
        <is>
          <t>4.50%</t>
        </is>
      </c>
      <c r="N1373" s="3" t="n">
        <v>4.5</v>
      </c>
      <c r="O1373" t="n">
        <v>4.8</v>
      </c>
      <c r="P1373" t="n">
        <v>630</v>
      </c>
      <c r="R1373" t="inlineStr">
        <is>
          <t>OutOfStock</t>
        </is>
      </c>
      <c r="S1373" t="inlineStr">
        <is>
          <t>21.99</t>
        </is>
      </c>
      <c r="T1373" t="inlineStr">
        <is>
          <t>4179256672308</t>
        </is>
      </c>
    </row>
    <row r="1374" hidden="1" ht="15.75" customHeight="1">
      <c r="A1374" s="2">
        <f>HYPERLINK("https://www.shelhealth.com/products/ultra-downy-april-fresh-liquid-fabric-conditioner-170-fl-oz", "https://www.shelhealth.com/products/ultra-downy-april-fresh-liquid-fabric-conditioner-170-fl-oz")</f>
        <v/>
      </c>
      <c r="B1374" s="2">
        <f>HYPERLINK("https://www.shelhealth.com/products/ultra-downy-april-fresh-liquid-fabric-conditioner-170-fl-oz", "https://www.shelhealth.com/products/ultra-downy-april-fresh-liquid-fabric-conditioner-170-fl-oz")</f>
        <v/>
      </c>
      <c r="C1374" t="inlineStr">
        <is>
          <t>Ultra Downy April Fresh Liquid Fabric Conditioner, 170 fl. oz.</t>
        </is>
      </c>
      <c r="D1374" t="inlineStr">
        <is>
          <t>Downy Ultra Liquid Fabric Conditioner, April Fresh (138 fl. oz, 204 loads)</t>
        </is>
      </c>
      <c r="E1374" s="2">
        <f>HYPERLINK("https://www.amazon.com/Downy-Ultra-Liquid-Fabric-Conditioner/dp/B07ZBSGVML/ref=sr_1_7?keywords=Ultra+Downy+April+Fresh+Liquid+Fabric+Conditioner%2C+170+fl.+oz.&amp;qid=1695170558&amp;sr=8-7", "https://www.amazon.com/Downy-Ultra-Liquid-Fabric-Conditioner/dp/B07ZBSGVML/ref=sr_1_7?keywords=Ultra+Downy+April+Fresh+Liquid+Fabric+Conditioner%2C+170+fl.+oz.&amp;qid=1695170558&amp;sr=8-7")</f>
        <v/>
      </c>
      <c r="F1374" t="inlineStr">
        <is>
          <t>B07ZBSGVML</t>
        </is>
      </c>
      <c r="G1374">
        <f>_xludf.IMAGE("https://www.shelhealth.com/cdn/shop/products/ultra-downy-april-fresh-liquid-fabric-conditioner-170-fl-oz-shelhealth-264.jpg?v=1663356583&amp;width=1946")</f>
        <v/>
      </c>
      <c r="H1374">
        <f>_xludf.IMAGE("https://m.media-amazon.com/images/I/71MErJ+dwFL._AC_UL320_.jpg")</f>
        <v/>
      </c>
      <c r="K1374" t="inlineStr">
        <is>
          <t>27.99</t>
        </is>
      </c>
      <c r="L1374" t="n">
        <v>29.19</v>
      </c>
      <c r="M1374" s="1" t="inlineStr">
        <is>
          <t>4.29%</t>
        </is>
      </c>
      <c r="N1374" s="3" t="n">
        <v>4.29</v>
      </c>
      <c r="O1374" t="n">
        <v>4.8</v>
      </c>
      <c r="P1374" t="n">
        <v>2409</v>
      </c>
      <c r="R1374" t="inlineStr">
        <is>
          <t>InStock</t>
        </is>
      </c>
      <c r="S1374" t="inlineStr">
        <is>
          <t>27.99</t>
        </is>
      </c>
      <c r="T1374" t="inlineStr">
        <is>
          <t>4179002916916</t>
        </is>
      </c>
    </row>
    <row r="1375" hidden="1" ht="15.75" customHeight="1">
      <c r="A1375" s="2">
        <f>HYPERLINK("https://www.shelhealth.com/products/o-cedar-dual-action-micro-fiber-flip-mop", "https://www.shelhealth.com/products/o-cedar-dual-action-micro-fiber-flip-mop")</f>
        <v/>
      </c>
      <c r="B1375" s="2">
        <f>HYPERLINK("https://www.shelhealth.com/products/o-cedar-dual-action-micro-fiber-flip-mop", "https://www.shelhealth.com/products/o-cedar-dual-action-micro-fiber-flip-mop")</f>
        <v/>
      </c>
      <c r="C1375" t="inlineStr">
        <is>
          <t>O-Cedar Dual-Action Micro Fiber Flip Mop</t>
        </is>
      </c>
      <c r="D1375" t="inlineStr">
        <is>
          <t>4 Pack Microfiber Flip Mop Refills,Compatible with O-Cedar Dual Action Mop,Replacement Mop Heads for Dry/Wet Use,Machine Washable</t>
        </is>
      </c>
      <c r="E1375" s="2">
        <f>HYPERLINK("https://www.amazon.com/Microfiber-Refills-Replacements-Compatible-Action/dp/B0957DGB1B/ref=sr_1_4?keywords=o-cedar+dual-action+microfiber+flip+mop&amp;qid=1695170453&amp;sr=8-4", "https://www.amazon.com/Microfiber-Refills-Replacements-Compatible-Action/dp/B0957DGB1B/ref=sr_1_4?keywords=o-cedar+dual-action+microfiber+flip+mop&amp;qid=1695170453&amp;sr=8-4")</f>
        <v/>
      </c>
      <c r="F1375" t="inlineStr">
        <is>
          <t>B0957DGB1B</t>
        </is>
      </c>
      <c r="G1375">
        <f>_xludf.IMAGE("https://www.shelhealth.com/cdn/shop/products/o-cedar-dual-action-micro-fiber-flip-mop-shelhealth-130.jpg?v=1663357602&amp;width=1946")</f>
        <v/>
      </c>
      <c r="H1375">
        <f>_xludf.IMAGE("https://m.media-amazon.com/images/I/81BWvrIubxL._AC_UL320_.jpg")</f>
        <v/>
      </c>
      <c r="K1375" t="inlineStr">
        <is>
          <t>23.99</t>
        </is>
      </c>
      <c r="L1375" t="n">
        <v>25</v>
      </c>
      <c r="M1375" s="1" t="inlineStr">
        <is>
          <t>4.21%</t>
        </is>
      </c>
      <c r="N1375" s="3" t="n">
        <v>4.21</v>
      </c>
      <c r="O1375" t="n">
        <v>4.7</v>
      </c>
      <c r="P1375" t="n">
        <v>188</v>
      </c>
      <c r="R1375" t="inlineStr">
        <is>
          <t>OutOfStock</t>
        </is>
      </c>
      <c r="S1375" t="inlineStr">
        <is>
          <t>23.99</t>
        </is>
      </c>
      <c r="T1375" t="inlineStr">
        <is>
          <t>4251125514292</t>
        </is>
      </c>
    </row>
    <row r="1376" hidden="1" ht="15.75" customHeight="1">
      <c r="A1376" s="2">
        <f>HYPERLINK("https://www.shelhealth.com/products/mr-clean-magic-eraser-variety-pack-11-pads", "https://www.shelhealth.com/products/mr-clean-magic-eraser-variety-pack-11-pads")</f>
        <v/>
      </c>
      <c r="B1376" s="2">
        <f>HYPERLINK("https://www.shelhealth.com/products/mr-clean-magic-eraser-variety-pack-11-pads", "https://www.shelhealth.com/products/mr-clean-magic-eraser-variety-pack-11-pads")</f>
        <v/>
      </c>
      <c r="C1376" t="inlineStr">
        <is>
          <t>Mr. Clean Magic Eraser Variety Pack, 11 Pads</t>
        </is>
      </c>
      <c r="D1376" t="inlineStr">
        <is>
          <t>Mr. Clean Magic Eraser Variety Pack (with Bath, Kitchen, and Extra Durable Cleaning Pads), Bathroom, Shower, and Oven Cleaner, 12 Count, 6 Count (Pack of 2)</t>
        </is>
      </c>
      <c r="E1376" s="2">
        <f>HYPERLINK("https://www.amazon.com/Clean-Variety-Kitchen-Durable-Cleaning/dp/B08QTZRFYC/ref=sr_1_3?keywords=Mr.+Clean+Magic+Eraser+Variety+Pack%2C+11+Pads&amp;qid=1695170568&amp;sr=8-3", "https://www.amazon.com/Clean-Variety-Kitchen-Durable-Cleaning/dp/B08QTZRFYC/ref=sr_1_3?keywords=Mr.+Clean+Magic+Eraser+Variety+Pack%2C+11+Pads&amp;qid=1695170568&amp;sr=8-3")</f>
        <v/>
      </c>
      <c r="F1376" t="inlineStr">
        <is>
          <t>B08QTZRFYC</t>
        </is>
      </c>
      <c r="G1376">
        <f>_xludf.IMAGE("https://www.shelhealth.com/cdn/shop/products/mr-clean-magic-eraser-variety-pack-11-pads-shelhealth-109.jpg?v=1663342926&amp;width=1946")</f>
        <v/>
      </c>
      <c r="H1376">
        <f>_xludf.IMAGE("https://m.media-amazon.com/images/I/71ZbfchvKHL._AC_UL320_.jpg")</f>
        <v/>
      </c>
      <c r="K1376" t="inlineStr">
        <is>
          <t>16.99</t>
        </is>
      </c>
      <c r="L1376" t="n">
        <v>17.68</v>
      </c>
      <c r="M1376" s="1" t="inlineStr">
        <is>
          <t>4.06%</t>
        </is>
      </c>
      <c r="N1376" s="3" t="n">
        <v>4.06</v>
      </c>
      <c r="O1376" t="n">
        <v>4.7</v>
      </c>
      <c r="P1376" t="n">
        <v>3015</v>
      </c>
      <c r="R1376" t="inlineStr">
        <is>
          <t>InStock</t>
        </is>
      </c>
      <c r="S1376" t="inlineStr">
        <is>
          <t>16.99</t>
        </is>
      </c>
      <c r="T1376" t="inlineStr">
        <is>
          <t>3818795204660</t>
        </is>
      </c>
    </row>
    <row r="1377" hidden="1" ht="15.75" customHeight="1">
      <c r="A1377" s="2">
        <f>HYPERLINK("https://www.shelhealth.com/products/dawn-dish-soap-ultra-platinum-advanced-power-4x-more-90-fl-oz", "https://www.shelhealth.com/products/dawn-dish-soap-ultra-platinum-advanced-power-4x-more-90-fl-oz")</f>
        <v/>
      </c>
      <c r="B1377" s="2">
        <f>HYPERLINK("https://www.shelhealth.com/products/dawn-dish-soap-ultra-platinum-advanced-power-4x-more-90-fl-oz", "https://www.shelhealth.com/products/dawn-dish-soap-ultra-platinum-advanced-power-4x-more-90-fl-oz")</f>
        <v/>
      </c>
      <c r="C1377" t="inlineStr">
        <is>
          <t>Dawn Dish Soap, Ultra Platinum Advanced Power 4X More 90 Fl. OZ</t>
        </is>
      </c>
      <c r="D1377" t="inlineStr">
        <is>
          <t>Dawn Dish Soap, Ultra Platinum Advanced Power 4X More (24 Fl. OZ x 3)</t>
        </is>
      </c>
      <c r="E1377" s="2">
        <f>HYPERLINK("https://www.amazon.com/Dawn-Ultra-Platinum-Advanced-Power/dp/B07FNXMJQW/ref=sr_1_1?keywords=Dawn+Dish+Soap%2C+Ultra+Platinum+Advanced+Power+4X+More+90+Fl.+OZ&amp;qid=1695170382&amp;sr=8-1", "https://www.amazon.com/Dawn-Ultra-Platinum-Advanced-Power/dp/B07FNXMJQW/ref=sr_1_1?keywords=Dawn+Dish+Soap%2C+Ultra+Platinum+Advanced+Power+4X+More+90+Fl.+OZ&amp;qid=1695170382&amp;sr=8-1")</f>
        <v/>
      </c>
      <c r="F1377" t="inlineStr">
        <is>
          <t>B07FNXMJQW</t>
        </is>
      </c>
      <c r="G1377">
        <f>_xludf.IMAGE("https://www.shelhealth.com/cdn/shop/products/dawn-dish-soap-ultra-platinum-advanced-power-4x-more-90-fl-oz-shelhealth-761.jpg?v=1663343123&amp;width=1946")</f>
        <v/>
      </c>
      <c r="H1377">
        <f>_xludf.IMAGE("https://m.media-amazon.com/images/I/81wK8wbPY-L._AC_UL320_.jpg")</f>
        <v/>
      </c>
      <c r="K1377" t="inlineStr">
        <is>
          <t>21.99</t>
        </is>
      </c>
      <c r="L1377" t="n">
        <v>22.88</v>
      </c>
      <c r="M1377" s="1" t="inlineStr">
        <is>
          <t>4.05%</t>
        </is>
      </c>
      <c r="N1377" s="3" t="n">
        <v>4.05</v>
      </c>
      <c r="O1377" t="n">
        <v>4.8</v>
      </c>
      <c r="P1377" t="n">
        <v>3137</v>
      </c>
      <c r="R1377" t="inlineStr">
        <is>
          <t>InStock</t>
        </is>
      </c>
      <c r="S1377" t="inlineStr">
        <is>
          <t>21.99</t>
        </is>
      </c>
      <c r="T1377" t="inlineStr">
        <is>
          <t>3819436048436</t>
        </is>
      </c>
    </row>
    <row r="1378" hidden="1" ht="15.75" customHeight="1">
      <c r="A1378" s="2">
        <f>HYPERLINK("https://www.shelhealth.com/products/finish-powerball-max-in-1-automatic-dishwasher-detergent-tablets-117-ct", "https://www.shelhealth.com/products/finish-powerball-max-in-1-automatic-dishwasher-detergent-tablets-117-ct")</f>
        <v/>
      </c>
      <c r="B1378" s="2">
        <f>HYPERLINK("https://www.shelhealth.com/products/finish-powerball-max-in-1-automatic-dishwasher-detergent-tablets-117-ct", "https://www.shelhealth.com/products/finish-powerball-max-in-1-automatic-dishwasher-detergent-tablets-117-ct")</f>
        <v/>
      </c>
      <c r="C1378" t="inlineStr">
        <is>
          <t>Finish Powerball Max-in-1 Automatic Dishwasher Detergent Tablets, 117 ct.</t>
        </is>
      </c>
      <c r="D1378" t="inlineStr">
        <is>
          <t>Finish - Max in 1 - 82ct - Dishwasher Detergent - Powerball - Dishwashing Tablets - Dish Tabs</t>
        </is>
      </c>
      <c r="E1378" s="2">
        <f>HYPERLINK("https://www.amazon.com/Finish-Dishwasher-Detergent-Powerball-Dishwashing/dp/B06XXDBVC1/ref=sr_1_8?keywords=Finish+Powerball+Max-in-1+Automatic+Dishwasher+Detergent+Tablets%2C+117+ct.&amp;qid=1695170566&amp;sr=8-8", "https://www.amazon.com/Finish-Dishwasher-Detergent-Powerball-Dishwashing/dp/B06XXDBVC1/ref=sr_1_8?keywords=Finish+Powerball+Max-in-1+Automatic+Dishwasher+Detergent+Tablets%2C+117+ct.&amp;qid=1695170566&amp;sr=8-8")</f>
        <v/>
      </c>
      <c r="F1378" t="inlineStr">
        <is>
          <t>B06XXDBVC1</t>
        </is>
      </c>
      <c r="G1378">
        <f>_xludf.IMAGE("https://www.shelhealth.com/cdn/shop/products/finish-powerball-max-in-1-automatic-dishwasher-detergent-tablets-117-ct-shelhealth-544.jpg?v=1663355177&amp;width=1946")</f>
        <v/>
      </c>
      <c r="H1378">
        <f>_xludf.IMAGE("https://m.media-amazon.com/images/I/61skvh5GVSL._AC_UL320_.jpg")</f>
        <v/>
      </c>
      <c r="K1378" t="inlineStr">
        <is>
          <t>25.99</t>
        </is>
      </c>
      <c r="L1378" t="n">
        <v>27</v>
      </c>
      <c r="M1378" s="1" t="inlineStr">
        <is>
          <t>3.89%</t>
        </is>
      </c>
      <c r="N1378" s="3" t="n">
        <v>3.89</v>
      </c>
      <c r="O1378" t="n">
        <v>4.7</v>
      </c>
      <c r="P1378" t="n">
        <v>2071</v>
      </c>
      <c r="R1378" t="inlineStr">
        <is>
          <t>OutOfStock</t>
        </is>
      </c>
      <c r="S1378" t="inlineStr">
        <is>
          <t>25.99</t>
        </is>
      </c>
      <c r="T1378" t="inlineStr">
        <is>
          <t>4169699196980</t>
        </is>
      </c>
    </row>
    <row r="1379" hidden="1" ht="15.75" customHeight="1">
      <c r="A1379" s="2">
        <f>HYPERLINK("https://www.shelhealth.com/products/iron-out-powder-rust-stain-remover-2-x-76-oz", "https://www.shelhealth.com/products/iron-out-powder-rust-stain-remover-2-x-76-oz")</f>
        <v/>
      </c>
      <c r="B1379" s="2">
        <f>HYPERLINK("https://www.shelhealth.com/products/iron-out-powder-rust-stain-remover-2-x-76-oz", "https://www.shelhealth.com/products/iron-out-powder-rust-stain-remover-2-x-76-oz")</f>
        <v/>
      </c>
      <c r="C1379" t="inlineStr">
        <is>
          <t>Iron OUT Powder Rust Stain Remover, 2 x 76 oz.</t>
        </is>
      </c>
      <c r="D1379" t="inlineStr">
        <is>
          <t>Iron OUT Rust Stain Remover Powder, 4 lb 12 oz, and Powerful Gel Spray, 24 fl oz</t>
        </is>
      </c>
      <c r="E1379" s="2">
        <f>HYPERLINK("https://www.amazon.com/Iron-Out-Remover-Powder-Powerful/dp/B07N4MWZ4X/ref=sr_1_1?keywords=Iron+OUT+Powder+Rust+Stain+Remover%2C+2+x+76+oz.&amp;qid=1695170543&amp;sr=8-1", "https://www.amazon.com/Iron-Out-Remover-Powder-Powerful/dp/B07N4MWZ4X/ref=sr_1_1?keywords=Iron+OUT+Powder+Rust+Stain+Remover%2C+2+x+76+oz.&amp;qid=1695170543&amp;sr=8-1")</f>
        <v/>
      </c>
      <c r="F1379" t="inlineStr">
        <is>
          <t>B07N4MWZ4X</t>
        </is>
      </c>
      <c r="G1379">
        <f>_xludf.IMAGE("https://www.shelhealth.com/cdn/shop/products/iron-out-powder-rust-stain-remover-2-x-76-oz-shelhealth-985.jpg?v=1663370441&amp;width=1946")</f>
        <v/>
      </c>
      <c r="H1379">
        <f>_xludf.IMAGE("https://m.media-amazon.com/images/I/41KrKeZYaCL._AC_UL320_.jpg")</f>
        <v/>
      </c>
      <c r="K1379" t="inlineStr">
        <is>
          <t>32.99</t>
        </is>
      </c>
      <c r="L1379" t="n">
        <v>34.23</v>
      </c>
      <c r="M1379" s="1" t="inlineStr">
        <is>
          <t>3.76%</t>
        </is>
      </c>
      <c r="N1379" s="3" t="n">
        <v>3.76</v>
      </c>
      <c r="O1379" t="n">
        <v>4.9</v>
      </c>
      <c r="P1379" t="n">
        <v>12</v>
      </c>
      <c r="R1379" t="inlineStr">
        <is>
          <t>InStock</t>
        </is>
      </c>
      <c r="S1379" t="inlineStr">
        <is>
          <t>32.99</t>
        </is>
      </c>
      <c r="T1379" t="inlineStr">
        <is>
          <t>4664144298073</t>
        </is>
      </c>
    </row>
    <row r="1380" hidden="1" ht="15.75" customHeight="1">
      <c r="A1380" s="2">
        <f>HYPERLINK("https://www.shelhealth.com/products/off-deep-woods-dry-insect-repellent-bug-spray-3-pack-towelettes", "https://www.shelhealth.com/products/off-deep-woods-dry-insect-repellent-bug-spray-3-pack-towelettes")</f>
        <v/>
      </c>
      <c r="B1380" s="2">
        <f>HYPERLINK("https://www.shelhealth.com/products/off-deep-woods-dry-insect-repellent-bug-spray-3-pack-towelettes", "https://www.shelhealth.com/products/off-deep-woods-dry-insect-repellent-bug-spray-3-pack-towelettes")</f>
        <v/>
      </c>
      <c r="C1380" t="inlineStr">
        <is>
          <t>Off! Deep Woods Dry Insect Repellent - Bug Spray 3 Pack &amp; Towelettes</t>
        </is>
      </c>
      <c r="D1380" t="inlineStr">
        <is>
          <t>Off! Deep Woods Dry Insect Repellent - Bug Spray 3 Pack &amp; Towelettes</t>
        </is>
      </c>
      <c r="E1380" s="2">
        <f>HYPERLINK("https://www.amazon.com/Off-Deep-Woods-Insect-Repellent/dp/B06XV5YZ4L/ref=sr_1_1?keywords=Off%21+Deep+Woods+Dry+Insect+Repellent+-+Bug+Spray+3+Pack+%26+Towelettes&amp;qid=1695170549&amp;sr=8-1", "https://www.amazon.com/Off-Deep-Woods-Insect-Repellent/dp/B06XV5YZ4L/ref=sr_1_1?keywords=Off%21+Deep+Woods+Dry+Insect+Repellent+-+Bug+Spray+3+Pack+%26+Towelettes&amp;qid=1695170549&amp;sr=8-1")</f>
        <v/>
      </c>
      <c r="F1380" t="inlineStr">
        <is>
          <t>B06XV5YZ4L</t>
        </is>
      </c>
      <c r="G1380">
        <f>_xludf.IMAGE("https://www.shelhealth.com/cdn/shop/products/off-deep-woods-dry-insect-repellent-bug-spray-3-pack-towelettes-shelhealth-113.jpg?v=1663368386&amp;width=1946")</f>
        <v/>
      </c>
      <c r="H1380">
        <f>_xludf.IMAGE("https://m.media-amazon.com/images/I/71ASDBb5gwL._AC_UL320_.jpg")</f>
        <v/>
      </c>
      <c r="K1380" t="inlineStr">
        <is>
          <t>28.99</t>
        </is>
      </c>
      <c r="L1380" t="n">
        <v>29.99</v>
      </c>
      <c r="M1380" s="1" t="inlineStr">
        <is>
          <t>3.45%</t>
        </is>
      </c>
      <c r="N1380" s="3" t="n">
        <v>3.45</v>
      </c>
      <c r="O1380" t="n">
        <v>4.5</v>
      </c>
      <c r="P1380" t="n">
        <v>229</v>
      </c>
      <c r="R1380" t="inlineStr">
        <is>
          <t>OutOfStock</t>
        </is>
      </c>
      <c r="S1380" t="inlineStr">
        <is>
          <t>28.99</t>
        </is>
      </c>
      <c r="T1380" t="inlineStr">
        <is>
          <t>4510503829593</t>
        </is>
      </c>
    </row>
    <row r="1381" hidden="1" ht="15.75" customHeight="1">
      <c r="A1381" s="2">
        <f>HYPERLINK("https://www.shelhealth.com/products/swiffer-sweeper-wet-cloth-refill-64-count", "https://www.shelhealth.com/products/swiffer-sweeper-wet-cloth-refill-64-count")</f>
        <v/>
      </c>
      <c r="B1381" s="2">
        <f>HYPERLINK("https://www.shelhealth.com/products/swiffer-sweeper-wet-cloth-refill-64-count", "https://www.shelhealth.com/products/swiffer-sweeper-wet-cloth-refill-64-count")</f>
        <v/>
      </c>
      <c r="C1381" t="inlineStr">
        <is>
          <t>Swiffer Sweeper Wet Cloth Refill, 64 Count</t>
        </is>
      </c>
      <c r="D1381" t="inlineStr">
        <is>
          <t>Swiffer Sweeper Wet Cloth Refill, White 60 Count</t>
        </is>
      </c>
      <c r="E1381" s="2">
        <f>HYPERLINK("https://www.amazon.com/Swiffer-Sweeper-Cloth-Refill-Count/dp/B005T419YI/ref=sr_1_1?keywords=Swiffer+Sweeper+Wet+Cloth+Refill%2C+64+Count&amp;qid=1695170382&amp;sr=8-1", "https://www.amazon.com/Swiffer-Sweeper-Cloth-Refill-Count/dp/B005T419YI/ref=sr_1_1?keywords=Swiffer+Sweeper+Wet+Cloth+Refill%2C+64+Count&amp;qid=1695170382&amp;sr=8-1")</f>
        <v/>
      </c>
      <c r="F1381" t="inlineStr">
        <is>
          <t>B005T419YI</t>
        </is>
      </c>
      <c r="G1381">
        <f>_xludf.IMAGE("https://www.shelhealth.com/cdn/shop/products/swiffer-sweeper-wet-cloth-refill-64-count-shelhealth-364.jpg?v=1663342907&amp;width=1946")</f>
        <v/>
      </c>
      <c r="H1381">
        <f>_xludf.IMAGE("https://m.media-amazon.com/images/I/7152oBKWFJL._AC_UL320_.jpg")</f>
        <v/>
      </c>
      <c r="K1381" t="inlineStr">
        <is>
          <t>30.99</t>
        </is>
      </c>
      <c r="L1381" t="n">
        <v>31.98</v>
      </c>
      <c r="M1381" s="1" t="inlineStr">
        <is>
          <t>3.19%</t>
        </is>
      </c>
      <c r="N1381" s="3" t="n">
        <v>3.19</v>
      </c>
      <c r="O1381" t="n">
        <v>4.8</v>
      </c>
      <c r="P1381" t="n">
        <v>4435</v>
      </c>
      <c r="R1381" t="inlineStr">
        <is>
          <t>InStock</t>
        </is>
      </c>
      <c r="S1381" t="inlineStr">
        <is>
          <t>30.99</t>
        </is>
      </c>
      <c r="T1381" t="inlineStr">
        <is>
          <t>3818793271348</t>
        </is>
      </c>
    </row>
    <row r="1382" hidden="1" ht="15.75" customHeight="1">
      <c r="A1382" s="2">
        <f>HYPERLINK("https://www.shelhealth.com/products/glade-plugins-hawaiian-breeze-scented-oil-warmer-refills-8-pk", "https://www.shelhealth.com/products/glade-plugins-hawaiian-breeze-scented-oil-warmer-refills-8-pk")</f>
        <v/>
      </c>
      <c r="B1382" s="2">
        <f>HYPERLINK("https://www.shelhealth.com/products/glade-plugins-hawaiian-breeze-scented-oil-warmer-refills-8-pk", "https://www.shelhealth.com/products/glade-plugins-hawaiian-breeze-scented-oil-warmer-refills-8-pk")</f>
        <v/>
      </c>
      <c r="C1382" t="inlineStr">
        <is>
          <t>Glade PlugIns Hawaiian Breeze Scented Oil Warmer Refills, 8 pk.</t>
        </is>
      </c>
      <c r="D1382" t="inlineStr">
        <is>
          <t>Glade Hawaiin Limited Edition PlugIns Scented Oils Refills 25% More 8 Ct-Hawaiian Breeze, 8 Count (Pack of 1), Yellow, 5 Fl Oz</t>
        </is>
      </c>
      <c r="E1382" s="2">
        <f>HYPERLINK("https://www.amazon.com/Glade-Hawaiin-Limited-PlugIns-Ct-Hawaiian/dp/B013THOUII/ref=sr_1_6?keywords=Glade+PlugIns+Hawaiian+Breeze+Scented+Oil+Warmer+Refills%2C+8+pk.&amp;qid=1695170562&amp;sr=8-6", "https://www.amazon.com/Glade-Hawaiin-Limited-PlugIns-Ct-Hawaiian/dp/B013THOUII/ref=sr_1_6?keywords=Glade+PlugIns+Hawaiian+Breeze+Scented+Oil+Warmer+Refills%2C+8+pk.&amp;qid=1695170562&amp;sr=8-6")</f>
        <v/>
      </c>
      <c r="F1382" t="inlineStr">
        <is>
          <t>B013THOUII</t>
        </is>
      </c>
      <c r="G1382">
        <f>_xludf.IMAGE("https://www.shelhealth.com/cdn/shop/files/glade-plugins-hawaiian-breeze-scented-oil-warmer-refills-8-pk-grocery-household-petcleaning-goods-shelhealth-152.jpg?v=1686283077&amp;width=1946")</f>
        <v/>
      </c>
      <c r="H1382">
        <f>_xludf.IMAGE("https://m.media-amazon.com/images/I/61HjCiC5BUL._AC_UL320_.jpg")</f>
        <v/>
      </c>
      <c r="K1382" t="inlineStr">
        <is>
          <t>28.99</t>
        </is>
      </c>
      <c r="L1382" t="n">
        <v>29.88</v>
      </c>
      <c r="M1382" s="1" t="inlineStr">
        <is>
          <t>3.07%</t>
        </is>
      </c>
      <c r="N1382" s="3" t="n">
        <v>3.07</v>
      </c>
      <c r="O1382" t="n">
        <v>4.8</v>
      </c>
      <c r="P1382" t="n">
        <v>2905</v>
      </c>
      <c r="R1382" t="inlineStr">
        <is>
          <t>OutOfStock</t>
        </is>
      </c>
      <c r="S1382" t="inlineStr">
        <is>
          <t>28.99</t>
        </is>
      </c>
      <c r="T1382" t="inlineStr">
        <is>
          <t>4169649750068</t>
        </is>
      </c>
    </row>
    <row r="1383" hidden="1" ht="15.75" customHeight="1">
      <c r="A1383" s="2">
        <f>HYPERLINK("https://www.shelhealth.com/products/falcon-dust-off-compressed-gas-duster-for-electronics-devices-12-oz-cans-last-extra-long-6-packs", "https://www.shelhealth.com/products/falcon-dust-off-compressed-gas-duster-for-electronics-devices-12-oz-cans-last-extra-long-6-packs")</f>
        <v/>
      </c>
      <c r="B1383" s="2">
        <f>HYPERLINK("https://www.shelhealth.com/products/falcon-dust-off-compressed-gas-duster-for-electronics-devices-12-oz-cans-last-extra-long-6-packs", "https://www.shelhealth.com/products/falcon-dust-off-compressed-gas-duster-for-electronics-devices-12-oz-cans-last-extra-long-6-packs")</f>
        <v/>
      </c>
      <c r="C1383" t="inlineStr">
        <is>
          <t>Falcon Dust-Off Compressed Gas Duster for Electronics Devices, 12 oz Cans last extra long, 6 Packs</t>
        </is>
      </c>
      <c r="D1383" t="inlineStr">
        <is>
          <t>Falcon Dust-Off Compressed Gas Duster for Electronics Devices, 12 oz Cans Last Extra Long, 6 Packs</t>
        </is>
      </c>
      <c r="E1383" s="2">
        <f>HYPERLINK("https://www.amazon.com/Falcon-Dust-Off-Compressed-Electronics-Devices/dp/B073TPQ6BL/ref=sr_1_1?keywords=Falcon+Dust-Off+Compressed+Gas+Duster+for+Electronics+Devices%2C+12+oz+Cans+last+extra+long%2C+6+Packs&amp;qid=1695170576&amp;sr=8-1", "https://www.amazon.com/Falcon-Dust-Off-Compressed-Electronics-Devices/dp/B073TPQ6BL/ref=sr_1_1?keywords=Falcon+Dust-Off+Compressed+Gas+Duster+for+Electronics+Devices%2C+12+oz+Cans+last+extra+long%2C+6+Packs&amp;qid=1695170576&amp;sr=8-1")</f>
        <v/>
      </c>
      <c r="F1383" t="inlineStr">
        <is>
          <t>B073TPQ6BL</t>
        </is>
      </c>
      <c r="G1383">
        <f>_xludf.IMAGE("https://www.shelhealth.com/cdn/shop/products/falcon-dust-off-compressed-gas-duster-for-electronics-devices-12-oz-cans-last-extra-long-6-packs-shelhealth-586.jpg?v=1663343820&amp;width=1946")</f>
        <v/>
      </c>
      <c r="H1383">
        <f>_xludf.IMAGE("https://m.media-amazon.com/images/I/71BGtE-0aVL._AC_UL320_.jpg")</f>
        <v/>
      </c>
      <c r="K1383" t="inlineStr">
        <is>
          <t>32.99</t>
        </is>
      </c>
      <c r="L1383" t="n">
        <v>34</v>
      </c>
      <c r="M1383" s="1" t="inlineStr">
        <is>
          <t>3.06%</t>
        </is>
      </c>
      <c r="N1383" s="3" t="n">
        <v>3.06</v>
      </c>
      <c r="O1383" t="n">
        <v>4.5</v>
      </c>
      <c r="P1383" t="n">
        <v>303</v>
      </c>
      <c r="R1383" t="inlineStr">
        <is>
          <t>InStock</t>
        </is>
      </c>
      <c r="S1383" t="inlineStr">
        <is>
          <t>32.99</t>
        </is>
      </c>
      <c r="T1383" t="inlineStr">
        <is>
          <t>3823349891124</t>
        </is>
      </c>
    </row>
    <row r="1384" hidden="1" ht="15.75" customHeight="1">
      <c r="A1384" s="2">
        <f>HYPERLINK("https://www.shelhealth.com/products/berkley-jensen-13-gal-trash-bags-140-ct", "https://www.shelhealth.com/products/berkley-jensen-13-gal-trash-bags-140-ct")</f>
        <v/>
      </c>
      <c r="B1384" s="2">
        <f>HYPERLINK("https://www.shelhealth.com/products/berkley-jensen-13-gal-trash-bags-140-ct", "https://www.shelhealth.com/products/berkley-jensen-13-gal-trash-bags-140-ct")</f>
        <v/>
      </c>
      <c r="C1384" t="inlineStr">
        <is>
          <t>Berkley Jensen 13-Gal. Trash Bags, 140 ct.</t>
        </is>
      </c>
      <c r="D1384" t="inlineStr">
        <is>
          <t>Berkley Jensen 13 Gallon Drawstring Trash Bags, 200 ct.</t>
        </is>
      </c>
      <c r="E1384" s="2">
        <f>HYPERLINK("https://www.amazon.com/Berkley-Jensen-Gallon-Drawstring-Trash/dp/B08XK8K16L/ref=sr_1_3?keywords=Berkley+Jensen+13-Gal.+Trash+Bags%2C+140+ct.&amp;qid=1695170567&amp;sr=8-3", "https://www.amazon.com/Berkley-Jensen-Gallon-Drawstring-Trash/dp/B08XK8K16L/ref=sr_1_3?keywords=Berkley+Jensen+13-Gal.+Trash+Bags%2C+140+ct.&amp;qid=1695170567&amp;sr=8-3")</f>
        <v/>
      </c>
      <c r="F1384" t="inlineStr">
        <is>
          <t>B08XK8K16L</t>
        </is>
      </c>
      <c r="G1384">
        <f>_xludf.IMAGE("https://www.shelhealth.com/cdn/shop/products/berkley-jensen-13-gal-trash-bags-140-ct-shelhealth-815.jpg?v=1663354901&amp;width=1946")</f>
        <v/>
      </c>
      <c r="H1384">
        <f>_xludf.IMAGE("https://m.media-amazon.com/images/I/51KlXti61gL._AC_UL320_.jpg")</f>
        <v/>
      </c>
      <c r="K1384" t="inlineStr">
        <is>
          <t>32.99</t>
        </is>
      </c>
      <c r="L1384" t="n">
        <v>33.95</v>
      </c>
      <c r="M1384" s="1" t="inlineStr">
        <is>
          <t>2.91%</t>
        </is>
      </c>
      <c r="N1384" s="3" t="n">
        <v>2.91</v>
      </c>
      <c r="O1384" t="n">
        <v>4.6</v>
      </c>
      <c r="P1384" t="n">
        <v>4</v>
      </c>
      <c r="R1384" t="inlineStr">
        <is>
          <t>InStock</t>
        </is>
      </c>
      <c r="S1384" t="inlineStr">
        <is>
          <t>32.99</t>
        </is>
      </c>
      <c r="T1384" t="inlineStr">
        <is>
          <t>4169506816052</t>
        </is>
      </c>
    </row>
    <row r="1385" hidden="1" ht="15.75" customHeight="1">
      <c r="A1385" s="2">
        <f>HYPERLINK("https://www.shelhealth.com/products/berkley-jensen-13-gal-0-69ml-kitchen-bags-200-ct", "https://www.shelhealth.com/products/berkley-jensen-13-gal-0-69ml-kitchen-bags-200-ct")</f>
        <v/>
      </c>
      <c r="B1385" s="2">
        <f>HYPERLINK("https://www.shelhealth.com/products/berkley-jensen-13-gal-0-69ml-kitchen-bags-200-ct", "https://www.shelhealth.com/products/berkley-jensen-13-gal-0-69ml-kitchen-bags-200-ct")</f>
        <v/>
      </c>
      <c r="C1385" t="inlineStr">
        <is>
          <t>Berkley Jensen 13-Gal. 0.69mL Kitchen Bags, 200 ct.</t>
        </is>
      </c>
      <c r="D1385" t="inlineStr">
        <is>
          <t>Berkley Jensen 13 Gallon Drawstring Trash Bags, 200 ct.</t>
        </is>
      </c>
      <c r="E1385" s="2">
        <f>HYPERLINK("https://www.amazon.com/Berkley-Jensen-Gallon-Drawstring-Trash/dp/B08XK8K16L/ref=sr_1_3?keywords=Berkley+Jensen+13-Gal.+0.69mL+Kitchen+Bags%2C+200+ct.&amp;qid=1695170414&amp;sr=8-3", "https://www.amazon.com/Berkley-Jensen-Gallon-Drawstring-Trash/dp/B08XK8K16L/ref=sr_1_3?keywords=Berkley+Jensen+13-Gal.+0.69mL+Kitchen+Bags%2C+200+ct.&amp;qid=1695170414&amp;sr=8-3")</f>
        <v/>
      </c>
      <c r="F1385" t="inlineStr">
        <is>
          <t>B08XK8K16L</t>
        </is>
      </c>
      <c r="G1385">
        <f>_xludf.IMAGE("https://www.shelhealth.com/cdn/shop/products/berkley-jensen-13-gal-0-69ml-kitchen-bags-200-ct-shelhealth-859.jpg?v=1663357633&amp;width=1946")</f>
        <v/>
      </c>
      <c r="H1385">
        <f>_xludf.IMAGE("https://m.media-amazon.com/images/I/51KlXti61gL._AC_UL320_.jpg")</f>
        <v/>
      </c>
      <c r="K1385" t="inlineStr">
        <is>
          <t>32.99</t>
        </is>
      </c>
      <c r="L1385" t="n">
        <v>33.95</v>
      </c>
      <c r="M1385" s="1" t="inlineStr">
        <is>
          <t>2.91%</t>
        </is>
      </c>
      <c r="N1385" s="3" t="n">
        <v>2.91</v>
      </c>
      <c r="O1385" t="n">
        <v>4.6</v>
      </c>
      <c r="P1385" t="n">
        <v>4</v>
      </c>
      <c r="R1385" t="inlineStr">
        <is>
          <t>InStock</t>
        </is>
      </c>
      <c r="S1385" t="inlineStr">
        <is>
          <t>32.99</t>
        </is>
      </c>
      <c r="T1385" t="inlineStr">
        <is>
          <t>4251342110772</t>
        </is>
      </c>
    </row>
    <row r="1386" hidden="1" ht="15.75" customHeight="1">
      <c r="A1386" s="2">
        <f>HYPERLINK("https://www.shelhealth.com/products/berkley-jensen-13-gal-0-9mil-drawstring-kitchen-bags-150-ct", "https://www.shelhealth.com/products/berkley-jensen-13-gal-0-9mil-drawstring-kitchen-bags-150-ct")</f>
        <v/>
      </c>
      <c r="B1386" s="2">
        <f>HYPERLINK("https://www.shelhealth.com/products/berkley-jensen-13-gal-0-9mil-drawstring-kitchen-bags-150-ct", "https://www.shelhealth.com/products/berkley-jensen-13-gal-0-9mil-drawstring-kitchen-bags-150-ct")</f>
        <v/>
      </c>
      <c r="C1386" t="inlineStr">
        <is>
          <t>Berkley Jensen 13-Gal. 0.9mil Drawstring Kitchen Bags, 150 ct.</t>
        </is>
      </c>
      <c r="D1386" t="inlineStr">
        <is>
          <t>Berkley Jensen 13 Gallon Drawstring Trash Bags, 200 ct.</t>
        </is>
      </c>
      <c r="E1386" s="2">
        <f>HYPERLINK("https://www.amazon.com/Berkley-Jensen-Gallon-Drawstring-Trash/dp/B08XK8K16L/ref=sr_1_2?keywords=Berkley+Jensen+13-Gal.+0.9mil+Drawstring+Kitchen+Bags%2C+150+ct.&amp;qid=1695170571&amp;sr=8-2", "https://www.amazon.com/Berkley-Jensen-Gallon-Drawstring-Trash/dp/B08XK8K16L/ref=sr_1_2?keywords=Berkley+Jensen+13-Gal.+0.9mil+Drawstring+Kitchen+Bags%2C+150+ct.&amp;qid=1695170571&amp;sr=8-2")</f>
        <v/>
      </c>
      <c r="F1386" t="inlineStr">
        <is>
          <t>B08XK8K16L</t>
        </is>
      </c>
      <c r="G1386">
        <f>_xludf.IMAGE("https://www.shelhealth.com/cdn/shop/products/berkley-jensen-13-gal-0-9mil-drawstring-kitchen-bags-150-ct-shelhealth-866.jpg?v=1663354894&amp;width=1946")</f>
        <v/>
      </c>
      <c r="H1386">
        <f>_xludf.IMAGE("https://m.media-amazon.com/images/I/51KlXti61gL._AC_UL320_.jpg")</f>
        <v/>
      </c>
      <c r="K1386" t="inlineStr">
        <is>
          <t>32.99</t>
        </is>
      </c>
      <c r="L1386" t="n">
        <v>33.95</v>
      </c>
      <c r="M1386" s="1" t="inlineStr">
        <is>
          <t>2.91%</t>
        </is>
      </c>
      <c r="N1386" s="3" t="n">
        <v>2.91</v>
      </c>
      <c r="O1386" t="n">
        <v>4.6</v>
      </c>
      <c r="P1386" t="n">
        <v>4</v>
      </c>
      <c r="R1386" t="inlineStr">
        <is>
          <t>InStock</t>
        </is>
      </c>
      <c r="S1386" t="inlineStr">
        <is>
          <t>32.99</t>
        </is>
      </c>
      <c r="T1386" t="inlineStr">
        <is>
          <t>4169504129076</t>
        </is>
      </c>
    </row>
    <row r="1387" hidden="1" ht="15.75" customHeight="1">
      <c r="A1387" s="2">
        <f>HYPERLINK("https://www.shelhealth.com/products/swiffer-wetjet-mopping-refill-pack-32-refill-pads-plus-2-bottles-of-cleaner-1-25l-ea", "https://www.shelhealth.com/products/swiffer-wetjet-mopping-refill-pack-32-refill-pads-plus-2-bottles-of-cleaner-1-25l-ea")</f>
        <v/>
      </c>
      <c r="B1387" s="2">
        <f>HYPERLINK("https://www.shelhealth.com/products/swiffer-wetjet-mopping-refill-pack-32-refill-pads-plus-2-bottles-of-cleaner-1-25l-ea", "https://www.shelhealth.com/products/swiffer-wetjet-mopping-refill-pack-32-refill-pads-plus-2-bottles-of-cleaner-1-25l-ea")</f>
        <v/>
      </c>
      <c r="C1387" t="inlineStr">
        <is>
          <t>Swiffer Wetjet Mopping Refill Pack, 32 Refill Pads plus 2 Bottles of Cleaner 1.25L ea.</t>
        </is>
      </c>
      <c r="D1387" t="inlineStr">
        <is>
          <t>Swiffer Wetjet Mopping Refill Pack (32 Refill Pads + 2-1.25L Bottles of Cleaner)</t>
        </is>
      </c>
      <c r="E1387" s="2">
        <f>HYPERLINK("https://www.amazon.com/Swiffer-Mopping-2-1-25L-Bottles-Cleaner/dp/B0B46VZFW5/ref=sr_1_2?keywords=Swiffer+Wetjet+Mopping+Refill+Pack%2C+32+Refill+Pads+plus+2+Bottles+of+Cleaner+1.25L+ea.&amp;qid=1695170419&amp;sr=8-2", "https://www.amazon.com/Swiffer-Mopping-2-1-25L-Bottles-Cleaner/dp/B0B46VZFW5/ref=sr_1_2?keywords=Swiffer+Wetjet+Mopping+Refill+Pack%2C+32+Refill+Pads+plus+2+Bottles+of+Cleaner+1.25L+ea.&amp;qid=1695170419&amp;sr=8-2")</f>
        <v/>
      </c>
      <c r="F1387" t="inlineStr">
        <is>
          <t>B0B46VZFW5</t>
        </is>
      </c>
      <c r="G1387">
        <f>_xludf.IMAGE("https://www.shelhealth.com/cdn/shop/products/swiffer-wetjet-mopping-refill-pack-32-pads-plus-2-bottles-of-cleaner-1-25l-ea-shelhealth-175.jpg?v=1663372292&amp;width=1946")</f>
        <v/>
      </c>
      <c r="H1387">
        <f>_xludf.IMAGE("https://m.media-amazon.com/images/I/71+g2vy8M7L._AC_UL320_.jpg")</f>
        <v/>
      </c>
      <c r="K1387" t="inlineStr">
        <is>
          <t>34.99</t>
        </is>
      </c>
      <c r="L1387" t="n">
        <v>36</v>
      </c>
      <c r="M1387" s="1" t="inlineStr">
        <is>
          <t>2.89%</t>
        </is>
      </c>
      <c r="N1387" s="3" t="n">
        <v>2.89</v>
      </c>
      <c r="O1387" t="n">
        <v>4.7</v>
      </c>
      <c r="P1387" t="n">
        <v>47</v>
      </c>
      <c r="R1387" t="inlineStr">
        <is>
          <t>InStock</t>
        </is>
      </c>
      <c r="S1387" t="inlineStr">
        <is>
          <t>34.99</t>
        </is>
      </c>
      <c r="T1387" t="inlineStr">
        <is>
          <t>4690692276313</t>
        </is>
      </c>
    </row>
    <row r="1388" hidden="1" ht="15.75" customHeight="1">
      <c r="A1388" s="2">
        <f>HYPERLINK("https://www.shelhealth.com/products/downy-unstopables-fresh-in-wash-scent-booster-beads-30-3-oz", "https://www.shelhealth.com/products/downy-unstopables-fresh-in-wash-scent-booster-beads-30-3-oz")</f>
        <v/>
      </c>
      <c r="B1388" s="2">
        <f>HYPERLINK("https://www.shelhealth.com/products/downy-unstopables-fresh-in-wash-scent-booster-beads-30-3-oz", "https://www.shelhealth.com/products/downy-unstopables-fresh-in-wash-scent-booster-beads-30-3-oz")</f>
        <v/>
      </c>
      <c r="C1388" t="inlineStr">
        <is>
          <t>Downy Unstopables Fresh In-Wash Scent Booster Beads, 30.3 oz.</t>
        </is>
      </c>
      <c r="D1388" t="inlineStr">
        <is>
          <t>Downy Unstopables in-Wash Scent Booster Beads, Fresh Scent, 750 g - Packaging May Vary</t>
        </is>
      </c>
      <c r="E1388" s="2">
        <f>HYPERLINK("https://www.amazon.com/Downy-Unstopables-Wash-Scent-Booster/dp/B00J4GT9TY/ref=sr_1_5?keywords=Downy+Unstopables+Fresh+In-Wash+Scent+Booster+Beads%2C+30.3+oz.&amp;qid=1695170442&amp;sr=8-5", "https://www.amazon.com/Downy-Unstopables-Wash-Scent-Booster/dp/B00J4GT9TY/ref=sr_1_5?keywords=Downy+Unstopables+Fresh+In-Wash+Scent+Booster+Beads%2C+30.3+oz.&amp;qid=1695170442&amp;sr=8-5")</f>
        <v/>
      </c>
      <c r="F1388" t="inlineStr">
        <is>
          <t>B00J4GT9TY</t>
        </is>
      </c>
      <c r="G1388">
        <f>_xludf.IMAGE("https://www.shelhealth.com/cdn/shop/products/downy-unstopables-fresh-in-wash-scent-booster-beads-30-3-oz-shelhealth-770.jpg?v=1663356562&amp;width=1946")</f>
        <v/>
      </c>
      <c r="H1388">
        <f>_xludf.IMAGE("https://m.media-amazon.com/images/I/81pDIdsDt7L._AC_UL320_.jpg")</f>
        <v/>
      </c>
      <c r="K1388" t="inlineStr">
        <is>
          <t>23.99</t>
        </is>
      </c>
      <c r="L1388" t="n">
        <v>24.44</v>
      </c>
      <c r="M1388" s="1" t="inlineStr">
        <is>
          <t>1.88%</t>
        </is>
      </c>
      <c r="N1388" s="3" t="n">
        <v>1.88</v>
      </c>
      <c r="O1388" t="n">
        <v>4.7</v>
      </c>
      <c r="P1388" t="n">
        <v>1494</v>
      </c>
      <c r="R1388" t="inlineStr">
        <is>
          <t>OutOfStock</t>
        </is>
      </c>
      <c r="S1388" t="inlineStr">
        <is>
          <t>23.99</t>
        </is>
      </c>
      <c r="T1388" t="inlineStr">
        <is>
          <t>4178984206388</t>
        </is>
      </c>
    </row>
    <row r="1389" hidden="1" ht="15.75" customHeight="1">
      <c r="A1389" s="2">
        <f>HYPERLINK("https://www.shelhealth.com/products/cascade-complete-powder-dishwasher-detergent-155-oz", "https://www.shelhealth.com/products/cascade-complete-powder-dishwasher-detergent-155-oz")</f>
        <v/>
      </c>
      <c r="B1389" s="2">
        <f>HYPERLINK("https://www.shelhealth.com/products/cascade-complete-powder-dishwasher-detergent-155-oz", "https://www.shelhealth.com/products/cascade-complete-powder-dishwasher-detergent-155-oz")</f>
        <v/>
      </c>
      <c r="C1389" t="inlineStr">
        <is>
          <t>Cascade Complete Powder Dishwasher Detergent, 155 oz.</t>
        </is>
      </c>
      <c r="D1389" t="inlineStr">
        <is>
          <t>Cascade Complete Powder Dishwasher Detergent, Fresh Scent (155 oz.)</t>
        </is>
      </c>
      <c r="E1389" s="2">
        <f>HYPERLINK("https://www.amazon.com/Cascade-Complete-Powder-Dishwasher-Detergent/dp/B01MZDJ49B/ref=sr_1_1?keywords=Cascade+Complete+Powder+Dishwasher+Detergent%2C+155+oz.&amp;qid=1695170386&amp;sr=8-1", "https://www.amazon.com/Cascade-Complete-Powder-Dishwasher-Detergent/dp/B01MZDJ49B/ref=sr_1_1?keywords=Cascade+Complete+Powder+Dishwasher+Detergent%2C+155+oz.&amp;qid=1695170386&amp;sr=8-1")</f>
        <v/>
      </c>
      <c r="F1389" t="inlineStr">
        <is>
          <t>B01MZDJ49B</t>
        </is>
      </c>
      <c r="G1389">
        <f>_xludf.IMAGE("https://www.shelhealth.com/cdn/shop/products/cascade-complete-powder-dishwasher-detergent-155-oz-shelhealth-864.jpg?v=1663355097&amp;width=1946")</f>
        <v/>
      </c>
      <c r="H1389">
        <f>_xludf.IMAGE("https://m.media-amazon.com/images/I/71xHDYaPLHL._AC_UL320_.jpg")</f>
        <v/>
      </c>
      <c r="K1389" t="inlineStr">
        <is>
          <t>30.99</t>
        </is>
      </c>
      <c r="L1389" t="n">
        <v>31.5</v>
      </c>
      <c r="M1389" s="1" t="inlineStr">
        <is>
          <t>1.65%</t>
        </is>
      </c>
      <c r="N1389" s="3" t="n">
        <v>1.65</v>
      </c>
      <c r="O1389" t="n">
        <v>4.7</v>
      </c>
      <c r="P1389" t="n">
        <v>253</v>
      </c>
      <c r="R1389" t="inlineStr">
        <is>
          <t>InStock</t>
        </is>
      </c>
      <c r="S1389" t="inlineStr">
        <is>
          <t>30.99</t>
        </is>
      </c>
      <c r="T1389" t="inlineStr">
        <is>
          <t>4169653026868</t>
        </is>
      </c>
    </row>
    <row r="1390" hidden="1" ht="15.75" customHeight="1">
      <c r="A1390" s="2">
        <f>HYPERLINK("https://www.shelhealth.com/products/berkley-jensen-aa-alkaline-batteries-48-ct", "https://www.shelhealth.com/products/berkley-jensen-aa-alkaline-batteries-48-ct")</f>
        <v/>
      </c>
      <c r="B1390" s="2">
        <f>HYPERLINK("https://www.shelhealth.com/products/berkley-jensen-aa-alkaline-batteries-48-ct", "https://www.shelhealth.com/products/berkley-jensen-aa-alkaline-batteries-48-ct")</f>
        <v/>
      </c>
      <c r="C1390" t="inlineStr">
        <is>
          <t>Berkley Jensen AA Alkaline Batteries, 48 ct.</t>
        </is>
      </c>
      <c r="D1390" t="inlineStr">
        <is>
          <t>Berkley Jensen AA Alkaline Batteries, 48 ct.</t>
        </is>
      </c>
      <c r="E1390" s="2">
        <f>HYPERLINK("https://www.amazon.com/Berkley-Jensen-Alkaline-Batteries-ct/dp/B07FZR2D35/ref=sr_1_1?keywords=Berkley+Jensen+AA+Alkaline+Batteries%2C+48+ct.&amp;qid=1695170561&amp;sr=8-1", "https://www.amazon.com/Berkley-Jensen-Alkaline-Batteries-ct/dp/B07FZR2D35/ref=sr_1_1?keywords=Berkley+Jensen+AA+Alkaline+Batteries%2C+48+ct.&amp;qid=1695170561&amp;sr=8-1")</f>
        <v/>
      </c>
      <c r="F1390" t="inlineStr">
        <is>
          <t>B07FZR2D35</t>
        </is>
      </c>
      <c r="G1390">
        <f>_xludf.IMAGE("https://www.shelhealth.com/cdn/shop/files/berkley-jensen-aa-alkaline-batteries-48-ct-emergency-preparednessbatteries-shelhealth-746.jpg?v=1686284005&amp;width=1946")</f>
        <v/>
      </c>
      <c r="H1390">
        <f>_xludf.IMAGE("https://m.media-amazon.com/images/I/81pyF28NOHL._AC_UL320_.jpg")</f>
        <v/>
      </c>
      <c r="K1390" t="inlineStr">
        <is>
          <t>35.99</t>
        </is>
      </c>
      <c r="L1390" t="n">
        <v>36.5</v>
      </c>
      <c r="M1390" s="1" t="inlineStr">
        <is>
          <t>1.42%</t>
        </is>
      </c>
      <c r="N1390" s="3" t="n">
        <v>1.42</v>
      </c>
      <c r="O1390" t="n">
        <v>3</v>
      </c>
      <c r="P1390" t="n">
        <v>3</v>
      </c>
      <c r="R1390" t="inlineStr">
        <is>
          <t>InStock</t>
        </is>
      </c>
      <c r="S1390" t="inlineStr">
        <is>
          <t>35.99</t>
        </is>
      </c>
      <c r="T1390" t="inlineStr">
        <is>
          <t>4169883975732</t>
        </is>
      </c>
    </row>
    <row r="1391" hidden="1" ht="15.75" customHeight="1">
      <c r="A1391" s="2">
        <f>HYPERLINK("https://www.shelhealth.com/products/all-liquid-laundry-detergent-free-clear-for-sensitive-skin-free-clear-237-fluid-ounces", "https://www.shelhealth.com/products/all-liquid-laundry-detergent-free-clear-for-sensitive-skin-free-clear-237-fluid-ounces")</f>
        <v/>
      </c>
      <c r="B1391" s="2">
        <f>HYPERLINK("https://www.shelhealth.com/products/all-liquid-laundry-detergent-free-clear-for-sensitive-skin-free-clear-237-fluid-ounces", "https://www.shelhealth.com/products/all-liquid-laundry-detergent-free-clear-for-sensitive-skin-free-clear-237-fluid-ounces")</f>
        <v/>
      </c>
      <c r="C1391" t="inlineStr">
        <is>
          <t>all Liquid Laundry Detergent, Free Clear for Sensitive Skin, (Free Clear, 237 Fluid Ounces)</t>
        </is>
      </c>
      <c r="D1391" t="inlineStr">
        <is>
          <t>all Liquid Laundry Detergent, Free Clear for Sensitive Skin, (Free Clear, 237 Fluid Ounces)</t>
        </is>
      </c>
      <c r="E1391" s="2">
        <f>HYPERLINK("https://www.amazon.com/all-Liquid-Laundry-Detergent-Sensitive/dp/B074J6WWN3/ref=sr_1_1?keywords=all+Liquid+Laundry+Detergent%2C+Free+Clear+for+Sensitive+Skin%2C+%28Free+Clear%2C+237+Fluid+Ounces%29&amp;qid=1695170410&amp;sr=8-1", "https://www.amazon.com/all-Liquid-Laundry-Detergent-Sensitive/dp/B074J6WWN3/ref=sr_1_1?keywords=all+Liquid+Laundry+Detergent%2C+Free+Clear+for+Sensitive+Skin%2C+%28Free+Clear%2C+237+Fluid+Ounces%29&amp;qid=1695170410&amp;sr=8-1")</f>
        <v/>
      </c>
      <c r="F1391" t="inlineStr">
        <is>
          <t>B074J6WWN3</t>
        </is>
      </c>
      <c r="G1391">
        <f>_xludf.IMAGE("https://www.shelhealth.com/cdn/shop/products/all-liquid-laundry-detergent-free-clear-for-sensitive-skin-237-fluid-ounces-shelhealth-893.jpg?v=1663343106&amp;width=1946")</f>
        <v/>
      </c>
      <c r="H1391">
        <f>_xludf.IMAGE("https://m.media-amazon.com/images/I/61k8W8hKRYL._AC_UL320_.jpg")</f>
        <v/>
      </c>
      <c r="K1391" t="inlineStr">
        <is>
          <t>38.99</t>
        </is>
      </c>
      <c r="L1391" t="n">
        <v>39.5</v>
      </c>
      <c r="M1391" s="1" t="inlineStr">
        <is>
          <t>1.31%</t>
        </is>
      </c>
      <c r="N1391" s="3" t="n">
        <v>1.31</v>
      </c>
      <c r="O1391" t="n">
        <v>4.7</v>
      </c>
      <c r="P1391" t="n">
        <v>2315</v>
      </c>
      <c r="R1391" t="inlineStr">
        <is>
          <t>InStock</t>
        </is>
      </c>
      <c r="S1391" t="inlineStr">
        <is>
          <t>38.99</t>
        </is>
      </c>
      <c r="T1391" t="inlineStr">
        <is>
          <t>3819427463220</t>
        </is>
      </c>
    </row>
    <row r="1392" hidden="1" ht="15.75" customHeight="1">
      <c r="A1392" s="2">
        <f>HYPERLINK("https://www.shelhealth.com/products/downy-infusions-lavender-fabric-softener-170-loads", "https://www.shelhealth.com/products/downy-infusions-lavender-fabric-softener-170-loads")</f>
        <v/>
      </c>
      <c r="B1392" s="2">
        <f>HYPERLINK("https://www.shelhealth.com/products/downy-infusions-lavender-fabric-softener-170-loads", "https://www.shelhealth.com/products/downy-infusions-lavender-fabric-softener-170-loads")</f>
        <v/>
      </c>
      <c r="C1392" t="inlineStr">
        <is>
          <t>Downy Infusions Lavender Fabric Softener, 170 Loads</t>
        </is>
      </c>
      <c r="D1392" t="inlineStr">
        <is>
          <t>Downy Infusions Radiant Liquid Fabric Softener, Pineapple &amp; Coconut Grove (170 loads, 115 fl. oz.)</t>
        </is>
      </c>
      <c r="E1392" s="2">
        <f>HYPERLINK("https://www.amazon.com/Infusions-Radiant-Softener-Pineapple-Coconut/dp/B0C87N5FN2/ref=sr_1_2?keywords=Downy+Infusions+Lavender+Fabric+Softener%2C+170+Loads&amp;qid=1695170393&amp;sr=8-2", "https://www.amazon.com/Infusions-Radiant-Softener-Pineapple-Coconut/dp/B0C87N5FN2/ref=sr_1_2?keywords=Downy+Infusions+Lavender+Fabric+Softener%2C+170+Loads&amp;qid=1695170393&amp;sr=8-2")</f>
        <v/>
      </c>
      <c r="F1392" t="inlineStr">
        <is>
          <t>B0C87N5FN2</t>
        </is>
      </c>
      <c r="G1392">
        <f>_xludf.IMAGE("https://www.shelhealth.com/cdn/shop/products/downy-infusions-lavender-fabric-softener-170-loads-shelhealth-832.jpg?v=1663357311&amp;width=1946")</f>
        <v/>
      </c>
      <c r="H1392">
        <f>_xludf.IMAGE("https://m.media-amazon.com/images/I/51bFxC3iY5L._AC_UL320_.jpg")</f>
        <v/>
      </c>
      <c r="K1392" t="inlineStr">
        <is>
          <t>38.99</t>
        </is>
      </c>
      <c r="L1392" t="n">
        <v>39.47</v>
      </c>
      <c r="M1392" s="1" t="inlineStr">
        <is>
          <t>1.23%</t>
        </is>
      </c>
      <c r="N1392" s="3" t="n">
        <v>1.23</v>
      </c>
      <c r="O1392" t="n">
        <v>3.8</v>
      </c>
      <c r="P1392" t="n">
        <v>9</v>
      </c>
      <c r="R1392" t="inlineStr">
        <is>
          <t>InStock</t>
        </is>
      </c>
      <c r="S1392" t="inlineStr">
        <is>
          <t>38.99</t>
        </is>
      </c>
      <c r="T1392" t="inlineStr">
        <is>
          <t>4181127266356</t>
        </is>
      </c>
    </row>
    <row r="1393" hidden="1" ht="15.75" customHeight="1">
      <c r="A1393" s="2">
        <f>HYPERLINK("https://www.shelhealth.com/products/downy-free-gentle-liquid-fabric-conditioner-170-fl-oz", "https://www.shelhealth.com/products/downy-free-gentle-liquid-fabric-conditioner-170-fl-oz")</f>
        <v/>
      </c>
      <c r="B1393" s="2">
        <f>HYPERLINK("https://www.shelhealth.com/products/downy-free-gentle-liquid-fabric-conditioner-170-fl-oz", "https://www.shelhealth.com/products/downy-free-gentle-liquid-fabric-conditioner-170-fl-oz")</f>
        <v/>
      </c>
      <c r="C1393" t="inlineStr">
        <is>
          <t>Downy Free &amp; Gentle Liquid Fabric Conditioner, 170 fl. oz.</t>
        </is>
      </c>
      <c r="D1393" t="inlineStr">
        <is>
          <t>Downy Ultra Free &amp; Gentle Liquid Fabric Conditioner (Fabric Softener), 34 Oz Bottles, 6 Pack, 240 Loads Total</t>
        </is>
      </c>
      <c r="E1393" s="2">
        <f>HYPERLINK("https://www.amazon.com/Downy-Gentle-Conditioner-Softener-Packaging/dp/B000HJNA9W/ref=sr_1_3?keywords=Downy+Free&amp;qid=1695170429&amp;sr=8-3", "https://www.amazon.com/Downy-Gentle-Conditioner-Softener-Packaging/dp/B000HJNA9W/ref=sr_1_3?keywords=Downy+Free&amp;qid=1695170429&amp;sr=8-3")</f>
        <v/>
      </c>
      <c r="F1393" t="inlineStr">
        <is>
          <t>B000HJNA9W</t>
        </is>
      </c>
      <c r="G1393">
        <f>_xludf.IMAGE("https://www.shelhealth.com/cdn/shop/products/downy-free-gentle-liquid-fabric-conditioner-170-fl-oz-shelhealth-915.jpg?v=1663356555&amp;width=1946")</f>
        <v/>
      </c>
      <c r="H1393">
        <f>_xludf.IMAGE("https://m.media-amazon.com/images/I/713n-dg2CnL._AC_UL320_.jpg")</f>
        <v/>
      </c>
      <c r="K1393" t="inlineStr">
        <is>
          <t>27.99</t>
        </is>
      </c>
      <c r="L1393" t="n">
        <v>28.29</v>
      </c>
      <c r="M1393" s="1" t="inlineStr">
        <is>
          <t>1.07%</t>
        </is>
      </c>
      <c r="N1393" s="3" t="n">
        <v>1.07</v>
      </c>
      <c r="O1393" t="n">
        <v>4.8</v>
      </c>
      <c r="P1393" t="n">
        <v>1865</v>
      </c>
      <c r="R1393" t="inlineStr">
        <is>
          <t>OutOfStock</t>
        </is>
      </c>
      <c r="S1393" t="inlineStr">
        <is>
          <t>27.99</t>
        </is>
      </c>
      <c r="T1393" t="inlineStr">
        <is>
          <t>4178978439220</t>
        </is>
      </c>
    </row>
    <row r="1394" hidden="1" ht="15.75" customHeight="1">
      <c r="A1394" s="2">
        <f>HYPERLINK("https://www.shelhealth.com/products/gain-flings-original-scent-liquid-laundry-detergent-pacs-132-ct", "https://www.shelhealth.com/products/gain-flings-original-scent-liquid-laundry-detergent-pacs-132-ct")</f>
        <v/>
      </c>
      <c r="B1394" s="2">
        <f>HYPERLINK("https://www.shelhealth.com/products/gain-flings-original-scent-liquid-laundry-detergent-pacs-132-ct", "https://www.shelhealth.com/products/gain-flings-original-scent-liquid-laundry-detergent-pacs-132-ct")</f>
        <v/>
      </c>
      <c r="C1394" t="inlineStr">
        <is>
          <t>Gain Flings! Original Scent Liquid Laundry Detergent Pacs, 132 ct.</t>
        </is>
      </c>
      <c r="D1394" t="inlineStr">
        <is>
          <t>GAIN Flings! Liquid Laundry Detergent Pacs, Original, 16 Count (Pack of 6)</t>
        </is>
      </c>
      <c r="E1394" s="2">
        <f>HYPERLINK("https://www.amazon.com/Gain-Detergent-Liquid-Pods-Fling/dp/B01M5HB8FF/ref=sr_1_1?keywords=Gain+Flings%21+Original+Scent+Liquid+Laundry+Detergent+Pacs%2C+132+ct.&amp;qid=1695170557&amp;sr=8-1", "https://www.amazon.com/Gain-Detergent-Liquid-Pods-Fling/dp/B01M5HB8FF/ref=sr_1_1?keywords=Gain+Flings%21+Original+Scent+Liquid+Laundry+Detergent+Pacs%2C+132+ct.&amp;qid=1695170557&amp;sr=8-1")</f>
        <v/>
      </c>
      <c r="F1394" t="inlineStr">
        <is>
          <t>B01M5HB8FF</t>
        </is>
      </c>
      <c r="G1394">
        <f>_xludf.IMAGE("https://www.shelhealth.com/cdn/shop/products/gain-flings-original-scent-liquid-laundry-detergent-pacs-132-ct-shelhealth-826.jpg?v=1663356839&amp;width=1946")</f>
        <v/>
      </c>
      <c r="H1394">
        <f>_xludf.IMAGE("https://m.media-amazon.com/images/I/81TUvCF69UL._AC_UL320_.jpg")</f>
        <v/>
      </c>
      <c r="K1394" t="inlineStr">
        <is>
          <t>41.99</t>
        </is>
      </c>
      <c r="L1394" t="n">
        <v>42.01</v>
      </c>
      <c r="M1394" s="1" t="inlineStr">
        <is>
          <t>0.05%</t>
        </is>
      </c>
      <c r="N1394" s="3" t="n">
        <v>0.05</v>
      </c>
      <c r="O1394" t="n">
        <v>4.8</v>
      </c>
      <c r="P1394" t="n">
        <v>7415</v>
      </c>
      <c r="R1394" t="inlineStr">
        <is>
          <t>InStock</t>
        </is>
      </c>
      <c r="S1394" t="inlineStr">
        <is>
          <t>41.99</t>
        </is>
      </c>
      <c r="T1394" t="inlineStr">
        <is>
          <t>4179090735156</t>
        </is>
      </c>
    </row>
    <row r="1395" hidden="1" ht="15.75" customHeight="1">
      <c r="A1395" s="2">
        <f>HYPERLINK("https://www.shelhealth.com/products/ziploc-double-zipper-quart-freezer-bags-216-count", "https://www.shelhealth.com/products/ziploc-double-zipper-quart-freezer-bags-216-count")</f>
        <v/>
      </c>
      <c r="B1395" s="2">
        <f>HYPERLINK("https://www.shelhealth.com/products/ziploc-double-zipper-quart-freezer-bags-216-count", "https://www.shelhealth.com/products/ziploc-double-zipper-quart-freezer-bags-216-count")</f>
        <v/>
      </c>
      <c r="C1395" t="inlineStr">
        <is>
          <t>Ziploc Double Zipper Quart Freezer Bags, 216 Count</t>
        </is>
      </c>
      <c r="D1395" t="inlineStr">
        <is>
          <t>Ziploc Double Zipper Freezer Bags - Quart - 4/54 ct. [216 BAGS]</t>
        </is>
      </c>
      <c r="E1395" s="2">
        <f>HYPERLINK("https://www.amazon.com/Ziploc%C2%AE-Double-Zipper-Freezer-Bags/dp/B005NTRDI0/ref=sr_1_1?keywords=Ziploc+Double+Zipper+Quart+Freezer+Bags%2C+216+Count&amp;qid=1695170418&amp;sr=8-1", "https://www.amazon.com/Ziploc%C2%AE-Double-Zipper-Freezer-Bags/dp/B005NTRDI0/ref=sr_1_1?keywords=Ziploc+Double+Zipper+Quart+Freezer+Bags%2C+216+Count&amp;qid=1695170418&amp;sr=8-1")</f>
        <v/>
      </c>
      <c r="F1395" t="inlineStr">
        <is>
          <t>B005NTRDI0</t>
        </is>
      </c>
      <c r="G1395">
        <f>_xludf.IMAGE("https://www.shelhealth.com/cdn/shop/products/ziploc-double-zipper-quart-freezer-bags-216-count-shelhealth-163.jpg?v=1663344339&amp;width=1946")</f>
        <v/>
      </c>
      <c r="H1395">
        <f>_xludf.IMAGE("https://m.media-amazon.com/images/I/51btbE3ilYL._AC_UL320_.jpg")</f>
        <v/>
      </c>
      <c r="K1395" t="inlineStr">
        <is>
          <t>21.99</t>
        </is>
      </c>
      <c r="L1395" t="n">
        <v>22</v>
      </c>
      <c r="M1395" s="1" t="inlineStr">
        <is>
          <t>0.05%</t>
        </is>
      </c>
      <c r="N1395" s="3" t="n">
        <v>0.05</v>
      </c>
      <c r="O1395" t="n">
        <v>4.7</v>
      </c>
      <c r="P1395" t="n">
        <v>295</v>
      </c>
      <c r="R1395" t="inlineStr">
        <is>
          <t>InStock</t>
        </is>
      </c>
      <c r="S1395" t="inlineStr">
        <is>
          <t>21.99</t>
        </is>
      </c>
      <c r="T1395" t="inlineStr">
        <is>
          <t>3824968433716</t>
        </is>
      </c>
    </row>
    <row r="1396" hidden="1" ht="15.75" customHeight="1">
      <c r="A1396" s="2">
        <f>HYPERLINK("https://www.shelhealth.com/products/kirkland-signature-ultra-high-pile-premium-microfiber-towels-36-count", "https://www.shelhealth.com/products/kirkland-signature-ultra-high-pile-premium-microfiber-towels-36-count")</f>
        <v/>
      </c>
      <c r="B1396" s="2">
        <f>HYPERLINK("https://www.shelhealth.com/products/kirkland-signature-ultra-high-pile-premium-microfiber-towels-36-count", "https://www.shelhealth.com/products/kirkland-signature-ultra-high-pile-premium-microfiber-towels-36-count")</f>
        <v/>
      </c>
      <c r="C1396" t="inlineStr">
        <is>
          <t>Kirkland Signature Ultra High Pile Premium Microfiber Towels - 36 Count.</t>
        </is>
      </c>
      <c r="D1396" t="inlineStr">
        <is>
          <t>Kirkland Signature Ultra High Pile Premium Microfiber Towels, 36 Count (Pack of 1), Yellow - 713160</t>
        </is>
      </c>
      <c r="E1396" s="2">
        <f>HYPERLINK("https://www.amazon.com/Kirkland-Signature-Premium-Microfiber-36-Pack/dp/B00GARQKII/ref=sr_1_1?keywords=Kirkland+Signature+Ultra+High+Pile+Premium+Microfiber+Towels+-+36+Count.&amp;qid=1695170388&amp;sr=8-1", "https://www.amazon.com/Kirkland-Signature-Premium-Microfiber-36-Pack/dp/B00GARQKII/ref=sr_1_1?keywords=Kirkland+Signature+Ultra+High+Pile+Premium+Microfiber+Towels+-+36+Count.&amp;qid=1695170388&amp;sr=8-1")</f>
        <v/>
      </c>
      <c r="F1396" t="inlineStr">
        <is>
          <t>B00GARQKII</t>
        </is>
      </c>
      <c r="G1396">
        <f>_xludf.IMAGE("https://www.shelhealth.com/cdn/shop/products/kirkland-signature-ultra-high-pile-premium-microfiber-towels-36-count-shelhealth-273.jpg?v=1663373793&amp;width=1946")</f>
        <v/>
      </c>
      <c r="H1396">
        <f>_xludf.IMAGE("https://m.media-amazon.com/images/I/71e0xowwO6L._AC_UL320_.jpg")</f>
        <v/>
      </c>
      <c r="K1396" t="inlineStr">
        <is>
          <t>29.99</t>
        </is>
      </c>
      <c r="L1396" t="n">
        <v>30</v>
      </c>
      <c r="M1396" s="1" t="inlineStr">
        <is>
          <t>0.03%</t>
        </is>
      </c>
      <c r="N1396" s="3" t="n">
        <v>0.03</v>
      </c>
      <c r="O1396" t="n">
        <v>4.8</v>
      </c>
      <c r="P1396" t="n">
        <v>4556</v>
      </c>
      <c r="R1396" t="inlineStr">
        <is>
          <t>InStock</t>
        </is>
      </c>
      <c r="S1396" t="inlineStr">
        <is>
          <t>29.99</t>
        </is>
      </c>
      <c r="T1396" t="inlineStr">
        <is>
          <t>4710420971609</t>
        </is>
      </c>
    </row>
    <row r="1397" hidden="1" ht="15.75" customHeight="1">
      <c r="A1397" s="2">
        <f>HYPERLINK("https://www.shelhealth.com/products/gain-ultra-concentrated-liquid-fabric-softener-138-fl-oz", "https://www.shelhealth.com/products/gain-ultra-concentrated-liquid-fabric-softener-138-fl-oz")</f>
        <v/>
      </c>
      <c r="B1397" s="2">
        <f>HYPERLINK("https://www.shelhealth.com/products/gain-ultra-concentrated-liquid-fabric-softener-138-fl-oz", "https://www.shelhealth.com/products/gain-ultra-concentrated-liquid-fabric-softener-138-fl-oz")</f>
        <v/>
      </c>
      <c r="C1397" t="inlineStr">
        <is>
          <t>Gain Ultra Concentrated Liquid Fabric Softener, 138 fl. oz.</t>
        </is>
      </c>
      <c r="D1397" t="inlineStr">
        <is>
          <t>Gain Ultra Concentrated Liquid Fabric Softener, Original (138 fl oz, 204 loads)</t>
        </is>
      </c>
      <c r="E1397" s="2">
        <f>HYPERLINK("https://www.amazon.com/Gain-Concentrated-Liquid-Softener-Original/dp/B07HCYJSMJ/ref=sr_1_1?keywords=Gain+Ultra+Concentrated+Liquid+Fabric+Softener%2C+138+fl.+oz.&amp;qid=1695170537&amp;sr=8-1", "https://www.amazon.com/Gain-Concentrated-Liquid-Softener-Original/dp/B07HCYJSMJ/ref=sr_1_1?keywords=Gain+Ultra+Concentrated+Liquid+Fabric+Softener%2C+138+fl.+oz.&amp;qid=1695170537&amp;sr=8-1")</f>
        <v/>
      </c>
      <c r="F1397" t="inlineStr">
        <is>
          <t>B07HCYJSMJ</t>
        </is>
      </c>
      <c r="G1397">
        <f>_xludf.IMAGE("https://www.shelhealth.com/cdn/shop/products/gain-ultra-concentrated-liquid-fabric-softener-138-fl-oz-shelhealth-243.jpg?v=1663356850&amp;width=1946")</f>
        <v/>
      </c>
      <c r="H1397">
        <f>_xludf.IMAGE("https://m.media-amazon.com/images/I/71SuZ7WxYPL._AC_UL320_.jpg")</f>
        <v/>
      </c>
      <c r="K1397" t="inlineStr">
        <is>
          <t>32.99</t>
        </is>
      </c>
      <c r="L1397" t="n">
        <v>33</v>
      </c>
      <c r="M1397" s="1" t="inlineStr">
        <is>
          <t>0.03%</t>
        </is>
      </c>
      <c r="N1397" s="3" t="n">
        <v>0.03</v>
      </c>
      <c r="O1397" t="n">
        <v>4.8</v>
      </c>
      <c r="P1397" t="n">
        <v>1661</v>
      </c>
      <c r="R1397" t="inlineStr">
        <is>
          <t>InStock</t>
        </is>
      </c>
      <c r="S1397" t="inlineStr">
        <is>
          <t>32.99</t>
        </is>
      </c>
      <c r="T1397" t="inlineStr">
        <is>
          <t>4179091128372</t>
        </is>
      </c>
    </row>
    <row r="1398" hidden="1" ht="15.75" customHeight="1">
      <c r="A1398" s="2">
        <f>HYPERLINK("https://www.shelhealth.com/products/glade-plugins-hawaiian-breeze-scented-oil-warmer-refills-8-pk", "https://www.shelhealth.com/products/glade-plugins-hawaiian-breeze-scented-oil-warmer-refills-8-pk")</f>
        <v/>
      </c>
      <c r="B1398" s="2">
        <f>HYPERLINK("https://www.shelhealth.com/products/glade-plugins-hawaiian-breeze-scented-oil-warmer-refills-8-pk", "https://www.shelhealth.com/products/glade-plugins-hawaiian-breeze-scented-oil-warmer-refills-8-pk")</f>
        <v/>
      </c>
      <c r="C1398" t="inlineStr">
        <is>
          <t>Glade PlugIns Hawaiian Breeze Scented Oil Warmer Refills, 8 pk.</t>
        </is>
      </c>
      <c r="D1398" t="inlineStr">
        <is>
          <t>Glade PlugIns Scented Oil Warmer plus 6 Refills, Hawaiian Breeze</t>
        </is>
      </c>
      <c r="E1398" s="2">
        <f>HYPERLINK("https://www.amazon.com/Glade-PlugIns-Scented-Refills-Hawaiian/dp/B005M62U2S/ref=sr_1_4?keywords=Glade+PlugIns+Hawaiian+Breeze+Scented+Oil+Warmer+Refills%2C+8+pk.&amp;qid=1695170562&amp;sr=8-4", "https://www.amazon.com/Glade-PlugIns-Scented-Refills-Hawaiian/dp/B005M62U2S/ref=sr_1_4?keywords=Glade+PlugIns+Hawaiian+Breeze+Scented+Oil+Warmer+Refills%2C+8+pk.&amp;qid=1695170562&amp;sr=8-4")</f>
        <v/>
      </c>
      <c r="F1398" t="inlineStr">
        <is>
          <t>B005M62U2S</t>
        </is>
      </c>
      <c r="G1398">
        <f>_xludf.IMAGE("https://www.shelhealth.com/cdn/shop/files/glade-plugins-hawaiian-breeze-scented-oil-warmer-refills-8-pk-grocery-household-petcleaning-goods-shelhealth-152.jpg?v=1686283077&amp;width=1946")</f>
        <v/>
      </c>
      <c r="H1398">
        <f>_xludf.IMAGE("https://m.media-amazon.com/images/I/81sbV5avlIL._AC_UL320_.jpg")</f>
        <v/>
      </c>
      <c r="K1398" t="inlineStr">
        <is>
          <t>28.99</t>
        </is>
      </c>
      <c r="L1398" t="n">
        <v>28.99</v>
      </c>
      <c r="M1398" s="1" t="inlineStr">
        <is>
          <t>0.00%</t>
        </is>
      </c>
      <c r="N1398" s="3" t="n">
        <v>0</v>
      </c>
      <c r="O1398" t="n">
        <v>4.7</v>
      </c>
      <c r="P1398" t="n">
        <v>276</v>
      </c>
      <c r="R1398" t="inlineStr">
        <is>
          <t>OutOfStock</t>
        </is>
      </c>
      <c r="S1398" t="inlineStr">
        <is>
          <t>28.99</t>
        </is>
      </c>
      <c r="T1398" t="inlineStr">
        <is>
          <t>4169649750068</t>
        </is>
      </c>
    </row>
    <row r="1399" hidden="1" ht="15.75" customHeight="1">
      <c r="A1399" s="2">
        <f>HYPERLINK("https://www.shelhealth.com/products/717256000349-bio-kleen-stain-odor-remover-128-oz", "https://www.shelhealth.com/products/717256000349-bio-kleen-stain-odor-remover-128-oz")</f>
        <v/>
      </c>
      <c r="B1399" s="2">
        <f>HYPERLINK("https://www.shelhealth.com/products/717256000349-bio-kleen-stain-odor-remover-128-oz", "https://www.shelhealth.com/products/717256000349-bio-kleen-stain-odor-remover-128-oz")</f>
        <v/>
      </c>
      <c r="C1399" t="inlineStr">
        <is>
          <t>BIO KLEEN Stain &amp; Odor Remover, 128 oz</t>
        </is>
      </c>
      <c r="D1399" t="inlineStr">
        <is>
          <t>Biokleen Bac-Out Stain Remover for Clothes &amp; Carpet - 128 Ounce - Enzyme, Destroys Stains &amp; Odors Safely, for Pet Stains, Laundry, Diapers, Wine, Carpets - Eco-Friendly, Plant-Based</t>
        </is>
      </c>
      <c r="E1399" s="2">
        <f>HYPERLINK("https://www.amazon.com/Biokleen-Bac-Out-Remover-Clothes-Carpet/dp/B0061VZQWO/ref=sr_1_1?keywords=BIO+KLEEN+Stain+%26+Odor+Remover%2C+128+oz&amp;qid=1695170471&amp;sr=8-1", "https://www.amazon.com/Biokleen-Bac-Out-Remover-Clothes-Carpet/dp/B0061VZQWO/ref=sr_1_1?keywords=BIO+KLEEN+Stain+%26+Odor+Remover%2C+128+oz&amp;qid=1695170471&amp;sr=8-1")</f>
        <v/>
      </c>
      <c r="F1399" t="inlineStr">
        <is>
          <t>B0061VZQWO</t>
        </is>
      </c>
      <c r="G1399">
        <f>_xludf.IMAGE("https://www.shelhealth.com/cdn/shop/files/bio-kleen-stain-odor-remover-128-oz-home-products-shelhealth-189.jpg?v=1686140501&amp;width=1946")</f>
        <v/>
      </c>
      <c r="H1399">
        <f>_xludf.IMAGE("https://m.media-amazon.com/images/I/61hCyWxyyrL._AC_UL320_.jpg")</f>
        <v/>
      </c>
      <c r="K1399" t="inlineStr">
        <is>
          <t>31.99</t>
        </is>
      </c>
      <c r="L1399" t="n">
        <v>31.98</v>
      </c>
      <c r="M1399" s="1" t="inlineStr">
        <is>
          <t>-0.03%</t>
        </is>
      </c>
      <c r="N1399" s="3" t="n">
        <v>-0.03</v>
      </c>
      <c r="O1399" t="n">
        <v>4.7</v>
      </c>
      <c r="P1399" t="n">
        <v>6537</v>
      </c>
      <c r="R1399" t="inlineStr">
        <is>
          <t>OutOfStock</t>
        </is>
      </c>
      <c r="S1399" t="inlineStr">
        <is>
          <t>31.99</t>
        </is>
      </c>
      <c r="T1399" t="inlineStr">
        <is>
          <t>7573984739560</t>
        </is>
      </c>
    </row>
    <row r="1400" hidden="1" ht="15.75" customHeight="1">
      <c r="A1400" s="2">
        <f>HYPERLINK("https://www.shelhealth.com/products/gain-fireworks-in-wash-scent-booster-beads-30-3-oz", "https://www.shelhealth.com/products/gain-fireworks-in-wash-scent-booster-beads-30-3-oz")</f>
        <v/>
      </c>
      <c r="B1400" s="2">
        <f>HYPERLINK("https://www.shelhealth.com/products/gain-fireworks-in-wash-scent-booster-beads-30-3-oz", "https://www.shelhealth.com/products/gain-fireworks-in-wash-scent-booster-beads-30-3-oz")</f>
        <v/>
      </c>
      <c r="C1400" t="inlineStr">
        <is>
          <t>Gain Fireworks In-Wash Scent Booster Beads, 30.3 oz.</t>
        </is>
      </c>
      <c r="D1400" t="inlineStr">
        <is>
          <t>Gain Fireworks in-Wash Scent Booster Beads, Moonlight Breeze, 14.8 Ounce (Pack of 2)</t>
        </is>
      </c>
      <c r="E1400" s="2">
        <f>HYPERLINK("https://www.amazon.com/Gain-Fireworks-Booster-Moonlight-Breeze/dp/B0C1FNDVMN/ref=sr_1_7?keywords=Gain+Fireworks+In-Wash+Scent+Booster+Beads%2C+30.3+oz.&amp;qid=1695170556&amp;sr=8-7", "https://www.amazon.com/Gain-Fireworks-Booster-Moonlight-Breeze/dp/B0C1FNDVMN/ref=sr_1_7?keywords=Gain+Fireworks+In-Wash+Scent+Booster+Beads%2C+30.3+oz.&amp;qid=1695170556&amp;sr=8-7")</f>
        <v/>
      </c>
      <c r="F1400" t="inlineStr">
        <is>
          <t>B0C1FNDVMN</t>
        </is>
      </c>
      <c r="G1400">
        <f>_xludf.IMAGE("https://www.shelhealth.com/cdn/shop/products/gain-fireworks-in-wash-scent-booster-beads-30-3-oz-shelhealth-634.jpg?v=1663356812&amp;width=1946")</f>
        <v/>
      </c>
      <c r="H1400">
        <f>_xludf.IMAGE("https://m.media-amazon.com/images/I/51NC4BZz0dL._AC_UL320_.jpg")</f>
        <v/>
      </c>
      <c r="K1400" t="inlineStr">
        <is>
          <t>23.99</t>
        </is>
      </c>
      <c r="L1400" t="n">
        <v>23.98</v>
      </c>
      <c r="M1400" s="1" t="inlineStr">
        <is>
          <t>-0.04%</t>
        </is>
      </c>
      <c r="N1400" s="3" t="n">
        <v>-0.04</v>
      </c>
      <c r="O1400" t="n">
        <v>4.8</v>
      </c>
      <c r="P1400" t="n">
        <v>1917</v>
      </c>
      <c r="R1400" t="inlineStr">
        <is>
          <t>InStock</t>
        </is>
      </c>
      <c r="S1400" t="inlineStr">
        <is>
          <t>23.99</t>
        </is>
      </c>
      <c r="T1400" t="inlineStr">
        <is>
          <t>4179087622196</t>
        </is>
      </c>
    </row>
    <row r="1401" hidden="1" ht="15.75" customHeight="1">
      <c r="A1401" s="2">
        <f>HYPERLINK("https://www.shelhealth.com/products/scotch-brite-non-scratch-scrub-sponges-21-sponges-total", "https://www.shelhealth.com/products/scotch-brite-non-scratch-scrub-sponges-21-sponges-total")</f>
        <v/>
      </c>
      <c r="B1401" s="2">
        <f>HYPERLINK("https://www.shelhealth.com/products/scotch-brite-non-scratch-scrub-sponges-21-sponges-total", "https://www.shelhealth.com/products/scotch-brite-non-scratch-scrub-sponges-21-sponges-total")</f>
        <v/>
      </c>
      <c r="C1401" t="inlineStr">
        <is>
          <t>Scotch-Brite Non-Scratch Scrub Sponges, 21 Sponges Total</t>
        </is>
      </c>
      <c r="D1401" t="inlineStr">
        <is>
          <t>Scotch -Brite Non Scratch Scrub sponges - 21 Pack - Individually Wrapped</t>
        </is>
      </c>
      <c r="E1401" s="2">
        <f>HYPERLINK("https://www.amazon.com/Scotch-Brite-Scratch-scrub-sponges/dp/B07DN72JPN/ref=sr_1_2?keywords=Scotch-Brite+Non-Scratch+Scrub+Sponges%2C+21+Sponges+Total&amp;qid=1695170382&amp;sr=8-2", "https://www.amazon.com/Scotch-Brite-Scratch-scrub-sponges/dp/B07DN72JPN/ref=sr_1_2?keywords=Scotch-Brite+Non-Scratch+Scrub+Sponges%2C+21+Sponges+Total&amp;qid=1695170382&amp;sr=8-2")</f>
        <v/>
      </c>
      <c r="F1401" t="inlineStr">
        <is>
          <t>B07DN72JPN</t>
        </is>
      </c>
      <c r="G1401">
        <f>_xludf.IMAGE("https://www.shelhealth.com/cdn/shop/products/scotch-brite-non-scratch-scrub-sponges-21-total-shelhealth-257.jpg?v=1663343405&amp;width=1946")</f>
        <v/>
      </c>
      <c r="H1401">
        <f>_xludf.IMAGE("https://m.media-amazon.com/images/I/611LSI1jsIL._AC_UL320_.jpg")</f>
        <v/>
      </c>
      <c r="K1401" t="inlineStr">
        <is>
          <t>21.99</t>
        </is>
      </c>
      <c r="L1401" t="n">
        <v>21.93</v>
      </c>
      <c r="M1401" s="1" t="inlineStr">
        <is>
          <t>-0.27%</t>
        </is>
      </c>
      <c r="N1401" s="3" t="n">
        <v>-0.27</v>
      </c>
      <c r="O1401" t="n">
        <v>4.8</v>
      </c>
      <c r="P1401" t="n">
        <v>1119</v>
      </c>
      <c r="R1401" t="inlineStr">
        <is>
          <t>InStock</t>
        </is>
      </c>
      <c r="S1401" t="inlineStr">
        <is>
          <t>21.99</t>
        </is>
      </c>
      <c r="T1401" t="inlineStr">
        <is>
          <t>3820350996532</t>
        </is>
      </c>
    </row>
    <row r="1402" hidden="1" ht="15.75" customHeight="1">
      <c r="A1402" s="2">
        <f>HYPERLINK("https://www.shelhealth.com/products/duracell-optimum-aa-batteries-28-ct", "https://www.shelhealth.com/products/duracell-optimum-aa-batteries-28-ct")</f>
        <v/>
      </c>
      <c r="B1402" s="2">
        <f>HYPERLINK("https://www.shelhealth.com/products/duracell-optimum-aa-batteries-28-ct", "https://www.shelhealth.com/products/duracell-optimum-aa-batteries-28-ct")</f>
        <v/>
      </c>
      <c r="C1402" t="inlineStr">
        <is>
          <t>Duracell Optimum AA Batteries, 28 ct.</t>
        </is>
      </c>
      <c r="D1402" t="inlineStr">
        <is>
          <t>Duracell Optimum AA Batteries, 28 Count + Coppertop AA 16 Count Pack Double A Alkaline Battery Combo Pack - 44 Count Total</t>
        </is>
      </c>
      <c r="E1402" s="2">
        <f>HYPERLINK("https://www.amazon.com/Duracell-Optimum-Batteries-Coppertop-Alkaline/dp/B0BGXCXS64/ref=sr_1_3?keywords=Duracell+Optimum+AA+Batteries%2C+28+ct.&amp;qid=1695170436&amp;sr=8-3", "https://www.amazon.com/Duracell-Optimum-Batteries-Coppertop-Alkaline/dp/B0BGXCXS64/ref=sr_1_3?keywords=Duracell+Optimum+AA+Batteries%2C+28+ct.&amp;qid=1695170436&amp;sr=8-3")</f>
        <v/>
      </c>
      <c r="F1402" t="inlineStr">
        <is>
          <t>B0BGXCXS64</t>
        </is>
      </c>
      <c r="G1402">
        <f>_xludf.IMAGE("https://www.shelhealth.com/cdn/shop/products/duracell-optimum-aa-batteries-28-ct-shelhealth-697.jpg?v=1663355440&amp;width=1946")</f>
        <v/>
      </c>
      <c r="H1402">
        <f>_xludf.IMAGE("https://m.media-amazon.com/images/I/71+3Txk0EIL._AC_UL320_.jpg")</f>
        <v/>
      </c>
      <c r="K1402" t="inlineStr">
        <is>
          <t>36.99</t>
        </is>
      </c>
      <c r="L1402" t="n">
        <v>36.84</v>
      </c>
      <c r="M1402" s="1" t="inlineStr">
        <is>
          <t>-0.41%</t>
        </is>
      </c>
      <c r="N1402" s="3" t="n">
        <v>-0.41</v>
      </c>
      <c r="O1402" t="n">
        <v>4.7</v>
      </c>
      <c r="P1402" t="n">
        <v>40</v>
      </c>
      <c r="R1402" t="inlineStr">
        <is>
          <t>InStock</t>
        </is>
      </c>
      <c r="S1402" t="inlineStr">
        <is>
          <t>36.99</t>
        </is>
      </c>
      <c r="T1402" t="inlineStr">
        <is>
          <t>4169892921396</t>
        </is>
      </c>
    </row>
    <row r="1403" hidden="1" ht="15.75" customHeight="1">
      <c r="A1403" s="2">
        <f>HYPERLINK("https://www.shelhealth.com/products/cascade-complete-gel-dishwasher-detergent-fresh-scent-155-oz", "https://www.shelhealth.com/products/cascade-complete-gel-dishwasher-detergent-fresh-scent-155-oz")</f>
        <v/>
      </c>
      <c r="B1403" s="2">
        <f>HYPERLINK("https://www.shelhealth.com/products/cascade-complete-gel-dishwasher-detergent-fresh-scent-155-oz", "https://www.shelhealth.com/products/cascade-complete-gel-dishwasher-detergent-fresh-scent-155-oz")</f>
        <v/>
      </c>
      <c r="C1403" t="inlineStr">
        <is>
          <t>Cascade Complete Gel Dishwasher Detergent, Fresh Scent, 155 oz.</t>
        </is>
      </c>
      <c r="D1403" t="inlineStr">
        <is>
          <t>Cascade Complete +Oxi Gel Dishwashing Detergent, Fresh Scent, 60 Fl oz (Pack of 2)</t>
        </is>
      </c>
      <c r="E1403" s="2">
        <f>HYPERLINK("https://www.amazon.com/Cascade-Complete-Dishwashing-Detergent-Fresh/dp/B09FJ8M475/ref=sr_1_8?keywords=Cascade+Complete+Gel+Dishwasher+Detergent%2C+Fresh+Scent%2C+155+oz.&amp;qid=1695170393&amp;sr=8-8", "https://www.amazon.com/Cascade-Complete-Dishwashing-Detergent-Fresh/dp/B09FJ8M475/ref=sr_1_8?keywords=Cascade+Complete+Gel+Dishwasher+Detergent%2C+Fresh+Scent%2C+155+oz.&amp;qid=1695170393&amp;sr=8-8")</f>
        <v/>
      </c>
      <c r="F1403" t="inlineStr">
        <is>
          <t>B09FJ8M475</t>
        </is>
      </c>
      <c r="G1403">
        <f>_xludf.IMAGE("https://www.shelhealth.com/cdn/shop/products/cascade-complete-gel-dishwasher-detergent-fresh-scent-155-oz-shelhealth-906.jpg?v=1663355159&amp;width=1946")</f>
        <v/>
      </c>
      <c r="H1403">
        <f>_xludf.IMAGE("https://m.media-amazon.com/images/I/81665HN0BrL._AC_UL320_.jpg")</f>
        <v/>
      </c>
      <c r="K1403" t="inlineStr">
        <is>
          <t>32.99</t>
        </is>
      </c>
      <c r="L1403" t="n">
        <v>32.8</v>
      </c>
      <c r="M1403" s="1" t="inlineStr">
        <is>
          <t>-0.58%</t>
        </is>
      </c>
      <c r="N1403" s="3" t="n">
        <v>-0.58</v>
      </c>
      <c r="O1403" t="n">
        <v>4.8</v>
      </c>
      <c r="P1403" t="n">
        <v>15</v>
      </c>
      <c r="R1403" t="inlineStr">
        <is>
          <t>InStock</t>
        </is>
      </c>
      <c r="S1403" t="inlineStr">
        <is>
          <t>32.99</t>
        </is>
      </c>
      <c r="T1403" t="inlineStr">
        <is>
          <t>4169691234356</t>
        </is>
      </c>
    </row>
    <row r="1404" hidden="1" ht="15.75" customHeight="1">
      <c r="A1404" s="2">
        <f>HYPERLINK("https://www.shelhealth.com/products/palmolive-ultra-dishwashing-liquid-dish-soap-original-102-fl-oz", "https://www.shelhealth.com/products/palmolive-ultra-dishwashing-liquid-dish-soap-original-102-fl-oz")</f>
        <v/>
      </c>
      <c r="B1404" s="2">
        <f>HYPERLINK("https://www.shelhealth.com/products/palmolive-ultra-dishwashing-liquid-dish-soap-original-102-fl-oz", "https://www.shelhealth.com/products/palmolive-ultra-dishwashing-liquid-dish-soap-original-102-fl-oz")</f>
        <v/>
      </c>
      <c r="C1404" t="inlineStr">
        <is>
          <t>Palmolive Ultra Dishwashing Liquid Dish Soap, Original, 102 fl. oz.</t>
        </is>
      </c>
      <c r="D1404" t="inlineStr">
        <is>
          <t>Palmolive Ultra Dishwashing Liquid Dish Soap, Oxy Power Degreaser - 32.5 Fl Oz (Pack of 4)</t>
        </is>
      </c>
      <c r="E1404" s="2">
        <f>HYPERLINK("https://www.amazon.com/Palmolive-Ultra-Liquid-Power-Degreaser/dp/B0744GRJBZ/ref=sr_1_10?keywords=Palmolive+Ultra+Dishwashing+Liquid+Dish+Soap%2C+Original%2C+102+fl.+oz.&amp;qid=1695170433&amp;sr=8-10", "https://www.amazon.com/Palmolive-Ultra-Liquid-Power-Degreaser/dp/B0744GRJBZ/ref=sr_1_10?keywords=Palmolive+Ultra+Dishwashing+Liquid+Dish+Soap%2C+Original%2C+102+fl.+oz.&amp;qid=1695170433&amp;sr=8-10")</f>
        <v/>
      </c>
      <c r="F1404" t="inlineStr">
        <is>
          <t>B0744GRJBZ</t>
        </is>
      </c>
      <c r="G1404">
        <f>_xludf.IMAGE("https://www.shelhealth.com/cdn/shop/files/palmolive-ultra-dishwashing-liquid-dish-soap-original-102-fl-oz-grocery-household-petcleaning-goods-shelhealth-124.jpg?v=1686283062&amp;width=1946")</f>
        <v/>
      </c>
      <c r="H1404">
        <f>_xludf.IMAGE("https://m.media-amazon.com/images/I/81wfLfXR6jL._AC_UL320_.jpg")</f>
        <v/>
      </c>
      <c r="K1404" t="inlineStr">
        <is>
          <t>15.99</t>
        </is>
      </c>
      <c r="L1404" t="n">
        <v>15.84</v>
      </c>
      <c r="M1404" s="1" t="inlineStr">
        <is>
          <t>-0.94%</t>
        </is>
      </c>
      <c r="N1404" s="3" t="n">
        <v>-0.9399999999999999</v>
      </c>
      <c r="O1404" t="n">
        <v>4.8</v>
      </c>
      <c r="P1404" t="n">
        <v>23606</v>
      </c>
      <c r="R1404" t="inlineStr">
        <is>
          <t>InStock</t>
        </is>
      </c>
      <c r="S1404" t="inlineStr">
        <is>
          <t>15.99</t>
        </is>
      </c>
      <c r="T1404" t="inlineStr">
        <is>
          <t>4169704669236</t>
        </is>
      </c>
    </row>
    <row r="1405" hidden="1" ht="15.75" customHeight="1">
      <c r="A1405" s="2">
        <f>HYPERLINK("https://www.shelhealth.com/products/3m-post-it-notes-4-in-x-6-in-1000-notes", "https://www.shelhealth.com/products/3m-post-it-notes-4-in-x-6-in-1000-notes")</f>
        <v/>
      </c>
      <c r="B1405" s="2">
        <f>HYPERLINK("https://www.shelhealth.com/products/3m-post-it-notes-4-in-x-6-in-1000-notes", "https://www.shelhealth.com/products/3m-post-it-notes-4-in-x-6-in-1000-notes")</f>
        <v/>
      </c>
      <c r="C1405" t="inlineStr">
        <is>
          <t>3M Post-It Notes 4 in. x 6 in. (1000 Notes)</t>
        </is>
      </c>
      <c r="D1405" t="inlineStr">
        <is>
          <t>Post-it Notes, 4 in x 6 in, America's #1 Favorite Sticky Notes, Canary Yellow, 12 Pads/Pack</t>
        </is>
      </c>
      <c r="E1405" s="2">
        <f>HYPERLINK("https://www.amazon.com/Post-Americas-Favorite-Sticky-659/dp/B00006JNNS/ref=sr_1_7?keywords=3M+Post-It+Notes+4+in.+x+6+in.+%281000+Notes%29&amp;qid=1695170548&amp;sr=8-7", "https://www.amazon.com/Post-Americas-Favorite-Sticky-659/dp/B00006JNNS/ref=sr_1_7?keywords=3M+Post-It+Notes+4+in.+x+6+in.+%281000+Notes%29&amp;qid=1695170548&amp;sr=8-7")</f>
        <v/>
      </c>
      <c r="F1405" t="inlineStr">
        <is>
          <t>B00006JNNS</t>
        </is>
      </c>
      <c r="G1405">
        <f>_xludf.IMAGE("https://www.shelhealth.com/cdn/shop/products/3m-post-it-notes-4-in-x-6-1000-shelhealth-914.jpg?v=1663372769&amp;width=1946")</f>
        <v/>
      </c>
      <c r="H1405">
        <f>_xludf.IMAGE("https://m.media-amazon.com/images/I/71C4HT0EADL._AC_UL320_.jpg")</f>
        <v/>
      </c>
      <c r="K1405" t="inlineStr">
        <is>
          <t>27.99</t>
        </is>
      </c>
      <c r="L1405" t="n">
        <v>27.37</v>
      </c>
      <c r="M1405" s="1" t="inlineStr">
        <is>
          <t>-2.22%</t>
        </is>
      </c>
      <c r="N1405" s="3" t="n">
        <v>-2.22</v>
      </c>
      <c r="O1405" t="n">
        <v>4.5</v>
      </c>
      <c r="P1405" t="n">
        <v>72</v>
      </c>
      <c r="R1405" t="inlineStr">
        <is>
          <t>InStock</t>
        </is>
      </c>
      <c r="S1405" t="inlineStr">
        <is>
          <t>27.99</t>
        </is>
      </c>
      <c r="T1405" t="inlineStr">
        <is>
          <t>4696976883801</t>
        </is>
      </c>
    </row>
    <row r="1406" hidden="1" ht="15.75" customHeight="1">
      <c r="A1406" s="2">
        <f>HYPERLINK("https://www.shelhealth.com/products/seventh-generation-all-purpose-cleaner-morning-meadow-scent-23-fl-oz-pack-of-3", "https://www.shelhealth.com/products/seventh-generation-all-purpose-cleaner-morning-meadow-scent-23-fl-oz-pack-of-3")</f>
        <v/>
      </c>
      <c r="B1406" s="2">
        <f>HYPERLINK("https://www.shelhealth.com/products/seventh-generation-all-purpose-cleaner-morning-meadow-scent-23-fl-oz-pack-of-3", "https://www.shelhealth.com/products/seventh-generation-all-purpose-cleaner-morning-meadow-scent-23-fl-oz-pack-of-3")</f>
        <v/>
      </c>
      <c r="C1406" t="inlineStr">
        <is>
          <t>Seventh Generation All Purpose Cleaner, Morning Meadow scent, 23 fl oz (Pack of 3)</t>
        </is>
      </c>
      <c r="D1406" t="inlineStr">
        <is>
          <t>Seventh Generation All Purpose Cleaner, Degreasing Formula, Fresh Morning Meadow Scent, 23 oz (Pack of 4)</t>
        </is>
      </c>
      <c r="E1406" s="2">
        <f>HYPERLINK("https://www.amazon.com/Seventh-Generation-Purpose-Cleaner-Morning/dp/B08HZXG68T/ref=sr_1_3?keywords=Seventh+Generation+All+Purpose+Cleaner%2C+Morning+Meadow+scent%2C+23+fl+oz+%28Pack+of+3%29&amp;qid=1695170419&amp;sr=8-3", "https://www.amazon.com/Seventh-Generation-Purpose-Cleaner-Morning/dp/B08HZXG68T/ref=sr_1_3?keywords=Seventh+Generation+All+Purpose+Cleaner%2C+Morning+Meadow+scent%2C+23+fl+oz+%28Pack+of+3%29&amp;qid=1695170419&amp;sr=8-3")</f>
        <v/>
      </c>
      <c r="F1406" t="inlineStr">
        <is>
          <t>B08HZXG68T</t>
        </is>
      </c>
      <c r="G1406">
        <f>_xludf.IMAGE("https://www.shelhealth.com/cdn/shop/products/seventh-generation-all-purpose-cleaner-morning-meadow-scent-23-fl-oz-pack-of-3-shelhealth-819.jpg?v=1663365197&amp;width=1946")</f>
        <v/>
      </c>
      <c r="H1406">
        <f>_xludf.IMAGE("https://m.media-amazon.com/images/I/812izOpQ4yL._AC_UL320_.jpg")</f>
        <v/>
      </c>
      <c r="K1406" t="inlineStr">
        <is>
          <t>18.99</t>
        </is>
      </c>
      <c r="L1406" t="n">
        <v>18.52</v>
      </c>
      <c r="M1406" s="1" t="inlineStr">
        <is>
          <t>-2.47%</t>
        </is>
      </c>
      <c r="N1406" s="3" t="n">
        <v>-2.47</v>
      </c>
      <c r="O1406" t="n">
        <v>4.7</v>
      </c>
      <c r="P1406" t="n">
        <v>1580</v>
      </c>
      <c r="R1406" t="inlineStr">
        <is>
          <t>InStock</t>
        </is>
      </c>
      <c r="S1406" t="inlineStr">
        <is>
          <t>18.99</t>
        </is>
      </c>
      <c r="T1406" t="inlineStr">
        <is>
          <t>4475975598169</t>
        </is>
      </c>
    </row>
    <row r="1407" hidden="1" ht="15.75" customHeight="1">
      <c r="A1407" s="2">
        <f>HYPERLINK("https://www.shelhealth.com/products/dawn-dish-soap-ultra-platinum-advanced-power-4x-more-90-fl-oz", "https://www.shelhealth.com/products/dawn-dish-soap-ultra-platinum-advanced-power-4x-more-90-fl-oz")</f>
        <v/>
      </c>
      <c r="B1407" s="2">
        <f>HYPERLINK("https://www.shelhealth.com/products/dawn-dish-soap-ultra-platinum-advanced-power-4x-more-90-fl-oz", "https://www.shelhealth.com/products/dawn-dish-soap-ultra-platinum-advanced-power-4x-more-90-fl-oz")</f>
        <v/>
      </c>
      <c r="C1407" t="inlineStr">
        <is>
          <t>Dawn Dish Soap, Ultra Platinum Advanced Power 4X More 90 Fl. OZ</t>
        </is>
      </c>
      <c r="D1407" t="inlineStr">
        <is>
          <t>Dawn Ultra Liquid Dishwashing Dish Soap, 3X More Platinum Advanced Power Clean - 24 Fl oz x 3 Count (Total 72 Fl oz)</t>
        </is>
      </c>
      <c r="E1407" s="2">
        <f>HYPERLINK("https://www.amazon.com/Dawn-Liquid-Dishwashing-Platinum-Advanced/dp/B07DKVMM8W/ref=sr_1_3?keywords=Dawn+Dish+Soap%2C+Ultra+Platinum+Advanced+Power+4X+More+90+Fl.+OZ&amp;qid=1695170382&amp;sr=8-3", "https://www.amazon.com/Dawn-Liquid-Dishwashing-Platinum-Advanced/dp/B07DKVMM8W/ref=sr_1_3?keywords=Dawn+Dish+Soap%2C+Ultra+Platinum+Advanced+Power+4X+More+90+Fl.+OZ&amp;qid=1695170382&amp;sr=8-3")</f>
        <v/>
      </c>
      <c r="F1407" t="inlineStr">
        <is>
          <t>B07DKVMM8W</t>
        </is>
      </c>
      <c r="G1407">
        <f>_xludf.IMAGE("https://www.shelhealth.com/cdn/shop/products/dawn-dish-soap-ultra-platinum-advanced-power-4x-more-90-fl-oz-shelhealth-761.jpg?v=1663343123&amp;width=1946")</f>
        <v/>
      </c>
      <c r="H1407">
        <f>_xludf.IMAGE("https://m.media-amazon.com/images/I/71HwpwNzeKL._AC_UL320_.jpg")</f>
        <v/>
      </c>
      <c r="K1407" t="inlineStr">
        <is>
          <t>21.99</t>
        </is>
      </c>
      <c r="L1407" t="n">
        <v>21.39</v>
      </c>
      <c r="M1407" s="1" t="inlineStr">
        <is>
          <t>-2.73%</t>
        </is>
      </c>
      <c r="N1407" s="3" t="n">
        <v>-2.73</v>
      </c>
      <c r="O1407" t="n">
        <v>4.8</v>
      </c>
      <c r="P1407" t="n">
        <v>5740</v>
      </c>
      <c r="R1407" t="inlineStr">
        <is>
          <t>InStock</t>
        </is>
      </c>
      <c r="S1407" t="inlineStr">
        <is>
          <t>21.99</t>
        </is>
      </c>
      <c r="T1407" t="inlineStr">
        <is>
          <t>3819436048436</t>
        </is>
      </c>
    </row>
    <row r="1408" hidden="1" ht="15.75" customHeight="1">
      <c r="A1408" s="2">
        <f>HYPERLINK("https://www.shelhealth.com/products/lysol-disinfectant-spray-4-ct-19-oz", "https://www.shelhealth.com/products/lysol-disinfectant-spray-4-ct-19-oz")</f>
        <v/>
      </c>
      <c r="B1408" s="2">
        <f>HYPERLINK("https://www.shelhealth.com/products/lysol-disinfectant-spray-4-ct-19-oz", "https://www.shelhealth.com/products/lysol-disinfectant-spray-4-ct-19-oz")</f>
        <v/>
      </c>
      <c r="C1408" t="inlineStr">
        <is>
          <t>Lysol Disinfectant Spray, 4 ct./19 oz.</t>
        </is>
      </c>
      <c r="D1408" t="inlineStr">
        <is>
          <t>Lysol Disinfectant Spray, Spring Waterfall, 19 oz(Pack of 4)</t>
        </is>
      </c>
      <c r="E1408" s="2">
        <f>HYPERLINK("https://www.amazon.com/Lysol-Disinfectant-Spray-Spring-Waterfall/dp/B01IAIMTAM/ref=sr_1_1?keywords=Lysol+Disinfectant+Spray%2C+4+ct.%2F19+oz.&amp;qid=1695170396&amp;sr=8-1", "https://www.amazon.com/Lysol-Disinfectant-Spray-Spring-Waterfall/dp/B01IAIMTAM/ref=sr_1_1?keywords=Lysol+Disinfectant+Spray%2C+4+ct.%2F19+oz.&amp;qid=1695170396&amp;sr=8-1")</f>
        <v/>
      </c>
      <c r="F1408" t="inlineStr">
        <is>
          <t>B01IAIMTAM</t>
        </is>
      </c>
      <c r="G1408">
        <f>_xludf.IMAGE("https://www.shelhealth.com/cdn/shop/products/lysol-disinfectant-spray-4-ct-19-oz-shelhealth-997.jpg?v=1663355321&amp;width=1946")</f>
        <v/>
      </c>
      <c r="H1408">
        <f>_xludf.IMAGE("https://m.media-amazon.com/images/I/91lxU413OOL._AC_UL320_.jpg")</f>
        <v/>
      </c>
      <c r="K1408" t="inlineStr">
        <is>
          <t>29.99</t>
        </is>
      </c>
      <c r="L1408" t="n">
        <v>29.08</v>
      </c>
      <c r="M1408" s="1" t="inlineStr">
        <is>
          <t>-3.03%</t>
        </is>
      </c>
      <c r="N1408" s="3" t="n">
        <v>-3.03</v>
      </c>
      <c r="O1408" t="n">
        <v>4.3</v>
      </c>
      <c r="P1408" t="n">
        <v>55</v>
      </c>
      <c r="R1408" t="inlineStr">
        <is>
          <t>OutOfStock</t>
        </is>
      </c>
      <c r="S1408" t="inlineStr">
        <is>
          <t>29.99</t>
        </is>
      </c>
      <c r="T1408" t="inlineStr">
        <is>
          <t>4169806643252</t>
        </is>
      </c>
    </row>
    <row r="1409" hidden="1" ht="15.75" customHeight="1">
      <c r="A1409" s="2">
        <f>HYPERLINK("https://www.shelhealth.com/products/039938710804-creative-converting-plates-l-glow-pumpkin-8-ea", "https://www.shelhealth.com/products/039938710804-creative-converting-plates-l-glow-pumpkin-8-ea")</f>
        <v/>
      </c>
      <c r="B1409" s="2">
        <f>HYPERLINK("https://www.shelhealth.com/products/039938710804-creative-converting-plates-l-glow-pumpkin-8-ea", "https://www.shelhealth.com/products/039938710804-creative-converting-plates-l-glow-pumpkin-8-ea")</f>
        <v/>
      </c>
      <c r="C1409" t="inlineStr">
        <is>
          <t>CREATIVE CONVERTING Plates L Glow Pumpkin, 8 ea (Case of 5)</t>
        </is>
      </c>
      <c r="D1409" t="inlineStr">
        <is>
          <t>Creative Converting Birthday Pcs 8-Count Sturdy Style 8.75-Inch Round Paper, Glow Party, Large Plates (Pack of 2)</t>
        </is>
      </c>
      <c r="E1409" s="2">
        <f>HYPERLINK("https://www.amazon.com/Creative-Converting-Birthday-8-Count-8-75-Inch/dp/B0CHR8ZC2B/ref=sr_1_1?keywords=CREATIVE+CONVERTING+Plates+L+Glow+Pumpkin%2C+8+ea+%28Case+of+5%29&amp;qid=1695170510&amp;sr=8-1", "https://www.amazon.com/Creative-Converting-Birthday-8-Count-8-75-Inch/dp/B0CHR8ZC2B/ref=sr_1_1?keywords=CREATIVE+CONVERTING+Plates+L+Glow+Pumpkin%2C+8+ea+%28Case+of+5%29&amp;qid=1695170510&amp;sr=8-1")</f>
        <v/>
      </c>
      <c r="F1409" t="inlineStr">
        <is>
          <t>B0CHR8ZC2B</t>
        </is>
      </c>
      <c r="G1409">
        <f>_xludf.IMAGE("https://www.shelhealth.com/cdn/shop/files/creative-converting-plates-l-glow-pumpkin-8-ea-case-of-5-home-products-shelhealth-985.jpg?v=1686208598&amp;width=1946")</f>
        <v/>
      </c>
      <c r="H1409">
        <f>_xludf.IMAGE("https://m.media-amazon.com/images/I/61PJzACrXJL._AC_UL320_.jpg")</f>
        <v/>
      </c>
      <c r="K1409" t="inlineStr">
        <is>
          <t>7.99</t>
        </is>
      </c>
      <c r="L1409" t="n">
        <v>7.74</v>
      </c>
      <c r="M1409" s="1" t="inlineStr">
        <is>
          <t>-3.13%</t>
        </is>
      </c>
      <c r="N1409" s="3" t="n">
        <v>-3.13</v>
      </c>
      <c r="O1409" t="n">
        <v>4.7</v>
      </c>
      <c r="P1409" t="n">
        <v>61</v>
      </c>
      <c r="R1409" t="inlineStr">
        <is>
          <t>OutOfStock</t>
        </is>
      </c>
      <c r="S1409" t="inlineStr">
        <is>
          <t>7.99</t>
        </is>
      </c>
      <c r="T1409" t="inlineStr">
        <is>
          <t>7574039101672</t>
        </is>
      </c>
    </row>
    <row r="1410" hidden="1" ht="15.75" customHeight="1">
      <c r="A1410" s="2">
        <f>HYPERLINK("https://www.shelhealth.com/products/duracell-durabeam-ultra-led-flashlight-500-lumens-3-count", "https://www.shelhealth.com/products/duracell-durabeam-ultra-led-flashlight-500-lumens-3-count")</f>
        <v/>
      </c>
      <c r="B1410" s="2">
        <f>HYPERLINK("https://www.shelhealth.com/products/duracell-durabeam-ultra-led-flashlight-500-lumens-3-count", "https://www.shelhealth.com/products/duracell-durabeam-ultra-led-flashlight-500-lumens-3-count")</f>
        <v/>
      </c>
      <c r="C1410" t="inlineStr">
        <is>
          <t>Duracell Durabeam Ultra LED Flashlight 500 Lumens, 3 Count</t>
        </is>
      </c>
      <c r="D1410" t="inlineStr">
        <is>
          <t>Duracell Durabeam Ultra LED Flashlight 500 Lumens, 3 Count</t>
        </is>
      </c>
      <c r="E1410" s="2">
        <f>HYPERLINK("https://www.amazon.com/Duracell-Durabeam-Ultra-Flashlight-Lumens/dp/B07H5BJ979/ref=sr_1_1?keywords=Duracell+Durabeam+Ultra+LED+Flashlight+500+Lumens%2C+3+Count&amp;qid=1695170416&amp;sr=8-1", "https://www.amazon.com/Duracell-Durabeam-Ultra-Flashlight-Lumens/dp/B07H5BJ979/ref=sr_1_1?keywords=Duracell+Durabeam+Ultra+LED+Flashlight+500+Lumens%2C+3+Count&amp;qid=1695170416&amp;sr=8-1")</f>
        <v/>
      </c>
      <c r="F1410" t="inlineStr">
        <is>
          <t>B07H5BJ979</t>
        </is>
      </c>
      <c r="G1410">
        <f>_xludf.IMAGE("https://www.shelhealth.com/cdn/shop/products/duracell-durabeam-ultra-led-flashlight-500-lumens-3-count-shelhealth-611.jpg?v=1663374061&amp;width=1946")</f>
        <v/>
      </c>
      <c r="H1410">
        <f>_xludf.IMAGE("https://m.media-amazon.com/images/I/91VzB85j6WL._AC_UL320_.jpg")</f>
        <v/>
      </c>
      <c r="K1410" t="inlineStr">
        <is>
          <t>30.99</t>
        </is>
      </c>
      <c r="L1410" t="n">
        <v>29.99</v>
      </c>
      <c r="M1410" s="1" t="inlineStr">
        <is>
          <t>-3.23%</t>
        </is>
      </c>
      <c r="N1410" s="3" t="n">
        <v>-3.23</v>
      </c>
      <c r="O1410" t="n">
        <v>4.5</v>
      </c>
      <c r="P1410" t="n">
        <v>738</v>
      </c>
      <c r="R1410" t="inlineStr">
        <is>
          <t>InStock</t>
        </is>
      </c>
      <c r="S1410" t="inlineStr">
        <is>
          <t>30.99</t>
        </is>
      </c>
      <c r="T1410" t="inlineStr">
        <is>
          <t>4711936295001</t>
        </is>
      </c>
    </row>
    <row r="1411" hidden="1" ht="15.75" customHeight="1">
      <c r="A1411" s="2">
        <f>HYPERLINK("https://www.shelhealth.com/products/cascade-complete-powder-dishwasher-detergent-155-oz", "https://www.shelhealth.com/products/cascade-complete-powder-dishwasher-detergent-155-oz")</f>
        <v/>
      </c>
      <c r="B1411" s="2">
        <f>HYPERLINK("https://www.shelhealth.com/products/cascade-complete-powder-dishwasher-detergent-155-oz", "https://www.shelhealth.com/products/cascade-complete-powder-dishwasher-detergent-155-oz")</f>
        <v/>
      </c>
      <c r="C1411" t="inlineStr">
        <is>
          <t>Cascade Complete Powder Dishwasher Detergent, 155 oz.</t>
        </is>
      </c>
      <c r="D1411" t="inlineStr">
        <is>
          <t>Cascade Complete Gel Dishwasher Detergent, Citrus Breeze Scent, 75 oz (Pack of 2) with Cascade Platinum Dishwasher Cleaner, 3 count Bonus Pack</t>
        </is>
      </c>
      <c r="E1411" s="2">
        <f>HYPERLINK("https://www.amazon.com/Cascade-Complete-Dishwasher-Detergent-Platinum/dp/B0CCSZ82YQ/ref=sr_1_5?keywords=Cascade+Complete+Powder+Dishwasher+Detergent%2C+155+oz.&amp;qid=1695170386&amp;sr=8-5", "https://www.amazon.com/Cascade-Complete-Dishwasher-Detergent-Platinum/dp/B0CCSZ82YQ/ref=sr_1_5?keywords=Cascade+Complete+Powder+Dishwasher+Detergent%2C+155+oz.&amp;qid=1695170386&amp;sr=8-5")</f>
        <v/>
      </c>
      <c r="F1411" t="inlineStr">
        <is>
          <t>B0CCSZ82YQ</t>
        </is>
      </c>
      <c r="G1411">
        <f>_xludf.IMAGE("https://www.shelhealth.com/cdn/shop/products/cascade-complete-powder-dishwasher-detergent-155-oz-shelhealth-864.jpg?v=1663355097&amp;width=1946")</f>
        <v/>
      </c>
      <c r="H1411">
        <f>_xludf.IMAGE("https://m.media-amazon.com/images/I/81QKtDE8bkL._AC_UL320_.jpg")</f>
        <v/>
      </c>
      <c r="K1411" t="inlineStr">
        <is>
          <t>30.99</t>
        </is>
      </c>
      <c r="L1411" t="n">
        <v>29.98</v>
      </c>
      <c r="M1411" s="1" t="inlineStr">
        <is>
          <t>-3.26%</t>
        </is>
      </c>
      <c r="N1411" s="3" t="n">
        <v>-3.26</v>
      </c>
      <c r="O1411" t="n">
        <v>4.8</v>
      </c>
      <c r="P1411" t="n">
        <v>1103</v>
      </c>
      <c r="R1411" t="inlineStr">
        <is>
          <t>InStock</t>
        </is>
      </c>
      <c r="S1411" t="inlineStr">
        <is>
          <t>30.99</t>
        </is>
      </c>
      <c r="T1411" t="inlineStr">
        <is>
          <t>4169653026868</t>
        </is>
      </c>
    </row>
    <row r="1412" hidden="1" ht="15.75" customHeight="1">
      <c r="A1412" s="2">
        <f>HYPERLINK("https://www.shelhealth.com/products/628689700105-paper-chef-parchment-cooking-bags-10-pc", "https://www.shelhealth.com/products/628689700105-paper-chef-parchment-cooking-bags-10-pc")</f>
        <v/>
      </c>
      <c r="B1412" s="2">
        <f>HYPERLINK("https://www.shelhealth.com/products/628689700105-paper-chef-parchment-cooking-bags-10-pc", "https://www.shelhealth.com/products/628689700105-paper-chef-parchment-cooking-bags-10-pc")</f>
        <v/>
      </c>
      <c r="C1412" t="inlineStr">
        <is>
          <t>PAPER CHEF Parchment Cooking Bags, 10 pc (Case of 3)</t>
        </is>
      </c>
      <c r="D1412" t="inlineStr">
        <is>
          <t>Paper Chef Parchment Cooking Bags, 10 Count Box (Pack of 3)</t>
        </is>
      </c>
      <c r="E1412" s="2">
        <f>HYPERLINK("https://www.amazon.com/Paper-Chef-Parchment-Cooking-Bags/dp/B00E4MRH74/ref=sr_1_1?keywords=PAPER+CHEF+Parchment+Cooking+Bags%2C+10+pc+%28Case+of+3%29&amp;qid=1695170526&amp;sr=8-1", "https://www.amazon.com/Paper-Chef-Parchment-Cooking-Bags/dp/B00E4MRH74/ref=sr_1_1?keywords=PAPER+CHEF+Parchment+Cooking+Bags%2C+10+pc+%28Case+of+3%29&amp;qid=1695170526&amp;sr=8-1")</f>
        <v/>
      </c>
      <c r="F1412" t="inlineStr">
        <is>
          <t>B00E4MRH74</t>
        </is>
      </c>
      <c r="G1412">
        <f>_xludf.IMAGE("https://www.shelhealth.com/cdn/shop/files/paper-chef-parchment-cooking-bags-10-pc-case-of-3-household-products-shelhealth-813.jpg?v=1688713722&amp;width=1946")</f>
        <v/>
      </c>
      <c r="H1412">
        <f>_xludf.IMAGE("https://m.media-amazon.com/images/I/81SFwhrmEOL._AC_UL320_.jpg")</f>
        <v/>
      </c>
      <c r="K1412" t="inlineStr">
        <is>
          <t>20.99</t>
        </is>
      </c>
      <c r="L1412" t="n">
        <v>20.27</v>
      </c>
      <c r="M1412" s="1" t="inlineStr">
        <is>
          <t>-3.43%</t>
        </is>
      </c>
      <c r="N1412" s="3" t="n">
        <v>-3.43</v>
      </c>
      <c r="O1412" t="n">
        <v>4.6</v>
      </c>
      <c r="P1412" t="n">
        <v>321</v>
      </c>
      <c r="R1412" t="inlineStr">
        <is>
          <t>InStock</t>
        </is>
      </c>
      <c r="S1412" t="inlineStr">
        <is>
          <t>20.99</t>
        </is>
      </c>
      <c r="T1412" t="inlineStr">
        <is>
          <t>7574247702760</t>
        </is>
      </c>
    </row>
    <row r="1413" hidden="1" ht="15.75" customHeight="1">
      <c r="A1413" s="2">
        <f>HYPERLINK("https://www.shelhealth.com/products/scrubbing-bubbles-bathroom-clean-combo-pack-90-ounce", "https://www.shelhealth.com/products/scrubbing-bubbles-bathroom-clean-combo-pack-90-ounce")</f>
        <v/>
      </c>
      <c r="B1413" s="2">
        <f>HYPERLINK("https://www.shelhealth.com/products/scrubbing-bubbles-bathroom-clean-combo-pack-90-ounce", "https://www.shelhealth.com/products/scrubbing-bubbles-bathroom-clean-combo-pack-90-ounce")</f>
        <v/>
      </c>
      <c r="C1413" t="inlineStr">
        <is>
          <t>Scrubbing Bubbles Bathroom Clean Combo Pack, 90 Ounce</t>
        </is>
      </c>
      <c r="D1413" t="inlineStr">
        <is>
          <t>Scrubbing Bubbles Combo Pack, 90 Ounce</t>
        </is>
      </c>
      <c r="E1413" s="2">
        <f>HYPERLINK("https://www.amazon.com/Scrubbing-Bubbles-Combo-Pack-Ounce/dp/B07JVLF97M/ref=sr_1_1?keywords=Scrubbing+Bubbles+Bathroom+Clean+Combo+Pack%2C+90+Ounce&amp;qid=1695170448&amp;sr=8-1", "https://www.amazon.com/Scrubbing-Bubbles-Combo-Pack-Ounce/dp/B07JVLF97M/ref=sr_1_1?keywords=Scrubbing+Bubbles+Bathroom+Clean+Combo+Pack%2C+90+Ounce&amp;qid=1695170448&amp;sr=8-1")</f>
        <v/>
      </c>
      <c r="F1413" t="inlineStr">
        <is>
          <t>B07JVLF97M</t>
        </is>
      </c>
      <c r="G1413">
        <f>_xludf.IMAGE("https://www.shelhealth.com/cdn/shop/products/scrubbing-bubbles-bathroom-clean-combo-pack-90-ounce-shelhealth-477.jpg?v=1663342825&amp;width=1946")</f>
        <v/>
      </c>
      <c r="H1413">
        <f>_xludf.IMAGE("https://m.media-amazon.com/images/I/71+6XoDdRNL._AC_UL320_.jpg")</f>
        <v/>
      </c>
      <c r="K1413" t="inlineStr">
        <is>
          <t>27.99</t>
        </is>
      </c>
      <c r="L1413" t="n">
        <v>26.99</v>
      </c>
      <c r="M1413" s="1" t="inlineStr">
        <is>
          <t>-3.57%</t>
        </is>
      </c>
      <c r="N1413" s="3" t="n">
        <v>-3.57</v>
      </c>
      <c r="O1413" t="n">
        <v>4.7</v>
      </c>
      <c r="P1413" t="n">
        <v>3140</v>
      </c>
      <c r="R1413" t="inlineStr">
        <is>
          <t>InStock</t>
        </is>
      </c>
      <c r="S1413" t="inlineStr">
        <is>
          <t>27.99</t>
        </is>
      </c>
      <c r="T1413" t="inlineStr">
        <is>
          <t>3818775380020</t>
        </is>
      </c>
    </row>
    <row r="1414" hidden="1" ht="15.75" customHeight="1">
      <c r="A1414" s="2">
        <f>HYPERLINK("https://www.shelhealth.com/products/ziploc-1-qt-slider-storage-bags-160-pk", "https://www.shelhealth.com/products/ziploc-1-qt-slider-storage-bags-160-pk")</f>
        <v/>
      </c>
      <c r="B1414" s="2">
        <f>HYPERLINK("https://www.shelhealth.com/products/ziploc-1-qt-slider-storage-bags-160-pk", "https://www.shelhealth.com/products/ziploc-1-qt-slider-storage-bags-160-pk")</f>
        <v/>
      </c>
      <c r="C1414" t="inlineStr">
        <is>
          <t>Ziploc 1-Qt. Slider Storage Bags, 160 pk.</t>
        </is>
      </c>
      <c r="D1414" t="inlineStr">
        <is>
          <t>Product of Ziploc Slider Storage Bags, Quart Size, 160 ct. - Food Storage Bags &amp; Containers [Bulk Savings]</t>
        </is>
      </c>
      <c r="E1414" s="2">
        <f>HYPERLINK("https://www.amazon.com/Product-Ziploc-Slider-Storage-Quart/dp/B07D6F9PL3/ref=sr_1_3?keywords=Ziploc+1-Qt.+Slider+Storage+Bags%2C+160+pk.&amp;qid=1695170567&amp;sr=8-3", "https://www.amazon.com/Product-Ziploc-Slider-Storage-Quart/dp/B07D6F9PL3/ref=sr_1_3?keywords=Ziploc+1-Qt.+Slider+Storage+Bags%2C+160+pk.&amp;qid=1695170567&amp;sr=8-3")</f>
        <v/>
      </c>
      <c r="F1414" t="inlineStr">
        <is>
          <t>B07D6F9PL3</t>
        </is>
      </c>
      <c r="G1414">
        <f>_xludf.IMAGE("https://www.shelhealth.com/cdn/shop/files/ziploc-1-qt-slider-storage-bags-160-pk-grocery-household-petpaper-plastic-shelhealth-517.jpg?v=1686283183&amp;width=1946")</f>
        <v/>
      </c>
      <c r="H1414">
        <f>_xludf.IMAGE("https://m.media-amazon.com/images/I/81m+NJtOUXL._AC_UL320_.jpg")</f>
        <v/>
      </c>
      <c r="K1414" t="inlineStr">
        <is>
          <t>29.99</t>
        </is>
      </c>
      <c r="L1414" t="n">
        <v>28.84</v>
      </c>
      <c r="M1414" s="1" t="inlineStr">
        <is>
          <t>-3.83%</t>
        </is>
      </c>
      <c r="N1414" s="3" t="n">
        <v>-3.83</v>
      </c>
      <c r="O1414" t="n">
        <v>4.7</v>
      </c>
      <c r="P1414" t="n">
        <v>417</v>
      </c>
      <c r="R1414" t="inlineStr">
        <is>
          <t>InStock</t>
        </is>
      </c>
      <c r="S1414" t="inlineStr">
        <is>
          <t>29.99</t>
        </is>
      </c>
      <c r="T1414" t="inlineStr">
        <is>
          <t>4169557246004</t>
        </is>
      </c>
    </row>
    <row r="1415" hidden="1" ht="15.75" customHeight="1">
      <c r="A1415" s="2">
        <f>HYPERLINK("https://www.shelhealth.com/products/ziploc-double-zipper-freezer-gallon-bags-total-152-bags-4-x-38-count", "https://www.shelhealth.com/products/ziploc-double-zipper-freezer-gallon-bags-total-152-bags-4-x-38-count")</f>
        <v/>
      </c>
      <c r="B1415" s="2">
        <f>HYPERLINK("https://www.shelhealth.com/products/ziploc-double-zipper-freezer-gallon-bags-total-152-bags-4-x-38-count", "https://www.shelhealth.com/products/ziploc-double-zipper-freezer-gallon-bags-total-152-bags-4-x-38-count")</f>
        <v/>
      </c>
      <c r="C1415" t="inlineStr">
        <is>
          <t>Ziploc Double Zipper Freezer Gallon Bags, Total: 152 Bags (4 X 38 Count)</t>
        </is>
      </c>
      <c r="D1415" t="inlineStr">
        <is>
          <t>Ziploc Double Zipper Freezer Gallon Bags - Total: 152 Bags (4 X 38 ct.) by Ziploc</t>
        </is>
      </c>
      <c r="E1415" s="2">
        <f>HYPERLINK("https://www.amazon.com/Ziploc-Double-Zipper-Freezer-Gallon/dp/B013CXA9IY/ref=sr_1_2?keywords=Ziploc+Double+Zipper+Freezer+Gallon+Bags%2C+Total%3A+152+Bags+%284+X+38+Count%29&amp;qid=1695170388&amp;sr=8-2", "https://www.amazon.com/Ziploc-Double-Zipper-Freezer-Gallon/dp/B013CXA9IY/ref=sr_1_2?keywords=Ziploc+Double+Zipper+Freezer+Gallon+Bags%2C+Total%3A+152+Bags+%284+X+38+Count%29&amp;qid=1695170388&amp;sr=8-2")</f>
        <v/>
      </c>
      <c r="F1415" t="inlineStr">
        <is>
          <t>B013CXA9IY</t>
        </is>
      </c>
      <c r="G1415">
        <f>_xludf.IMAGE("https://www.shelhealth.com/cdn/shop/products/ziploc-double-zipper-freezer-gallon-bags-total-152-4-x-38-count-shelhealth-441.jpg?v=1663344353&amp;width=1946")</f>
        <v/>
      </c>
      <c r="H1415">
        <f>_xludf.IMAGE("https://m.media-amazon.com/images/I/51uCI8Zp9mL._AC_UL320_.jpg")</f>
        <v/>
      </c>
      <c r="K1415" t="inlineStr">
        <is>
          <t>25.99</t>
        </is>
      </c>
      <c r="L1415" t="n">
        <v>24.99</v>
      </c>
      <c r="M1415" s="1" t="inlineStr">
        <is>
          <t>-3.85%</t>
        </is>
      </c>
      <c r="N1415" s="3" t="n">
        <v>-3.85</v>
      </c>
      <c r="O1415" t="n">
        <v>5</v>
      </c>
      <c r="P1415" t="n">
        <v>8</v>
      </c>
      <c r="R1415" t="inlineStr">
        <is>
          <t>InStock</t>
        </is>
      </c>
      <c r="S1415" t="inlineStr">
        <is>
          <t>25.99</t>
        </is>
      </c>
      <c r="T1415" t="inlineStr">
        <is>
          <t>3824974331956</t>
        </is>
      </c>
    </row>
    <row r="1416" hidden="1" ht="15.75" customHeight="1">
      <c r="A1416" s="2">
        <f>HYPERLINK("https://www.shelhealth.com/products/rabbit-electric-corkscrew-with-cutter", "https://www.shelhealth.com/products/rabbit-electric-corkscrew-with-cutter")</f>
        <v/>
      </c>
      <c r="B1416" s="2">
        <f>HYPERLINK("https://www.shelhealth.com/products/rabbit-electric-corkscrew-with-cutter", "https://www.shelhealth.com/products/rabbit-electric-corkscrew-with-cutter")</f>
        <v/>
      </c>
      <c r="C1416" t="inlineStr">
        <is>
          <t>Rabbit Electric Corkscrew with Cutter</t>
        </is>
      </c>
      <c r="D1416" t="inlineStr">
        <is>
          <t>Rabbit Original Vertical Lever Corkscrew Wine Opener with Foil Cutter and Extra Spiral (Candy Apple Red)</t>
        </is>
      </c>
      <c r="E1416" s="2">
        <f>HYPERLINK("https://www.amazon.com/Rabbit-Original-Vertical-Corkscrew-Opener/dp/B001B0V6YW/ref=sr_1_4?keywords=Rabbit+Electric+Corkscrew+with+Cutter&amp;qid=1695170554&amp;sr=8-4", "https://www.amazon.com/Rabbit-Original-Vertical-Corkscrew-Opener/dp/B001B0V6YW/ref=sr_1_4?keywords=Rabbit+Electric+Corkscrew+with+Cutter&amp;qid=1695170554&amp;sr=8-4")</f>
        <v/>
      </c>
      <c r="F1416" t="inlineStr">
        <is>
          <t>B001B0V6YW</t>
        </is>
      </c>
      <c r="G1416">
        <f>_xludf.IMAGE("https://www.shelhealth.com/cdn/shop/products/rabbit-electric-corkscrew-with-cutter-shelhealth-844.jpg?v=1663356971&amp;width=1946")</f>
        <v/>
      </c>
      <c r="H1416">
        <f>_xludf.IMAGE("https://m.media-amazon.com/images/I/51YXBLWUJHL._AC_UY218_.jpg")</f>
        <v/>
      </c>
      <c r="K1416" t="inlineStr">
        <is>
          <t>31.99</t>
        </is>
      </c>
      <c r="L1416" t="n">
        <v>30.55</v>
      </c>
      <c r="M1416" s="1" t="inlineStr">
        <is>
          <t>-4.50%</t>
        </is>
      </c>
      <c r="N1416" s="3" t="n">
        <v>-4.5</v>
      </c>
      <c r="O1416" t="n">
        <v>4.1</v>
      </c>
      <c r="P1416" t="n">
        <v>2658</v>
      </c>
      <c r="R1416" t="inlineStr">
        <is>
          <t>OutOfStock</t>
        </is>
      </c>
      <c r="S1416" t="inlineStr">
        <is>
          <t>31.99</t>
        </is>
      </c>
      <c r="T1416" t="inlineStr">
        <is>
          <t>4179121078324</t>
        </is>
      </c>
    </row>
    <row r="1417" hidden="1" ht="15.75" customHeight="1">
      <c r="A1417" s="2">
        <f>HYPERLINK("https://www.shelhealth.com/products/cascade-complete-gel-dishwasher-detergent-fresh-scent-155-oz", "https://www.shelhealth.com/products/cascade-complete-gel-dishwasher-detergent-fresh-scent-155-oz")</f>
        <v/>
      </c>
      <c r="B1417" s="2">
        <f>HYPERLINK("https://www.shelhealth.com/products/cascade-complete-gel-dishwasher-detergent-fresh-scent-155-oz", "https://www.shelhealth.com/products/cascade-complete-gel-dishwasher-detergent-fresh-scent-155-oz")</f>
        <v/>
      </c>
      <c r="C1417" t="inlineStr">
        <is>
          <t>Cascade Complete Gel Dishwasher Detergent, Fresh Scent, 155 oz.</t>
        </is>
      </c>
      <c r="D1417" t="inlineStr">
        <is>
          <t>Cascade Complete Powder Dishwasher Detergent, Fresh Scent (155 oz.)</t>
        </is>
      </c>
      <c r="E1417" s="2">
        <f>HYPERLINK("https://www.amazon.com/Cascade-Complete-Powder-Dishwasher-Detergent/dp/B01MZDJ49B/ref=sr_1_6?keywords=Cascade+Complete+Gel+Dishwasher+Detergent%2C+Fresh+Scent%2C+155+oz.&amp;qid=1695170393&amp;sr=8-6", "https://www.amazon.com/Cascade-Complete-Powder-Dishwasher-Detergent/dp/B01MZDJ49B/ref=sr_1_6?keywords=Cascade+Complete+Gel+Dishwasher+Detergent%2C+Fresh+Scent%2C+155+oz.&amp;qid=1695170393&amp;sr=8-6")</f>
        <v/>
      </c>
      <c r="F1417" t="inlineStr">
        <is>
          <t>B01MZDJ49B</t>
        </is>
      </c>
      <c r="G1417">
        <f>_xludf.IMAGE("https://www.shelhealth.com/cdn/shop/products/cascade-complete-gel-dishwasher-detergent-fresh-scent-155-oz-shelhealth-906.jpg?v=1663355159&amp;width=1946")</f>
        <v/>
      </c>
      <c r="H1417">
        <f>_xludf.IMAGE("https://m.media-amazon.com/images/I/71xHDYaPLHL._AC_UL320_.jpg")</f>
        <v/>
      </c>
      <c r="K1417" t="inlineStr">
        <is>
          <t>32.99</t>
        </is>
      </c>
      <c r="L1417" t="n">
        <v>31.5</v>
      </c>
      <c r="M1417" s="1" t="inlineStr">
        <is>
          <t>-4.52%</t>
        </is>
      </c>
      <c r="N1417" s="3" t="n">
        <v>-4.52</v>
      </c>
      <c r="O1417" t="n">
        <v>4.7</v>
      </c>
      <c r="P1417" t="n">
        <v>253</v>
      </c>
      <c r="R1417" t="inlineStr">
        <is>
          <t>InStock</t>
        </is>
      </c>
      <c r="S1417" t="inlineStr">
        <is>
          <t>32.99</t>
        </is>
      </c>
      <c r="T1417" t="inlineStr">
        <is>
          <t>4169691234356</t>
        </is>
      </c>
    </row>
    <row r="1418" hidden="1" ht="15.75" customHeight="1">
      <c r="A1418" s="2">
        <f>HYPERLINK("https://www.shelhealth.com/products/snuggle-blue-sparkle-scent-shakes-in-wash-scent-booster-37-6-oz", "https://www.shelhealth.com/products/snuggle-blue-sparkle-scent-shakes-in-wash-scent-booster-37-6-oz")</f>
        <v/>
      </c>
      <c r="B1418" s="2">
        <f>HYPERLINK("https://www.shelhealth.com/products/snuggle-blue-sparkle-scent-shakes-in-wash-scent-booster-37-6-oz", "https://www.shelhealth.com/products/snuggle-blue-sparkle-scent-shakes-in-wash-scent-booster-37-6-oz")</f>
        <v/>
      </c>
      <c r="C1418" t="inlineStr">
        <is>
          <t>Snuggle Blue Sparkle Scent Shakes In Wash Scent Booster, 37.6 oz.</t>
        </is>
      </c>
      <c r="D1418" t="inlineStr">
        <is>
          <t>Snuggle Scent Shakes In-Wash Scent Booster Beads, Blue Sparkle, 9 Ounces, Pack of 4</t>
        </is>
      </c>
      <c r="E1418" s="2">
        <f>HYPERLINK("https://www.amazon.com/Snuggle-Scent-Shakes-Booster-Sparkle/dp/B07P6DLJP3/ref=sr_1_1?keywords=Snuggle+Blue+Sparkle+Scent+Shakes+In+Wash+Scent+Booster%2C+37.6+oz.&amp;qid=1695170563&amp;sr=8-1", "https://www.amazon.com/Snuggle-Scent-Shakes-Booster-Sparkle/dp/B07P6DLJP3/ref=sr_1_1?keywords=Snuggle+Blue+Sparkle+Scent+Shakes+In+Wash+Scent+Booster%2C+37.6+oz.&amp;qid=1695170563&amp;sr=8-1")</f>
        <v/>
      </c>
      <c r="F1418" t="inlineStr">
        <is>
          <t>B07P6DLJP3</t>
        </is>
      </c>
      <c r="G1418">
        <f>_xludf.IMAGE("https://www.shelhealth.com/cdn/shop/products/snuggle-blue-sparkle-scent-shakes-in-wash-booster-37-6-oz-shelhealth-439.jpg?v=1663356630&amp;width=1946")</f>
        <v/>
      </c>
      <c r="H1418">
        <f>_xludf.IMAGE("https://m.media-amazon.com/images/I/81FJCipAHHL._AC_UL320_.jpg")</f>
        <v/>
      </c>
      <c r="K1418" t="inlineStr">
        <is>
          <t>21.99</t>
        </is>
      </c>
      <c r="L1418" t="n">
        <v>20.99</v>
      </c>
      <c r="M1418" s="1" t="inlineStr">
        <is>
          <t>-4.55%</t>
        </is>
      </c>
      <c r="N1418" s="3" t="n">
        <v>-4.55</v>
      </c>
      <c r="O1418" t="n">
        <v>4.6</v>
      </c>
      <c r="P1418" t="n">
        <v>2680</v>
      </c>
      <c r="R1418" t="inlineStr">
        <is>
          <t>InStock</t>
        </is>
      </c>
      <c r="S1418" t="inlineStr">
        <is>
          <t>21.99</t>
        </is>
      </c>
      <c r="T1418" t="inlineStr">
        <is>
          <t>4179008684084</t>
        </is>
      </c>
    </row>
    <row r="1419" hidden="1" ht="15.75" customHeight="1">
      <c r="A1419" s="2">
        <f>HYPERLINK("https://www.shelhealth.com/products/scotch-brite-50-sticker-95-sheet-lint-roller-3-pk", "https://www.shelhealth.com/products/scotch-brite-50-sticker-95-sheet-lint-roller-3-pk")</f>
        <v/>
      </c>
      <c r="B1419" s="2">
        <f>HYPERLINK("https://www.shelhealth.com/products/scotch-brite-50-sticker-95-sheet-lint-roller-3-pk", "https://www.shelhealth.com/products/scotch-brite-50-sticker-95-sheet-lint-roller-3-pk")</f>
        <v/>
      </c>
      <c r="C1419" t="inlineStr">
        <is>
          <t>Scotch-Brite 50% Sticker 95-Sheet Lint Roller, 3 pk.</t>
        </is>
      </c>
      <c r="D1419" t="inlineStr">
        <is>
          <t>Scotch-Brite 50% Stickier Jumbo Surface Lint Roller, 4 Rollers, 80 Sheets Per Roller, 320 Sheets Total</t>
        </is>
      </c>
      <c r="E1419" s="2">
        <f>HYPERLINK("https://www.amazon.com/Scotch-Brite-Stickier-Surface-Roller-Rollers/dp/B093TQ94QH/ref=sr_1_2?keywords=Scotch-Brite+50%25+Sticker+95-Sheet+Lint+Roller%2C+3+pk.&amp;qid=1695170568&amp;sr=8-2", "https://www.amazon.com/Scotch-Brite-Stickier-Surface-Roller-Rollers/dp/B093TQ94QH/ref=sr_1_2?keywords=Scotch-Brite+50%25+Sticker+95-Sheet+Lint+Roller%2C+3+pk.&amp;qid=1695170568&amp;sr=8-2")</f>
        <v/>
      </c>
      <c r="F1419" t="inlineStr">
        <is>
          <t>B093TQ94QH</t>
        </is>
      </c>
      <c r="G1419">
        <f>_xludf.IMAGE("https://www.shelhealth.com/cdn/shop/products/scotch-brite-50-sticker-95-sheet-lint-roller-3-pk-shelhealth-383.jpg?v=1663354603&amp;width=1946")</f>
        <v/>
      </c>
      <c r="H1419">
        <f>_xludf.IMAGE("https://m.media-amazon.com/images/I/81gfYo4kuiL._AC_UL320_.jpg")</f>
        <v/>
      </c>
      <c r="K1419" t="inlineStr">
        <is>
          <t>20.99</t>
        </is>
      </c>
      <c r="L1419" t="n">
        <v>19.99</v>
      </c>
      <c r="M1419" s="1" t="inlineStr">
        <is>
          <t>-4.76%</t>
        </is>
      </c>
      <c r="N1419" s="3" t="n">
        <v>-4.76</v>
      </c>
      <c r="O1419" t="n">
        <v>4.7</v>
      </c>
      <c r="P1419" t="n">
        <v>539</v>
      </c>
      <c r="R1419" t="inlineStr">
        <is>
          <t>InStock</t>
        </is>
      </c>
      <c r="S1419" t="inlineStr">
        <is>
          <t>20.99</t>
        </is>
      </c>
      <c r="T1419" t="inlineStr">
        <is>
          <t>4167667351604</t>
        </is>
      </c>
    </row>
    <row r="1420" hidden="1" ht="15.75" customHeight="1">
      <c r="A1420" s="2">
        <f>HYPERLINK("https://www.shelhealth.com/products/mavea-10-cup-water-filter-pitcher", "https://www.shelhealth.com/products/mavea-10-cup-water-filter-pitcher")</f>
        <v/>
      </c>
      <c r="B1420" s="2">
        <f>HYPERLINK("https://www.shelhealth.com/products/mavea-10-cup-water-filter-pitcher", "https://www.shelhealth.com/products/mavea-10-cup-water-filter-pitcher")</f>
        <v/>
      </c>
      <c r="C1420" t="inlineStr">
        <is>
          <t>Mavea 10-Cup Water Filter Pitcher</t>
        </is>
      </c>
      <c r="D1420" t="inlineStr">
        <is>
          <t>Amazon Basics 10-Cup Water 1 Pitcher &amp; 1 Filter Included, Compatible with Brita</t>
        </is>
      </c>
      <c r="E1420" s="2">
        <f>HYPERLINK("https://www.amazon.com/Amazon-Basics-Pitcher-Included-Compatible/dp/B07YT18P21/ref=sr_1_1?keywords=Mavea+10-Cup+Water+Filter+Pitcher&amp;qid=1695170405&amp;sr=8-1", "https://www.amazon.com/Amazon-Basics-Pitcher-Included-Compatible/dp/B07YT18P21/ref=sr_1_1?keywords=Mavea+10-Cup+Water+Filter+Pitcher&amp;qid=1695170405&amp;sr=8-1")</f>
        <v/>
      </c>
      <c r="F1420" t="inlineStr">
        <is>
          <t>B07YT18P21</t>
        </is>
      </c>
      <c r="G1420">
        <f>_xludf.IMAGE("https://www.shelhealth.com/cdn/shop/products/mavea-10-cup-water-filter-pitcher-shelhealth-109.jpg?v=1663344360&amp;width=1946")</f>
        <v/>
      </c>
      <c r="H1420">
        <f>_xludf.IMAGE("https://m.media-amazon.com/images/I/61MoXirZsoL._AC_UL320_.jpg")</f>
        <v/>
      </c>
      <c r="K1420" t="inlineStr">
        <is>
          <t>23.99</t>
        </is>
      </c>
      <c r="L1420" t="n">
        <v>22.8</v>
      </c>
      <c r="M1420" s="1" t="inlineStr">
        <is>
          <t>-4.96%</t>
        </is>
      </c>
      <c r="N1420" s="3" t="n">
        <v>-4.96</v>
      </c>
      <c r="O1420" t="n">
        <v>4.6</v>
      </c>
      <c r="P1420" t="n">
        <v>23007</v>
      </c>
      <c r="R1420" t="inlineStr">
        <is>
          <t>OutOfStock</t>
        </is>
      </c>
      <c r="S1420" t="inlineStr">
        <is>
          <t>23.99</t>
        </is>
      </c>
      <c r="T1420" t="inlineStr">
        <is>
          <t>3824977379380</t>
        </is>
      </c>
    </row>
    <row r="1421" hidden="1" ht="15.75" customHeight="1">
      <c r="A1421" s="2">
        <f>HYPERLINK("https://www.shelhealth.com/products/swiffer-wetjet-hardwood-floor-spray-mop-starter-kit", "https://www.shelhealth.com/products/swiffer-wetjet-hardwood-floor-spray-mop-starter-kit")</f>
        <v/>
      </c>
      <c r="B1421" s="2">
        <f>HYPERLINK("https://www.shelhealth.com/products/swiffer-wetjet-hardwood-floor-spray-mop-starter-kit", "https://www.shelhealth.com/products/swiffer-wetjet-hardwood-floor-spray-mop-starter-kit")</f>
        <v/>
      </c>
      <c r="C1421" t="inlineStr">
        <is>
          <t>Swiffer WetJet Hardwood Floor Spray Mop Starter Kit</t>
        </is>
      </c>
      <c r="D1421" t="inlineStr">
        <is>
          <t>Swiffer WetJet Spray Mop Starter Kit</t>
        </is>
      </c>
      <c r="E1421" s="2">
        <f>HYPERLINK("https://www.amazon.com/Swiffer-WetJet-Spray-Mop-Starter/dp/B0788C1J5G/ref=sr_1_8?keywords=Swiffer+WetJet+Hardwood+Floor+Spray+Mop+Starter+Kit&amp;qid=1695170436&amp;sr=8-8", "https://www.amazon.com/Swiffer-WetJet-Spray-Mop-Starter/dp/B0788C1J5G/ref=sr_1_8?keywords=Swiffer+WetJet+Hardwood+Floor+Spray+Mop+Starter+Kit&amp;qid=1695170436&amp;sr=8-8")</f>
        <v/>
      </c>
      <c r="F1421" t="inlineStr">
        <is>
          <t>B0788C1J5G</t>
        </is>
      </c>
      <c r="G1421">
        <f>_xludf.IMAGE("https://www.shelhealth.com/cdn/shop/files/swiffer-wetjet-hardwood-floor-spray-mop-starter-kit-grocery-household-petcleaning-goods-shelhealth-863.jpg?v=1686284011&amp;width=1946")</f>
        <v/>
      </c>
      <c r="H1421">
        <f>_xludf.IMAGE("https://m.media-amazon.com/images/I/61E9-EuimWL._AC_UL320_.jpg")</f>
        <v/>
      </c>
      <c r="K1421" t="inlineStr">
        <is>
          <t>46.99</t>
        </is>
      </c>
      <c r="L1421" t="n">
        <v>44.5</v>
      </c>
      <c r="M1421" s="1" t="inlineStr">
        <is>
          <t>-5.30%</t>
        </is>
      </c>
      <c r="N1421" s="3" t="n">
        <v>-5.3</v>
      </c>
      <c r="O1421" t="n">
        <v>4.3</v>
      </c>
      <c r="P1421" t="n">
        <v>4530</v>
      </c>
      <c r="R1421" t="inlineStr">
        <is>
          <t>InStock</t>
        </is>
      </c>
      <c r="S1421" t="inlineStr">
        <is>
          <t>46.99</t>
        </is>
      </c>
      <c r="T1421" t="inlineStr">
        <is>
          <t>4169877585972</t>
        </is>
      </c>
    </row>
    <row r="1422" hidden="1" ht="15.75" customHeight="1">
      <c r="A1422" s="2">
        <f>HYPERLINK("https://www.shelhealth.com/products/berkley-jensen-aa-alkaline-batteries-48-ct", "https://www.shelhealth.com/products/berkley-jensen-aa-alkaline-batteries-48-ct")</f>
        <v/>
      </c>
      <c r="B1422" s="2">
        <f>HYPERLINK("https://www.shelhealth.com/products/berkley-jensen-aa-alkaline-batteries-48-ct", "https://www.shelhealth.com/products/berkley-jensen-aa-alkaline-batteries-48-ct")</f>
        <v/>
      </c>
      <c r="C1422" t="inlineStr">
        <is>
          <t>Berkley Jensen AA Alkaline Batteries, 48 ct.</t>
        </is>
      </c>
      <c r="D1422" t="inlineStr">
        <is>
          <t>Berkley &amp; Jensen AAA 1.5 Volts Alkaline 48 Pack Battery</t>
        </is>
      </c>
      <c r="E1422" s="2">
        <f>HYPERLINK("https://www.amazon.com/Berkley-Jensen-Volts-Alkaline-Battery/dp/B018RZ0IHO/ref=sr_1_2?keywords=Berkley+Jensen+AA+Alkaline+Batteries%2C+48+ct.&amp;qid=1695170561&amp;sr=8-2", "https://www.amazon.com/Berkley-Jensen-Volts-Alkaline-Battery/dp/B018RZ0IHO/ref=sr_1_2?keywords=Berkley+Jensen+AA+Alkaline+Batteries%2C+48+ct.&amp;qid=1695170561&amp;sr=8-2")</f>
        <v/>
      </c>
      <c r="F1422" t="inlineStr">
        <is>
          <t>B018RZ0IHO</t>
        </is>
      </c>
      <c r="G1422">
        <f>_xludf.IMAGE("https://www.shelhealth.com/cdn/shop/files/berkley-jensen-aa-alkaline-batteries-48-ct-emergency-preparednessbatteries-shelhealth-746.jpg?v=1686284005&amp;width=1946")</f>
        <v/>
      </c>
      <c r="H1422">
        <f>_xludf.IMAGE("https://m.media-amazon.com/images/I/81UA1QS2wyL._AC_UL320_.jpg")</f>
        <v/>
      </c>
      <c r="K1422" t="inlineStr">
        <is>
          <t>35.99</t>
        </is>
      </c>
      <c r="L1422" t="n">
        <v>34</v>
      </c>
      <c r="M1422" s="1" t="inlineStr">
        <is>
          <t>-5.53%</t>
        </is>
      </c>
      <c r="N1422" s="3" t="n">
        <v>-5.53</v>
      </c>
      <c r="O1422" t="n">
        <v>3.9</v>
      </c>
      <c r="P1422" t="n">
        <v>3</v>
      </c>
      <c r="R1422" t="inlineStr">
        <is>
          <t>InStock</t>
        </is>
      </c>
      <c r="S1422" t="inlineStr">
        <is>
          <t>35.99</t>
        </is>
      </c>
      <c r="T1422" t="inlineStr">
        <is>
          <t>4169883975732</t>
        </is>
      </c>
    </row>
    <row r="1423" hidden="1" ht="15.75" customHeight="1">
      <c r="A1423" s="2">
        <f>HYPERLINK("https://www.shelhealth.com/products/dawn-ultra-original-scent-dishwashing-liquid-dish-soap-90-oz", "https://www.shelhealth.com/products/dawn-ultra-original-scent-dishwashing-liquid-dish-soap-90-oz")</f>
        <v/>
      </c>
      <c r="B1423" s="2">
        <f>HYPERLINK("https://www.shelhealth.com/products/dawn-ultra-original-scent-dishwashing-liquid-dish-soap-90-oz", "https://www.shelhealth.com/products/dawn-ultra-original-scent-dishwashing-liquid-dish-soap-90-oz")</f>
        <v/>
      </c>
      <c r="C1423" t="inlineStr">
        <is>
          <t>Dawn Ultra Original Scent Dishwashing Liquid Dish Soap , 90 oz.</t>
        </is>
      </c>
      <c r="D1423" t="inlineStr">
        <is>
          <t>Dawn Platinum Dish Soap Liquid, Dishwashing Liquid, Dish Detergent Liquid, Dish Liquid, Refreshing Rain Scent, 54.8 fl oz (Pack of 2), Dish Soap Bulk</t>
        </is>
      </c>
      <c r="E1423" s="2">
        <f>HYPERLINK("https://www.amazon.com/Dawn-Platinum-Dishwashing-Liquid-Refreshing/dp/B09P4PQL8G/ref=sr_1_3?keywords=Dawn+Ultra+Original+Scent+Dishwashing+Liquid+Dish+Soap+%2C+90+oz.&amp;qid=1695170382&amp;sr=8-3", "https://www.amazon.com/Dawn-Platinum-Dishwashing-Liquid-Refreshing/dp/B09P4PQL8G/ref=sr_1_3?keywords=Dawn+Ultra+Original+Scent+Dishwashing+Liquid+Dish+Soap+%2C+90+oz.&amp;qid=1695170382&amp;sr=8-3")</f>
        <v/>
      </c>
      <c r="F1423" t="inlineStr">
        <is>
          <t>B09P4PQL8G</t>
        </is>
      </c>
      <c r="G1423">
        <f>_xludf.IMAGE("https://www.shelhealth.com/cdn/shop/files/dawn-ultra-original-scent-dishwashing-liquid-dish-soap-90-oz-grocery-household-petcleaning-goods-shelhealth-673.jpg?v=1686283072&amp;width=1946")</f>
        <v/>
      </c>
      <c r="H1423">
        <f>_xludf.IMAGE("https://m.media-amazon.com/images/I/71Hjg+OF1mL._AC_UL320_.jpg")</f>
        <v/>
      </c>
      <c r="K1423" t="inlineStr">
        <is>
          <t>18.99</t>
        </is>
      </c>
      <c r="L1423" t="n">
        <v>17.9</v>
      </c>
      <c r="M1423" s="1" t="inlineStr">
        <is>
          <t>-5.74%</t>
        </is>
      </c>
      <c r="N1423" s="3" t="n">
        <v>-5.74</v>
      </c>
      <c r="O1423" t="n">
        <v>4.8</v>
      </c>
      <c r="P1423" t="n">
        <v>53959</v>
      </c>
      <c r="R1423" t="inlineStr">
        <is>
          <t>InStock</t>
        </is>
      </c>
      <c r="S1423" t="inlineStr">
        <is>
          <t>18.99</t>
        </is>
      </c>
      <c r="T1423" t="inlineStr">
        <is>
          <t>4169655058484</t>
        </is>
      </c>
    </row>
    <row r="1424" hidden="1" ht="15.75" customHeight="1">
      <c r="A1424" s="2">
        <f>HYPERLINK("https://www.shelhealth.com/products/dawn-platinum-powerwash-fresh-scent-value-pack", "https://www.shelhealth.com/products/dawn-platinum-powerwash-fresh-scent-value-pack")</f>
        <v/>
      </c>
      <c r="B1424" s="2">
        <f>HYPERLINK("https://www.shelhealth.com/products/dawn-platinum-powerwash-fresh-scent-value-pack", "https://www.shelhealth.com/products/dawn-platinum-powerwash-fresh-scent-value-pack")</f>
        <v/>
      </c>
      <c r="C1424" t="inlineStr">
        <is>
          <t>Dawn Platinum Powerwash Fresh Scent Value Pack</t>
        </is>
      </c>
      <c r="D1424" t="inlineStr">
        <is>
          <t>Dawn Powerwash Spray Starter Kit, Platinum Dish Soap, Fresh Scent, 1 Starter Kit + 1 Powerwash Refill, 16 fl oz each (Pack of 2)</t>
        </is>
      </c>
      <c r="E1424" s="2">
        <f>HYPERLINK("https://www.amazon.com/Dawn-Powerwash-Starter-Platinum-Refill/dp/B0BQ313B63/ref=sr_1_10?keywords=Dawn+Platinum+Powerwash+Fresh+Scent+Value+Pack&amp;qid=1695170385&amp;sr=8-10", "https://www.amazon.com/Dawn-Powerwash-Starter-Platinum-Refill/dp/B0BQ313B63/ref=sr_1_10?keywords=Dawn+Platinum+Powerwash+Fresh+Scent+Value+Pack&amp;qid=1695170385&amp;sr=8-10")</f>
        <v/>
      </c>
      <c r="F1424" t="inlineStr">
        <is>
          <t>B0BQ313B63</t>
        </is>
      </c>
      <c r="G1424">
        <f>_xludf.IMAGE("https://www.shelhealth.com/cdn/shop/files/dawn-platinum-powerwash-fresh-scent-value-pack-grocery-household-petcleaning-goods-shelhealth-997.jpg?v=1686283881&amp;width=1946")</f>
        <v/>
      </c>
      <c r="H1424">
        <f>_xludf.IMAGE("https://m.media-amazon.com/images/I/614dIQtHHNL._AC_UL320_.jpg")</f>
        <v/>
      </c>
      <c r="K1424" t="inlineStr">
        <is>
          <t>17.99</t>
        </is>
      </c>
      <c r="L1424" t="n">
        <v>16.88</v>
      </c>
      <c r="M1424" s="1" t="inlineStr">
        <is>
          <t>-6.17%</t>
        </is>
      </c>
      <c r="N1424" s="3" t="n">
        <v>-6.17</v>
      </c>
      <c r="O1424" t="n">
        <v>4.8</v>
      </c>
      <c r="P1424" t="n">
        <v>163</v>
      </c>
      <c r="R1424" t="inlineStr">
        <is>
          <t>InStock</t>
        </is>
      </c>
      <c r="S1424" t="inlineStr">
        <is>
          <t>17.99</t>
        </is>
      </c>
      <c r="T1424" t="inlineStr">
        <is>
          <t>4618808819801</t>
        </is>
      </c>
    </row>
    <row r="1425" hidden="1" ht="15.75" customHeight="1">
      <c r="A1425" s="2">
        <f>HYPERLINK("https://www.shelhealth.com/products/scotch-brite-non-scratch-scrub-sponges-21-sponges-total", "https://www.shelhealth.com/products/scotch-brite-non-scratch-scrub-sponges-21-sponges-total")</f>
        <v/>
      </c>
      <c r="B1425" s="2">
        <f>HYPERLINK("https://www.shelhealth.com/products/scotch-brite-non-scratch-scrub-sponges-21-sponges-total", "https://www.shelhealth.com/products/scotch-brite-non-scratch-scrub-sponges-21-sponges-total")</f>
        <v/>
      </c>
      <c r="C1425" t="inlineStr">
        <is>
          <t>Scotch-Brite Non-Scratch Scrub Sponges, 21 Sponges Total</t>
        </is>
      </c>
      <c r="D1425" t="inlineStr">
        <is>
          <t>Scotch Brite Blue Non-Scratch Scrub Sponges 21 PACK 3M Individually Wrapped NEW</t>
        </is>
      </c>
      <c r="E1425" s="2">
        <f>HYPERLINK("https://www.amazon.com/Non-Scratch-Sponges-3M-Individually-Wrapped/dp/B00RX29QYY/ref=sr_1_3?keywords=Scotch-Brite+Non-Scratch+Scrub+Sponges%2C+21+Sponges+Total&amp;qid=1695170382&amp;sr=8-3", "https://www.amazon.com/Non-Scratch-Sponges-3M-Individually-Wrapped/dp/B00RX29QYY/ref=sr_1_3?keywords=Scotch-Brite+Non-Scratch+Scrub+Sponges%2C+21+Sponges+Total&amp;qid=1695170382&amp;sr=8-3")</f>
        <v/>
      </c>
      <c r="F1425" t="inlineStr">
        <is>
          <t>B00RX29QYY</t>
        </is>
      </c>
      <c r="G1425">
        <f>_xludf.IMAGE("https://www.shelhealth.com/cdn/shop/products/scotch-brite-non-scratch-scrub-sponges-21-total-shelhealth-257.jpg?v=1663343405&amp;width=1946")</f>
        <v/>
      </c>
      <c r="H1425">
        <f>_xludf.IMAGE("https://m.media-amazon.com/images/I/81HGkxhiKCL._AC_UL320_.jpg")</f>
        <v/>
      </c>
      <c r="K1425" t="inlineStr">
        <is>
          <t>21.99</t>
        </is>
      </c>
      <c r="L1425" t="n">
        <v>20.61</v>
      </c>
      <c r="M1425" s="1" t="inlineStr">
        <is>
          <t>-6.28%</t>
        </is>
      </c>
      <c r="N1425" s="3" t="n">
        <v>-6.28</v>
      </c>
      <c r="O1425" t="n">
        <v>4.8</v>
      </c>
      <c r="P1425" t="n">
        <v>491</v>
      </c>
      <c r="R1425" t="inlineStr">
        <is>
          <t>InStock</t>
        </is>
      </c>
      <c r="S1425" t="inlineStr">
        <is>
          <t>21.99</t>
        </is>
      </c>
      <c r="T1425" t="inlineStr">
        <is>
          <t>3820350996532</t>
        </is>
      </c>
    </row>
    <row r="1426" hidden="1" ht="15.75" customHeight="1">
      <c r="A1426" s="2">
        <f>HYPERLINK("https://www.shelhealth.com/products/berkley-jensen-13-gal-stretchflex-tall-kitchen-bags-120-ct", "https://www.shelhealth.com/products/berkley-jensen-13-gal-stretchflex-tall-kitchen-bags-120-ct")</f>
        <v/>
      </c>
      <c r="B1426" s="2">
        <f>HYPERLINK("https://www.shelhealth.com/products/berkley-jensen-13-gal-stretchflex-tall-kitchen-bags-120-ct", "https://www.shelhealth.com/products/berkley-jensen-13-gal-stretchflex-tall-kitchen-bags-120-ct")</f>
        <v/>
      </c>
      <c r="C1426" t="inlineStr">
        <is>
          <t>Berkley Jensen 13-Gal. StretchFlex Tall Kitchen Bags, 120 ct.</t>
        </is>
      </c>
      <c r="D1426" t="inlineStr">
        <is>
          <t>Berkley Jensen .69mil Kitchen Bags, 13-gal., 200 ct.</t>
        </is>
      </c>
      <c r="E1426" s="2">
        <f>HYPERLINK("https://www.amazon.com/Berkley-Jensen-69mil-Kitchen-13-gal/dp/B06XBHZB1F/ref=sr_1_1?keywords=Berkley+Jensen+13-Gal.+StretchFlex+Tall+Kitchen+Bags%2C+120+ct.&amp;qid=1695170570&amp;sr=8-1", "https://www.amazon.com/Berkley-Jensen-69mil-Kitchen-13-gal/dp/B06XBHZB1F/ref=sr_1_1?keywords=Berkley+Jensen+13-Gal.+StretchFlex+Tall+Kitchen+Bags%2C+120+ct.&amp;qid=1695170570&amp;sr=8-1")</f>
        <v/>
      </c>
      <c r="F1426" t="inlineStr">
        <is>
          <t>B06XBHZB1F</t>
        </is>
      </c>
      <c r="G1426">
        <f>_xludf.IMAGE("https://www.shelhealth.com/cdn/shop/products/berkley-jensen-13-gal-stretchflex-tall-kitchen-bags-120-ct-shelhealth-249.jpg?v=1663354873&amp;width=1946")</f>
        <v/>
      </c>
      <c r="H1426">
        <f>_xludf.IMAGE("https://m.media-amazon.com/images/I/81ar6b6QP-L._AC_UL320_.jpg")</f>
        <v/>
      </c>
      <c r="K1426" t="inlineStr">
        <is>
          <t>32.99</t>
        </is>
      </c>
      <c r="L1426" t="n">
        <v>30.75</v>
      </c>
      <c r="M1426" s="1" t="inlineStr">
        <is>
          <t>-6.79%</t>
        </is>
      </c>
      <c r="N1426" s="3" t="n">
        <v>-6.79</v>
      </c>
      <c r="O1426" t="n">
        <v>4</v>
      </c>
      <c r="P1426" t="n">
        <v>24</v>
      </c>
      <c r="R1426" t="inlineStr">
        <is>
          <t>InStock</t>
        </is>
      </c>
      <c r="S1426" t="inlineStr">
        <is>
          <t>32.99</t>
        </is>
      </c>
      <c r="T1426" t="inlineStr">
        <is>
          <t>4169499213876</t>
        </is>
      </c>
    </row>
    <row r="1427" hidden="1" ht="15.75" customHeight="1">
      <c r="A1427" s="2">
        <f>HYPERLINK("https://www.shelhealth.com/products/berkley-jensen-13-gal-0-69ml-kitchen-bags-200-ct", "https://www.shelhealth.com/products/berkley-jensen-13-gal-0-69ml-kitchen-bags-200-ct")</f>
        <v/>
      </c>
      <c r="B1427" s="2">
        <f>HYPERLINK("https://www.shelhealth.com/products/berkley-jensen-13-gal-0-69ml-kitchen-bags-200-ct", "https://www.shelhealth.com/products/berkley-jensen-13-gal-0-69ml-kitchen-bags-200-ct")</f>
        <v/>
      </c>
      <c r="C1427" t="inlineStr">
        <is>
          <t>Berkley Jensen 13-Gal. 0.69mL Kitchen Bags, 200 ct.</t>
        </is>
      </c>
      <c r="D1427" t="inlineStr">
        <is>
          <t>Berkley Jensen .69mil Kitchen Bags, 13-gal., 200 ct.</t>
        </is>
      </c>
      <c r="E1427" s="2">
        <f>HYPERLINK("https://www.amazon.com/Berkley-Jensen-69mil-Kitchen-13-gal/dp/B06XBHZB1F/ref=sr_1_2?keywords=Berkley+Jensen+13-Gal.+0.69mL+Kitchen+Bags%2C+200+ct.&amp;qid=1695170414&amp;sr=8-2", "https://www.amazon.com/Berkley-Jensen-69mil-Kitchen-13-gal/dp/B06XBHZB1F/ref=sr_1_2?keywords=Berkley+Jensen+13-Gal.+0.69mL+Kitchen+Bags%2C+200+ct.&amp;qid=1695170414&amp;sr=8-2")</f>
        <v/>
      </c>
      <c r="F1427" t="inlineStr">
        <is>
          <t>B06XBHZB1F</t>
        </is>
      </c>
      <c r="G1427">
        <f>_xludf.IMAGE("https://www.shelhealth.com/cdn/shop/products/berkley-jensen-13-gal-0-69ml-kitchen-bags-200-ct-shelhealth-859.jpg?v=1663357633&amp;width=1946")</f>
        <v/>
      </c>
      <c r="H1427">
        <f>_xludf.IMAGE("https://m.media-amazon.com/images/I/81ar6b6QP-L._AC_UL320_.jpg")</f>
        <v/>
      </c>
      <c r="K1427" t="inlineStr">
        <is>
          <t>32.99</t>
        </is>
      </c>
      <c r="L1427" t="n">
        <v>30.75</v>
      </c>
      <c r="M1427" s="1" t="inlineStr">
        <is>
          <t>-6.79%</t>
        </is>
      </c>
      <c r="N1427" s="3" t="n">
        <v>-6.79</v>
      </c>
      <c r="O1427" t="n">
        <v>4</v>
      </c>
      <c r="P1427" t="n">
        <v>24</v>
      </c>
      <c r="R1427" t="inlineStr">
        <is>
          <t>InStock</t>
        </is>
      </c>
      <c r="S1427" t="inlineStr">
        <is>
          <t>32.99</t>
        </is>
      </c>
      <c r="T1427" t="inlineStr">
        <is>
          <t>4251342110772</t>
        </is>
      </c>
    </row>
    <row r="1428" hidden="1" ht="15.75" customHeight="1">
      <c r="A1428" s="2">
        <f>HYPERLINK("https://www.shelhealth.com/products/berkley-jensen-13-gal-trash-bags-140-ct", "https://www.shelhealth.com/products/berkley-jensen-13-gal-trash-bags-140-ct")</f>
        <v/>
      </c>
      <c r="B1428" s="2">
        <f>HYPERLINK("https://www.shelhealth.com/products/berkley-jensen-13-gal-trash-bags-140-ct", "https://www.shelhealth.com/products/berkley-jensen-13-gal-trash-bags-140-ct")</f>
        <v/>
      </c>
      <c r="C1428" t="inlineStr">
        <is>
          <t>Berkley Jensen 13-Gal. Trash Bags, 140 ct.</t>
        </is>
      </c>
      <c r="D1428" t="inlineStr">
        <is>
          <t>Berkley Jensen .69mil Kitchen Bags, 13-gal., 200 ct.</t>
        </is>
      </c>
      <c r="E1428" s="2">
        <f>HYPERLINK("https://www.amazon.com/Berkley-Jensen-69mil-Kitchen-13-gal/dp/B06XBHZB1F/ref=sr_1_4?keywords=Berkley+Jensen+13-Gal.+Trash+Bags%2C+140+ct.&amp;qid=1695170567&amp;sr=8-4", "https://www.amazon.com/Berkley-Jensen-69mil-Kitchen-13-gal/dp/B06XBHZB1F/ref=sr_1_4?keywords=Berkley+Jensen+13-Gal.+Trash+Bags%2C+140+ct.&amp;qid=1695170567&amp;sr=8-4")</f>
        <v/>
      </c>
      <c r="F1428" t="inlineStr">
        <is>
          <t>B06XBHZB1F</t>
        </is>
      </c>
      <c r="G1428">
        <f>_xludf.IMAGE("https://www.shelhealth.com/cdn/shop/products/berkley-jensen-13-gal-trash-bags-140-ct-shelhealth-815.jpg?v=1663354901&amp;width=1946")</f>
        <v/>
      </c>
      <c r="H1428">
        <f>_xludf.IMAGE("https://m.media-amazon.com/images/I/81ar6b6QP-L._AC_UL320_.jpg")</f>
        <v/>
      </c>
      <c r="K1428" t="inlineStr">
        <is>
          <t>32.99</t>
        </is>
      </c>
      <c r="L1428" t="n">
        <v>30.75</v>
      </c>
      <c r="M1428" s="1" t="inlineStr">
        <is>
          <t>-6.79%</t>
        </is>
      </c>
      <c r="N1428" s="3" t="n">
        <v>-6.79</v>
      </c>
      <c r="O1428" t="n">
        <v>4</v>
      </c>
      <c r="P1428" t="n">
        <v>24</v>
      </c>
      <c r="R1428" t="inlineStr">
        <is>
          <t>InStock</t>
        </is>
      </c>
      <c r="S1428" t="inlineStr">
        <is>
          <t>32.99</t>
        </is>
      </c>
      <c r="T1428" t="inlineStr">
        <is>
          <t>4169506816052</t>
        </is>
      </c>
    </row>
    <row r="1429" hidden="1" ht="15.75" customHeight="1">
      <c r="A1429" s="2">
        <f>HYPERLINK("https://www.shelhealth.com/products/berkley-jensen-13-gal-0-9mil-drawstring-kitchen-bags-150-ct", "https://www.shelhealth.com/products/berkley-jensen-13-gal-0-9mil-drawstring-kitchen-bags-150-ct")</f>
        <v/>
      </c>
      <c r="B1429" s="2">
        <f>HYPERLINK("https://www.shelhealth.com/products/berkley-jensen-13-gal-0-9mil-drawstring-kitchen-bags-150-ct", "https://www.shelhealth.com/products/berkley-jensen-13-gal-0-9mil-drawstring-kitchen-bags-150-ct")</f>
        <v/>
      </c>
      <c r="C1429" t="inlineStr">
        <is>
          <t>Berkley Jensen 13-Gal. 0.9mil Drawstring Kitchen Bags, 150 ct.</t>
        </is>
      </c>
      <c r="D1429" t="inlineStr">
        <is>
          <t>Berkley Jensen .69mil Kitchen Bags, 13-gal., 200 ct.</t>
        </is>
      </c>
      <c r="E1429" s="2">
        <f>HYPERLINK("https://www.amazon.com/Berkley-Jensen-69mil-Kitchen-13-gal/dp/B06XBHZB1F/ref=sr_1_3?keywords=Berkley+Jensen+13-Gal.+0.9mil+Drawstring+Kitchen+Bags%2C+150+ct.&amp;qid=1695170571&amp;sr=8-3", "https://www.amazon.com/Berkley-Jensen-69mil-Kitchen-13-gal/dp/B06XBHZB1F/ref=sr_1_3?keywords=Berkley+Jensen+13-Gal.+0.9mil+Drawstring+Kitchen+Bags%2C+150+ct.&amp;qid=1695170571&amp;sr=8-3")</f>
        <v/>
      </c>
      <c r="F1429" t="inlineStr">
        <is>
          <t>B06XBHZB1F</t>
        </is>
      </c>
      <c r="G1429">
        <f>_xludf.IMAGE("https://www.shelhealth.com/cdn/shop/products/berkley-jensen-13-gal-0-9mil-drawstring-kitchen-bags-150-ct-shelhealth-866.jpg?v=1663354894&amp;width=1946")</f>
        <v/>
      </c>
      <c r="H1429">
        <f>_xludf.IMAGE("https://m.media-amazon.com/images/I/81ar6b6QP-L._AC_UL320_.jpg")</f>
        <v/>
      </c>
      <c r="K1429" t="inlineStr">
        <is>
          <t>32.99</t>
        </is>
      </c>
      <c r="L1429" t="n">
        <v>30.75</v>
      </c>
      <c r="M1429" s="1" t="inlineStr">
        <is>
          <t>-6.79%</t>
        </is>
      </c>
      <c r="N1429" s="3" t="n">
        <v>-6.79</v>
      </c>
      <c r="O1429" t="n">
        <v>4</v>
      </c>
      <c r="P1429" t="n">
        <v>24</v>
      </c>
      <c r="R1429" t="inlineStr">
        <is>
          <t>InStock</t>
        </is>
      </c>
      <c r="S1429" t="inlineStr">
        <is>
          <t>32.99</t>
        </is>
      </c>
      <c r="T1429" t="inlineStr">
        <is>
          <t>4169504129076</t>
        </is>
      </c>
    </row>
    <row r="1430" hidden="1" ht="15.75" customHeight="1">
      <c r="A1430" s="2">
        <f>HYPERLINK("https://www.shelhealth.com/products/persil-original-power-liquid-laundry-detergent-170-oz", "https://www.shelhealth.com/products/persil-original-power-liquid-laundry-detergent-170-oz")</f>
        <v/>
      </c>
      <c r="B1430" s="2">
        <f>HYPERLINK("https://www.shelhealth.com/products/persil-original-power-liquid-laundry-detergent-170-oz", "https://www.shelhealth.com/products/persil-original-power-liquid-laundry-detergent-170-oz")</f>
        <v/>
      </c>
      <c r="C1430" t="inlineStr">
        <is>
          <t>Persil Original Power-Liquid Laundry Detergent, 170 oz.</t>
        </is>
      </c>
      <c r="D1430" t="inlineStr">
        <is>
          <t>Persil ProClean Power-Liquid Laundry Detergent, Original Scent, 2-in-1 Liquid Detergent, 50 Fl Oz</t>
        </is>
      </c>
      <c r="E1430" s="2">
        <f>HYPERLINK("https://www.amazon.com/Persil-ProClean-Liquid-Laundry-Detergent/dp/B01AHYFUZ8/ref=sr_1_3?keywords=Persil+Original+Power-Liquid+Laundry+Detergent%2C+170+oz.&amp;qid=1695170399&amp;sr=8-3", "https://www.amazon.com/Persil-ProClean-Liquid-Laundry-Detergent/dp/B01AHYFUZ8/ref=sr_1_3?keywords=Persil+Original+Power-Liquid+Laundry+Detergent%2C+170+oz.&amp;qid=1695170399&amp;sr=8-3")</f>
        <v/>
      </c>
      <c r="F1430" t="inlineStr">
        <is>
          <t>B01AHYFUZ8</t>
        </is>
      </c>
      <c r="G1430">
        <f>_xludf.IMAGE("https://www.shelhealth.com/cdn/shop/products/persil-original-power-liquid-laundry-detergent-170-oz-shelhealth-822.jpg?v=1663356996&amp;width=1946")</f>
        <v/>
      </c>
      <c r="H1430">
        <f>_xludf.IMAGE("https://m.media-amazon.com/images/I/81LNiHwRRCL._AC_UL320_.jpg")</f>
        <v/>
      </c>
      <c r="K1430" t="inlineStr">
        <is>
          <t>38.99</t>
        </is>
      </c>
      <c r="L1430" t="n">
        <v>36.3</v>
      </c>
      <c r="M1430" s="1" t="inlineStr">
        <is>
          <t>-6.90%</t>
        </is>
      </c>
      <c r="N1430" s="3" t="n">
        <v>-6.9</v>
      </c>
      <c r="O1430" t="n">
        <v>4.7</v>
      </c>
      <c r="P1430" t="n">
        <v>2624</v>
      </c>
      <c r="R1430" t="inlineStr">
        <is>
          <t>InStock</t>
        </is>
      </c>
      <c r="S1430" t="inlineStr">
        <is>
          <t>38.99</t>
        </is>
      </c>
      <c r="T1430" t="inlineStr">
        <is>
          <t>4179126943796</t>
        </is>
      </c>
    </row>
    <row r="1431" hidden="1" ht="15.75" customHeight="1">
      <c r="A1431" s="2">
        <f>HYPERLINK("https://www.shelhealth.com/products/cascade-complete-action-pacs-90-count", "https://www.shelhealth.com/products/cascade-complete-action-pacs-90-count")</f>
        <v/>
      </c>
      <c r="B1431" s="2">
        <f>HYPERLINK("https://www.shelhealth.com/products/cascade-complete-action-pacs-90-count", "https://www.shelhealth.com/products/cascade-complete-action-pacs-90-count")</f>
        <v/>
      </c>
      <c r="C1431" t="inlineStr">
        <is>
          <t>Cascade Complete Action Pacs, 90 count</t>
        </is>
      </c>
      <c r="D1431" t="inlineStr">
        <is>
          <t>Cascade Complete Action Pacs 90-count</t>
        </is>
      </c>
      <c r="E1431" s="2">
        <f>HYPERLINK("https://www.amazon.com/Cascade-Complete-Action-Pacs-90-count/dp/B075BMWNH8/ref=sr_1_1?keywords=cascade+complete+actionpacs%2C+90+count&amp;qid=1695170391&amp;sr=8-1", "https://www.amazon.com/Cascade-Complete-Action-Pacs-90-count/dp/B075BMWNH8/ref=sr_1_1?keywords=cascade+complete+actionpacs%2C+90+count&amp;qid=1695170391&amp;sr=8-1")</f>
        <v/>
      </c>
      <c r="F1431" t="inlineStr">
        <is>
          <t>B075BMWNH8</t>
        </is>
      </c>
      <c r="G1431">
        <f>_xludf.IMAGE("https://www.shelhealth.com/cdn/shop/products/cascade-complete-action-pacs-90-count-shelhealth-139.jpg?v=1663343181&amp;width=1946")</f>
        <v/>
      </c>
      <c r="H1431">
        <f>_xludf.IMAGE("https://m.media-amazon.com/images/I/91hS6Hf5yyL._AC_UL320_.jpg")</f>
        <v/>
      </c>
      <c r="K1431" t="inlineStr">
        <is>
          <t>27.99</t>
        </is>
      </c>
      <c r="L1431" t="n">
        <v>26</v>
      </c>
      <c r="M1431" s="1" t="inlineStr">
        <is>
          <t>-7.11%</t>
        </is>
      </c>
      <c r="N1431" s="3" t="n">
        <v>-7.11</v>
      </c>
      <c r="O1431" t="n">
        <v>4.8</v>
      </c>
      <c r="P1431" t="n">
        <v>1350</v>
      </c>
      <c r="R1431" t="inlineStr">
        <is>
          <t>InStock</t>
        </is>
      </c>
      <c r="S1431" t="inlineStr">
        <is>
          <t>27.99</t>
        </is>
      </c>
      <c r="T1431" t="inlineStr">
        <is>
          <t>3819517050932</t>
        </is>
      </c>
    </row>
    <row r="1432" hidden="1" ht="15.75" customHeight="1">
      <c r="A1432" s="2">
        <f>HYPERLINK("https://www.shelhealth.com/products/downy-free-gentle-liquid-fabric-conditioner-170-fl-oz", "https://www.shelhealth.com/products/downy-free-gentle-liquid-fabric-conditioner-170-fl-oz")</f>
        <v/>
      </c>
      <c r="B1432" s="2">
        <f>HYPERLINK("https://www.shelhealth.com/products/downy-free-gentle-liquid-fabric-conditioner-170-fl-oz", "https://www.shelhealth.com/products/downy-free-gentle-liquid-fabric-conditioner-170-fl-oz")</f>
        <v/>
      </c>
      <c r="C1432" t="inlineStr">
        <is>
          <t>Downy Free &amp; Gentle Liquid Fabric Conditioner, 170 fl. oz.</t>
        </is>
      </c>
      <c r="D1432" t="inlineStr">
        <is>
          <t>Downy Free &amp; Gentle Liquid Fabric Conditioner (Fabric Softener), 51 FL OZ (Pack of 2)</t>
        </is>
      </c>
      <c r="E1432" s="2">
        <f>HYPERLINK("https://www.amazon.com/Gentle-Liquid-Fabric-Conditioner-Softener/dp/B07BQX4CMZ/ref=sr_1_6?keywords=Downy+Free&amp;qid=1695170429&amp;sr=8-6", "https://www.amazon.com/Gentle-Liquid-Fabric-Conditioner-Softener/dp/B07BQX4CMZ/ref=sr_1_6?keywords=Downy+Free&amp;qid=1695170429&amp;sr=8-6")</f>
        <v/>
      </c>
      <c r="F1432" t="inlineStr">
        <is>
          <t>B07BQX4CMZ</t>
        </is>
      </c>
      <c r="G1432">
        <f>_xludf.IMAGE("https://www.shelhealth.com/cdn/shop/products/downy-free-gentle-liquid-fabric-conditioner-170-fl-oz-shelhealth-915.jpg?v=1663356555&amp;width=1946")</f>
        <v/>
      </c>
      <c r="H1432">
        <f>_xludf.IMAGE("https://m.media-amazon.com/images/I/81dda6ZgdTL._AC_UL320_.jpg")</f>
        <v/>
      </c>
      <c r="K1432" t="inlineStr">
        <is>
          <t>27.99</t>
        </is>
      </c>
      <c r="L1432" t="n">
        <v>25.96</v>
      </c>
      <c r="M1432" s="1" t="inlineStr">
        <is>
          <t>-7.25%</t>
        </is>
      </c>
      <c r="N1432" s="3" t="n">
        <v>-7.25</v>
      </c>
      <c r="O1432" t="n">
        <v>4.2</v>
      </c>
      <c r="P1432" t="n">
        <v>112</v>
      </c>
      <c r="R1432" t="inlineStr">
        <is>
          <t>OutOfStock</t>
        </is>
      </c>
      <c r="S1432" t="inlineStr">
        <is>
          <t>27.99</t>
        </is>
      </c>
      <c r="T1432" t="inlineStr">
        <is>
          <t>4178978439220</t>
        </is>
      </c>
    </row>
    <row r="1433" hidden="1" ht="15.75" customHeight="1">
      <c r="A1433" s="2">
        <f>HYPERLINK("https://www.shelhealth.com/products/downy-unstopables-in-wash-scent-booster-lush-10-oz", "https://www.shelhealth.com/products/downy-unstopables-in-wash-scent-booster-lush-10-oz")</f>
        <v/>
      </c>
      <c r="B1433" s="2">
        <f>HYPERLINK("https://www.shelhealth.com/products/downy-unstopables-in-wash-scent-booster-lush-10-oz", "https://www.shelhealth.com/products/downy-unstopables-in-wash-scent-booster-lush-10-oz")</f>
        <v/>
      </c>
      <c r="C1433" t="inlineStr">
        <is>
          <t>Downy Unstopables In-Wash Scent Booster Lush, 10 oz (Case of 3)</t>
        </is>
      </c>
      <c r="D1433" t="inlineStr">
        <is>
          <t>Downy Unstopables in-wash Scent Booster Beads, Lush, 10.0 oz, 20 Pack</t>
        </is>
      </c>
      <c r="E1433" s="2">
        <f>HYPERLINK("https://www.amazon.com/Downy-Unstopables-wash-Scent-Booster/dp/B0BW36ZDVH/ref=sr_1_3?keywords=Downy+Unstopables+In-Wash+Scent+Booster+Lush%2C+10+oz+%28Case+of+3%29&amp;qid=1695170552&amp;sr=8-3", "https://www.amazon.com/Downy-Unstopables-wash-Scent-Booster/dp/B0BW36ZDVH/ref=sr_1_3?keywords=Downy+Unstopables+In-Wash+Scent+Booster+Lush%2C+10+oz+%28Case+of+3%29&amp;qid=1695170552&amp;sr=8-3")</f>
        <v/>
      </c>
      <c r="F1433" t="inlineStr">
        <is>
          <t>B0BW36ZDVH</t>
        </is>
      </c>
      <c r="G1433">
        <f>_xludf.IMAGE("https://www.shelhealth.com/cdn/shop/products/downy-unstopables-in-wash-scent-booster-lush-10-oz-case-of-3-shelhealth-157.jpg?v=1675329839&amp;width=1946")</f>
        <v/>
      </c>
      <c r="H1433">
        <f>_xludf.IMAGE("https://m.media-amazon.com/images/I/61XVBASoIcL._AC_UL320_.jpg")</f>
        <v/>
      </c>
      <c r="K1433" t="inlineStr">
        <is>
          <t>41.99</t>
        </is>
      </c>
      <c r="L1433" t="n">
        <v>38.7</v>
      </c>
      <c r="M1433" s="1" t="inlineStr">
        <is>
          <t>-7.84%</t>
        </is>
      </c>
      <c r="N1433" s="3" t="n">
        <v>-7.84</v>
      </c>
      <c r="O1433" t="n">
        <v>2.9</v>
      </c>
      <c r="P1433" t="n">
        <v>11</v>
      </c>
      <c r="R1433" t="inlineStr">
        <is>
          <t>InStock</t>
        </is>
      </c>
      <c r="S1433" t="inlineStr">
        <is>
          <t>41.99</t>
        </is>
      </c>
      <c r="T1433" t="inlineStr">
        <is>
          <t>4458276323417</t>
        </is>
      </c>
    </row>
    <row r="1434" hidden="1" ht="15.75" customHeight="1">
      <c r="A1434" s="2">
        <f>HYPERLINK("https://www.shelhealth.com/products/swiffer-sweeper-wet-cloth-refill-64-count", "https://www.shelhealth.com/products/swiffer-sweeper-wet-cloth-refill-64-count")</f>
        <v/>
      </c>
      <c r="B1434" s="2">
        <f>HYPERLINK("https://www.shelhealth.com/products/swiffer-sweeper-wet-cloth-refill-64-count", "https://www.shelhealth.com/products/swiffer-sweeper-wet-cloth-refill-64-count")</f>
        <v/>
      </c>
      <c r="C1434" t="inlineStr">
        <is>
          <t>Swiffer Sweeper Wet Cloth Refill, 64 Count</t>
        </is>
      </c>
      <c r="D1434" t="inlineStr">
        <is>
          <t>Swiffer Sweeper Wet Mopping Cloths Refills Open Window Fresh 32 Count Pack of 2</t>
        </is>
      </c>
      <c r="E1434" s="2">
        <f>HYPERLINK("https://www.amazon.com/Swiffer-Sweeper-Mopping-Cloth-Refill/dp/B07BH7YXRD/ref=sr_1_5?keywords=Swiffer+Sweeper+Wet+Cloth+Refill%2C+64+Count&amp;qid=1695170382&amp;sr=8-5", "https://www.amazon.com/Swiffer-Sweeper-Mopping-Cloth-Refill/dp/B07BH7YXRD/ref=sr_1_5?keywords=Swiffer+Sweeper+Wet+Cloth+Refill%2C+64+Count&amp;qid=1695170382&amp;sr=8-5")</f>
        <v/>
      </c>
      <c r="F1434" t="inlineStr">
        <is>
          <t>B07BH7YXRD</t>
        </is>
      </c>
      <c r="G1434">
        <f>_xludf.IMAGE("https://www.shelhealth.com/cdn/shop/products/swiffer-sweeper-wet-cloth-refill-64-count-shelhealth-364.jpg?v=1663342907&amp;width=1946")</f>
        <v/>
      </c>
      <c r="H1434">
        <f>_xludf.IMAGE("https://m.media-amazon.com/images/I/713yJYlLL+L._AC_UL320_.jpg")</f>
        <v/>
      </c>
      <c r="K1434" t="inlineStr">
        <is>
          <t>30.99</t>
        </is>
      </c>
      <c r="L1434" t="n">
        <v>28.5</v>
      </c>
      <c r="M1434" s="1" t="inlineStr">
        <is>
          <t>-8.03%</t>
        </is>
      </c>
      <c r="N1434" s="3" t="n">
        <v>-8.029999999999999</v>
      </c>
      <c r="O1434" t="n">
        <v>4.7</v>
      </c>
      <c r="P1434" t="n">
        <v>1933</v>
      </c>
      <c r="R1434" t="inlineStr">
        <is>
          <t>InStock</t>
        </is>
      </c>
      <c r="S1434" t="inlineStr">
        <is>
          <t>30.99</t>
        </is>
      </c>
      <c r="T1434" t="inlineStr">
        <is>
          <t>3818793271348</t>
        </is>
      </c>
    </row>
    <row r="1435" hidden="1" ht="15.75" customHeight="1">
      <c r="A1435" s="2">
        <f>HYPERLINK("https://www.shelhealth.com/products/acrylic-beverage-dispenser-2-5-gallon", "https://www.shelhealth.com/products/acrylic-beverage-dispenser-2-5-gallon")</f>
        <v/>
      </c>
      <c r="B1435" s="2">
        <f>HYPERLINK("https://www.shelhealth.com/products/acrylic-beverage-dispenser-2-5-gallon", "https://www.shelhealth.com/products/acrylic-beverage-dispenser-2-5-gallon")</f>
        <v/>
      </c>
      <c r="C1435" t="inlineStr">
        <is>
          <t>Acrylic Beverage Dispenser 2.5 Gallon</t>
        </is>
      </c>
      <c r="D1435" t="inlineStr">
        <is>
          <t>2.5 Gallon Drink Dispenser For Fridge,Beverage, Water Dispenser With Spigot.Juice Containers With Lids For Fridge,Parties And Daily Use. 100% Sealed And Filter Screen.BPA FREE.2PACK(1+1.5) Gallon</t>
        </is>
      </c>
      <c r="E1435" s="2">
        <f>HYPERLINK("https://www.amazon.com/Dispenser-Spigot-Juice-Containers-Screen-BPA-FREE-2PACK/dp/B0BW4LQ7SP/ref=sr_1_7?keywords=Acrylic+Beverage+Dispenser+2.5+Gallon&amp;qid=1695170553&amp;sr=8-7", "https://www.amazon.com/Dispenser-Spigot-Juice-Containers-Screen-BPA-FREE-2PACK/dp/B0BW4LQ7SP/ref=sr_1_7?keywords=Acrylic+Beverage+Dispenser+2.5+Gallon&amp;qid=1695170553&amp;sr=8-7")</f>
        <v/>
      </c>
      <c r="F1435" t="inlineStr">
        <is>
          <t>B0BW4LQ7SP</t>
        </is>
      </c>
      <c r="G1435">
        <f>_xludf.IMAGE("https://www.shelhealth.com/cdn/shop/products/acrylic-beverage-dispenser-2-5-gallon-shelhealth-551.jpg?v=1663357185&amp;width=1946")</f>
        <v/>
      </c>
      <c r="H1435">
        <f>_xludf.IMAGE("https://m.media-amazon.com/images/I/715v8G2U-sL._AC_UL320_.jpg")</f>
        <v/>
      </c>
      <c r="K1435" t="inlineStr">
        <is>
          <t>36.99</t>
        </is>
      </c>
      <c r="L1435" t="n">
        <v>33.99</v>
      </c>
      <c r="M1435" s="1" t="inlineStr">
        <is>
          <t>-8.11%</t>
        </is>
      </c>
      <c r="N1435" s="3" t="n">
        <v>-8.109999999999999</v>
      </c>
      <c r="O1435" t="n">
        <v>4.3</v>
      </c>
      <c r="P1435" t="n">
        <v>127</v>
      </c>
      <c r="R1435" t="inlineStr">
        <is>
          <t>OutOfStock</t>
        </is>
      </c>
      <c r="S1435" t="inlineStr">
        <is>
          <t>36.99</t>
        </is>
      </c>
      <c r="T1435" t="inlineStr">
        <is>
          <t>4179239501876</t>
        </is>
      </c>
    </row>
    <row r="1436" hidden="1" ht="15.75" customHeight="1">
      <c r="A1436" s="2">
        <f>HYPERLINK("https://www.shelhealth.com/products/bicycle-jumbo-playing-cards-12-pk", "https://www.shelhealth.com/products/bicycle-jumbo-playing-cards-12-pk")</f>
        <v/>
      </c>
      <c r="B1436" s="2">
        <f>HYPERLINK("https://www.shelhealth.com/products/bicycle-jumbo-playing-cards-12-pk", "https://www.shelhealth.com/products/bicycle-jumbo-playing-cards-12-pk")</f>
        <v/>
      </c>
      <c r="C1436" t="inlineStr">
        <is>
          <t>Bicycle Jumbo Playing Cards, 12 pk.</t>
        </is>
      </c>
      <c r="D1436" t="inlineStr">
        <is>
          <t>Bicycle Poker Standard Size Jumbo Face Index Playing Cards, Blue/Red, 12 Piece</t>
        </is>
      </c>
      <c r="E1436" s="2">
        <f>HYPERLINK("https://www.amazon.com/Bicycle-Poker-Standard-Jumbo-Playing/dp/B00BMBN4HW/ref=sr_1_2?keywords=Bicycle+Jumbo+Playing+Cards%2C+12+pk.&amp;qid=1695170557&amp;sr=8-2", "https://www.amazon.com/Bicycle-Poker-Standard-Jumbo-Playing/dp/B00BMBN4HW/ref=sr_1_2?keywords=Bicycle+Jumbo+Playing+Cards%2C+12+pk.&amp;qid=1695170557&amp;sr=8-2")</f>
        <v/>
      </c>
      <c r="F1436" t="inlineStr">
        <is>
          <t>B00BMBN4HW</t>
        </is>
      </c>
      <c r="G1436">
        <f>_xludf.IMAGE("https://www.shelhealth.com/cdn/shop/files/bicycle-jumbo-playing-cards-12-pk-toysindoor-play-unbranded-shelhealth-598.jpg?v=1686283904&amp;width=1946")</f>
        <v/>
      </c>
      <c r="H1436">
        <f>_xludf.IMAGE("https://m.media-amazon.com/images/I/41dpEJ+4lwL._AC_UL320_.jpg")</f>
        <v/>
      </c>
      <c r="K1436" t="inlineStr">
        <is>
          <t>35.99</t>
        </is>
      </c>
      <c r="L1436" t="n">
        <v>32.98</v>
      </c>
      <c r="M1436" s="1" t="inlineStr">
        <is>
          <t>-8.36%</t>
        </is>
      </c>
      <c r="N1436" s="3" t="n">
        <v>-8.359999999999999</v>
      </c>
      <c r="O1436" t="n">
        <v>4.7</v>
      </c>
      <c r="P1436" t="n">
        <v>995</v>
      </c>
      <c r="R1436" t="inlineStr">
        <is>
          <t>InStock</t>
        </is>
      </c>
      <c r="S1436" t="inlineStr">
        <is>
          <t>35.99</t>
        </is>
      </c>
      <c r="T1436" t="inlineStr">
        <is>
          <t>4179186679860</t>
        </is>
      </c>
    </row>
    <row r="1437" hidden="1" ht="15.75" customHeight="1">
      <c r="A1437" s="2">
        <f>HYPERLINK("https://www.shelhealth.com/products/merrick-non-slip-rubberized-hangers-20-pack", "https://www.shelhealth.com/products/merrick-non-slip-rubberized-hangers-20-pack")</f>
        <v/>
      </c>
      <c r="B1437" s="2">
        <f>HYPERLINK("https://www.shelhealth.com/products/merrick-non-slip-rubberized-hangers-20-pack", "https://www.shelhealth.com/products/merrick-non-slip-rubberized-hangers-20-pack")</f>
        <v/>
      </c>
      <c r="C1437" t="inlineStr">
        <is>
          <t>merrick non slip rubberized hangers, 20 pack</t>
        </is>
      </c>
      <c r="D1437" t="inlineStr">
        <is>
          <t>HOUSE DAY Premium Velvet Hangers, Non-Slip Thin Flocked Felt Hangers, Sturdy Clothes Hangers Heavy Duty Coat Hangers &amp; Suit Hangers, Durable Suit Hangers for Closet Space Saving (20 Pack, Black)</t>
        </is>
      </c>
      <c r="E1437" s="2">
        <f>HYPERLINK("https://www.amazon.com/HOUSE-DAY-Premium-Hangers-Non-Slip/dp/B0BCDCBYR6/ref=sr_1_8?keywords=merrick+non+slip+rubberized+hangers%2C+20+pack&amp;qid=1695170569&amp;sr=8-8", "https://www.amazon.com/HOUSE-DAY-Premium-Hangers-Non-Slip/dp/B0BCDCBYR6/ref=sr_1_8?keywords=merrick+non+slip+rubberized+hangers%2C+20+pack&amp;qid=1695170569&amp;sr=8-8")</f>
        <v/>
      </c>
      <c r="F1437" t="inlineStr">
        <is>
          <t>B0BCDCBYR6</t>
        </is>
      </c>
      <c r="G1437">
        <f>_xludf.IMAGE("https://www.shelhealth.com/cdn/shop/products/merrick-non-slip-rubberized-hangers-20-pack-shelhealth-923.jpg?v=1663357221&amp;width=1946")</f>
        <v/>
      </c>
      <c r="H1437">
        <f>_xludf.IMAGE("https://m.media-amazon.com/images/I/81oPPEYS4WL._AC_UL320_.jpg")</f>
        <v/>
      </c>
      <c r="K1437" t="inlineStr">
        <is>
          <t>21.99</t>
        </is>
      </c>
      <c r="L1437" t="n">
        <v>19.99</v>
      </c>
      <c r="M1437" s="1" t="inlineStr">
        <is>
          <t>-9.10%</t>
        </is>
      </c>
      <c r="N1437" s="3" t="n">
        <v>-9.1</v>
      </c>
      <c r="O1437" t="n">
        <v>4.8</v>
      </c>
      <c r="P1437" t="n">
        <v>380</v>
      </c>
      <c r="R1437" t="inlineStr">
        <is>
          <t>OutOfStock</t>
        </is>
      </c>
      <c r="S1437" t="inlineStr">
        <is>
          <t>21.99</t>
        </is>
      </c>
      <c r="T1437" t="inlineStr">
        <is>
          <t>4179256672308</t>
        </is>
      </c>
    </row>
    <row r="1438" hidden="1" ht="15.75" customHeight="1">
      <c r="A1438" s="2">
        <f>HYPERLINK("https://www.shelhealth.com/products/cascade-complete-gel-dishwasher-detergent-fresh-scent-155-oz", "https://www.shelhealth.com/products/cascade-complete-gel-dishwasher-detergent-fresh-scent-155-oz")</f>
        <v/>
      </c>
      <c r="B1438" s="2">
        <f>HYPERLINK("https://www.shelhealth.com/products/cascade-complete-gel-dishwasher-detergent-fresh-scent-155-oz", "https://www.shelhealth.com/products/cascade-complete-gel-dishwasher-detergent-fresh-scent-155-oz")</f>
        <v/>
      </c>
      <c r="C1438" t="inlineStr">
        <is>
          <t>Cascade Complete Gel Dishwasher Detergent, Fresh Scent, 155 oz.</t>
        </is>
      </c>
      <c r="D1438" t="inlineStr">
        <is>
          <t>Cascade Complete Gel Dishwasher Detergent, Citrus Breeze Scent, 75 oz (Pack of 2) with Cascade Platinum Dishwasher Cleaner, 3 count Bonus Pack</t>
        </is>
      </c>
      <c r="E1438" s="2">
        <f>HYPERLINK("https://www.amazon.com/Cascade-Complete-Dishwasher-Detergent-Platinum/dp/B0CCSZ82YQ/ref=sr_1_4?keywords=Cascade+Complete+Gel+Dishwasher+Detergent%2C+Fresh+Scent%2C+155+oz.&amp;qid=1695170393&amp;sr=8-4", "https://www.amazon.com/Cascade-Complete-Dishwasher-Detergent-Platinum/dp/B0CCSZ82YQ/ref=sr_1_4?keywords=Cascade+Complete+Gel+Dishwasher+Detergent%2C+Fresh+Scent%2C+155+oz.&amp;qid=1695170393&amp;sr=8-4")</f>
        <v/>
      </c>
      <c r="F1438" t="inlineStr">
        <is>
          <t>B0CCSZ82YQ</t>
        </is>
      </c>
      <c r="G1438">
        <f>_xludf.IMAGE("https://www.shelhealth.com/cdn/shop/products/cascade-complete-gel-dishwasher-detergent-fresh-scent-155-oz-shelhealth-906.jpg?v=1663355159&amp;width=1946")</f>
        <v/>
      </c>
      <c r="H1438">
        <f>_xludf.IMAGE("https://m.media-amazon.com/images/I/81QKtDE8bkL._AC_UL320_.jpg")</f>
        <v/>
      </c>
      <c r="K1438" t="inlineStr">
        <is>
          <t>32.99</t>
        </is>
      </c>
      <c r="L1438" t="n">
        <v>29.98</v>
      </c>
      <c r="M1438" s="1" t="inlineStr">
        <is>
          <t>-9.12%</t>
        </is>
      </c>
      <c r="N1438" s="3" t="n">
        <v>-9.119999999999999</v>
      </c>
      <c r="O1438" t="n">
        <v>4.8</v>
      </c>
      <c r="P1438" t="n">
        <v>1103</v>
      </c>
      <c r="R1438" t="inlineStr">
        <is>
          <t>InStock</t>
        </is>
      </c>
      <c r="S1438" t="inlineStr">
        <is>
          <t>32.99</t>
        </is>
      </c>
      <c r="T1438" t="inlineStr">
        <is>
          <t>4169691234356</t>
        </is>
      </c>
    </row>
    <row r="1439" hidden="1" ht="15.75" customHeight="1">
      <c r="A1439" s="2">
        <f>HYPERLINK("https://www.shelhealth.com/products/tide-pods-liquid-laundry-detergent-pacs-spring-meadow-168-ct", "https://www.shelhealth.com/products/tide-pods-liquid-laundry-detergent-pacs-spring-meadow-168-ct")</f>
        <v/>
      </c>
      <c r="B1439" s="2">
        <f>HYPERLINK("https://www.shelhealth.com/products/tide-pods-liquid-laundry-detergent-pacs-spring-meadow-168-ct", "https://www.shelhealth.com/products/tide-pods-liquid-laundry-detergent-pacs-spring-meadow-168-ct")</f>
        <v/>
      </c>
      <c r="C1439" t="inlineStr">
        <is>
          <t>Tide PODS Liquid Laundry Detergent Pacs, Spring Meadow (168 ct.)</t>
        </is>
      </c>
      <c r="D1439" t="inlineStr">
        <is>
          <t>Tide PODS Liquid Laundry Detergent Pacs, Spring Meadow (168 ct.)</t>
        </is>
      </c>
      <c r="E1439" s="2">
        <f>HYPERLINK("https://www.amazon.com/Tide-Liquid-Laundry-Detergent-Spring/dp/B07QL3GFLN/ref=sr_1_1?keywords=Tide+PODS+Liquid+Laundry+Detergent+Pacs%2C+Spring+Meadow+%28168+ct.%29&amp;qid=1695170570&amp;sr=8-1", "https://www.amazon.com/Tide-Liquid-Laundry-Detergent-Spring/dp/B07QL3GFLN/ref=sr_1_1?keywords=Tide+PODS+Liquid+Laundry+Detergent+Pacs%2C+Spring+Meadow+%28168+ct.%29&amp;qid=1695170570&amp;sr=8-1")</f>
        <v/>
      </c>
      <c r="F1439" t="inlineStr">
        <is>
          <t>B07QL3GFLN</t>
        </is>
      </c>
      <c r="G1439">
        <f>_xludf.IMAGE("https://www.shelhealth.com/cdn/shop/products/tide-pods-liquid-laundry-detergent-pacs-spring-meadow-168-ct-supplies-shelhealth-240.jpg?v=1675320315&amp;width=1946")</f>
        <v/>
      </c>
      <c r="H1439">
        <f>_xludf.IMAGE("https://m.media-amazon.com/images/I/715gSwaoXUL._AC_UL320_.jpg")</f>
        <v/>
      </c>
      <c r="K1439" t="inlineStr">
        <is>
          <t>53.99</t>
        </is>
      </c>
      <c r="L1439" t="n">
        <v>48.99</v>
      </c>
      <c r="M1439" s="1" t="inlineStr">
        <is>
          <t>-9.26%</t>
        </is>
      </c>
      <c r="N1439" s="3" t="n">
        <v>-9.26</v>
      </c>
      <c r="O1439" t="n">
        <v>4.8</v>
      </c>
      <c r="P1439" t="n">
        <v>549</v>
      </c>
      <c r="R1439" t="inlineStr">
        <is>
          <t>OutOfStock</t>
        </is>
      </c>
      <c r="S1439" t="inlineStr">
        <is>
          <t>53.99</t>
        </is>
      </c>
      <c r="T1439" t="inlineStr">
        <is>
          <t>3819441160244</t>
        </is>
      </c>
    </row>
    <row r="1440" hidden="1" ht="15.75" customHeight="1">
      <c r="A1440" s="2">
        <f>HYPERLINK("https://www.shelhealth.com/products/bask-clear-vinyl-disposable-gloves-100-gloves", "https://www.shelhealth.com/products/bask-clear-vinyl-disposable-gloves-100-gloves")</f>
        <v/>
      </c>
      <c r="B1440" s="2">
        <f>HYPERLINK("https://www.shelhealth.com/products/bask-clear-vinyl-disposable-gloves-100-gloves", "https://www.shelhealth.com/products/bask-clear-vinyl-disposable-gloves-100-gloves")</f>
        <v/>
      </c>
      <c r="C1440" t="inlineStr">
        <is>
          <t>Bask Clear Vinyl Disposable Gloves, 100 Gloves</t>
        </is>
      </c>
      <c r="D1440" t="inlineStr">
        <is>
          <t>Safe Guard Vinyl Powder Free, Disposable Gloves - Latex Free, Box of 100 Gloves, Clear (Medium)</t>
        </is>
      </c>
      <c r="E1440" s="2">
        <f>HYPERLINK("https://www.amazon.com/Guard-Vinyl-Powder-Disposable-Gloves/dp/B08WVFSMTQ/ref=sr_1_6?keywords=Bask+Clear+Vinyl+Disposable+Gloves%2C+100+Gloves&amp;qid=1695170549&amp;sr=8-6", "https://www.amazon.com/Guard-Vinyl-Powder-Disposable-Gloves/dp/B08WVFSMTQ/ref=sr_1_6?keywords=Bask+Clear+Vinyl+Disposable+Gloves%2C+100+Gloves&amp;qid=1695170549&amp;sr=8-6")</f>
        <v/>
      </c>
      <c r="F1440" t="inlineStr">
        <is>
          <t>B08WVFSMTQ</t>
        </is>
      </c>
      <c r="G1440">
        <f>_xludf.IMAGE("https://www.shelhealth.com/cdn/shop/products/bask-clear-vinyl-disposable-gloves-100-shelhealth-783.jpg?v=1663374232&amp;width=1946")</f>
        <v/>
      </c>
      <c r="H1440">
        <f>_xludf.IMAGE("https://m.media-amazon.com/images/I/612A8IXg+uL._AC_UL320_.jpg")</f>
        <v/>
      </c>
      <c r="K1440" t="inlineStr">
        <is>
          <t>21.99</t>
        </is>
      </c>
      <c r="L1440" t="n">
        <v>19.95</v>
      </c>
      <c r="M1440" s="1" t="inlineStr">
        <is>
          <t>-9.28%</t>
        </is>
      </c>
      <c r="N1440" s="3" t="n">
        <v>-9.279999999999999</v>
      </c>
      <c r="O1440" t="n">
        <v>3.8</v>
      </c>
      <c r="P1440" t="n">
        <v>45</v>
      </c>
      <c r="R1440" t="inlineStr">
        <is>
          <t>InStock</t>
        </is>
      </c>
      <c r="S1440" t="inlineStr">
        <is>
          <t>21.99</t>
        </is>
      </c>
      <c r="T1440" t="inlineStr">
        <is>
          <t>4713271525465</t>
        </is>
      </c>
    </row>
    <row r="1441" hidden="1" ht="15.75" customHeight="1">
      <c r="A1441" s="2">
        <f>HYPERLINK("https://www.shelhealth.com/products/scotch-brite-50-sticker-95-sheet-lint-roller-3-pk", "https://www.shelhealth.com/products/scotch-brite-50-sticker-95-sheet-lint-roller-3-pk")</f>
        <v/>
      </c>
      <c r="B1441" s="2">
        <f>HYPERLINK("https://www.shelhealth.com/products/scotch-brite-50-sticker-95-sheet-lint-roller-3-pk", "https://www.shelhealth.com/products/scotch-brite-50-sticker-95-sheet-lint-roller-3-pk")</f>
        <v/>
      </c>
      <c r="C1441" t="inlineStr">
        <is>
          <t>Scotch-Brite 50% Sticker 95-Sheet Lint Roller, 3 pk.</t>
        </is>
      </c>
      <c r="D1441" t="inlineStr">
        <is>
          <t>Scotch Brite 3M Lint Roller 50 % Sticker, 95 Sheets (Pack of 5), 475 Count</t>
        </is>
      </c>
      <c r="E1441" s="2">
        <f>HYPERLINK("https://www.amazon.com/Scotch-Brite-Lint-Roller-Stickier-Sheets/dp/B078RX2BM3/ref=sr_1_1?keywords=Scotch-Brite+50%25+Sticker+95-Sheet+Lint+Roller%2C+3+pk.&amp;qid=1695170568&amp;sr=8-1", "https://www.amazon.com/Scotch-Brite-Lint-Roller-Stickier-Sheets/dp/B078RX2BM3/ref=sr_1_1?keywords=Scotch-Brite+50%25+Sticker+95-Sheet+Lint+Roller%2C+3+pk.&amp;qid=1695170568&amp;sr=8-1")</f>
        <v/>
      </c>
      <c r="F1441" t="inlineStr">
        <is>
          <t>B078RX2BM3</t>
        </is>
      </c>
      <c r="G1441">
        <f>_xludf.IMAGE("https://www.shelhealth.com/cdn/shop/products/scotch-brite-50-sticker-95-sheet-lint-roller-3-pk-shelhealth-383.jpg?v=1663354603&amp;width=1946")</f>
        <v/>
      </c>
      <c r="H1441">
        <f>_xludf.IMAGE("https://m.media-amazon.com/images/I/714MEk9oIIL._AC_UL320_.jpg")</f>
        <v/>
      </c>
      <c r="K1441" t="inlineStr">
        <is>
          <t>20.99</t>
        </is>
      </c>
      <c r="L1441" t="n">
        <v>19.02</v>
      </c>
      <c r="M1441" s="1" t="inlineStr">
        <is>
          <t>-9.39%</t>
        </is>
      </c>
      <c r="N1441" s="3" t="n">
        <v>-9.390000000000001</v>
      </c>
      <c r="O1441" t="n">
        <v>4.6</v>
      </c>
      <c r="P1441" t="n">
        <v>1034</v>
      </c>
      <c r="R1441" t="inlineStr">
        <is>
          <t>InStock</t>
        </is>
      </c>
      <c r="S1441" t="inlineStr">
        <is>
          <t>20.99</t>
        </is>
      </c>
      <c r="T1441" t="inlineStr">
        <is>
          <t>4167667351604</t>
        </is>
      </c>
    </row>
    <row r="1442" hidden="1" ht="15.75" customHeight="1">
      <c r="A1442" s="2">
        <f>HYPERLINK("https://www.shelhealth.com/products/feit-electric-dimmable-led-br-30-flood-65w-soft-white-6-count", "https://www.shelhealth.com/products/feit-electric-dimmable-led-br-30-flood-65w-soft-white-6-count")</f>
        <v/>
      </c>
      <c r="B1442" s="2">
        <f>HYPERLINK("https://www.shelhealth.com/products/feit-electric-dimmable-led-br-30-flood-65w-soft-white-6-count", "https://www.shelhealth.com/products/feit-electric-dimmable-led-br-30-flood-65w-soft-white-6-count")</f>
        <v/>
      </c>
      <c r="C1442" t="inlineStr">
        <is>
          <t>Feit Electric Dimmable Led BR 30 Flood 65W Soft White, 6 Count</t>
        </is>
      </c>
      <c r="D1442" t="inlineStr">
        <is>
          <t>Feit Electric LED 5-Color Choice - BR30 65W Equivalent - 750 Lumen, 2700K Soft Whit, 3000K Bright White, 4000K Cool White, 5000K Daylight and 6500K Cool Daylight</t>
        </is>
      </c>
      <c r="E1442" s="2">
        <f>HYPERLINK("https://www.amazon.com/Feit-Electric-LED-5-Color-Choice/dp/B0CB1YCRH3/ref=sr_1_3?keywords=Feit+Electric+Dimmable+Led+BR+30+Flood+65W+Soft+White%2C+6+Count&amp;qid=1695170551&amp;sr=8-3", "https://www.amazon.com/Feit-Electric-LED-5-Color-Choice/dp/B0CB1YCRH3/ref=sr_1_3?keywords=Feit+Electric+Dimmable+Led+BR+30+Flood+65W+Soft+White%2C+6+Count&amp;qid=1695170551&amp;sr=8-3")</f>
        <v/>
      </c>
      <c r="F1442" t="inlineStr">
        <is>
          <t>B0CB1YCRH3</t>
        </is>
      </c>
      <c r="G1442">
        <f>_xludf.IMAGE("https://www.shelhealth.com/cdn/shop/products/feit-electric-dimmable-led-br-30-flood-65w-soft-white-6-count-shelhealth-424.jpg?v=1663357848&amp;width=1946")</f>
        <v/>
      </c>
      <c r="H1442">
        <f>_xludf.IMAGE("https://m.media-amazon.com/images/I/61G7KtCDqpL._AC_UL320_.jpg")</f>
        <v/>
      </c>
      <c r="K1442" t="inlineStr">
        <is>
          <t>21.99</t>
        </is>
      </c>
      <c r="L1442" t="n">
        <v>19.87</v>
      </c>
      <c r="M1442" s="1" t="inlineStr">
        <is>
          <t>-9.64%</t>
        </is>
      </c>
      <c r="N1442" s="3" t="n">
        <v>-9.640000000000001</v>
      </c>
      <c r="O1442" t="n">
        <v>4.3</v>
      </c>
      <c r="P1442" t="n">
        <v>3</v>
      </c>
      <c r="R1442" t="inlineStr">
        <is>
          <t>InStock</t>
        </is>
      </c>
      <c r="S1442" t="inlineStr">
        <is>
          <t>21.99</t>
        </is>
      </c>
      <c r="T1442" t="inlineStr">
        <is>
          <t>4268904579124</t>
        </is>
      </c>
    </row>
    <row r="1443" hidden="1" ht="15.75" customHeight="1">
      <c r="A1443" s="2">
        <f>HYPERLINK("https://www.shelhealth.com/products/scotch-brite-non-scratch-scrub-sponges-21-sponges-total", "https://www.shelhealth.com/products/scotch-brite-non-scratch-scrub-sponges-21-sponges-total")</f>
        <v/>
      </c>
      <c r="B1443" s="2">
        <f>HYPERLINK("https://www.shelhealth.com/products/scotch-brite-non-scratch-scrub-sponges-21-sponges-total", "https://www.shelhealth.com/products/scotch-brite-non-scratch-scrub-sponges-21-sponges-total")</f>
        <v/>
      </c>
      <c r="C1443" t="inlineStr">
        <is>
          <t>Scotch-Brite Non-Scratch Scrub Sponges, 21 Sponges Total</t>
        </is>
      </c>
      <c r="D1443" t="inlineStr">
        <is>
          <t>Scotch-Brite 21 Pack Non-Scratch Scrub Sponges</t>
        </is>
      </c>
      <c r="E1443" s="2">
        <f>HYPERLINK("https://www.amazon.com/Scotch-Brite-Pack-Non-Scratch-Scrub-Sponges/dp/B00SLIXCQC/ref=sr_1_1?keywords=Scotch-Brite+Non-Scratch+Scrub+Sponges%2C+21+Sponges+Total&amp;qid=1695170382&amp;sr=8-1", "https://www.amazon.com/Scotch-Brite-Pack-Non-Scratch-Scrub-Sponges/dp/B00SLIXCQC/ref=sr_1_1?keywords=Scotch-Brite+Non-Scratch+Scrub+Sponges%2C+21+Sponges+Total&amp;qid=1695170382&amp;sr=8-1")</f>
        <v/>
      </c>
      <c r="F1443" t="inlineStr">
        <is>
          <t>B00SLIXCQC</t>
        </is>
      </c>
      <c r="G1443">
        <f>_xludf.IMAGE("https://www.shelhealth.com/cdn/shop/products/scotch-brite-non-scratch-scrub-sponges-21-total-shelhealth-257.jpg?v=1663343405&amp;width=1946")</f>
        <v/>
      </c>
      <c r="H1443">
        <f>_xludf.IMAGE("https://m.media-amazon.com/images/I/71M+1KhKsDL._AC_UL320_.jpg")</f>
        <v/>
      </c>
      <c r="K1443" t="inlineStr">
        <is>
          <t>21.99</t>
        </is>
      </c>
      <c r="L1443" t="n">
        <v>19.86</v>
      </c>
      <c r="M1443" s="1" t="inlineStr">
        <is>
          <t>-9.69%</t>
        </is>
      </c>
      <c r="N1443" s="3" t="n">
        <v>-9.69</v>
      </c>
      <c r="O1443" t="n">
        <v>4.8</v>
      </c>
      <c r="P1443" t="n">
        <v>329</v>
      </c>
      <c r="R1443" t="inlineStr">
        <is>
          <t>InStock</t>
        </is>
      </c>
      <c r="S1443" t="inlineStr">
        <is>
          <t>21.99</t>
        </is>
      </c>
      <c r="T1443" t="inlineStr">
        <is>
          <t>3820350996532</t>
        </is>
      </c>
    </row>
    <row r="1444" hidden="1" ht="15.75" customHeight="1">
      <c r="A1444" s="2">
        <f>HYPERLINK("https://www.shelhealth.com/products/rubbermaid-brilliance-10-pc-food-storage-set", "https://www.shelhealth.com/products/rubbermaid-brilliance-10-pc-food-storage-set")</f>
        <v/>
      </c>
      <c r="B1444" s="2">
        <f>HYPERLINK("https://www.shelhealth.com/products/rubbermaid-brilliance-10-pc-food-storage-set", "https://www.shelhealth.com/products/rubbermaid-brilliance-10-pc-food-storage-set")</f>
        <v/>
      </c>
      <c r="C1444" t="inlineStr">
        <is>
          <t>Rubbermaid Brilliance 10-Pc. Food Storage Set</t>
        </is>
      </c>
      <c r="D1444" t="inlineStr">
        <is>
          <t>Rubbermaid Brilliance Leak-Proof Food Storage Containers with Airtight Lids, Set of 5 (10 Pieces Total) |BPA-Free &amp; Stain Resistant Plastic</t>
        </is>
      </c>
      <c r="E1444" s="2">
        <f>HYPERLINK("https://www.amazon.com/Rubbermaid-Brilliance-Container-10-Piece-1976520/dp/B01JCNEIC6/ref=sr_1_3?keywords=Rubbermaid+Brilliance+10-Pc.+Food+Storage+Set&amp;qid=1695170563&amp;sr=8-3", "https://www.amazon.com/Rubbermaid-Brilliance-Container-10-Piece-1976520/dp/B01JCNEIC6/ref=sr_1_3?keywords=Rubbermaid+Brilliance+10-Pc.+Food+Storage+Set&amp;qid=1695170563&amp;sr=8-3")</f>
        <v/>
      </c>
      <c r="F1444" t="inlineStr">
        <is>
          <t>B01JCNEIC6</t>
        </is>
      </c>
      <c r="G1444">
        <f>_xludf.IMAGE("https://www.shelhealth.com/cdn/shop/products/rubbermaid-brilliance-10-pc-food-storage-set-shelhealth-862.jpg?v=1663356522&amp;width=1946")</f>
        <v/>
      </c>
      <c r="H1444">
        <f>_xludf.IMAGE("https://m.media-amazon.com/images/I/81gk18eBWlL._AC_UL320_.jpg")</f>
        <v/>
      </c>
      <c r="K1444" t="inlineStr">
        <is>
          <t>26.99</t>
        </is>
      </c>
      <c r="L1444" t="n">
        <v>24.29</v>
      </c>
      <c r="M1444" s="1" t="inlineStr">
        <is>
          <t>-10.00%</t>
        </is>
      </c>
      <c r="N1444" s="3" t="n">
        <v>-10</v>
      </c>
      <c r="O1444" t="n">
        <v>4.8</v>
      </c>
      <c r="P1444" t="n">
        <v>22814</v>
      </c>
      <c r="R1444" t="inlineStr">
        <is>
          <t>OutOfStock</t>
        </is>
      </c>
      <c r="S1444" t="inlineStr">
        <is>
          <t>26.99</t>
        </is>
      </c>
      <c r="T1444" t="inlineStr">
        <is>
          <t>4178950684724</t>
        </is>
      </c>
    </row>
    <row r="1445" hidden="1" ht="15.75" customHeight="1">
      <c r="A1445" s="2">
        <f>HYPERLINK("https://www.shelhealth.com/products/duracell-coppertop-aa-batteries-28-ct", "https://www.shelhealth.com/products/duracell-coppertop-aa-batteries-28-ct")</f>
        <v/>
      </c>
      <c r="B1445" s="2">
        <f>HYPERLINK("https://www.shelhealth.com/products/duracell-coppertop-aa-batteries-28-ct", "https://www.shelhealth.com/products/duracell-coppertop-aa-batteries-28-ct")</f>
        <v/>
      </c>
      <c r="C1445" t="inlineStr">
        <is>
          <t>Duracell CopperTop AA Batteries, 28 ct.</t>
        </is>
      </c>
      <c r="D1445" t="inlineStr">
        <is>
          <t>Duracell Optimum AA Batteries, 28 Count + Coppertop AA 16 Count Pack Double A Alkaline Battery Combo Pack - 44 Count Total</t>
        </is>
      </c>
      <c r="E1445" s="2">
        <f>HYPERLINK("https://www.amazon.com/Duracell-Optimum-Batteries-Coppertop-Alkaline/dp/B0BGXCXS64/ref=sr_1_4?keywords=Duracell+CopperTop+AA+Batteries%2C+28+ct.&amp;qid=1695170436&amp;sr=8-4", "https://www.amazon.com/Duracell-Optimum-Batteries-Coppertop-Alkaline/dp/B0BGXCXS64/ref=sr_1_4?keywords=Duracell+CopperTop+AA+Batteries%2C+28+ct.&amp;qid=1695170436&amp;sr=8-4")</f>
        <v/>
      </c>
      <c r="F1445" t="inlineStr">
        <is>
          <t>B0BGXCXS64</t>
        </is>
      </c>
      <c r="G1445">
        <f>_xludf.IMAGE("https://www.shelhealth.com/cdn/shop/files/duracell-coppertop-aa-batteries-28-ct-emergency-preparednessbatteries-shelhealth-165.jpg?v=1686284024&amp;width=1946")</f>
        <v/>
      </c>
      <c r="H1445">
        <f>_xludf.IMAGE("https://m.media-amazon.com/images/I/71+3Txk0EIL._AC_UL320_.jpg")</f>
        <v/>
      </c>
      <c r="K1445" t="inlineStr">
        <is>
          <t>40.99</t>
        </is>
      </c>
      <c r="L1445" t="n">
        <v>36.84</v>
      </c>
      <c r="M1445" s="1" t="inlineStr">
        <is>
          <t>-10.12%</t>
        </is>
      </c>
      <c r="N1445" s="3" t="n">
        <v>-10.12</v>
      </c>
      <c r="O1445" t="n">
        <v>4.7</v>
      </c>
      <c r="P1445" t="n">
        <v>40</v>
      </c>
      <c r="R1445" t="inlineStr">
        <is>
          <t>InStock</t>
        </is>
      </c>
      <c r="S1445" t="inlineStr">
        <is>
          <t>40.99</t>
        </is>
      </c>
      <c r="T1445" t="inlineStr">
        <is>
          <t>4169769812020</t>
        </is>
      </c>
    </row>
    <row r="1446" hidden="1" ht="15.75" customHeight="1">
      <c r="A1446" s="2">
        <f>HYPERLINK("https://www.shelhealth.com/products/lysol-disinfectant-spray-4-ct-19-oz", "https://www.shelhealth.com/products/lysol-disinfectant-spray-4-ct-19-oz")</f>
        <v/>
      </c>
      <c r="B1446" s="2">
        <f>HYPERLINK("https://www.shelhealth.com/products/lysol-disinfectant-spray-4-ct-19-oz", "https://www.shelhealth.com/products/lysol-disinfectant-spray-4-ct-19-oz")</f>
        <v/>
      </c>
      <c r="C1446" t="inlineStr">
        <is>
          <t>Lysol Disinfectant Spray, 4 ct./19 oz.</t>
        </is>
      </c>
      <c r="D1446" t="inlineStr">
        <is>
          <t>Lysol Disinfectant Spray Bundle, Sanitizing And Antibacterial Spray, For Disinfecting And Deodorizing, contains x2 Lemon and Early Morning Breeze, 19 Fl Oz, Packaging May Vary</t>
        </is>
      </c>
      <c r="E1446" s="2">
        <f>HYPERLINK("https://www.amazon.com/Lysol-2x19oz-Morning-Breeze-Disinfectant/dp/B09YSV1BQQ/ref=sr_1_8?keywords=Lysol+Disinfectant+Spray%2C+4+ct.%2F19+oz.&amp;qid=1695170396&amp;sr=8-8", "https://www.amazon.com/Lysol-2x19oz-Morning-Breeze-Disinfectant/dp/B09YSV1BQQ/ref=sr_1_8?keywords=Lysol+Disinfectant+Spray%2C+4+ct.%2F19+oz.&amp;qid=1695170396&amp;sr=8-8")</f>
        <v/>
      </c>
      <c r="F1446" t="inlineStr">
        <is>
          <t>B09YSV1BQQ</t>
        </is>
      </c>
      <c r="G1446">
        <f>_xludf.IMAGE("https://www.shelhealth.com/cdn/shop/products/lysol-disinfectant-spray-4-ct-19-oz-shelhealth-997.jpg?v=1663355321&amp;width=1946")</f>
        <v/>
      </c>
      <c r="H1446">
        <f>_xludf.IMAGE("https://m.media-amazon.com/images/I/81TkZA7UEVL._AC_UL320_.jpg")</f>
        <v/>
      </c>
      <c r="K1446" t="inlineStr">
        <is>
          <t>29.99</t>
        </is>
      </c>
      <c r="L1446" t="n">
        <v>26.94</v>
      </c>
      <c r="M1446" s="1" t="inlineStr">
        <is>
          <t>-10.17%</t>
        </is>
      </c>
      <c r="N1446" s="3" t="n">
        <v>-10.17</v>
      </c>
      <c r="O1446" t="n">
        <v>4.9</v>
      </c>
      <c r="P1446" t="n">
        <v>539</v>
      </c>
      <c r="R1446" t="inlineStr">
        <is>
          <t>OutOfStock</t>
        </is>
      </c>
      <c r="S1446" t="inlineStr">
        <is>
          <t>29.99</t>
        </is>
      </c>
      <c r="T1446" t="inlineStr">
        <is>
          <t>4169806643252</t>
        </is>
      </c>
    </row>
    <row r="1447" hidden="1" ht="15.75" customHeight="1">
      <c r="A1447" s="2">
        <f>HYPERLINK("https://www.shelhealth.com/products/downy-infusions-lavender-serenity-in-wash-scent-booster-beads-30-3-oz", "https://www.shelhealth.com/products/downy-infusions-lavender-serenity-in-wash-scent-booster-beads-30-3-oz")</f>
        <v/>
      </c>
      <c r="B1447" s="2">
        <f>HYPERLINK("https://www.shelhealth.com/products/downy-infusions-lavender-serenity-in-wash-scent-booster-beads-30-3-oz", "https://www.shelhealth.com/products/downy-infusions-lavender-serenity-in-wash-scent-booster-beads-30-3-oz")</f>
        <v/>
      </c>
      <c r="C1447" t="inlineStr">
        <is>
          <t>Downy Infusions Lavender Serenity In-Wash Scent Booster Beads, 30.3 oz.</t>
        </is>
      </c>
      <c r="D1447" t="inlineStr">
        <is>
          <t>Downy Infusions In-Wash Scent Booster Beads, Lavender Serenity, 31 Loads, 14.8 Ounce (Pack of 2)</t>
        </is>
      </c>
      <c r="E1447" s="2">
        <f>HYPERLINK("https://www.amazon.com/Downy-Infusions-Booster-Lavender-Serenity/dp/B09LKM4JG4/ref=sr_1_1?keywords=Downy+Infusions+Lavender+Serenity+In-Wash+Scent+Booster+Beads%2C+30.3+oz.&amp;qid=1695170420&amp;sr=8-1", "https://www.amazon.com/Downy-Infusions-Booster-Lavender-Serenity/dp/B09LKM4JG4/ref=sr_1_1?keywords=Downy+Infusions+Lavender+Serenity+In-Wash+Scent+Booster+Beads%2C+30.3+oz.&amp;qid=1695170420&amp;sr=8-1")</f>
        <v/>
      </c>
      <c r="F1447" t="inlineStr">
        <is>
          <t>B09LKM4JG4</t>
        </is>
      </c>
      <c r="G1447">
        <f>_xludf.IMAGE("https://www.shelhealth.com/cdn/shop/products/downy-infusions-lavender-serenity-in-wash-scent-booster-beads-30-3-oz-shelhealth-716.jpg?v=1663356594&amp;width=1946")</f>
        <v/>
      </c>
      <c r="H1447">
        <f>_xludf.IMAGE("https://m.media-amazon.com/images/I/31EyC1VfoJL._AC_UL320_.jpg")</f>
        <v/>
      </c>
      <c r="K1447" t="inlineStr">
        <is>
          <t>22.99</t>
        </is>
      </c>
      <c r="L1447" t="n">
        <v>20.65</v>
      </c>
      <c r="M1447" s="1" t="inlineStr">
        <is>
          <t>-10.18%</t>
        </is>
      </c>
      <c r="N1447" s="3" t="n">
        <v>-10.18</v>
      </c>
      <c r="O1447" t="n">
        <v>4.8</v>
      </c>
      <c r="P1447" t="n">
        <v>75</v>
      </c>
      <c r="R1447" t="inlineStr">
        <is>
          <t>InStock</t>
        </is>
      </c>
      <c r="S1447" t="inlineStr">
        <is>
          <t>22.99</t>
        </is>
      </c>
      <c r="T1447" t="inlineStr">
        <is>
          <t>4179003375668</t>
        </is>
      </c>
    </row>
    <row r="1448" hidden="1" ht="15.75" customHeight="1">
      <c r="A1448" s="2">
        <f>HYPERLINK("https://www.shelhealth.com/products/downy-infusions-lavender-fabric-softener-170-loads", "https://www.shelhealth.com/products/downy-infusions-lavender-fabric-softener-170-loads")</f>
        <v/>
      </c>
      <c r="B1448" s="2">
        <f>HYPERLINK("https://www.shelhealth.com/products/downy-infusions-lavender-fabric-softener-170-loads", "https://www.shelhealth.com/products/downy-infusions-lavender-fabric-softener-170-loads")</f>
        <v/>
      </c>
      <c r="C1448" t="inlineStr">
        <is>
          <t>Downy Infusions Lavender Fabric Softener, 170 Loads</t>
        </is>
      </c>
      <c r="D1448" t="inlineStr">
        <is>
          <t>Downy Ultra Infusions Botanical Mist Liquid Fabric Softener 115 Fl. Oz 170 Loads</t>
        </is>
      </c>
      <c r="E1448" s="2">
        <f>HYPERLINK("https://www.amazon.com/Downy-Infusions-Botanical-Liquid-Softener/dp/B07TN1N5W9/ref=sr_1_3?keywords=Downy+Infusions+Lavender+Fabric+Softener%2C+170+Loads&amp;qid=1695170393&amp;sr=8-3", "https://www.amazon.com/Downy-Infusions-Botanical-Liquid-Softener/dp/B07TN1N5W9/ref=sr_1_3?keywords=Downy+Infusions+Lavender+Fabric+Softener%2C+170+Loads&amp;qid=1695170393&amp;sr=8-3")</f>
        <v/>
      </c>
      <c r="F1448" t="inlineStr">
        <is>
          <t>B07TN1N5W9</t>
        </is>
      </c>
      <c r="G1448">
        <f>_xludf.IMAGE("https://www.shelhealth.com/cdn/shop/products/downy-infusions-lavender-fabric-softener-170-loads-shelhealth-832.jpg?v=1663357311&amp;width=1946")</f>
        <v/>
      </c>
      <c r="H1448">
        <f>_xludf.IMAGE("https://m.media-amazon.com/images/I/61QD6Sma56L._AC_UL320_.jpg")</f>
        <v/>
      </c>
      <c r="K1448" t="inlineStr">
        <is>
          <t>38.99</t>
        </is>
      </c>
      <c r="L1448" t="n">
        <v>35.01</v>
      </c>
      <c r="M1448" s="1" t="inlineStr">
        <is>
          <t>-10.21%</t>
        </is>
      </c>
      <c r="N1448" s="3" t="n">
        <v>-10.21</v>
      </c>
      <c r="O1448" t="n">
        <v>4.6</v>
      </c>
      <c r="P1448" t="n">
        <v>709</v>
      </c>
      <c r="R1448" t="inlineStr">
        <is>
          <t>InStock</t>
        </is>
      </c>
      <c r="S1448" t="inlineStr">
        <is>
          <t>38.99</t>
        </is>
      </c>
      <c r="T1448" t="inlineStr">
        <is>
          <t>4181127266356</t>
        </is>
      </c>
    </row>
    <row r="1449" hidden="1" ht="15.75" customHeight="1">
      <c r="A1449" s="2">
        <f>HYPERLINK("https://www.shelhealth.com/products/berkley-jensen-45-gal-1ml-outdoor-lawn-and-leaf-bags-100-ct", "https://www.shelhealth.com/products/berkley-jensen-45-gal-1ml-outdoor-lawn-and-leaf-bags-100-ct")</f>
        <v/>
      </c>
      <c r="B1449" s="2">
        <f>HYPERLINK("https://www.shelhealth.com/products/berkley-jensen-45-gal-1ml-outdoor-lawn-and-leaf-bags-100-ct", "https://www.shelhealth.com/products/berkley-jensen-45-gal-1ml-outdoor-lawn-and-leaf-bags-100-ct")</f>
        <v/>
      </c>
      <c r="C1449" t="inlineStr">
        <is>
          <t>Berkley Jensen 45-Gal. 1mL Outdoor Lawn and Leaf Bags, 100 ct.</t>
        </is>
      </c>
      <c r="D1449" t="inlineStr">
        <is>
          <t>Berkley Jensen 1mil Outdoor Lawn &amp; Leaf Bags, 45-gal., 100 ct.</t>
        </is>
      </c>
      <c r="E1449" s="2">
        <f>HYPERLINK("https://www.amazon.com/Berkley-Jensen-1mil-Outdoor-45-gal/dp/B06XBDYKKD/ref=sr_1_2?keywords=Berkley+Jensen+45-Gal.+1mL+Outdoor+Lawn+and+Leaf+Bags%2C+100+ct.&amp;qid=1695170573&amp;sr=8-2", "https://www.amazon.com/Berkley-Jensen-1mil-Outdoor-45-gal/dp/B06XBDYKKD/ref=sr_1_2?keywords=Berkley+Jensen+45-Gal.+1mL+Outdoor+Lawn+and+Leaf+Bags%2C+100+ct.&amp;qid=1695170573&amp;sr=8-2")</f>
        <v/>
      </c>
      <c r="F1449" t="inlineStr">
        <is>
          <t>B06XBDYKKD</t>
        </is>
      </c>
      <c r="G1449">
        <f>_xludf.IMAGE("https://www.shelhealth.com/cdn/shop/products/berkley-jensen-45-gal-1ml-outdoor-lawn-and-leaf-bags-100-ct-shelhealth-278.jpg?v=1663354882&amp;width=1946")</f>
        <v/>
      </c>
      <c r="H1449">
        <f>_xludf.IMAGE("https://m.media-amazon.com/images/I/51RXw1-VFmL._AC_UL320_.jpg")</f>
        <v/>
      </c>
      <c r="K1449" t="inlineStr">
        <is>
          <t>48.99</t>
        </is>
      </c>
      <c r="L1449" t="n">
        <v>43.95</v>
      </c>
      <c r="M1449" s="1" t="inlineStr">
        <is>
          <t>-10.29%</t>
        </is>
      </c>
      <c r="N1449" s="3" t="n">
        <v>-10.29</v>
      </c>
      <c r="O1449" t="n">
        <v>5</v>
      </c>
      <c r="P1449" t="n">
        <v>8</v>
      </c>
      <c r="R1449" t="inlineStr">
        <is>
          <t>InStock</t>
        </is>
      </c>
      <c r="S1449" t="inlineStr">
        <is>
          <t>48.99</t>
        </is>
      </c>
      <c r="T1449" t="inlineStr">
        <is>
          <t>4169500852276</t>
        </is>
      </c>
    </row>
    <row r="1450" hidden="1" ht="15.75" customHeight="1">
      <c r="A1450" s="2">
        <f>HYPERLINK("https://www.shelhealth.com/products/carbona-oxy-powered-2-in-1-carpet-cleaner-27-5-ounces-pack-of-2", "https://www.shelhealth.com/products/carbona-oxy-powered-2-in-1-carpet-cleaner-27-5-ounces-pack-of-2")</f>
        <v/>
      </c>
      <c r="B1450" s="2">
        <f>HYPERLINK("https://www.shelhealth.com/products/carbona-oxy-powered-2-in-1-carpet-cleaner-27-5-ounces-pack-of-2", "https://www.shelhealth.com/products/carbona-oxy-powered-2-in-1-carpet-cleaner-27-5-ounces-pack-of-2")</f>
        <v/>
      </c>
      <c r="C1450" t="inlineStr">
        <is>
          <t>Carbona Oxy-Powered 2-in-1 Carpet Cleaner, 27.5 Ounces - Pack of 2</t>
        </is>
      </c>
      <c r="D1450" t="inlineStr">
        <is>
          <t>Bissell Professional Power Shot Oxy Carpet Spot, 14 Ounces, 95C9L Stain Remover, 14 Fl Oz (Pack of 2), None, 28</t>
        </is>
      </c>
      <c r="E1450" s="2">
        <f>HYPERLINK("https://www.amazon.com/Bissell-Professional-Carpet-95C9L-Remover/dp/B0829KMTBF/ref=sr_1_6?keywords=Carbona+Oxy-Powered+2-in-1+Carpet+Cleaner%2C+27.5+Ounces+-+Pack+of+2&amp;qid=1695170545&amp;sr=8-6", "https://www.amazon.com/Bissell-Professional-Carpet-95C9L-Remover/dp/B0829KMTBF/ref=sr_1_6?keywords=Carbona+Oxy-Powered+2-in-1+Carpet+Cleaner%2C+27.5+Ounces+-+Pack+of+2&amp;qid=1695170545&amp;sr=8-6")</f>
        <v/>
      </c>
      <c r="F1450" t="inlineStr">
        <is>
          <t>B0829KMTBF</t>
        </is>
      </c>
      <c r="G1450">
        <f>_xludf.IMAGE("https://www.shelhealth.com/cdn/shop/products/carbona-oxy-powered-2-in-1-carpet-cleaner-27-5-ounces-pack-of-shelhealth-484.jpg?v=1663370063&amp;width=1946")</f>
        <v/>
      </c>
      <c r="H1450">
        <f>_xludf.IMAGE("https://m.media-amazon.com/images/I/71Vz3akkZ8L._AC_UL320_.jpg")</f>
        <v/>
      </c>
      <c r="K1450" t="inlineStr">
        <is>
          <t>17.99</t>
        </is>
      </c>
      <c r="L1450" t="n">
        <v>15.94</v>
      </c>
      <c r="M1450" s="1" t="inlineStr">
        <is>
          <t>-11.40%</t>
        </is>
      </c>
      <c r="N1450" s="3" t="n">
        <v>-11.4</v>
      </c>
      <c r="O1450" t="n">
        <v>4.6</v>
      </c>
      <c r="P1450" t="n">
        <v>2688</v>
      </c>
      <c r="R1450" t="inlineStr">
        <is>
          <t>InStock</t>
        </is>
      </c>
      <c r="S1450" t="inlineStr">
        <is>
          <t>17.99</t>
        </is>
      </c>
      <c r="T1450" t="inlineStr">
        <is>
          <t>4658732925017</t>
        </is>
      </c>
    </row>
    <row r="1451" hidden="1" ht="15.75" customHeight="1">
      <c r="A1451" s="2">
        <f>HYPERLINK("https://www.shelhealth.com/products/mavea-10-cup-water-filter-pitcher", "https://www.shelhealth.com/products/mavea-10-cup-water-filter-pitcher")</f>
        <v/>
      </c>
      <c r="B1451" s="2">
        <f>HYPERLINK("https://www.shelhealth.com/products/mavea-10-cup-water-filter-pitcher", "https://www.shelhealth.com/products/mavea-10-cup-water-filter-pitcher")</f>
        <v/>
      </c>
      <c r="C1451" t="inlineStr">
        <is>
          <t>Mavea 10-Cup Water Filter Pitcher</t>
        </is>
      </c>
      <c r="D1451" t="inlineStr">
        <is>
          <t>Waterdrop 200-Gallon Long-Life Lucid 10-Cup Water Filter Pitcher, NSF Certified, 5X Times Lifetime, Reduces PFAS, PFOA/PFOS, Chlorine, BPA Free, Classic Blue</t>
        </is>
      </c>
      <c r="E1451" s="2">
        <f>HYPERLINK("https://www.amazon.com/Waterdrop-Certified-Long-Lasting-Lifetime-Filtration/dp/B0891QZ9PT/ref=sr_1_2?keywords=Mavea+10-Cup+Water+Filter+Pitcher&amp;qid=1695170405&amp;sr=8-2", "https://www.amazon.com/Waterdrop-Certified-Long-Lasting-Lifetime-Filtration/dp/B0891QZ9PT/ref=sr_1_2?keywords=Mavea+10-Cup+Water+Filter+Pitcher&amp;qid=1695170405&amp;sr=8-2")</f>
        <v/>
      </c>
      <c r="F1451" t="inlineStr">
        <is>
          <t>B0891QZ9PT</t>
        </is>
      </c>
      <c r="G1451">
        <f>_xludf.IMAGE("https://www.shelhealth.com/cdn/shop/products/mavea-10-cup-water-filter-pitcher-shelhealth-109.jpg?v=1663344360&amp;width=1946")</f>
        <v/>
      </c>
      <c r="H1451">
        <f>_xludf.IMAGE("https://m.media-amazon.com/images/I/71qkb1owrRL._AC_UL320_.jpg")</f>
        <v/>
      </c>
      <c r="K1451" t="inlineStr">
        <is>
          <t>23.99</t>
        </is>
      </c>
      <c r="L1451" t="n">
        <v>21.24</v>
      </c>
      <c r="M1451" s="1" t="inlineStr">
        <is>
          <t>-11.46%</t>
        </is>
      </c>
      <c r="N1451" s="3" t="n">
        <v>-11.46</v>
      </c>
      <c r="O1451" t="n">
        <v>4.6</v>
      </c>
      <c r="P1451" t="n">
        <v>8146</v>
      </c>
      <c r="R1451" t="inlineStr">
        <is>
          <t>OutOfStock</t>
        </is>
      </c>
      <c r="S1451" t="inlineStr">
        <is>
          <t>23.99</t>
        </is>
      </c>
      <c r="T1451" t="inlineStr">
        <is>
          <t>3824977379380</t>
        </is>
      </c>
    </row>
    <row r="1452" hidden="1" ht="15.75" customHeight="1">
      <c r="A1452" s="2">
        <f>HYPERLINK("https://www.shelhealth.com/products/808124700628-mrs-meyers-clean-day-lavender-room-freshener-8-oz", "https://www.shelhealth.com/products/808124700628-mrs-meyers-clean-day-lavender-room-freshener-8-oz")</f>
        <v/>
      </c>
      <c r="B1452" s="2">
        <f>HYPERLINK("https://www.shelhealth.com/products/808124700628-mrs-meyers-clean-day-lavender-room-freshener-8-oz", "https://www.shelhealth.com/products/808124700628-mrs-meyers-clean-day-lavender-room-freshener-8-oz")</f>
        <v/>
      </c>
      <c r="C1452" t="inlineStr">
        <is>
          <t>Mrs Meyers Clean Day Lavender Room Freshener, 8 Oz (Case of 3)</t>
        </is>
      </c>
      <c r="D1452" t="inlineStr">
        <is>
          <t>Mrs. Meyers Clean Day Room Freshener, Geranium, 8 Fluid Ounce, 6 per case. 8 Fl Oz. (Pack of 3)</t>
        </is>
      </c>
      <c r="E1452" s="2">
        <f>HYPERLINK("https://www.amazon.com/Meyers-Clean-Freshener-Bottle-Geranium/dp/B0BS499BLF/ref=sr_1_5?keywords=Mrs+Meyers+Clean+Day+Lavender+Room+Freshener%2C+8+Oz+%28Case+of+3%29&amp;qid=1695170441&amp;sr=8-5", "https://www.amazon.com/Meyers-Clean-Freshener-Bottle-Geranium/dp/B0BS499BLF/ref=sr_1_5?keywords=Mrs+Meyers+Clean+Day+Lavender+Room+Freshener%2C+8+Oz+%28Case+of+3%29&amp;qid=1695170441&amp;sr=8-5")</f>
        <v/>
      </c>
      <c r="F1452" t="inlineStr">
        <is>
          <t>B0BS499BLF</t>
        </is>
      </c>
      <c r="G1452">
        <f>_xludf.IMAGE("https://www.shelhealth.com/cdn/shop/files/mrs-meyers-clean-day-lavender-room-freshener-8-oz-case-of-3-home-products-shelhealth-896.jpg?v=1686486315&amp;width=1946")</f>
        <v/>
      </c>
      <c r="H1452">
        <f>_xludf.IMAGE("https://m.media-amazon.com/images/I/61tXIZXlPbL._AC_UL320_.jpg")</f>
        <v/>
      </c>
      <c r="K1452" t="inlineStr">
        <is>
          <t>24.99</t>
        </is>
      </c>
      <c r="L1452" t="n">
        <v>22.12</v>
      </c>
      <c r="M1452" s="1" t="inlineStr">
        <is>
          <t>-11.48%</t>
        </is>
      </c>
      <c r="N1452" s="3" t="n">
        <v>-11.48</v>
      </c>
      <c r="O1452" t="n">
        <v>4.9</v>
      </c>
      <c r="P1452" t="n">
        <v>12</v>
      </c>
      <c r="R1452" t="inlineStr">
        <is>
          <t>InStock</t>
        </is>
      </c>
      <c r="S1452" t="inlineStr">
        <is>
          <t>24.99</t>
        </is>
      </c>
      <c r="T1452" t="inlineStr">
        <is>
          <t>7241833021628</t>
        </is>
      </c>
    </row>
    <row r="1453" hidden="1" ht="15.75" customHeight="1">
      <c r="A1453" s="2">
        <f>HYPERLINK("https://www.shelhealth.com/products/kirkland-signature-ultra-clean-laundry-detergent-152-pack", "https://www.shelhealth.com/products/kirkland-signature-ultra-clean-laundry-detergent-152-pack")</f>
        <v/>
      </c>
      <c r="B1453" s="2">
        <f>HYPERLINK("https://www.shelhealth.com/products/kirkland-signature-ultra-clean-laundry-detergent-152-pack", "https://www.shelhealth.com/products/kirkland-signature-ultra-clean-laundry-detergent-152-pack")</f>
        <v/>
      </c>
      <c r="C1453" t="inlineStr">
        <is>
          <t>Kirkland Signature Ultra Clean Laundry Detergent (152 Pack)</t>
        </is>
      </c>
      <c r="D1453" t="inlineStr">
        <is>
          <t>Kirkland Signature Ultra Clean Laundry Detergent, 120 Pacs</t>
        </is>
      </c>
      <c r="E1453" s="2">
        <f>HYPERLINK("https://www.amazon.com/Kirkland-Signature-Ultra-Laundry-Detergent/dp/B016NWS2IK/ref=sr_1_4?keywords=Kirkland+Signature+Ultra+Clean+Laundry+Detergent+%28152+Pack%29&amp;qid=1695170431&amp;sr=8-4", "https://www.amazon.com/Kirkland-Signature-Ultra-Laundry-Detergent/dp/B016NWS2IK/ref=sr_1_4?keywords=Kirkland+Signature+Ultra+Clean+Laundry+Detergent+%28152+Pack%29&amp;qid=1695170431&amp;sr=8-4")</f>
        <v/>
      </c>
      <c r="F1453" t="inlineStr">
        <is>
          <t>B016NWS2IK</t>
        </is>
      </c>
      <c r="G1453">
        <f>_xludf.IMAGE("https://www.shelhealth.com/cdn/shop/products/kirkland-signature-ultra-clean-laundry-detergent-152-pack-shelhealth-652.jpg?v=1663343130&amp;width=1946")</f>
        <v/>
      </c>
      <c r="H1453">
        <f>_xludf.IMAGE("https://m.media-amazon.com/images/I/71-X1YFEWyL._AC_UL320_.jpg")</f>
        <v/>
      </c>
      <c r="K1453" t="inlineStr">
        <is>
          <t>43.99</t>
        </is>
      </c>
      <c r="L1453" t="n">
        <v>38.9</v>
      </c>
      <c r="M1453" s="1" t="inlineStr">
        <is>
          <t>-11.57%</t>
        </is>
      </c>
      <c r="N1453" s="3" t="n">
        <v>-11.57</v>
      </c>
      <c r="O1453" t="n">
        <v>4.6</v>
      </c>
      <c r="P1453" t="n">
        <v>402</v>
      </c>
      <c r="R1453" t="inlineStr">
        <is>
          <t>InStock</t>
        </is>
      </c>
      <c r="S1453" t="inlineStr">
        <is>
          <t>43.99</t>
        </is>
      </c>
      <c r="T1453" t="inlineStr">
        <is>
          <t>3819438309428</t>
        </is>
      </c>
    </row>
    <row r="1454" hidden="1" ht="15.75" customHeight="1">
      <c r="A1454" s="2">
        <f>HYPERLINK("https://www.shelhealth.com/products/895454002041-better-life-what-ever-natural-all-purpose-cleaner-clary-sage-citrus-32-oz", "https://www.shelhealth.com/products/895454002041-better-life-what-ever-natural-all-purpose-cleaner-clary-sage-citrus-32-oz")</f>
        <v/>
      </c>
      <c r="B1454" s="2">
        <f>HYPERLINK("https://www.shelhealth.com/products/895454002041-better-life-what-ever-natural-all-purpose-cleaner-clary-sage-citrus-32-oz", "https://www.shelhealth.com/products/895454002041-better-life-what-ever-natural-all-purpose-cleaner-clary-sage-citrus-32-oz")</f>
        <v/>
      </c>
      <c r="C1454" t="inlineStr">
        <is>
          <t>Better Life What-Ever! Natural All-Purpose Cleaner Clary Sage &amp; Citrus, 32 Oz (Case of 3)</t>
        </is>
      </c>
      <c r="D1454" t="inlineStr">
        <is>
          <t>Better Life Natural All-Purpose Cleaner, Safe Around Kids &amp; Pets, Clary Sage &amp; Citrus, 32 Fl Oz (Pack of 2), 2409N</t>
        </is>
      </c>
      <c r="E1454" s="2">
        <f>HYPERLINK("https://www.amazon.com/Better-Life-Natural-All-Purpose-Cleaner/dp/B0BW38QY54/ref=sr_1_7?keywords=Better+Life+What-Ever%21+Natural+All-Purpose+Cleaner+Clary+Sage&amp;qid=1695170478&amp;sr=8-7", "https://www.amazon.com/Better-Life-Natural-All-Purpose-Cleaner/dp/B0BW38QY54/ref=sr_1_7?keywords=Better+Life+What-Ever%21+Natural+All-Purpose+Cleaner+Clary+Sage&amp;qid=1695170478&amp;sr=8-7")</f>
        <v/>
      </c>
      <c r="F1454" t="inlineStr">
        <is>
          <t>B0BW38QY54</t>
        </is>
      </c>
      <c r="G1454">
        <f>_xludf.IMAGE("https://www.shelhealth.com/cdn/shop/files/better-life-what-ever-natural-all-purpose-cleaner-clary-sage-citrus-32-oz-case-of-3-home-products-shelhealth-926.jpg?v=1686522786&amp;width=1946")</f>
        <v/>
      </c>
      <c r="H1454">
        <f>_xludf.IMAGE("https://m.media-amazon.com/images/I/51x0nQJsWFL._AC_UL320_.jpg")</f>
        <v/>
      </c>
      <c r="K1454" t="inlineStr">
        <is>
          <t>24.99</t>
        </is>
      </c>
      <c r="L1454" t="n">
        <v>22.08</v>
      </c>
      <c r="M1454" s="1" t="inlineStr">
        <is>
          <t>-11.64%</t>
        </is>
      </c>
      <c r="N1454" s="3" t="n">
        <v>-11.64</v>
      </c>
      <c r="O1454" t="n">
        <v>4.6</v>
      </c>
      <c r="P1454" t="n">
        <v>3602</v>
      </c>
      <c r="R1454" t="inlineStr">
        <is>
          <t>InStock</t>
        </is>
      </c>
      <c r="S1454" t="inlineStr">
        <is>
          <t>24.99</t>
        </is>
      </c>
      <c r="T1454" t="inlineStr">
        <is>
          <t>7241505865916</t>
        </is>
      </c>
    </row>
    <row r="1455" hidden="1" ht="15.75" customHeight="1">
      <c r="A1455" s="2">
        <f>HYPERLINK("https://www.shelhealth.com/products/berkley-jensen-42-gal-3mil-heavy-duty-contractor-and-industrial-use-bags-32-ct", "https://www.shelhealth.com/products/berkley-jensen-42-gal-3mil-heavy-duty-contractor-and-industrial-use-bags-32-ct")</f>
        <v/>
      </c>
      <c r="B1455" s="2">
        <f>HYPERLINK("https://www.shelhealth.com/products/berkley-jensen-42-gal-3mil-heavy-duty-contractor-and-industrial-use-bags-32-ct", "https://www.shelhealth.com/products/berkley-jensen-42-gal-3mil-heavy-duty-contractor-and-industrial-use-bags-32-ct")</f>
        <v/>
      </c>
      <c r="C1455" t="inlineStr">
        <is>
          <t>Berkley Jensen 42-Gal. 3mil Heavy Duty Contractor and Industrial Use Bags, 32 ct.</t>
        </is>
      </c>
      <c r="D1455" t="inlineStr">
        <is>
          <t>Ultrasac Heavy Duty Contractor Bags (VALUE 50 PACK/w TIES), 42 Gallon, 32.75" X 47" - 3 MIL Thick Large Black Industrial Garbage Trashbags for Construction and Commercial use</t>
        </is>
      </c>
      <c r="E1455" s="2">
        <f>HYPERLINK("https://www.amazon.com/Heavy-Duty-Contractor-Bags-Ultrasac/dp/B00DH4IQSE/ref=sr_1_5?keywords=Berkley+Jensen+42-Gal.+3mil+Heavy+Duty+Contractor+and+Industrial+Use+Bags%2C+32+ct.&amp;qid=1695170565&amp;sr=8-5", "https://www.amazon.com/Heavy-Duty-Contractor-Bags-Ultrasac/dp/B00DH4IQSE/ref=sr_1_5?keywords=Berkley+Jensen+42-Gal.+3mil+Heavy+Duty+Contractor+and+Industrial+Use+Bags%2C+32+ct.&amp;qid=1695170565&amp;sr=8-5")</f>
        <v/>
      </c>
      <c r="F1455" t="inlineStr">
        <is>
          <t>B00DH4IQSE</t>
        </is>
      </c>
      <c r="G1455">
        <f>_xludf.IMAGE("https://www.shelhealth.com/cdn/shop/products/berkley-jensen-42-gal-3mil-heavy-duty-contractor-and-industrial-use-bags-32-ct-shelhealth-684.jpg?v=1663354867&amp;width=1946")</f>
        <v/>
      </c>
      <c r="H1455">
        <f>_xludf.IMAGE("https://m.media-amazon.com/images/I/61UNDkK54bL._AC_UL320_.jpg")</f>
        <v/>
      </c>
      <c r="K1455" t="inlineStr">
        <is>
          <t>38.99</t>
        </is>
      </c>
      <c r="L1455" t="n">
        <v>34.37</v>
      </c>
      <c r="M1455" s="1" t="inlineStr">
        <is>
          <t>-11.85%</t>
        </is>
      </c>
      <c r="N1455" s="3" t="n">
        <v>-11.85</v>
      </c>
      <c r="O1455" t="n">
        <v>4.6</v>
      </c>
      <c r="P1455" t="n">
        <v>7002</v>
      </c>
      <c r="R1455" t="inlineStr">
        <is>
          <t>InStock</t>
        </is>
      </c>
      <c r="S1455" t="inlineStr">
        <is>
          <t>38.99</t>
        </is>
      </c>
      <c r="T1455" t="inlineStr">
        <is>
          <t>4169495380020</t>
        </is>
      </c>
    </row>
    <row r="1456" hidden="1" ht="15.75" customHeight="1">
      <c r="A1456" s="2">
        <f>HYPERLINK("https://www.shelhealth.com/products/dawn-platinum-powerwash-fresh-scent-value-pack", "https://www.shelhealth.com/products/dawn-platinum-powerwash-fresh-scent-value-pack")</f>
        <v/>
      </c>
      <c r="B1456" s="2">
        <f>HYPERLINK("https://www.shelhealth.com/products/dawn-platinum-powerwash-fresh-scent-value-pack", "https://www.shelhealth.com/products/dawn-platinum-powerwash-fresh-scent-value-pack")</f>
        <v/>
      </c>
      <c r="C1456" t="inlineStr">
        <is>
          <t>Dawn Platinum Powerwash Fresh Scent Value Pack</t>
        </is>
      </c>
      <c r="D1456" t="inlineStr">
        <is>
          <t>Dawn Platinum Powerwash Dish Spray, Dish Soap, Fresh Scent Bundle, 1 Spray (16oz) + 3 Refills (16oz each)(Pack of 4)</t>
        </is>
      </c>
      <c r="E1456" s="2">
        <f>HYPERLINK("https://www.amazon.com/Dawn-Platinum-Powerwash-Bundle-Starter/dp/B07YD3KQ5S/ref=sr_1_1?keywords=Dawn+Platinum+Powerwash+Fresh+Scent+Value+Pack&amp;qid=1695170385&amp;sr=8-1", "https://www.amazon.com/Dawn-Platinum-Powerwash-Bundle-Starter/dp/B07YD3KQ5S/ref=sr_1_1?keywords=Dawn+Platinum+Powerwash+Fresh+Scent+Value+Pack&amp;qid=1695170385&amp;sr=8-1")</f>
        <v/>
      </c>
      <c r="F1456" t="inlineStr">
        <is>
          <t>B07YD3KQ5S</t>
        </is>
      </c>
      <c r="G1456">
        <f>_xludf.IMAGE("https://www.shelhealth.com/cdn/shop/files/dawn-platinum-powerwash-fresh-scent-value-pack-grocery-household-petcleaning-goods-shelhealth-997.jpg?v=1686283881&amp;width=1946")</f>
        <v/>
      </c>
      <c r="H1456">
        <f>_xludf.IMAGE("https://m.media-amazon.com/images/I/81gDM0zfRLL._AC_UL320_.jpg")</f>
        <v/>
      </c>
      <c r="K1456" t="inlineStr">
        <is>
          <t>17.99</t>
        </is>
      </c>
      <c r="L1456" t="n">
        <v>15.76</v>
      </c>
      <c r="M1456" s="1" t="inlineStr">
        <is>
          <t>-12.40%</t>
        </is>
      </c>
      <c r="N1456" s="3" t="n">
        <v>-12.4</v>
      </c>
      <c r="O1456" t="n">
        <v>4.8</v>
      </c>
      <c r="P1456" t="n">
        <v>30150</v>
      </c>
      <c r="R1456" t="inlineStr">
        <is>
          <t>InStock</t>
        </is>
      </c>
      <c r="S1456" t="inlineStr">
        <is>
          <t>17.99</t>
        </is>
      </c>
      <c r="T1456" t="inlineStr">
        <is>
          <t>4618808819801</t>
        </is>
      </c>
    </row>
    <row r="1457" hidden="1" ht="15.75" customHeight="1">
      <c r="A1457" s="2">
        <f>HYPERLINK("https://www.shelhealth.com/products/39938758455-creative-converting-plate-dinner-beach-day-8-ea", "https://www.shelhealth.com/products/39938758455-creative-converting-plate-dinner-beach-day-8-ea")</f>
        <v/>
      </c>
      <c r="B1457" s="2">
        <f>HYPERLINK("https://www.shelhealth.com/products/39938758455-creative-converting-plate-dinner-beach-day-8-ea", "https://www.shelhealth.com/products/39938758455-creative-converting-plate-dinner-beach-day-8-ea")</f>
        <v/>
      </c>
      <c r="C1457" t="inlineStr">
        <is>
          <t>CREATIVE CONVERTING Plate Dinner Beach Day, 8 ea (Case of 5)</t>
        </is>
      </c>
      <c r="D1457" t="inlineStr">
        <is>
          <t>Creative Converting Beach Umbrellas Dinnerware Bundle - 8 Dinner &amp; 8 Dessert Plates, 32 Napkins - Summer Kids Birthday, Beach Decorations, Hawaiian Decor Supplies</t>
        </is>
      </c>
      <c r="E1457" s="2">
        <f>HYPERLINK("https://www.amazon.com/Creative-Converting-Umbrellas-Dinnerware-Decorations/dp/B084JPMQYD/ref=sr_1_1?keywords=CREATIVE+CONVERTING+Plate+Dinner+Beach+Day%2C+8+ea+%28Case+of+5%29&amp;qid=1695170512&amp;sr=8-1", "https://www.amazon.com/Creative-Converting-Umbrellas-Dinnerware-Decorations/dp/B084JPMQYD/ref=sr_1_1?keywords=CREATIVE+CONVERTING+Plate+Dinner+Beach+Day%2C+8+ea+%28Case+of+5%29&amp;qid=1695170512&amp;sr=8-1")</f>
        <v/>
      </c>
      <c r="F1457" t="inlineStr">
        <is>
          <t>B084JPMQYD</t>
        </is>
      </c>
      <c r="G1457">
        <f>_xludf.IMAGE("https://www.shelhealth.com/cdn/shop/files/creative-converting-plate-dinner-beach-day-8-ea-case-of-5-home-products-shelhealth-919.jpg?v=1686208633&amp;width=1946")</f>
        <v/>
      </c>
      <c r="H1457">
        <f>_xludf.IMAGE("https://m.media-amazon.com/images/I/91ye5UQsFdL._AC_UL320_.jpg")</f>
        <v/>
      </c>
      <c r="K1457" t="inlineStr">
        <is>
          <t>7.99</t>
        </is>
      </c>
      <c r="L1457" t="n">
        <v>6.99</v>
      </c>
      <c r="M1457" s="1" t="inlineStr">
        <is>
          <t>-12.52%</t>
        </is>
      </c>
      <c r="N1457" s="3" t="n">
        <v>-12.52</v>
      </c>
      <c r="O1457" t="n">
        <v>4.3</v>
      </c>
      <c r="P1457" t="n">
        <v>30</v>
      </c>
      <c r="R1457" t="inlineStr">
        <is>
          <t>OutOfStock</t>
        </is>
      </c>
      <c r="S1457" t="inlineStr">
        <is>
          <t>7.99</t>
        </is>
      </c>
      <c r="T1457" t="inlineStr">
        <is>
          <t>7574038315240</t>
        </is>
      </c>
    </row>
    <row r="1458" hidden="1" ht="15.75" customHeight="1">
      <c r="A1458" s="2">
        <f>HYPERLINK("https://www.shelhealth.com/products/lysol-professional-toilet-bowl-cleaner-advanced-deep-cleaning-32-oz-4-pk", "https://www.shelhealth.com/products/lysol-professional-toilet-bowl-cleaner-advanced-deep-cleaning-32-oz-4-pk")</f>
        <v/>
      </c>
      <c r="B1458" s="2">
        <f>HYPERLINK("https://www.shelhealth.com/products/lysol-professional-toilet-bowl-cleaner-advanced-deep-cleaning-32-oz-4-pk", "https://www.shelhealth.com/products/lysol-professional-toilet-bowl-cleaner-advanced-deep-cleaning-32-oz-4-pk")</f>
        <v/>
      </c>
      <c r="C1458" t="inlineStr">
        <is>
          <t>Lysol Professional Toilet Bowl Cleaner - Advanced Deep Cleaning - 32 oz. - 4 pk.</t>
        </is>
      </c>
      <c r="D1458" t="inlineStr">
        <is>
          <t>Lysol Advanced Toilet Bowl Cleaner 4/32 Fl Oz Net Wt 128 Fl Oz</t>
        </is>
      </c>
      <c r="E1458" s="2">
        <f>HYPERLINK("https://www.amazon.com/Lysol-Advanced-Toilet-Bowl-Cleaner/dp/B086ZXYYMY/ref=sr_1_2?keywords=Lysol+Professional+Toilet+Bowl+Cleaner+-+Advanced+Deep+Cleaning+-+32+oz.+-+4+pk.&amp;qid=1695170387&amp;sr=8-2", "https://www.amazon.com/Lysol-Advanced-Toilet-Bowl-Cleaner/dp/B086ZXYYMY/ref=sr_1_2?keywords=Lysol+Professional+Toilet+Bowl+Cleaner+-+Advanced+Deep+Cleaning+-+32+oz.+-+4+pk.&amp;qid=1695170387&amp;sr=8-2")</f>
        <v/>
      </c>
      <c r="F1458" t="inlineStr">
        <is>
          <t>B086ZXYYMY</t>
        </is>
      </c>
      <c r="G1458">
        <f>_xludf.IMAGE("https://www.shelhealth.com/cdn/shop/products/lysol-professional-toilet-bowl-cleaner-advanced-deep-cleaning-32-oz-4-pk-shelhealth-100.jpg?v=1663342857&amp;width=1946")</f>
        <v/>
      </c>
      <c r="H1458">
        <f>_xludf.IMAGE("https://m.media-amazon.com/images/I/61SlNy8L+ZL._AC_UL320_.jpg")</f>
        <v/>
      </c>
      <c r="K1458" t="inlineStr">
        <is>
          <t>23.99</t>
        </is>
      </c>
      <c r="L1458" t="n">
        <v>20.98</v>
      </c>
      <c r="M1458" s="1" t="inlineStr">
        <is>
          <t>-12.55%</t>
        </is>
      </c>
      <c r="N1458" s="3" t="n">
        <v>-12.55</v>
      </c>
      <c r="O1458" t="n">
        <v>3.9</v>
      </c>
      <c r="P1458" t="n">
        <v>35</v>
      </c>
      <c r="R1458" t="inlineStr">
        <is>
          <t>InStock</t>
        </is>
      </c>
      <c r="S1458" t="inlineStr">
        <is>
          <t>23.99</t>
        </is>
      </c>
      <c r="T1458" t="inlineStr">
        <is>
          <t>3818788192308</t>
        </is>
      </c>
    </row>
    <row r="1459" hidden="1" ht="15.75" customHeight="1">
      <c r="A1459" s="2">
        <f>HYPERLINK("https://www.shelhealth.com/products/damprid-refillable-moisture-absorber-6-pk", "https://www.shelhealth.com/products/damprid-refillable-moisture-absorber-6-pk")</f>
        <v/>
      </c>
      <c r="B1459" s="2">
        <f>HYPERLINK("https://www.shelhealth.com/products/damprid-refillable-moisture-absorber-6-pk", "https://www.shelhealth.com/products/damprid-refillable-moisture-absorber-6-pk")</f>
        <v/>
      </c>
      <c r="C1459" t="inlineStr">
        <is>
          <t>DampRid Refillable Moisture Absorber, 6 pk.</t>
        </is>
      </c>
      <c r="D1459" t="inlineStr">
        <is>
          <t>DampRid Refillable Moisture Absorber, 11 oz., 6-Pack – Fresh Scent Moisture Absorbers, 10% More Absorbing Power*, Eliminates Musty Odors for Fresher, Cleaner Air</t>
        </is>
      </c>
      <c r="E1459" s="2">
        <f>HYPERLINK("https://www.amazon.com/DampRid-Refillable-Moisture-Absorber-6-Pack/dp/B09QXT1ZK1/ref=sr_1_5?keywords=DampRid+Refillable+Moisture+Absorber%2C+6+pk.&amp;qid=1695170541&amp;sr=8-5", "https://www.amazon.com/DampRid-Refillable-Moisture-Absorber-6-Pack/dp/B09QXT1ZK1/ref=sr_1_5?keywords=DampRid+Refillable+Moisture+Absorber%2C+6+pk.&amp;qid=1695170541&amp;sr=8-5")</f>
        <v/>
      </c>
      <c r="F1459" t="inlineStr">
        <is>
          <t>B09QXT1ZK1</t>
        </is>
      </c>
      <c r="G1459">
        <f>_xludf.IMAGE("https://www.shelhealth.com/cdn/shop/products/damprid-refillable-moisture-absorber-6-pk-shelhealth-628.jpg?v=1663372464&amp;width=1946")</f>
        <v/>
      </c>
      <c r="H1459">
        <f>_xludf.IMAGE("https://m.media-amazon.com/images/I/81cSkabP0gL._AC_UL320_.jpg")</f>
        <v/>
      </c>
      <c r="K1459" t="inlineStr">
        <is>
          <t>25.99</t>
        </is>
      </c>
      <c r="L1459" t="n">
        <v>22.68</v>
      </c>
      <c r="M1459" s="1" t="inlineStr">
        <is>
          <t>-12.74%</t>
        </is>
      </c>
      <c r="N1459" s="3" t="n">
        <v>-12.74</v>
      </c>
      <c r="O1459" t="n">
        <v>4.6</v>
      </c>
      <c r="P1459" t="n">
        <v>1446</v>
      </c>
      <c r="R1459" t="inlineStr">
        <is>
          <t>InStock</t>
        </is>
      </c>
      <c r="S1459" t="inlineStr">
        <is>
          <t>25.99</t>
        </is>
      </c>
      <c r="T1459" t="inlineStr">
        <is>
          <t>4692422852697</t>
        </is>
      </c>
    </row>
    <row r="1460" hidden="1" ht="15.75" customHeight="1">
      <c r="A1460" s="2">
        <f>HYPERLINK("https://www.shelhealth.com/products/808124700475-mrs-meyers-clean-day-mum-dish-soap-16-oz", "https://www.shelhealth.com/products/808124700475-mrs-meyers-clean-day-mum-dish-soap-16-oz")</f>
        <v/>
      </c>
      <c r="B1460" s="2">
        <f>HYPERLINK("https://www.shelhealth.com/products/808124700475-mrs-meyers-clean-day-mum-dish-soap-16-oz", "https://www.shelhealth.com/products/808124700475-mrs-meyers-clean-day-mum-dish-soap-16-oz")</f>
        <v/>
      </c>
      <c r="C1460" t="inlineStr">
        <is>
          <t>Mrs Meyers Clean Day Mum Dish Soap, 16 Oz (Case of 3)</t>
        </is>
      </c>
      <c r="D1460" t="inlineStr">
        <is>
          <t>MRS. MEYER'S CLEAN DAY Liquid Dish Soap, Biodegradable Formula, Mum. 16 Fl Oz. (Pack of 2)</t>
        </is>
      </c>
      <c r="E1460" s="2">
        <f>HYPERLINK("https://www.amazon.com/MRS-MEYERS-CLEAN-DAY-Biodegradable/dp/B0BX1773JB/ref=sr_1_6?keywords=Mrs+Meyers+Clean+Day+Mum+Dish+Soap%2C+16+Oz+%28Case+of+3%29&amp;qid=1695170489&amp;sr=8-6", "https://www.amazon.com/MRS-MEYERS-CLEAN-DAY-Biodegradable/dp/B0BX1773JB/ref=sr_1_6?keywords=Mrs+Meyers+Clean+Day+Mum+Dish+Soap%2C+16+Oz+%28Case+of+3%29&amp;qid=1695170489&amp;sr=8-6")</f>
        <v/>
      </c>
      <c r="F1460" t="inlineStr">
        <is>
          <t>B0BX1773JB</t>
        </is>
      </c>
      <c r="G1460">
        <f>_xludf.IMAGE("https://www.shelhealth.com/cdn/shop/files/mrs-meyers-clean-day-mum-dish-soap-16-oz-case-of-3-home-products-shelhealth-132.jpg?v=1686141945&amp;width=1946")</f>
        <v/>
      </c>
      <c r="H1460">
        <f>_xludf.IMAGE("https://m.media-amazon.com/images/I/51VMyPTKwtL._AC_UL320_.jpg")</f>
        <v/>
      </c>
      <c r="K1460" t="inlineStr">
        <is>
          <t>20.99</t>
        </is>
      </c>
      <c r="L1460" t="n">
        <v>18.22</v>
      </c>
      <c r="M1460" s="1" t="inlineStr">
        <is>
          <t>-13.20%</t>
        </is>
      </c>
      <c r="N1460" s="3" t="n">
        <v>-13.2</v>
      </c>
      <c r="O1460" t="n">
        <v>5</v>
      </c>
      <c r="P1460" t="n">
        <v>2</v>
      </c>
      <c r="R1460" t="inlineStr">
        <is>
          <t>OutOfStock</t>
        </is>
      </c>
      <c r="S1460" t="inlineStr">
        <is>
          <t>20.99</t>
        </is>
      </c>
      <c r="T1460" t="inlineStr">
        <is>
          <t>7241834201276</t>
        </is>
      </c>
    </row>
    <row r="1461" hidden="1" ht="15.75" customHeight="1">
      <c r="A1461" s="2">
        <f>HYPERLINK("https://www.shelhealth.com/products/o-cedar-dual-action-micro-fiber-flip-mop", "https://www.shelhealth.com/products/o-cedar-dual-action-micro-fiber-flip-mop")</f>
        <v/>
      </c>
      <c r="B1461" s="2">
        <f>HYPERLINK("https://www.shelhealth.com/products/o-cedar-dual-action-micro-fiber-flip-mop", "https://www.shelhealth.com/products/o-cedar-dual-action-micro-fiber-flip-mop")</f>
        <v/>
      </c>
      <c r="C1461" t="inlineStr">
        <is>
          <t>O-Cedar Dual-Action Micro Fiber Flip Mop</t>
        </is>
      </c>
      <c r="D1461" t="inlineStr">
        <is>
          <t>O-Cedar Dual Action Microfiber Flip Mop Refill, Dust/Microfiber Flat Mop Refill, 1 CT (Pack of 2) …</t>
        </is>
      </c>
      <c r="E1461" s="2">
        <f>HYPERLINK("https://www.amazon.com/Cedar-Dual-Action-Microfiber-Flip-Refill/dp/B0744MPZK2/ref=sr_1_2?keywords=o-cedar+dual-action+microfiber+flip+mop&amp;qid=1695170453&amp;sr=8-2", "https://www.amazon.com/Cedar-Dual-Action-Microfiber-Flip-Refill/dp/B0744MPZK2/ref=sr_1_2?keywords=o-cedar+dual-action+microfiber+flip+mop&amp;qid=1695170453&amp;sr=8-2")</f>
        <v/>
      </c>
      <c r="F1461" t="inlineStr">
        <is>
          <t>B0744MPZK2</t>
        </is>
      </c>
      <c r="G1461">
        <f>_xludf.IMAGE("https://www.shelhealth.com/cdn/shop/products/o-cedar-dual-action-micro-fiber-flip-mop-shelhealth-130.jpg?v=1663357602&amp;width=1946")</f>
        <v/>
      </c>
      <c r="H1461">
        <f>_xludf.IMAGE("https://m.media-amazon.com/images/I/71jSEhnigEL._AC_UL320_.jpg")</f>
        <v/>
      </c>
      <c r="K1461" t="inlineStr">
        <is>
          <t>23.99</t>
        </is>
      </c>
      <c r="L1461" t="n">
        <v>20.62</v>
      </c>
      <c r="M1461" s="1" t="inlineStr">
        <is>
          <t>-14.05%</t>
        </is>
      </c>
      <c r="N1461" s="3" t="n">
        <v>-14.05</v>
      </c>
      <c r="O1461" t="n">
        <v>4.7</v>
      </c>
      <c r="P1461" t="n">
        <v>733</v>
      </c>
      <c r="R1461" t="inlineStr">
        <is>
          <t>OutOfStock</t>
        </is>
      </c>
      <c r="S1461" t="inlineStr">
        <is>
          <t>23.99</t>
        </is>
      </c>
      <c r="T1461" t="inlineStr">
        <is>
          <t>4251125514292</t>
        </is>
      </c>
    </row>
    <row r="1462" hidden="1" ht="15.75" customHeight="1">
      <c r="A1462" s="2">
        <f>HYPERLINK("https://www.shelhealth.com/products/tide-original-scent-he-turbo-clean-liquid-laundry-detergent-100-fl-oz", "https://www.shelhealth.com/products/tide-original-scent-he-turbo-clean-liquid-laundry-detergent-100-fl-oz")</f>
        <v/>
      </c>
      <c r="B1462" s="2">
        <f>HYPERLINK("https://www.shelhealth.com/products/tide-original-scent-he-turbo-clean-liquid-laundry-detergent-100-fl-oz", "https://www.shelhealth.com/products/tide-original-scent-he-turbo-clean-liquid-laundry-detergent-100-fl-oz")</f>
        <v/>
      </c>
      <c r="C1462" t="inlineStr">
        <is>
          <t>Tide Original Scent HE Turbo Clean Liquid Laundry Detergent, 100 fl oz</t>
        </is>
      </c>
      <c r="D1462" t="inlineStr">
        <is>
          <t>Tide Original Scent HE Turbo Clean Liquid Laundry Detergent, 50 oz, 32 loads (Packaging May Vary)</t>
        </is>
      </c>
      <c r="E1462" s="2">
        <f>HYPERLINK("https://www.amazon.com/Tide-Original-Laundry-Detergent-Packaging/dp/B000WNT29U/ref=sr_1_1?keywords=Tide+Original+Scent+HE+Turbo+Clean+Liquid+Laundry+Detergent%2C+100+fl+oz&amp;qid=1695170429&amp;sr=8-1", "https://www.amazon.com/Tide-Original-Laundry-Detergent-Packaging/dp/B000WNT29U/ref=sr_1_1?keywords=Tide+Original+Scent+HE+Turbo+Clean+Liquid+Laundry+Detergent%2C+100+fl+oz&amp;qid=1695170429&amp;sr=8-1")</f>
        <v/>
      </c>
      <c r="F1462" t="inlineStr">
        <is>
          <t>B000WNT29U</t>
        </is>
      </c>
      <c r="G1462">
        <f>_xludf.IMAGE("https://www.shelhealth.com/cdn/shop/products/tide-original-scent-he-turbo-clean-liquid-laundry-detergent-100-fl-oz-shelhealth-674.jpg?v=1663363829&amp;width=1946")</f>
        <v/>
      </c>
      <c r="H1462">
        <f>_xludf.IMAGE("https://m.media-amazon.com/images/I/81QA4YSjZaL._AC_UL320_.jpg")</f>
        <v/>
      </c>
      <c r="K1462" t="inlineStr">
        <is>
          <t>25.99</t>
        </is>
      </c>
      <c r="L1462" t="n">
        <v>22.3</v>
      </c>
      <c r="M1462" s="1" t="inlineStr">
        <is>
          <t>-14.20%</t>
        </is>
      </c>
      <c r="N1462" s="3" t="n">
        <v>-14.2</v>
      </c>
      <c r="O1462" t="n">
        <v>4.7</v>
      </c>
      <c r="P1462" t="n">
        <v>21164</v>
      </c>
      <c r="R1462" t="inlineStr">
        <is>
          <t>InStock</t>
        </is>
      </c>
      <c r="S1462" t="inlineStr">
        <is>
          <t>25.99</t>
        </is>
      </c>
      <c r="T1462" t="inlineStr">
        <is>
          <t>4458485252185</t>
        </is>
      </c>
    </row>
    <row r="1463" hidden="1" ht="15.75" customHeight="1">
      <c r="A1463" s="2">
        <f>HYPERLINK("https://www.shelhealth.com/products/cascade-complete-action-pacs-90-count", "https://www.shelhealth.com/products/cascade-complete-action-pacs-90-count")</f>
        <v/>
      </c>
      <c r="B1463" s="2">
        <f>HYPERLINK("https://www.shelhealth.com/products/cascade-complete-action-pacs-90-count", "https://www.shelhealth.com/products/cascade-complete-action-pacs-90-count")</f>
        <v/>
      </c>
      <c r="C1463" t="inlineStr">
        <is>
          <t>Cascade Complete Action Pacs, 90 count</t>
        </is>
      </c>
      <c r="D1463" t="inlineStr">
        <is>
          <t>Cascade ActionPacs Dishwasher Detergent (Complete 90 Count), (Pack of 1), White</t>
        </is>
      </c>
      <c r="E1463" s="2">
        <f>HYPERLINK("https://www.amazon.com/Cascade-C90-ActionPacs-Dishwasher-Detergent/dp/B075LPWS1W/ref=sr_1_2?keywords=cascade+complete+actionpacs%2C+90+count&amp;qid=1695170391&amp;sr=8-2", "https://www.amazon.com/Cascade-C90-ActionPacs-Dishwasher-Detergent/dp/B075LPWS1W/ref=sr_1_2?keywords=cascade+complete+actionpacs%2C+90+count&amp;qid=1695170391&amp;sr=8-2")</f>
        <v/>
      </c>
      <c r="F1463" t="inlineStr">
        <is>
          <t>B075LPWS1W</t>
        </is>
      </c>
      <c r="G1463">
        <f>_xludf.IMAGE("https://www.shelhealth.com/cdn/shop/products/cascade-complete-action-pacs-90-count-shelhealth-139.jpg?v=1663343181&amp;width=1946")</f>
        <v/>
      </c>
      <c r="H1463">
        <f>_xludf.IMAGE("https://m.media-amazon.com/images/I/71B80N0fbSL._AC_UL320_.jpg")</f>
        <v/>
      </c>
      <c r="K1463" t="inlineStr">
        <is>
          <t>27.99</t>
        </is>
      </c>
      <c r="L1463" t="n">
        <v>23.99</v>
      </c>
      <c r="M1463" s="1" t="inlineStr">
        <is>
          <t>-14.29%</t>
        </is>
      </c>
      <c r="N1463" s="3" t="n">
        <v>-14.29</v>
      </c>
      <c r="O1463" t="n">
        <v>4.8</v>
      </c>
      <c r="P1463" t="n">
        <v>91</v>
      </c>
      <c r="R1463" t="inlineStr">
        <is>
          <t>InStock</t>
        </is>
      </c>
      <c r="S1463" t="inlineStr">
        <is>
          <t>27.99</t>
        </is>
      </c>
      <c r="T1463" t="inlineStr">
        <is>
          <t>3819517050932</t>
        </is>
      </c>
    </row>
    <row r="1464" hidden="1" ht="15.75" customHeight="1">
      <c r="A1464" s="2">
        <f>HYPERLINK("https://www.shelhealth.com/products/damprid-refillable-moisture-absorber-6-pk", "https://www.shelhealth.com/products/damprid-refillable-moisture-absorber-6-pk")</f>
        <v/>
      </c>
      <c r="B1464" s="2">
        <f>HYPERLINK("https://www.shelhealth.com/products/damprid-refillable-moisture-absorber-6-pk", "https://www.shelhealth.com/products/damprid-refillable-moisture-absorber-6-pk")</f>
        <v/>
      </c>
      <c r="C1464" t="inlineStr">
        <is>
          <t>DampRid Refillable Moisture Absorber, 6 pk.</t>
        </is>
      </c>
      <c r="D1464" t="inlineStr">
        <is>
          <t>DampRid Refillable Moisture Absorber, 10.5 oz. Cups, 4 Pack, Fresh Scent, Traps Moisture for Fresher, Cleaner Air, No Electricity Required, Lasts Up To 60 Days</t>
        </is>
      </c>
      <c r="E1464" s="2">
        <f>HYPERLINK("https://www.amazon.com/DampRid-Fresh-Refillable-Moisture-Absorber/dp/B07V3N6KKZ/ref=sr_1_10?keywords=DampRid+Refillable+Moisture+Absorber%2C+6+pk.&amp;qid=1695170541&amp;sr=8-10", "https://www.amazon.com/DampRid-Fresh-Refillable-Moisture-Absorber/dp/B07V3N6KKZ/ref=sr_1_10?keywords=DampRid+Refillable+Moisture+Absorber%2C+6+pk.&amp;qid=1695170541&amp;sr=8-10")</f>
        <v/>
      </c>
      <c r="F1464" t="inlineStr">
        <is>
          <t>B07V3N6KKZ</t>
        </is>
      </c>
      <c r="G1464">
        <f>_xludf.IMAGE("https://www.shelhealth.com/cdn/shop/products/damprid-refillable-moisture-absorber-6-pk-shelhealth-628.jpg?v=1663372464&amp;width=1946")</f>
        <v/>
      </c>
      <c r="H1464">
        <f>_xludf.IMAGE("https://m.media-amazon.com/images/I/911TBpvXXpL._AC_UL320_.jpg")</f>
        <v/>
      </c>
      <c r="K1464" t="inlineStr">
        <is>
          <t>25.99</t>
        </is>
      </c>
      <c r="L1464" t="n">
        <v>22.15</v>
      </c>
      <c r="M1464" s="1" t="inlineStr">
        <is>
          <t>-14.77%</t>
        </is>
      </c>
      <c r="N1464" s="3" t="n">
        <v>-14.77</v>
      </c>
      <c r="O1464" t="n">
        <v>4.6</v>
      </c>
      <c r="P1464" t="n">
        <v>1901</v>
      </c>
      <c r="R1464" t="inlineStr">
        <is>
          <t>InStock</t>
        </is>
      </c>
      <c r="S1464" t="inlineStr">
        <is>
          <t>25.99</t>
        </is>
      </c>
      <c r="T1464" t="inlineStr">
        <is>
          <t>4692422852697</t>
        </is>
      </c>
    </row>
    <row r="1465" hidden="1" ht="15.75" customHeight="1">
      <c r="A1465" s="2">
        <f>HYPERLINK("https://www.shelhealth.com/products/oxi-clean-versatile-stain-remover-10-1-lbs", "https://www.shelhealth.com/products/oxi-clean-versatile-stain-remover-10-1-lbs")</f>
        <v/>
      </c>
      <c r="B1465" s="2">
        <f>HYPERLINK("https://www.shelhealth.com/products/oxi-clean-versatile-stain-remover-10-1-lbs", "https://www.shelhealth.com/products/oxi-clean-versatile-stain-remover-10-1-lbs")</f>
        <v/>
      </c>
      <c r="C1465" t="inlineStr">
        <is>
          <t>Oxi Clean Versatile Stain Remover, 10.1 lbs.</t>
        </is>
      </c>
      <c r="D1465" t="inlineStr">
        <is>
          <t>Oxi Clean Versatile Concentrated Stain Remover now for 290 Loads 11.6 lbs (5.26kg)</t>
        </is>
      </c>
      <c r="E1465" s="2">
        <f>HYPERLINK("https://www.amazon.com/Clean-Versatile-Concentrated-Remover-5-26kg/dp/B00KPSIZC2/ref=sr_1_2?keywords=Oxi+Clean+Versatile+Stain+Remover%2C+10.1+lbs.&amp;qid=1695170562&amp;sr=8-2", "https://www.amazon.com/Clean-Versatile-Concentrated-Remover-5-26kg/dp/B00KPSIZC2/ref=sr_1_2?keywords=Oxi+Clean+Versatile+Stain+Remover%2C+10.1+lbs.&amp;qid=1695170562&amp;sr=8-2")</f>
        <v/>
      </c>
      <c r="F1465" t="inlineStr">
        <is>
          <t>B00KPSIZC2</t>
        </is>
      </c>
      <c r="G1465">
        <f>_xludf.IMAGE("https://www.shelhealth.com/cdn/shop/products/oxi-clean-versatile-stain-remover-10-1-lbs-shelhealth-993.jpg?v=1663357047&amp;width=1946")</f>
        <v/>
      </c>
      <c r="H1465">
        <f>_xludf.IMAGE("https://m.media-amazon.com/images/I/5151v2vDHOL._AC_UL320_.jpg")</f>
        <v/>
      </c>
      <c r="K1465" t="inlineStr">
        <is>
          <t>41.99</t>
        </is>
      </c>
      <c r="L1465" t="n">
        <v>35.75</v>
      </c>
      <c r="M1465" s="1" t="inlineStr">
        <is>
          <t>-14.86%</t>
        </is>
      </c>
      <c r="N1465" s="3" t="n">
        <v>-14.86</v>
      </c>
      <c r="O1465" t="n">
        <v>4.2</v>
      </c>
      <c r="P1465" t="n">
        <v>29</v>
      </c>
      <c r="R1465" t="inlineStr">
        <is>
          <t>InStock</t>
        </is>
      </c>
      <c r="S1465" t="inlineStr">
        <is>
          <t>41.99</t>
        </is>
      </c>
      <c r="T1465" t="inlineStr">
        <is>
          <t>4179138674740</t>
        </is>
      </c>
    </row>
    <row r="1466" hidden="1" ht="15.75" customHeight="1">
      <c r="A1466" s="2">
        <f>HYPERLINK("https://www.shelhealth.com/products/berkley-jensen-aaa-alkaline-batteries-48-ct", "https://www.shelhealth.com/products/berkley-jensen-aaa-alkaline-batteries-48-ct")</f>
        <v/>
      </c>
      <c r="B1466" s="2">
        <f>HYPERLINK("https://www.shelhealth.com/products/berkley-jensen-aaa-alkaline-batteries-48-ct", "https://www.shelhealth.com/products/berkley-jensen-aaa-alkaline-batteries-48-ct")</f>
        <v/>
      </c>
      <c r="C1466" t="inlineStr">
        <is>
          <t>Berkley Jensen AAA Alkaline Batteries, 48 ct.</t>
        </is>
      </c>
      <c r="D1466" t="inlineStr">
        <is>
          <t>Berkley Jensen AA Alkaline Batteries, 48 ct.</t>
        </is>
      </c>
      <c r="E1466" s="2">
        <f>HYPERLINK("https://www.amazon.com/Berkley-Jensen-Alkaline-Batteries-ct/dp/B07FZR2D35/ref=sr_1_2?keywords=Berkley+Jensen+AAA+Alkaline+Batteries%2C+48+ct.&amp;qid=1695170561&amp;sr=8-2", "https://www.amazon.com/Berkley-Jensen-Alkaline-Batteries-ct/dp/B07FZR2D35/ref=sr_1_2?keywords=Berkley+Jensen+AAA+Alkaline+Batteries%2C+48+ct.&amp;qid=1695170561&amp;sr=8-2")</f>
        <v/>
      </c>
      <c r="F1466" t="inlineStr">
        <is>
          <t>B07FZR2D35</t>
        </is>
      </c>
      <c r="G1466">
        <f>_xludf.IMAGE("https://www.shelhealth.com/cdn/shop/files/berkley-jensen-aaa-alkaline-batteries-48-ct-emergency-preparednessbatteries-shelhealth-433.jpg?v=1686284009&amp;width=1946")</f>
        <v/>
      </c>
      <c r="H1466">
        <f>_xludf.IMAGE("https://m.media-amazon.com/images/I/81pyF28NOHL._AC_UL320_.jpg")</f>
        <v/>
      </c>
      <c r="K1466" t="inlineStr">
        <is>
          <t>42.99</t>
        </is>
      </c>
      <c r="L1466" t="n">
        <v>36.5</v>
      </c>
      <c r="M1466" s="1" t="inlineStr">
        <is>
          <t>-15.10%</t>
        </is>
      </c>
      <c r="N1466" s="3" t="n">
        <v>-15.1</v>
      </c>
      <c r="O1466" t="n">
        <v>3</v>
      </c>
      <c r="P1466" t="n">
        <v>3</v>
      </c>
      <c r="R1466" t="inlineStr">
        <is>
          <t>InStock</t>
        </is>
      </c>
      <c r="S1466" t="inlineStr">
        <is>
          <t>42.99</t>
        </is>
      </c>
      <c r="T1466" t="inlineStr">
        <is>
          <t>4169883385908</t>
        </is>
      </c>
    </row>
    <row r="1467" hidden="1" ht="15.75" customHeight="1">
      <c r="A1467" s="2">
        <f>HYPERLINK("https://www.shelhealth.com/products/628689700105-paper-chef-parchment-cooking-bags-10-pc", "https://www.shelhealth.com/products/628689700105-paper-chef-parchment-cooking-bags-10-pc")</f>
        <v/>
      </c>
      <c r="B1467" s="2">
        <f>HYPERLINK("https://www.shelhealth.com/products/628689700105-paper-chef-parchment-cooking-bags-10-pc", "https://www.shelhealth.com/products/628689700105-paper-chef-parchment-cooking-bags-10-pc")</f>
        <v/>
      </c>
      <c r="C1467" t="inlineStr">
        <is>
          <t>PAPER CHEF Parchment Cooking Bags, 10 pc (Case of 3)</t>
        </is>
      </c>
      <c r="D1467" t="inlineStr">
        <is>
          <t>PaperChef PC5003 (2 Pack) Parchment Paper Nonstick Cooking Bags, 10-ct/Box, 1483, Tan</t>
        </is>
      </c>
      <c r="E1467" s="2">
        <f>HYPERLINK("https://www.amazon.com/PaperChef-05003-Parchment-Nonstick-Cooking/dp/B00J4VLSTS/ref=sr_1_2?keywords=PAPER+CHEF+Parchment+Cooking+Bags%2C+10+pc+%28Case+of+3%29&amp;qid=1695170526&amp;sr=8-2", "https://www.amazon.com/PaperChef-05003-Parchment-Nonstick-Cooking/dp/B00J4VLSTS/ref=sr_1_2?keywords=PAPER+CHEF+Parchment+Cooking+Bags%2C+10+pc+%28Case+of+3%29&amp;qid=1695170526&amp;sr=8-2")</f>
        <v/>
      </c>
      <c r="F1467" t="inlineStr">
        <is>
          <t>B00J4VLSTS</t>
        </is>
      </c>
      <c r="G1467">
        <f>_xludf.IMAGE("https://www.shelhealth.com/cdn/shop/files/paper-chef-parchment-cooking-bags-10-pc-case-of-3-household-products-shelhealth-813.jpg?v=1688713722&amp;width=1946")</f>
        <v/>
      </c>
      <c r="H1467">
        <f>_xludf.IMAGE("https://m.media-amazon.com/images/I/81Ak5Zv5rmL._AC_UL320_.jpg")</f>
        <v/>
      </c>
      <c r="K1467" t="inlineStr">
        <is>
          <t>20.99</t>
        </is>
      </c>
      <c r="L1467" t="n">
        <v>17.7</v>
      </c>
      <c r="M1467" s="1" t="inlineStr">
        <is>
          <t>-15.67%</t>
        </is>
      </c>
      <c r="N1467" s="3" t="n">
        <v>-15.67</v>
      </c>
      <c r="O1467" t="n">
        <v>4.5</v>
      </c>
      <c r="P1467" t="n">
        <v>280</v>
      </c>
      <c r="R1467" t="inlineStr">
        <is>
          <t>InStock</t>
        </is>
      </c>
      <c r="S1467" t="inlineStr">
        <is>
          <t>20.99</t>
        </is>
      </c>
      <c r="T1467" t="inlineStr">
        <is>
          <t>7574247702760</t>
        </is>
      </c>
    </row>
    <row r="1468" hidden="1" ht="15.75" customHeight="1">
      <c r="A1468" s="2">
        <f>HYPERLINK("https://www.shelhealth.com/products/816274020374-bio-home-laundry-detergent-regular-50-72-fo", "https://www.shelhealth.com/products/816274020374-bio-home-laundry-detergent-regular-50-72-fo")</f>
        <v/>
      </c>
      <c r="B1468" s="2">
        <f>HYPERLINK("https://www.shelhealth.com/products/816274020374-bio-home-laundry-detergent-regular-50-72-fo", "https://www.shelhealth.com/products/816274020374-bio-home-laundry-detergent-regular-50-72-fo")</f>
        <v/>
      </c>
      <c r="C1468" t="inlineStr">
        <is>
          <t>Bio-Home Laundry Detergent Regular, 50.72 Fo</t>
        </is>
      </c>
      <c r="D1468" t="inlineStr">
        <is>
          <t>Bio Home Laundry Detergent - Hyacinth &amp; Nectarine, Original, 50.72 Fluid Ounce</t>
        </is>
      </c>
      <c r="E1468" s="2">
        <f>HYPERLINK("https://www.amazon.com/bio-home-Laundry-Detergent-Concentrated-Drying-Suitable/dp/B084GFHL2L/ref=sr_1_1?keywords=Bio-Home+Laundry+Detergent+Regular%2C+50.72+Fo&amp;qid=1695170523&amp;sr=8-1", "https://www.amazon.com/bio-home-Laundry-Detergent-Concentrated-Drying-Suitable/dp/B084GFHL2L/ref=sr_1_1?keywords=Bio-Home+Laundry+Detergent+Regular%2C+50.72+Fo&amp;qid=1695170523&amp;sr=8-1")</f>
        <v/>
      </c>
      <c r="F1468" t="inlineStr">
        <is>
          <t>B084GFHL2L</t>
        </is>
      </c>
      <c r="G1468">
        <f>_xludf.IMAGE("https://www.shelhealth.com/cdn/shop/files/bio-home-laundry-detergent-regular-50-72-fo-products-shelhealth-582.jpg?v=1686193699&amp;width=1946")</f>
        <v/>
      </c>
      <c r="H1468">
        <f>_xludf.IMAGE("https://m.media-amazon.com/images/I/71y-zoW4RoL._AC_UL320_.jpg")</f>
        <v/>
      </c>
      <c r="K1468" t="inlineStr">
        <is>
          <t>18.99</t>
        </is>
      </c>
      <c r="L1468" t="n">
        <v>15.99</v>
      </c>
      <c r="M1468" s="1" t="inlineStr">
        <is>
          <t>-15.80%</t>
        </is>
      </c>
      <c r="N1468" s="3" t="n">
        <v>-15.8</v>
      </c>
      <c r="O1468" t="n">
        <v>4.6</v>
      </c>
      <c r="P1468" t="n">
        <v>26</v>
      </c>
      <c r="R1468" t="inlineStr">
        <is>
          <t>OutOfStock</t>
        </is>
      </c>
      <c r="S1468" t="inlineStr">
        <is>
          <t>18.99</t>
        </is>
      </c>
      <c r="T1468" t="inlineStr">
        <is>
          <t>7241514025148</t>
        </is>
      </c>
    </row>
    <row r="1469" hidden="1" ht="15.75" customHeight="1">
      <c r="A1469" s="2">
        <f>HYPERLINK("https://www.shelhealth.com/products/816274020381-bio-home-laundry-detergent-delcate-50-72-fo", "https://www.shelhealth.com/products/816274020381-bio-home-laundry-detergent-delcate-50-72-fo")</f>
        <v/>
      </c>
      <c r="B1469" s="2">
        <f>HYPERLINK("https://www.shelhealth.com/products/816274020381-bio-home-laundry-detergent-delcate-50-72-fo", "https://www.shelhealth.com/products/816274020381-bio-home-laundry-detergent-delcate-50-72-fo")</f>
        <v/>
      </c>
      <c r="C1469" t="inlineStr">
        <is>
          <t>Bio-Home Laundry Detergent Delcate, 50.72 Fo</t>
        </is>
      </c>
      <c r="D1469" t="inlineStr">
        <is>
          <t>Bio Home Laundry Detergent - Hyacinth &amp; Nectarine, Original, 50.72 Fluid Ounce</t>
        </is>
      </c>
      <c r="E1469" s="2">
        <f>HYPERLINK("https://www.amazon.com/bio-home-Laundry-Detergent-Concentrated-Drying-Suitable/dp/B084GFHL2L/ref=sr_1_1?keywords=bio-home+laundry+detergent+delicate%2C+50.72+fo&amp;qid=1695170526&amp;sr=8-1", "https://www.amazon.com/bio-home-Laundry-Detergent-Concentrated-Drying-Suitable/dp/B084GFHL2L/ref=sr_1_1?keywords=bio-home+laundry+detergent+delicate%2C+50.72+fo&amp;qid=1695170526&amp;sr=8-1")</f>
        <v/>
      </c>
      <c r="F1469" t="inlineStr">
        <is>
          <t>B084GFHL2L</t>
        </is>
      </c>
      <c r="G1469">
        <f>_xludf.IMAGE("https://www.shelhealth.com/cdn/shop/files/bio-home-laundry-detergent-delcate-50-72-fo-products-shelhealth-896.jpg?v=1686193700&amp;width=1946")</f>
        <v/>
      </c>
      <c r="H1469">
        <f>_xludf.IMAGE("https://m.media-amazon.com/images/I/71y-zoW4RoL._AC_UL320_.jpg")</f>
        <v/>
      </c>
      <c r="K1469" t="inlineStr">
        <is>
          <t>18.99</t>
        </is>
      </c>
      <c r="L1469" t="n">
        <v>15.99</v>
      </c>
      <c r="M1469" s="1" t="inlineStr">
        <is>
          <t>-15.80%</t>
        </is>
      </c>
      <c r="N1469" s="3" t="n">
        <v>-15.8</v>
      </c>
      <c r="O1469" t="n">
        <v>4.6</v>
      </c>
      <c r="P1469" t="n">
        <v>26</v>
      </c>
      <c r="R1469" t="inlineStr">
        <is>
          <t>OutOfStock</t>
        </is>
      </c>
      <c r="S1469" t="inlineStr">
        <is>
          <t>18.99</t>
        </is>
      </c>
      <c r="T1469" t="inlineStr">
        <is>
          <t>7241513894076</t>
        </is>
      </c>
    </row>
    <row r="1470" hidden="1" ht="15.75" customHeight="1">
      <c r="A1470" s="2">
        <f>HYPERLINK("https://www.shelhealth.com/products/kirkland-signature-ultra-clean-laundry-detergent-152-pack", "https://www.shelhealth.com/products/kirkland-signature-ultra-clean-laundry-detergent-152-pack")</f>
        <v/>
      </c>
      <c r="B1470" s="2">
        <f>HYPERLINK("https://www.shelhealth.com/products/kirkland-signature-ultra-clean-laundry-detergent-152-pack", "https://www.shelhealth.com/products/kirkland-signature-ultra-clean-laundry-detergent-152-pack")</f>
        <v/>
      </c>
      <c r="C1470" t="inlineStr">
        <is>
          <t>Kirkland Signature Ultra Clean Laundry Detergent (152 Pack)</t>
        </is>
      </c>
      <c r="D1470" t="inlineStr">
        <is>
          <t>Kirkland Signature Ultra Clean Premium Laundry Detergent with 2X Concentrate</t>
        </is>
      </c>
      <c r="E1470" s="2">
        <f>HYPERLINK("https://www.amazon.com/Kirkland-Signature-Premium-Detergent-Concentrate/dp/B0078YNC0Q/ref=sr_1_6?keywords=Kirkland+Signature+Ultra+Clean+Laundry+Detergent+%28152+Pack%29&amp;qid=1695170431&amp;sr=8-6", "https://www.amazon.com/Kirkland-Signature-Premium-Detergent-Concentrate/dp/B0078YNC0Q/ref=sr_1_6?keywords=Kirkland+Signature+Ultra+Clean+Laundry+Detergent+%28152+Pack%29&amp;qid=1695170431&amp;sr=8-6")</f>
        <v/>
      </c>
      <c r="F1470" t="inlineStr">
        <is>
          <t>B0078YNC0Q</t>
        </is>
      </c>
      <c r="G1470">
        <f>_xludf.IMAGE("https://www.shelhealth.com/cdn/shop/products/kirkland-signature-ultra-clean-laundry-detergent-152-pack-shelhealth-652.jpg?v=1663343130&amp;width=1946")</f>
        <v/>
      </c>
      <c r="H1470">
        <f>_xludf.IMAGE("https://m.media-amazon.com/images/I/41CB+fzG1xL._AC_UL320_.jpg")</f>
        <v/>
      </c>
      <c r="K1470" t="inlineStr">
        <is>
          <t>43.99</t>
        </is>
      </c>
      <c r="L1470" t="n">
        <v>37.04</v>
      </c>
      <c r="M1470" s="1" t="inlineStr">
        <is>
          <t>-15.80%</t>
        </is>
      </c>
      <c r="N1470" s="3" t="n">
        <v>-15.8</v>
      </c>
      <c r="O1470" t="n">
        <v>4.4</v>
      </c>
      <c r="P1470" t="n">
        <v>143</v>
      </c>
      <c r="R1470" t="inlineStr">
        <is>
          <t>InStock</t>
        </is>
      </c>
      <c r="S1470" t="inlineStr">
        <is>
          <t>43.99</t>
        </is>
      </c>
      <c r="T1470" t="inlineStr">
        <is>
          <t>3819438309428</t>
        </is>
      </c>
    </row>
    <row r="1471" hidden="1" ht="15.75" customHeight="1">
      <c r="A1471" s="2">
        <f>HYPERLINK("https://www.shelhealth.com/products/microban-24-hour-disinfectant-sanitizing-spray-3-ct", "https://www.shelhealth.com/products/microban-24-hour-disinfectant-sanitizing-spray-3-ct")</f>
        <v/>
      </c>
      <c r="B1471" s="2">
        <f>HYPERLINK("https://www.shelhealth.com/products/microban-24-hour-disinfectant-sanitizing-spray-3-ct", "https://www.shelhealth.com/products/microban-24-hour-disinfectant-sanitizing-spray-3-ct")</f>
        <v/>
      </c>
      <c r="C1471" t="inlineStr">
        <is>
          <t>Microban 24 Hour Disinfectant Sanitizing Spray, 3 ct.</t>
        </is>
      </c>
      <c r="D1471" t="inlineStr">
        <is>
          <t>Microban Disinfectant Spray, Bathroom &amp; Floor Cleaner, 24 Hour Sanitizing and Antibacterial Spray, Fresh Scent, 22 fl oz (Pack of 4)</t>
        </is>
      </c>
      <c r="E1471" s="2">
        <f>HYPERLINK("https://www.amazon.com/Microban-Disinfectant-Sanitizing-Antibacterial-Bathroom/dp/B08PFQ1LC6/ref=sr_1_4?keywords=Microban+24+Hour+Disinfectant+Sanitizing+Spray%2C+3+ct.&amp;qid=1695170401&amp;sr=8-4", "https://www.amazon.com/Microban-Disinfectant-Sanitizing-Antibacterial-Bathroom/dp/B08PFQ1LC6/ref=sr_1_4?keywords=Microban+24+Hour+Disinfectant+Sanitizing+Spray%2C+3+ct.&amp;qid=1695170401&amp;sr=8-4")</f>
        <v/>
      </c>
      <c r="F1471" t="inlineStr">
        <is>
          <t>B08PFQ1LC6</t>
        </is>
      </c>
      <c r="G1471">
        <f>_xludf.IMAGE("https://www.shelhealth.com/cdn/shop/products/microban-24-hour-disinfectant-sanitizing-spray-3-ct-shelhealth-863.jpg?v=1663372971&amp;width=1946")</f>
        <v/>
      </c>
      <c r="H1471">
        <f>_xludf.IMAGE("https://m.media-amazon.com/images/I/81iWDSb1DcL._AC_UL320_.jpg")</f>
        <v/>
      </c>
      <c r="K1471" t="inlineStr">
        <is>
          <t>27.99</t>
        </is>
      </c>
      <c r="L1471" t="n">
        <v>23.49</v>
      </c>
      <c r="M1471" s="1" t="inlineStr">
        <is>
          <t>-16.08%</t>
        </is>
      </c>
      <c r="N1471" s="3" t="n">
        <v>-16.08</v>
      </c>
      <c r="O1471" t="n">
        <v>4.6</v>
      </c>
      <c r="P1471" t="n">
        <v>2707</v>
      </c>
      <c r="R1471" t="inlineStr">
        <is>
          <t>InStock</t>
        </is>
      </c>
      <c r="S1471" t="inlineStr">
        <is>
          <t>27.99</t>
        </is>
      </c>
      <c r="T1471" t="inlineStr">
        <is>
          <t>4697907855449</t>
        </is>
      </c>
    </row>
    <row r="1472" hidden="1" ht="15.75" customHeight="1">
      <c r="A1472" s="2">
        <f>HYPERLINK("https://www.shelhealth.com/products/639713990881-evolution-salt-lamp-salt-himalyan-white-6-lb", "https://www.shelhealth.com/products/639713990881-evolution-salt-lamp-salt-himalyan-white-6-lb")</f>
        <v/>
      </c>
      <c r="B1472" s="2">
        <f>HYPERLINK("https://www.shelhealth.com/products/639713990881-evolution-salt-lamp-salt-himalyan-white-6-lb", "https://www.shelhealth.com/products/639713990881-evolution-salt-lamp-salt-himalyan-white-6-lb")</f>
        <v/>
      </c>
      <c r="C1472" t="inlineStr">
        <is>
          <t>EVOLUTION SALT Lamp Salt Himalyan White, 6 lb</t>
        </is>
      </c>
      <c r="D1472" t="inlineStr">
        <is>
          <t>Evolution Salt - Fire Bowl Himalayan Salt Lamp 6" 6-7 lbs</t>
        </is>
      </c>
      <c r="E1472" s="2">
        <f>HYPERLINK("https://www.amazon.com/Evolution-Salt-Fire-Bowl-Himalayan/dp/B009Y804R8/ref=sr_1_1?keywords=evolution+salt+lamp+salt+himalayan+white%2C+6+lb&amp;qid=1695170512&amp;sr=8-1", "https://www.amazon.com/Evolution-Salt-Fire-Bowl-Himalayan/dp/B009Y804R8/ref=sr_1_1?keywords=evolution+salt+lamp+salt+himalayan+white%2C+6+lb&amp;qid=1695170512&amp;sr=8-1")</f>
        <v/>
      </c>
      <c r="F1472" t="inlineStr">
        <is>
          <t>B009Y804R8</t>
        </is>
      </c>
      <c r="G1472">
        <f>_xludf.IMAGE("https://www.shelhealth.com/cdn/shop/files/evolution-salt-lamp-himalyan-white-6-lb-home-products-shelhealth-446.jpg?v=1686211505&amp;width=1946")</f>
        <v/>
      </c>
      <c r="H1472">
        <f>_xludf.IMAGE("https://m.media-amazon.com/images/I/713UwVX-zmL._AC_UL320_.jpg")</f>
        <v/>
      </c>
      <c r="K1472" t="inlineStr">
        <is>
          <t>33.99</t>
        </is>
      </c>
      <c r="L1472" t="n">
        <v>28.47</v>
      </c>
      <c r="M1472" s="1" t="inlineStr">
        <is>
          <t>-16.24%</t>
        </is>
      </c>
      <c r="N1472" s="3" t="n">
        <v>-16.24</v>
      </c>
      <c r="O1472" t="n">
        <v>3.7</v>
      </c>
      <c r="P1472" t="n">
        <v>6</v>
      </c>
      <c r="R1472" t="inlineStr">
        <is>
          <t>OutOfStock</t>
        </is>
      </c>
      <c r="S1472" t="inlineStr">
        <is>
          <t>33.99</t>
        </is>
      </c>
      <c r="T1472" t="inlineStr">
        <is>
          <t>7574079537384</t>
        </is>
      </c>
    </row>
    <row r="1473" hidden="1" ht="15.75" customHeight="1">
      <c r="A1473" s="2">
        <f>HYPERLINK("https://www.shelhealth.com/products/cascade-complete-powder-dishwasher-detergent-155-oz", "https://www.shelhealth.com/products/cascade-complete-powder-dishwasher-detergent-155-oz")</f>
        <v/>
      </c>
      <c r="B1473" s="2">
        <f>HYPERLINK("https://www.shelhealth.com/products/cascade-complete-powder-dishwasher-detergent-155-oz", "https://www.shelhealth.com/products/cascade-complete-powder-dishwasher-detergent-155-oz")</f>
        <v/>
      </c>
      <c r="C1473" t="inlineStr">
        <is>
          <t>Cascade Complete Powder Dishwasher Detergent, 155 oz.</t>
        </is>
      </c>
      <c r="D1473" t="inlineStr">
        <is>
          <t>Cascade Complete Powder All-in-1 Dishwasher Detergent - 75 oz - Fresh - 2 pk</t>
        </is>
      </c>
      <c r="E1473" s="2">
        <f>HYPERLINK("https://www.amazon.com/Cascade-Complete-Powder-Dishwasher-Detergent/dp/B006K3XTYU/ref=sr_1_3?keywords=Cascade+Complete+Powder+Dishwasher+Detergent%2C+155+oz.&amp;qid=1695170386&amp;sr=8-3", "https://www.amazon.com/Cascade-Complete-Powder-Dishwasher-Detergent/dp/B006K3XTYU/ref=sr_1_3?keywords=Cascade+Complete+Powder+Dishwasher+Detergent%2C+155+oz.&amp;qid=1695170386&amp;sr=8-3")</f>
        <v/>
      </c>
      <c r="F1473" t="inlineStr">
        <is>
          <t>B006K3XTYU</t>
        </is>
      </c>
      <c r="G1473">
        <f>_xludf.IMAGE("https://www.shelhealth.com/cdn/shop/products/cascade-complete-powder-dishwasher-detergent-155-oz-shelhealth-864.jpg?v=1663355097&amp;width=1946")</f>
        <v/>
      </c>
      <c r="H1473">
        <f>_xludf.IMAGE("https://m.media-amazon.com/images/I/711zQ7tOWJL._AC_UL320_.jpg")</f>
        <v/>
      </c>
      <c r="K1473" t="inlineStr">
        <is>
          <t>30.99</t>
        </is>
      </c>
      <c r="L1473" t="n">
        <v>25.8</v>
      </c>
      <c r="M1473" s="1" t="inlineStr">
        <is>
          <t>-16.75%</t>
        </is>
      </c>
      <c r="N1473" s="3" t="n">
        <v>-16.75</v>
      </c>
      <c r="O1473" t="n">
        <v>4.8</v>
      </c>
      <c r="P1473" t="n">
        <v>1650</v>
      </c>
      <c r="R1473" t="inlineStr">
        <is>
          <t>InStock</t>
        </is>
      </c>
      <c r="S1473" t="inlineStr">
        <is>
          <t>30.99</t>
        </is>
      </c>
      <c r="T1473" t="inlineStr">
        <is>
          <t>4169653026868</t>
        </is>
      </c>
    </row>
    <row r="1474" hidden="1" ht="15.75" customHeight="1">
      <c r="A1474" s="2">
        <f>HYPERLINK("https://www.shelhealth.com/products/bicycle-jumbo-playing-cards-12-pk", "https://www.shelhealth.com/products/bicycle-jumbo-playing-cards-12-pk")</f>
        <v/>
      </c>
      <c r="B1474" s="2">
        <f>HYPERLINK("https://www.shelhealth.com/products/bicycle-jumbo-playing-cards-12-pk", "https://www.shelhealth.com/products/bicycle-jumbo-playing-cards-12-pk")</f>
        <v/>
      </c>
      <c r="C1474" t="inlineStr">
        <is>
          <t>Bicycle Jumbo Playing Cards, 12 pk.</t>
        </is>
      </c>
      <c r="D1474" t="inlineStr">
        <is>
          <t>Bicycle Playing Cards, Jumbo Index, 12 Pack,Red &amp; Blue</t>
        </is>
      </c>
      <c r="E1474" s="2">
        <f>HYPERLINK("https://www.amazon.com/Bicycle-Jumbo-Playing-Cards-Pack/dp/B08L5KQWWP/ref=sr_1_1?keywords=Bicycle+Jumbo+Playing+Cards%2C+12+pk.&amp;qid=1695170557&amp;sr=8-1", "https://www.amazon.com/Bicycle-Jumbo-Playing-Cards-Pack/dp/B08L5KQWWP/ref=sr_1_1?keywords=Bicycle+Jumbo+Playing+Cards%2C+12+pk.&amp;qid=1695170557&amp;sr=8-1")</f>
        <v/>
      </c>
      <c r="F1474" t="inlineStr">
        <is>
          <t>B08L5KQWWP</t>
        </is>
      </c>
      <c r="G1474">
        <f>_xludf.IMAGE("https://www.shelhealth.com/cdn/shop/files/bicycle-jumbo-playing-cards-12-pk-toysindoor-play-unbranded-shelhealth-598.jpg?v=1686283904&amp;width=1946")</f>
        <v/>
      </c>
      <c r="H1474">
        <f>_xludf.IMAGE("https://m.media-amazon.com/images/I/61nq9wPwpqS._AC_UL320_.jpg")</f>
        <v/>
      </c>
      <c r="K1474" t="inlineStr">
        <is>
          <t>35.99</t>
        </is>
      </c>
      <c r="L1474" t="n">
        <v>29.87</v>
      </c>
      <c r="M1474" s="1" t="inlineStr">
        <is>
          <t>-17.00%</t>
        </is>
      </c>
      <c r="N1474" s="3" t="n">
        <v>-17</v>
      </c>
      <c r="O1474" t="n">
        <v>4.8</v>
      </c>
      <c r="P1474" t="n">
        <v>2362</v>
      </c>
      <c r="R1474" t="inlineStr">
        <is>
          <t>InStock</t>
        </is>
      </c>
      <c r="S1474" t="inlineStr">
        <is>
          <t>35.99</t>
        </is>
      </c>
      <c r="T1474" t="inlineStr">
        <is>
          <t>4179186679860</t>
        </is>
      </c>
    </row>
    <row r="1475" hidden="1" ht="15.75" customHeight="1">
      <c r="A1475" s="2">
        <f>HYPERLINK("https://www.shelhealth.com/products/808124113664-mrs-meyers-clean-day-snowdrop-soy-candle-large-7-2-oz", "https://www.shelhealth.com/products/808124113664-mrs-meyers-clean-day-snowdrop-soy-candle-large-7-2-oz")</f>
        <v/>
      </c>
      <c r="B1475" s="2">
        <f>HYPERLINK("https://www.shelhealth.com/products/808124113664-mrs-meyers-clean-day-snowdrop-soy-candle-large-7-2-oz", "https://www.shelhealth.com/products/808124113664-mrs-meyers-clean-day-snowdrop-soy-candle-large-7-2-oz")</f>
        <v/>
      </c>
      <c r="C1475" t="inlineStr">
        <is>
          <t>MRS MEYERS CLEAN DAY Snowdrop Soy Candle Large, 7.2 oz</t>
        </is>
      </c>
      <c r="D1475" t="inlineStr">
        <is>
          <t>MRS. MEYER'S CLEAN DAY Soy Aromatherapy Candle, 35 Hour Burn Time, Made with Soy Wax and Essential Oils, Basil, 7.2 oz</t>
        </is>
      </c>
      <c r="E1475" s="2">
        <f>HYPERLINK("https://www.amazon.com/MRS-MEYERS-CLEAN-DAY-Aromatherapy/dp/B00PACK134/ref=sr_1_4?keywords=MRS+MEYERS+CLEAN+DAY+Snowdrop+Soy+Candle+Large%2C+7.2+oz&amp;qid=1695170518&amp;sr=8-4", "https://www.amazon.com/MRS-MEYERS-CLEAN-DAY-Aromatherapy/dp/B00PACK134/ref=sr_1_4?keywords=MRS+MEYERS+CLEAN+DAY+Snowdrop+Soy+Candle+Large%2C+7.2+oz&amp;qid=1695170518&amp;sr=8-4")</f>
        <v/>
      </c>
      <c r="F1475" t="inlineStr">
        <is>
          <t>B00PACK134</t>
        </is>
      </c>
      <c r="G1475">
        <f>_xludf.IMAGE("https://www.shelhealth.com/cdn/shop/files/mrs-meyers-clean-day-snowdrop-soy-candle-large-7-2-oz-home-products-shelhealth-652.jpg?v=1686219986&amp;width=1946")</f>
        <v/>
      </c>
      <c r="H1475">
        <f>_xludf.IMAGE("https://m.media-amazon.com/images/I/61+kQ2IgvZL._AC_UL320_.jpg")</f>
        <v/>
      </c>
      <c r="K1475" t="inlineStr">
        <is>
          <t>14.99</t>
        </is>
      </c>
      <c r="L1475" t="n">
        <v>12.41</v>
      </c>
      <c r="M1475" s="1" t="inlineStr">
        <is>
          <t>-17.21%</t>
        </is>
      </c>
      <c r="N1475" s="3" t="n">
        <v>-17.21</v>
      </c>
      <c r="O1475" t="n">
        <v>4.3</v>
      </c>
      <c r="P1475" t="n">
        <v>409</v>
      </c>
      <c r="R1475" t="inlineStr">
        <is>
          <t>OutOfStock</t>
        </is>
      </c>
      <c r="S1475" t="inlineStr">
        <is>
          <t>14.99</t>
        </is>
      </c>
      <c r="T1475" t="inlineStr">
        <is>
          <t>7574209724648</t>
        </is>
      </c>
    </row>
    <row r="1476" hidden="1" ht="15.75" customHeight="1">
      <c r="A1476" s="2">
        <f>HYPERLINK("https://www.shelhealth.com/products/cascade-original-action-pacs-105-count", "https://www.shelhealth.com/products/cascade-original-action-pacs-105-count")</f>
        <v/>
      </c>
      <c r="B1476" s="2">
        <f>HYPERLINK("https://www.shelhealth.com/products/cascade-original-action-pacs-105-count", "https://www.shelhealth.com/products/cascade-original-action-pacs-105-count")</f>
        <v/>
      </c>
      <c r="C1476" t="inlineStr">
        <is>
          <t>Cascade Original Action Pacs, 105 Count</t>
        </is>
      </c>
      <c r="D1476" t="inlineStr">
        <is>
          <t>Cascade Total Clean 7X POWER Dishwashing Detergent Action Pacs, 105 Count</t>
        </is>
      </c>
      <c r="E1476" s="2">
        <f>HYPERLINK("https://www.amazon.com/Cascade-Total-Dishwashing-Detergent-Action/dp/B01M1OBPA9/ref=sr_1_9?keywords=cascade+original+actionpacs%2C+105+count&amp;qid=1695170388&amp;sr=8-9", "https://www.amazon.com/Cascade-Total-Dishwashing-Detergent-Action/dp/B01M1OBPA9/ref=sr_1_9?keywords=cascade+original+actionpacs%2C+105+count&amp;qid=1695170388&amp;sr=8-9")</f>
        <v/>
      </c>
      <c r="F1476" t="inlineStr">
        <is>
          <t>B01M1OBPA9</t>
        </is>
      </c>
      <c r="G1476">
        <f>_xludf.IMAGE("https://www.shelhealth.com/cdn/shop/products/cascade-original-action-pacs-105-count-shelhealth-334.jpg?v=1663357748&amp;width=1946")</f>
        <v/>
      </c>
      <c r="H1476">
        <f>_xludf.IMAGE("https://m.media-amazon.com/images/I/71+4HZQopkL._AC_UY218_.jpg")</f>
        <v/>
      </c>
      <c r="K1476" t="inlineStr">
        <is>
          <t>28.99</t>
        </is>
      </c>
      <c r="L1476" t="n">
        <v>23.98</v>
      </c>
      <c r="M1476" s="1" t="inlineStr">
        <is>
          <t>-17.28%</t>
        </is>
      </c>
      <c r="N1476" s="3" t="n">
        <v>-17.28</v>
      </c>
      <c r="O1476" t="n">
        <v>4.6</v>
      </c>
      <c r="P1476" t="n">
        <v>155</v>
      </c>
      <c r="R1476" t="inlineStr">
        <is>
          <t>OutOfStock</t>
        </is>
      </c>
      <c r="S1476" t="inlineStr">
        <is>
          <t>28.99</t>
        </is>
      </c>
      <c r="T1476" t="inlineStr">
        <is>
          <t>4253439459380</t>
        </is>
      </c>
    </row>
    <row r="1477" hidden="1" ht="15.75" customHeight="1">
      <c r="A1477" s="2">
        <f>HYPERLINK("https://www.shelhealth.com/products/mavea-10-cup-water-filter-pitcher", "https://www.shelhealth.com/products/mavea-10-cup-water-filter-pitcher")</f>
        <v/>
      </c>
      <c r="B1477" s="2">
        <f>HYPERLINK("https://www.shelhealth.com/products/mavea-10-cup-water-filter-pitcher", "https://www.shelhealth.com/products/mavea-10-cup-water-filter-pitcher")</f>
        <v/>
      </c>
      <c r="C1477" t="inlineStr">
        <is>
          <t>Mavea 10-Cup Water Filter Pitcher</t>
        </is>
      </c>
      <c r="D1477" t="inlineStr">
        <is>
          <t>AQUA CREST Replacement for Brita® Water Filter, Pitchers and Dispensers, Classic OB03, Mavea® 107007, and More, NSF Certified Pitcher Water Filter, 1 Year Filter Supply, 6 Count</t>
        </is>
      </c>
      <c r="E1477" s="2">
        <f>HYPERLINK("https://www.amazon.com/AQUACREST-Replacement-Refrigerator-Compatible-UKF8001AXX/dp/B07G7BT8QV/ref=sr_1_7?keywords=Mavea+10-Cup+Water+Filter+Pitcher&amp;qid=1695170405&amp;sr=8-7", "https://www.amazon.com/AQUACREST-Replacement-Refrigerator-Compatible-UKF8001AXX/dp/B07G7BT8QV/ref=sr_1_7?keywords=Mavea+10-Cup+Water+Filter+Pitcher&amp;qid=1695170405&amp;sr=8-7")</f>
        <v/>
      </c>
      <c r="F1477" t="inlineStr">
        <is>
          <t>B07G7BT8QV</t>
        </is>
      </c>
      <c r="G1477">
        <f>_xludf.IMAGE("https://www.shelhealth.com/cdn/shop/products/mavea-10-cup-water-filter-pitcher-shelhealth-109.jpg?v=1663344360&amp;width=1946")</f>
        <v/>
      </c>
      <c r="H1477">
        <f>_xludf.IMAGE("https://m.media-amazon.com/images/I/71afhg60cbL._AC_UL320_.jpg")</f>
        <v/>
      </c>
      <c r="K1477" t="inlineStr">
        <is>
          <t>23.99</t>
        </is>
      </c>
      <c r="L1477" t="n">
        <v>19.79</v>
      </c>
      <c r="M1477" s="1" t="inlineStr">
        <is>
          <t>-17.51%</t>
        </is>
      </c>
      <c r="N1477" s="3" t="n">
        <v>-17.51</v>
      </c>
      <c r="O1477" t="n">
        <v>4.5</v>
      </c>
      <c r="P1477" t="n">
        <v>13166</v>
      </c>
      <c r="R1477" t="inlineStr">
        <is>
          <t>OutOfStock</t>
        </is>
      </c>
      <c r="S1477" t="inlineStr">
        <is>
          <t>23.99</t>
        </is>
      </c>
      <c r="T1477" t="inlineStr">
        <is>
          <t>3824977379380</t>
        </is>
      </c>
    </row>
    <row r="1478" hidden="1" ht="15.75" customHeight="1">
      <c r="A1478" s="2">
        <f>HYPERLINK("https://www.shelhealth.com/products/639713990904-evolution-salt-lamp-salt-white-himalayan-6-lb", "https://www.shelhealth.com/products/639713990904-evolution-salt-lamp-salt-white-himalayan-6-lb")</f>
        <v/>
      </c>
      <c r="B1478" s="2">
        <f>HYPERLINK("https://www.shelhealth.com/products/639713990904-evolution-salt-lamp-salt-white-himalayan-6-lb", "https://www.shelhealth.com/products/639713990904-evolution-salt-lamp-salt-white-himalayan-6-lb")</f>
        <v/>
      </c>
      <c r="C1478" t="inlineStr">
        <is>
          <t>EVOLUTION SALT Lamp Salt White Himalayan, 6 lb</t>
        </is>
      </c>
      <c r="D1478" t="inlineStr">
        <is>
          <t>Omonic 2 PACK White Himalayan Salt Lamp Night Light Lights Crystal Hand Carved Hymalain Rock Table Lamps(5-8 lbs,6.5-10"),Thailand Rubberplatinum Base, Dimmable Switch Control (Bulbs Included)</t>
        </is>
      </c>
      <c r="E1478" s="2">
        <f>HYPERLINK("https://www.amazon.com/Himalayan-Hymalain-Thailand-Rubberwood-Dimmable/dp/B07DWQ2W29/ref=sr_1_5?keywords=EVOLUTION+SALT+Lamp+Salt+White+Himalayan%2C+6+lb&amp;qid=1695170551&amp;sr=8-5", "https://www.amazon.com/Himalayan-Hymalain-Thailand-Rubberwood-Dimmable/dp/B07DWQ2W29/ref=sr_1_5?keywords=EVOLUTION+SALT+Lamp+Salt+White+Himalayan%2C+6+lb&amp;qid=1695170551&amp;sr=8-5")</f>
        <v/>
      </c>
      <c r="F1478" t="inlineStr">
        <is>
          <t>B07DWQ2W29</t>
        </is>
      </c>
      <c r="G1478">
        <f>_xludf.IMAGE("https://www.shelhealth.com/cdn/shop/files/evolution-salt-lamp-white-himalayan-6-lb-home-products-shelhealth-763.jpg?v=1686211501&amp;width=1946")</f>
        <v/>
      </c>
      <c r="H1478">
        <f>_xludf.IMAGE("https://m.media-amazon.com/images/I/71ZbWF3st-L._AC_UL320_.jpg")</f>
        <v/>
      </c>
      <c r="K1478" t="inlineStr">
        <is>
          <t>54.99</t>
        </is>
      </c>
      <c r="L1478" t="n">
        <v>44.99</v>
      </c>
      <c r="M1478" s="1" t="inlineStr">
        <is>
          <t>-18.19%</t>
        </is>
      </c>
      <c r="N1478" s="3" t="n">
        <v>-18.19</v>
      </c>
      <c r="O1478" t="n">
        <v>4.5</v>
      </c>
      <c r="P1478" t="n">
        <v>23</v>
      </c>
      <c r="R1478" t="inlineStr">
        <is>
          <t>OutOfStock</t>
        </is>
      </c>
      <c r="S1478" t="inlineStr">
        <is>
          <t>54.99</t>
        </is>
      </c>
      <c r="T1478" t="inlineStr">
        <is>
          <t>7574079668456</t>
        </is>
      </c>
    </row>
    <row r="1479" hidden="1" ht="15.75" customHeight="1">
      <c r="A1479" s="2">
        <f>HYPERLINK("https://www.shelhealth.com/products/blue-wilderness-trail-treats-grain-free-biscuits-turkey-recipe-2-x-24-oz", "https://www.shelhealth.com/products/blue-wilderness-trail-treats-grain-free-biscuits-turkey-recipe-2-x-24-oz")</f>
        <v/>
      </c>
      <c r="B1479" s="2">
        <f>HYPERLINK("https://www.shelhealth.com/products/blue-wilderness-trail-treats-grain-free-biscuits-turkey-recipe-2-x-24-oz", "https://www.shelhealth.com/products/blue-wilderness-trail-treats-grain-free-biscuits-turkey-recipe-2-x-24-oz")</f>
        <v/>
      </c>
      <c r="C1479" t="inlineStr">
        <is>
          <t>Blue Wilderness Trail Treats Grain-Free Biscuits Turkey Recipe, 2 x 24 oz.</t>
        </is>
      </c>
      <c r="D1479" t="inlineStr">
        <is>
          <t>BLUE Wilderness Trail Treats Grain-Free Duck Biscuits Dog Treats (Trail Treats Duck Recipe, 10 oz (Pack of 2))</t>
        </is>
      </c>
      <c r="E1479" s="2">
        <f>HYPERLINK("https://www.amazon.com/Wilderness-Treats-Grain-Free-Biscuits-Recipe/dp/B074G3G8ZQ/ref=sr_1_3?keywords=Blue+Wilderness+Trail+Treats+Grain-Free+Biscuits+Turkey+Recipe%2C+2+x+24+oz.&amp;qid=1695170534&amp;sr=8-3", "https://www.amazon.com/Wilderness-Treats-Grain-Free-Biscuits-Recipe/dp/B074G3G8ZQ/ref=sr_1_3?keywords=Blue+Wilderness+Trail+Treats+Grain-Free+Biscuits+Turkey+Recipe%2C+2+x+24+oz.&amp;qid=1695170534&amp;sr=8-3")</f>
        <v/>
      </c>
      <c r="F1479" t="inlineStr">
        <is>
          <t>B074G3G8ZQ</t>
        </is>
      </c>
      <c r="G1479">
        <f>_xludf.IMAGE("https://www.shelhealth.com/cdn/shop/products/blue-wilderness-trail-treats-grain-free-biscuits-turkey-recipe-2-x-24-oz-shelhealth-358.jpg?v=1663885585&amp;width=1946")</f>
        <v/>
      </c>
      <c r="H1479">
        <f>_xludf.IMAGE("https://m.media-amazon.com/images/I/81n5TPC3tTL._AC_UL320_.jpg")</f>
        <v/>
      </c>
      <c r="K1479" t="inlineStr">
        <is>
          <t>26.99</t>
        </is>
      </c>
      <c r="L1479" t="n">
        <v>21.99</v>
      </c>
      <c r="M1479" s="1" t="inlineStr">
        <is>
          <t>-18.53%</t>
        </is>
      </c>
      <c r="N1479" s="3" t="n">
        <v>-18.53</v>
      </c>
      <c r="O1479" t="n">
        <v>4.6</v>
      </c>
      <c r="P1479" t="n">
        <v>14</v>
      </c>
      <c r="R1479" t="inlineStr">
        <is>
          <t>InStock</t>
        </is>
      </c>
      <c r="S1479" t="inlineStr">
        <is>
          <t>26.99</t>
        </is>
      </c>
      <c r="T1479" t="inlineStr">
        <is>
          <t>7861978792168</t>
        </is>
      </c>
    </row>
    <row r="1480" hidden="1" ht="15.75" customHeight="1">
      <c r="A1480" s="2">
        <f>HYPERLINK("https://www.shelhealth.com/products/895454002676-better-life-pomegranate-all-purpose-cleaner-32-oz", "https://www.shelhealth.com/products/895454002676-better-life-pomegranate-all-purpose-cleaner-32-oz")</f>
        <v/>
      </c>
      <c r="B1480" s="2">
        <f>HYPERLINK("https://www.shelhealth.com/products/895454002676-better-life-pomegranate-all-purpose-cleaner-32-oz", "https://www.shelhealth.com/products/895454002676-better-life-pomegranate-all-purpose-cleaner-32-oz")</f>
        <v/>
      </c>
      <c r="C1480" t="inlineStr">
        <is>
          <t>Better Life Pomegranate All Purpose Cleaner, 32 Oz (Case of 3)</t>
        </is>
      </c>
      <c r="D1480" t="inlineStr">
        <is>
          <t>Better Life All Purpose Cleaner - Multipurpose Home and Kitchen Cleaning Spray for Glass, Countertops, Appliances, Upholstery &amp; More - Multi-surface Spray Cleaner - 32oz (Pack of 2) Pomegranate</t>
        </is>
      </c>
      <c r="E1480" s="2">
        <f>HYPERLINK("https://www.amazon.com/Better-Life-All-Purpose-Cleaner-Pomegranate/dp/B075CVZWMJ/ref=sr_1_1?keywords=Better+Life+Pomegranate+All+Purpose+Cleaner%2C+32+Oz+%28Case+of+3%29&amp;qid=1695170464&amp;sr=8-1", "https://www.amazon.com/Better-Life-All-Purpose-Cleaner-Pomegranate/dp/B075CVZWMJ/ref=sr_1_1?keywords=Better+Life+Pomegranate+All+Purpose+Cleaner%2C+32+Oz+%28Case+of+3%29&amp;qid=1695170464&amp;sr=8-1")</f>
        <v/>
      </c>
      <c r="F1480" t="inlineStr">
        <is>
          <t>B075CVZWMJ</t>
        </is>
      </c>
      <c r="G1480">
        <f>_xludf.IMAGE("https://www.shelhealth.com/cdn/shop/files/better-life-pomegranate-all-purpose-cleaner-32-oz-case-of-3-home-products-shelhealth-442.jpg?v=1686522769&amp;width=1946")</f>
        <v/>
      </c>
      <c r="H1480">
        <f>_xludf.IMAGE("https://m.media-amazon.com/images/I/81I9QAL40kL._AC_UL320_.jpg")</f>
        <v/>
      </c>
      <c r="K1480" t="inlineStr">
        <is>
          <t>23.99</t>
        </is>
      </c>
      <c r="L1480" t="n">
        <v>19.47</v>
      </c>
      <c r="M1480" s="1" t="inlineStr">
        <is>
          <t>-18.84%</t>
        </is>
      </c>
      <c r="N1480" s="3" t="n">
        <v>-18.84</v>
      </c>
      <c r="O1480" t="n">
        <v>4.6</v>
      </c>
      <c r="P1480" t="n">
        <v>16097</v>
      </c>
      <c r="R1480" t="inlineStr">
        <is>
          <t>InStock</t>
        </is>
      </c>
      <c r="S1480" t="inlineStr">
        <is>
          <t>23.99</t>
        </is>
      </c>
      <c r="T1480" t="inlineStr">
        <is>
          <t>7241505177788</t>
        </is>
      </c>
    </row>
    <row r="1481" hidden="1" ht="15.75" customHeight="1">
      <c r="A1481" s="2">
        <f>HYPERLINK("https://www.shelhealth.com/products/663204352209-zum-frankincense-and-myrrh-laundry-soap-64-fo", "https://www.shelhealth.com/products/663204352209-zum-frankincense-and-myrrh-laundry-soap-64-fo")</f>
        <v/>
      </c>
      <c r="B1481" s="2">
        <f>HYPERLINK("https://www.shelhealth.com/products/663204352209-zum-frankincense-and-myrrh-laundry-soap-64-fo", "https://www.shelhealth.com/products/663204352209-zum-frankincense-and-myrrh-laundry-soap-64-fo")</f>
        <v/>
      </c>
      <c r="C1481" t="inlineStr">
        <is>
          <t>ZUM Frankincense And Myrrh Laundry Soap, 64 fo</t>
        </is>
      </c>
      <c r="D1481" t="inlineStr">
        <is>
          <t>Zum Clean Aromatherapy Laundry Soap, Frankincense &amp; Myrrh 64 oz (1.89 l) by zum clean</t>
        </is>
      </c>
      <c r="E1481" s="2">
        <f>HYPERLINK("https://www.amazon.com/Clean-Aromatherapy-Laundry-Frankincense-Myrrh/dp/B01MU82BIR/ref=sr_1_5?keywords=ZUM+Frankincense+And+Myrrh+Laundry+Soap%2C+64+fo&amp;qid=1695170522&amp;sr=8-5", "https://www.amazon.com/Clean-Aromatherapy-Laundry-Frankincense-Myrrh/dp/B01MU82BIR/ref=sr_1_5?keywords=ZUM+Frankincense+And+Myrrh+Laundry+Soap%2C+64+fo&amp;qid=1695170522&amp;sr=8-5")</f>
        <v/>
      </c>
      <c r="F1481" t="inlineStr">
        <is>
          <t>B01MU82BIR</t>
        </is>
      </c>
      <c r="G1481">
        <f>_xludf.IMAGE("https://www.shelhealth.com/cdn/shop/products/zum-frankincense-and-myrrh-laundry-soap-64-fo-shelhealth-871.jpg?v=1663790281&amp;width=1946")</f>
        <v/>
      </c>
      <c r="H1481">
        <f>_xludf.IMAGE("https://m.media-amazon.com/images/I/61Jgy7vzWGL._AC_UL320_.jpg")</f>
        <v/>
      </c>
      <c r="K1481" t="inlineStr">
        <is>
          <t>18.99</t>
        </is>
      </c>
      <c r="L1481" t="n">
        <v>15.4</v>
      </c>
      <c r="M1481" s="1" t="inlineStr">
        <is>
          <t>-18.90%</t>
        </is>
      </c>
      <c r="N1481" s="3" t="n">
        <v>-18.9</v>
      </c>
      <c r="O1481" t="n">
        <v>5</v>
      </c>
      <c r="P1481" t="n">
        <v>8</v>
      </c>
      <c r="R1481" t="inlineStr">
        <is>
          <t>InStock</t>
        </is>
      </c>
      <c r="S1481" t="inlineStr">
        <is>
          <t>18.99</t>
        </is>
      </c>
      <c r="T1481" t="inlineStr">
        <is>
          <t>7574368321768</t>
        </is>
      </c>
    </row>
    <row r="1482" hidden="1" ht="15.75" customHeight="1">
      <c r="A1482" s="2">
        <f>HYPERLINK("https://www.shelhealth.com/products/663204352209-zum-frankincense-and-myrrh-laundry-soap-64-fo", "https://www.shelhealth.com/products/663204352209-zum-frankincense-and-myrrh-laundry-soap-64-fo")</f>
        <v/>
      </c>
      <c r="B1482" s="2">
        <f>HYPERLINK("https://www.shelhealth.com/products/663204352209-zum-frankincense-and-myrrh-laundry-soap-64-fo", "https://www.shelhealth.com/products/663204352209-zum-frankincense-and-myrrh-laundry-soap-64-fo")</f>
        <v/>
      </c>
      <c r="C1482" t="inlineStr">
        <is>
          <t>ZUM Frankincense And Myrrh Laundry Soap, 64 fo</t>
        </is>
      </c>
      <c r="D1482" t="inlineStr">
        <is>
          <t>Zum Clean Aromatherapy Laundry Soap, Frankincense &amp; Myrrh 64 oz (1.89 l)(Pack of 1)</t>
        </is>
      </c>
      <c r="E1482" s="2">
        <f>HYPERLINK("https://www.amazon.com/Clean-Aromatherapy-Laundry-Frankincense-Myrrh/dp/B01CQPDJGI/ref=sr_1_4?keywords=ZUM+Frankincense+And+Myrrh+Laundry+Soap%2C+64+fo&amp;qid=1695170522&amp;sr=8-4", "https://www.amazon.com/Clean-Aromatherapy-Laundry-Frankincense-Myrrh/dp/B01CQPDJGI/ref=sr_1_4?keywords=ZUM+Frankincense+And+Myrrh+Laundry+Soap%2C+64+fo&amp;qid=1695170522&amp;sr=8-4")</f>
        <v/>
      </c>
      <c r="F1482" t="inlineStr">
        <is>
          <t>B01CQPDJGI</t>
        </is>
      </c>
      <c r="G1482">
        <f>_xludf.IMAGE("https://www.shelhealth.com/cdn/shop/products/zum-frankincense-and-myrrh-laundry-soap-64-fo-shelhealth-871.jpg?v=1663790281&amp;width=1946")</f>
        <v/>
      </c>
      <c r="H1482">
        <f>_xludf.IMAGE("https://m.media-amazon.com/images/I/61RRcrMQz2L._AC_UL320_.jpg")</f>
        <v/>
      </c>
      <c r="K1482" t="inlineStr">
        <is>
          <t>18.99</t>
        </is>
      </c>
      <c r="L1482" t="n">
        <v>15.4</v>
      </c>
      <c r="M1482" s="1" t="inlineStr">
        <is>
          <t>-18.90%</t>
        </is>
      </c>
      <c r="N1482" s="3" t="n">
        <v>-18.9</v>
      </c>
      <c r="O1482" t="n">
        <v>4.8</v>
      </c>
      <c r="P1482" t="n">
        <v>103</v>
      </c>
      <c r="R1482" t="inlineStr">
        <is>
          <t>InStock</t>
        </is>
      </c>
      <c r="S1482" t="inlineStr">
        <is>
          <t>18.99</t>
        </is>
      </c>
      <c r="T1482" t="inlineStr">
        <is>
          <t>7574368321768</t>
        </is>
      </c>
    </row>
    <row r="1483" hidden="1" ht="15.75" customHeight="1">
      <c r="A1483" s="2">
        <f>HYPERLINK("https://www.shelhealth.com/products/3m-post-it-notes-3-in-x-3-in-1000-notes", "https://www.shelhealth.com/products/3m-post-it-notes-3-in-x-3-in-1000-notes")</f>
        <v/>
      </c>
      <c r="B1483" s="2">
        <f>HYPERLINK("https://www.shelhealth.com/products/3m-post-it-notes-3-in-x-3-in-1000-notes", "https://www.shelhealth.com/products/3m-post-it-notes-3-in-x-3-in-1000-notes")</f>
        <v/>
      </c>
      <c r="C1483" t="inlineStr">
        <is>
          <t>3M Post-It Notes 3 in. x 3 in. (1000 Notes)</t>
        </is>
      </c>
      <c r="D1483" t="inlineStr">
        <is>
          <t>Post-it Pop-up Notes 3x5 in, 12 Pads, America's’s #1 Favorite Sticky Notes, Canary Yellow, Clean Removal, Recyclable (635-5PKSS)</t>
        </is>
      </c>
      <c r="E1483" s="2">
        <f>HYPERLINK("https://www.amazon.com/Post-Americas-Favorite-12-Pads-635/dp/B0072W4CIU/ref=sr_1_2?keywords=3M+Post-It+Notes+3+in.+x+3+in.+%281000+Notes%29&amp;qid=1695170543&amp;sr=8-2", "https://www.amazon.com/Post-Americas-Favorite-12-Pads-635/dp/B0072W4CIU/ref=sr_1_2?keywords=3M+Post-It+Notes+3+in.+x+3+in.+%281000+Notes%29&amp;qid=1695170543&amp;sr=8-2")</f>
        <v/>
      </c>
      <c r="F1483" t="inlineStr">
        <is>
          <t>B0072W4CIU</t>
        </is>
      </c>
      <c r="G1483">
        <f>_xludf.IMAGE("https://www.shelhealth.com/cdn/shop/products/3m-post-it-notes-3-in-x-1000-shelhealth-901.jpg?v=1663372777&amp;width=1946")</f>
        <v/>
      </c>
      <c r="H1483">
        <f>_xludf.IMAGE("https://m.media-amazon.com/images/I/618pb5-TLeL._AC_UL320_.jpg")</f>
        <v/>
      </c>
      <c r="K1483" t="inlineStr">
        <is>
          <t>27.99</t>
        </is>
      </c>
      <c r="L1483" t="n">
        <v>22.69</v>
      </c>
      <c r="M1483" s="1" t="inlineStr">
        <is>
          <t>-18.94%</t>
        </is>
      </c>
      <c r="N1483" s="3" t="n">
        <v>-18.94</v>
      </c>
      <c r="O1483" t="n">
        <v>4.5</v>
      </c>
      <c r="P1483" t="n">
        <v>25</v>
      </c>
      <c r="R1483" t="inlineStr">
        <is>
          <t>InStock</t>
        </is>
      </c>
      <c r="S1483" t="inlineStr">
        <is>
          <t>27.99</t>
        </is>
      </c>
      <c r="T1483" t="inlineStr">
        <is>
          <t>4696977703001</t>
        </is>
      </c>
    </row>
    <row r="1484" hidden="1" ht="15.75" customHeight="1">
      <c r="A1484" s="2">
        <f>HYPERLINK("https://www.shelhealth.com/products/off-deep-woods-dry-insect-repellent-bug-spray-3-pack-towelettes", "https://www.shelhealth.com/products/off-deep-woods-dry-insect-repellent-bug-spray-3-pack-towelettes")</f>
        <v/>
      </c>
      <c r="B1484" s="2">
        <f>HYPERLINK("https://www.shelhealth.com/products/off-deep-woods-dry-insect-repellent-bug-spray-3-pack-towelettes", "https://www.shelhealth.com/products/off-deep-woods-dry-insect-repellent-bug-spray-3-pack-towelettes")</f>
        <v/>
      </c>
      <c r="C1484" t="inlineStr">
        <is>
          <t>Off! Deep Woods Dry Insect Repellent - Bug Spray 3 Pack &amp; Towelettes</t>
        </is>
      </c>
      <c r="D1484" t="inlineStr">
        <is>
          <t>OFF! Deep Woods Insect Repellent Aerosol, Dry, Non-Greasy Formula, Bug Spray with Long Lasting Protection from Mosquitoes (6 Ounce 3 Ct.)</t>
        </is>
      </c>
      <c r="E1484" s="2">
        <f>HYPERLINK("https://www.amazon.com/OFF-Repellent-Non-Greasy-Protection-Mosquitoes/dp/B0C4RWMGWM/ref=sr_1_4?keywords=Off%21+Deep+Woods+Dry+Insect+Repellent+-+Bug+Spray+3+Pack+%26+Towelettes&amp;qid=1695170549&amp;sr=8-4", "https://www.amazon.com/OFF-Repellent-Non-Greasy-Protection-Mosquitoes/dp/B0C4RWMGWM/ref=sr_1_4?keywords=Off%21+Deep+Woods+Dry+Insect+Repellent+-+Bug+Spray+3+Pack+%26+Towelettes&amp;qid=1695170549&amp;sr=8-4")</f>
        <v/>
      </c>
      <c r="F1484" t="inlineStr">
        <is>
          <t>B0C4RWMGWM</t>
        </is>
      </c>
      <c r="G1484">
        <f>_xludf.IMAGE("https://www.shelhealth.com/cdn/shop/products/off-deep-woods-dry-insect-repellent-bug-spray-3-pack-towelettes-shelhealth-113.jpg?v=1663368386&amp;width=1946")</f>
        <v/>
      </c>
      <c r="H1484">
        <f>_xludf.IMAGE("https://m.media-amazon.com/images/I/51RpF+vG+QL._AC_UL320_.jpg")</f>
        <v/>
      </c>
      <c r="K1484" t="inlineStr">
        <is>
          <t>28.99</t>
        </is>
      </c>
      <c r="L1484" t="n">
        <v>23.49</v>
      </c>
      <c r="M1484" s="1" t="inlineStr">
        <is>
          <t>-18.97%</t>
        </is>
      </c>
      <c r="N1484" s="3" t="n">
        <v>-18.97</v>
      </c>
      <c r="O1484" t="n">
        <v>4.7</v>
      </c>
      <c r="P1484" t="n">
        <v>45</v>
      </c>
      <c r="R1484" t="inlineStr">
        <is>
          <t>OutOfStock</t>
        </is>
      </c>
      <c r="S1484" t="inlineStr">
        <is>
          <t>28.99</t>
        </is>
      </c>
      <c r="T1484" t="inlineStr">
        <is>
          <t>4510503829593</t>
        </is>
      </c>
    </row>
    <row r="1485" hidden="1" ht="15.75" customHeight="1">
      <c r="A1485" s="2">
        <f>HYPERLINK("https://www.shelhealth.com/products/kirkland-signature-premium-fabric-softener-sheets-refreshing-scent-500-count", "https://www.shelhealth.com/products/kirkland-signature-premium-fabric-softener-sheets-refreshing-scent-500-count")</f>
        <v/>
      </c>
      <c r="B1485" s="2">
        <f>HYPERLINK("https://www.shelhealth.com/products/kirkland-signature-premium-fabric-softener-sheets-refreshing-scent-500-count", "https://www.shelhealth.com/products/kirkland-signature-premium-fabric-softener-sheets-refreshing-scent-500-count")</f>
        <v/>
      </c>
      <c r="C1485" t="inlineStr">
        <is>
          <t>Kirkland Signature Premium Fabric Softener Sheets, Refreshing Scent, 500 Count</t>
        </is>
      </c>
      <c r="D1485" t="inlineStr">
        <is>
          <t>Kirkland Signature Fabric Softener Sheets, Refreshing Scent, 250 Count</t>
        </is>
      </c>
      <c r="E1485" s="2">
        <f>HYPERLINK("https://www.amazon.com/Kirkland-Signature-Fabric-Softener-Refreshing/dp/B001O4K7MC/ref=sr_1_1?keywords=Kirkland+Signature+Premium+Fabric+Softener+Sheets%2C+Refreshing+Scent%2C+500+Count&amp;qid=1695170570&amp;sr=8-1", "https://www.amazon.com/Kirkland-Signature-Fabric-Softener-Refreshing/dp/B001O4K7MC/ref=sr_1_1?keywords=Kirkland+Signature+Premium+Fabric+Softener+Sheets%2C+Refreshing+Scent%2C+500+Count&amp;qid=1695170570&amp;sr=8-1")</f>
        <v/>
      </c>
      <c r="F1485" t="inlineStr">
        <is>
          <t>B001O4K7MC</t>
        </is>
      </c>
      <c r="G1485">
        <f>_xludf.IMAGE("https://www.shelhealth.com/cdn/shop/products/kirkland-signature-premium-fabric-softener-sheets-refreshing-scent-500-count-shelhealth-904.jpg?v=1663343165&amp;width=1946")</f>
        <v/>
      </c>
      <c r="H1485">
        <f>_xludf.IMAGE("https://m.media-amazon.com/images/I/61-PSPJ5AqL._AC_UL320_.jpg")</f>
        <v/>
      </c>
      <c r="K1485" t="inlineStr">
        <is>
          <t>17.99</t>
        </is>
      </c>
      <c r="L1485" t="n">
        <v>14.5</v>
      </c>
      <c r="M1485" s="1" t="inlineStr">
        <is>
          <t>-19.40%</t>
        </is>
      </c>
      <c r="N1485" s="3" t="n">
        <v>-19.4</v>
      </c>
      <c r="O1485" t="n">
        <v>4.5</v>
      </c>
      <c r="P1485" t="n">
        <v>68</v>
      </c>
      <c r="R1485" t="inlineStr">
        <is>
          <t>InStock</t>
        </is>
      </c>
      <c r="S1485" t="inlineStr">
        <is>
          <t>17.99</t>
        </is>
      </c>
      <c r="T1485" t="inlineStr">
        <is>
          <t>3819454988340</t>
        </is>
      </c>
    </row>
    <row r="1486" hidden="1" ht="15.75" customHeight="1">
      <c r="A1486" s="2">
        <f>HYPERLINK("https://www.shelhealth.com/products/854016005463-bees-wrap-wrap-roll-honeycomb-12-ea", "https://www.shelhealth.com/products/854016005463-bees-wrap-wrap-roll-honeycomb-12-ea")</f>
        <v/>
      </c>
      <c r="B1486" s="2">
        <f>HYPERLINK("https://www.shelhealth.com/products/854016005463-bees-wrap-wrap-roll-honeycomb-12-ea", "https://www.shelhealth.com/products/854016005463-bees-wrap-wrap-roll-honeycomb-12-ea")</f>
        <v/>
      </c>
      <c r="C1486" t="inlineStr">
        <is>
          <t>Bees Wrap Wrap Roll Honeycomb, 12 Ea</t>
        </is>
      </c>
      <c r="D1486" t="inlineStr">
        <is>
          <t>EcoBee Solutions Beeswax Roll Reusable Food Wrap (60 inches x 12 inches) | Plastic Free, EcoFriendly, Alternative to Glue Wrap, Sustainable, Washable &amp; Biodegradable roll, beewax wrapping</t>
        </is>
      </c>
      <c r="E1486" s="2">
        <f>HYPERLINK("https://www.amazon.com/EcoBee-Solutions-Beeswax-Roll-Biodegradable/dp/B09SMSHG79/ref=sr_1_3?keywords=Bees+Wrap+Wrap+Roll+Honeycomb%2C+12+Ea&amp;qid=1695170502&amp;sr=8-3", "https://www.amazon.com/EcoBee-Solutions-Beeswax-Roll-Biodegradable/dp/B09SMSHG79/ref=sr_1_3?keywords=Bees+Wrap+Wrap+Roll+Honeycomb%2C+12+Ea&amp;qid=1695170502&amp;sr=8-3")</f>
        <v/>
      </c>
      <c r="F1486" t="inlineStr">
        <is>
          <t>B09SMSHG79</t>
        </is>
      </c>
      <c r="G1486">
        <f>_xludf.IMAGE("https://www.shelhealth.com/cdn/shop/files/bees-wrap-roll-honeycomb-12-ea-home-products-shelhealth-258.jpg?v=1686522662&amp;width=1946")</f>
        <v/>
      </c>
      <c r="H1486">
        <f>_xludf.IMAGE("https://m.media-amazon.com/images/I/81bki+Lt1hL._AC_UL320_.jpg")</f>
        <v/>
      </c>
      <c r="K1486" t="inlineStr">
        <is>
          <t>24.99</t>
        </is>
      </c>
      <c r="L1486" t="n">
        <v>19.99</v>
      </c>
      <c r="M1486" s="1" t="inlineStr">
        <is>
          <t>-20.01%</t>
        </is>
      </c>
      <c r="N1486" s="3" t="n">
        <v>-20.01</v>
      </c>
      <c r="O1486" t="n">
        <v>3.9</v>
      </c>
      <c r="P1486" t="n">
        <v>4</v>
      </c>
      <c r="R1486" t="inlineStr">
        <is>
          <t>InStock</t>
        </is>
      </c>
      <c r="S1486" t="inlineStr">
        <is>
          <t>24.99</t>
        </is>
      </c>
      <c r="T1486" t="inlineStr">
        <is>
          <t>7241502687420</t>
        </is>
      </c>
    </row>
    <row r="1487" hidden="1" ht="15.75" customHeight="1">
      <c r="A1487" s="2">
        <f>HYPERLINK("https://www.shelhealth.com/products/oxi-clean-laundry-stain-remover-2-pk-31-fl-oz", "https://www.shelhealth.com/products/oxi-clean-laundry-stain-remover-2-pk-31-fl-oz")</f>
        <v/>
      </c>
      <c r="B1487" s="2">
        <f>HYPERLINK("https://www.shelhealth.com/products/oxi-clean-laundry-stain-remover-2-pk-31-fl-oz", "https://www.shelhealth.com/products/oxi-clean-laundry-stain-remover-2-pk-31-fl-oz")</f>
        <v/>
      </c>
      <c r="C1487" t="inlineStr">
        <is>
          <t>Oxi Clean Laundry Stain Remover, 2 pk./31 fl. oz.</t>
        </is>
      </c>
      <c r="D1487" t="inlineStr">
        <is>
          <t>OxiClean Laundry Stain Remover, 2 Pack of 31 Ounces Per Bottle</t>
        </is>
      </c>
      <c r="E1487" s="2">
        <f>HYPERLINK("https://www.amazon.com/OxiClean-Laundry-Remover-Ounces-Bottle/dp/B099H3Y8G2/ref=sr_1_3?keywords=Oxi+Clean+Laundry+Stain+Remover%2C+2+pk.%2F31+fl.+oz.&amp;qid=1695170390&amp;sr=8-3", "https://www.amazon.com/OxiClean-Laundry-Remover-Ounces-Bottle/dp/B099H3Y8G2/ref=sr_1_3?keywords=Oxi+Clean+Laundry+Stain+Remover%2C+2+pk.%2F31+fl.+oz.&amp;qid=1695170390&amp;sr=8-3")</f>
        <v/>
      </c>
      <c r="F1487" t="inlineStr">
        <is>
          <t>B099H3Y8G2</t>
        </is>
      </c>
      <c r="G1487">
        <f>_xludf.IMAGE("https://www.shelhealth.com/cdn/shop/products/oxi-clean-laundry-stain-remover-2-pk-31-fl-oz-shelhealth-823.jpg?v=1663357059&amp;width=1946")</f>
        <v/>
      </c>
      <c r="H1487">
        <f>_xludf.IMAGE("https://m.media-amazon.com/images/I/61og+206j1S._AC_UL320_.jpg")</f>
        <v/>
      </c>
      <c r="K1487" t="inlineStr">
        <is>
          <t>19.99</t>
        </is>
      </c>
      <c r="L1487" t="n">
        <v>15.99</v>
      </c>
      <c r="M1487" s="1" t="inlineStr">
        <is>
          <t>-20.01%</t>
        </is>
      </c>
      <c r="N1487" s="3" t="n">
        <v>-20.01</v>
      </c>
      <c r="O1487" t="n">
        <v>4.4</v>
      </c>
      <c r="P1487" t="n">
        <v>81</v>
      </c>
      <c r="R1487" t="inlineStr">
        <is>
          <t>OutOfStock</t>
        </is>
      </c>
      <c r="S1487" t="inlineStr">
        <is>
          <t>19.99</t>
        </is>
      </c>
      <c r="T1487" t="inlineStr">
        <is>
          <t>4179138969652</t>
        </is>
      </c>
    </row>
    <row r="1488" hidden="1" ht="15.75" customHeight="1">
      <c r="A1488" s="2">
        <f>HYPERLINK("https://www.shelhealth.com/products/feit-electric-dimmable-led-br-30-flood-65w-soft-white-6-count", "https://www.shelhealth.com/products/feit-electric-dimmable-led-br-30-flood-65w-soft-white-6-count")</f>
        <v/>
      </c>
      <c r="B1488" s="2">
        <f>HYPERLINK("https://www.shelhealth.com/products/feit-electric-dimmable-led-br-30-flood-65w-soft-white-6-count", "https://www.shelhealth.com/products/feit-electric-dimmable-led-br-30-flood-65w-soft-white-6-count")</f>
        <v/>
      </c>
      <c r="C1488" t="inlineStr">
        <is>
          <t>Feit Electric Dimmable Led BR 30 Flood 65W Soft White, 6 Count</t>
        </is>
      </c>
      <c r="D1488" t="inlineStr">
        <is>
          <t>Feit Electric Dimmable Led BR 30 Flood 65W Soft White, 6 Count</t>
        </is>
      </c>
      <c r="E1488" s="2">
        <f>HYPERLINK("https://www.amazon.com/Feit-Dimmable-Flood-Replacement-6-Pack/dp/B079PKLK9Q/ref=sr_1_1?keywords=Feit+Electric+Dimmable+Led+BR+30+Flood+65W+Soft+White%2C+6+Count&amp;qid=1695170551&amp;sr=8-1", "https://www.amazon.com/Feit-Dimmable-Flood-Replacement-6-Pack/dp/B079PKLK9Q/ref=sr_1_1?keywords=Feit+Electric+Dimmable+Led+BR+30+Flood+65W+Soft+White%2C+6+Count&amp;qid=1695170551&amp;sr=8-1")</f>
        <v/>
      </c>
      <c r="F1488" t="inlineStr">
        <is>
          <t>B079PKLK9Q</t>
        </is>
      </c>
      <c r="G1488">
        <f>_xludf.IMAGE("https://www.shelhealth.com/cdn/shop/products/feit-electric-dimmable-led-br-30-flood-65w-soft-white-6-count-shelhealth-424.jpg?v=1663357848&amp;width=1946")</f>
        <v/>
      </c>
      <c r="H1488">
        <f>_xludf.IMAGE("https://m.media-amazon.com/images/I/71z-R9htnxL._AC_UL320_.jpg")</f>
        <v/>
      </c>
      <c r="K1488" t="inlineStr">
        <is>
          <t>21.99</t>
        </is>
      </c>
      <c r="L1488" t="n">
        <v>17.57</v>
      </c>
      <c r="M1488" s="1" t="inlineStr">
        <is>
          <t>-20.10%</t>
        </is>
      </c>
      <c r="N1488" s="3" t="n">
        <v>-20.1</v>
      </c>
      <c r="O1488" t="n">
        <v>4.6</v>
      </c>
      <c r="P1488" t="n">
        <v>758</v>
      </c>
      <c r="R1488" t="inlineStr">
        <is>
          <t>InStock</t>
        </is>
      </c>
      <c r="S1488" t="inlineStr">
        <is>
          <t>21.99</t>
        </is>
      </c>
      <c r="T1488" t="inlineStr">
        <is>
          <t>4268904579124</t>
        </is>
      </c>
    </row>
    <row r="1489" hidden="1" ht="15.75" customHeight="1">
      <c r="A1489" s="2">
        <f>HYPERLINK("https://www.shelhealth.com/products/glad-30-gal-black-drawstring-plastic-trash-bags-90-ct-black", "https://www.shelhealth.com/products/glad-30-gal-black-drawstring-plastic-trash-bags-90-ct-black")</f>
        <v/>
      </c>
      <c r="B1489" s="2">
        <f>HYPERLINK("https://www.shelhealth.com/products/glad-30-gal-black-drawstring-plastic-trash-bags-90-ct-black", "https://www.shelhealth.com/products/glad-30-gal-black-drawstring-plastic-trash-bags-90-ct-black")</f>
        <v/>
      </c>
      <c r="C1489" t="inlineStr">
        <is>
          <t>Glad 30-gal. Black Drawstring Plastic Trash Bags, 90 ct. - Black</t>
        </is>
      </c>
      <c r="D1489" t="inlineStr">
        <is>
          <t>GLAD Drawstring Large Trash Bags, 30 X 33, 30gal, 1.05mil, Black, 90/carton</t>
        </is>
      </c>
      <c r="E1489" s="2">
        <f>HYPERLINK("https://www.amazon.com/Clorox-78952-Drawstring-1-05mil-Carton/dp/B072HNXXP6/ref=sr_1_2?keywords=Glad+30-gal.+Black+Drawstring+Plastic+Trash+Bags%2C+90+ct.+-+Black&amp;qid=1695170565&amp;sr=8-2", "https://www.amazon.com/Clorox-78952-Drawstring-1-05mil-Carton/dp/B072HNXXP6/ref=sr_1_2?keywords=Glad+30-gal.+Black+Drawstring+Plastic+Trash+Bags%2C+90+ct.+-+Black&amp;qid=1695170565&amp;sr=8-2")</f>
        <v/>
      </c>
      <c r="F1489" t="inlineStr">
        <is>
          <t>B072HNXXP6</t>
        </is>
      </c>
      <c r="G1489">
        <f>_xludf.IMAGE("https://www.shelhealth.com/cdn/shop/products/glad-30-gal-black-drawstring-plastic-trash-bags-90-ct-shelhealth-411.jpg?v=1663354941&amp;width=1946")</f>
        <v/>
      </c>
      <c r="H1489">
        <f>_xludf.IMAGE("https://m.media-amazon.com/images/I/61YTsCRHMuL._AC_UL320_.jpg")</f>
        <v/>
      </c>
      <c r="K1489" t="inlineStr">
        <is>
          <t>38.99</t>
        </is>
      </c>
      <c r="L1489" t="n">
        <v>30.99</v>
      </c>
      <c r="M1489" s="1" t="inlineStr">
        <is>
          <t>-20.52%</t>
        </is>
      </c>
      <c r="N1489" s="3" t="n">
        <v>-20.52</v>
      </c>
      <c r="O1489" t="n">
        <v>4.7</v>
      </c>
      <c r="P1489" t="n">
        <v>793</v>
      </c>
      <c r="R1489" t="inlineStr">
        <is>
          <t>InStock</t>
        </is>
      </c>
      <c r="S1489" t="inlineStr">
        <is>
          <t>38.99</t>
        </is>
      </c>
      <c r="T1489" t="inlineStr">
        <is>
          <t>4169522544692</t>
        </is>
      </c>
    </row>
    <row r="1490" hidden="1" ht="15.75" customHeight="1">
      <c r="A1490" s="2">
        <f>HYPERLINK("https://www.shelhealth.com/products/o-cedar-dual-action-micro-fiber-flip-mop", "https://www.shelhealth.com/products/o-cedar-dual-action-micro-fiber-flip-mop")</f>
        <v/>
      </c>
      <c r="B1490" s="2">
        <f>HYPERLINK("https://www.shelhealth.com/products/o-cedar-dual-action-micro-fiber-flip-mop", "https://www.shelhealth.com/products/o-cedar-dual-action-micro-fiber-flip-mop")</f>
        <v/>
      </c>
      <c r="C1490" t="inlineStr">
        <is>
          <t>O-Cedar Dual-Action Micro Fiber Flip Mop</t>
        </is>
      </c>
      <c r="D1490" t="inlineStr">
        <is>
          <t>2 Pack Microfiber Flip Mop Refills，Compatible with O-Cedar Dual Action Flat Mop，Replacement Mop Heads for Dry/Wet Use，Machine Washable Reusable Mop Pads，for Wood，Laminate，Tile，Vinyl Floors</t>
        </is>
      </c>
      <c r="E1490" s="2">
        <f>HYPERLINK("https://www.amazon.com/Microfiber-Reusable-Cleaning-Replacement-Washable/dp/B09NDND766/ref=sr_1_6?keywords=o-cedar+dual-action+microfiber+flip+mop&amp;qid=1695170453&amp;sr=8-6", "https://www.amazon.com/Microfiber-Reusable-Cleaning-Replacement-Washable/dp/B09NDND766/ref=sr_1_6?keywords=o-cedar+dual-action+microfiber+flip+mop&amp;qid=1695170453&amp;sr=8-6")</f>
        <v/>
      </c>
      <c r="F1490" t="inlineStr">
        <is>
          <t>B09NDND766</t>
        </is>
      </c>
      <c r="G1490">
        <f>_xludf.IMAGE("https://www.shelhealth.com/cdn/shop/products/o-cedar-dual-action-micro-fiber-flip-mop-shelhealth-130.jpg?v=1663357602&amp;width=1946")</f>
        <v/>
      </c>
      <c r="H1490">
        <f>_xludf.IMAGE("https://m.media-amazon.com/images/I/71qWmoio-dL._AC_UL320_.jpg")</f>
        <v/>
      </c>
      <c r="K1490" t="inlineStr">
        <is>
          <t>23.99</t>
        </is>
      </c>
      <c r="L1490" t="n">
        <v>18.99</v>
      </c>
      <c r="M1490" s="1" t="inlineStr">
        <is>
          <t>-20.84%</t>
        </is>
      </c>
      <c r="N1490" s="3" t="n">
        <v>-20.84</v>
      </c>
      <c r="O1490" t="n">
        <v>4.3</v>
      </c>
      <c r="P1490" t="n">
        <v>17</v>
      </c>
      <c r="R1490" t="inlineStr">
        <is>
          <t>OutOfStock</t>
        </is>
      </c>
      <c r="S1490" t="inlineStr">
        <is>
          <t>23.99</t>
        </is>
      </c>
      <c r="T1490" t="inlineStr">
        <is>
          <t>4251125514292</t>
        </is>
      </c>
    </row>
    <row r="1491" hidden="1" ht="15.75" customHeight="1">
      <c r="A1491" s="2">
        <f>HYPERLINK("https://www.shelhealth.com/products/scotch-brite-heavy-duty-scrub-sponge-21-sponges-total", "https://www.shelhealth.com/products/scotch-brite-heavy-duty-scrub-sponge-21-sponges-total")</f>
        <v/>
      </c>
      <c r="B1491" s="2">
        <f>HYPERLINK("https://www.shelhealth.com/products/scotch-brite-heavy-duty-scrub-sponge-21-sponges-total", "https://www.shelhealth.com/products/scotch-brite-heavy-duty-scrub-sponge-21-sponges-total")</f>
        <v/>
      </c>
      <c r="C1491" t="inlineStr">
        <is>
          <t>Scotch-Brite Heavy Duty Scrub Sponge, 21 Sponges Total</t>
        </is>
      </c>
      <c r="D1491" t="inlineStr">
        <is>
          <t>Scotch-Brite Heavy Duty Scrub Sponge, Extra Large Size, 1-Sponge/Pk, 6-Packs (6 Sponges Total)</t>
        </is>
      </c>
      <c r="E1491" s="2">
        <f>HYPERLINK("https://www.amazon.com/Scotch-Brite-Sponge-1-Sponge-6-Packs-Sponges/dp/B0044R3OPS/ref=sr_1_5?keywords=Scotch-Brite+Heavy+Duty+Scrub+Sponge%2C+21+Sponges+Total&amp;qid=1695170390&amp;sr=8-5", "https://www.amazon.com/Scotch-Brite-Sponge-1-Sponge-6-Packs-Sponges/dp/B0044R3OPS/ref=sr_1_5?keywords=Scotch-Brite+Heavy+Duty+Scrub+Sponge%2C+21+Sponges+Total&amp;qid=1695170390&amp;sr=8-5")</f>
        <v/>
      </c>
      <c r="F1491" t="inlineStr">
        <is>
          <t>B0044R3OPS</t>
        </is>
      </c>
      <c r="G1491">
        <f>_xludf.IMAGE("https://www.shelhealth.com/cdn/shop/products/scotch-brite-heavy-duty-scrub-sponge-21-sponges-total-shelhealth-137.jpg?v=1663342897&amp;width=1946")</f>
        <v/>
      </c>
      <c r="H1491">
        <f>_xludf.IMAGE("https://m.media-amazon.com/images/I/912bGwGE6nL._AC_UL320_.jpg")</f>
        <v/>
      </c>
      <c r="K1491" t="inlineStr">
        <is>
          <t>21.99</t>
        </is>
      </c>
      <c r="L1491" t="n">
        <v>17.4</v>
      </c>
      <c r="M1491" s="1" t="inlineStr">
        <is>
          <t>-20.87%</t>
        </is>
      </c>
      <c r="N1491" s="3" t="n">
        <v>-20.87</v>
      </c>
      <c r="O1491" t="n">
        <v>3.3</v>
      </c>
      <c r="P1491" t="n">
        <v>269</v>
      </c>
      <c r="R1491" t="inlineStr">
        <is>
          <t>InStock</t>
        </is>
      </c>
      <c r="S1491" t="inlineStr">
        <is>
          <t>21.99</t>
        </is>
      </c>
      <c r="T1491" t="inlineStr">
        <is>
          <t>3818790748212</t>
        </is>
      </c>
    </row>
    <row r="1492" hidden="1" ht="15.75" customHeight="1">
      <c r="A1492" s="2">
        <f>HYPERLINK("https://www.shelhealth.com/products/berkley-jensen-aaa-alkaline-batteries-48-ct", "https://www.shelhealth.com/products/berkley-jensen-aaa-alkaline-batteries-48-ct")</f>
        <v/>
      </c>
      <c r="B1492" s="2">
        <f>HYPERLINK("https://www.shelhealth.com/products/berkley-jensen-aaa-alkaline-batteries-48-ct", "https://www.shelhealth.com/products/berkley-jensen-aaa-alkaline-batteries-48-ct")</f>
        <v/>
      </c>
      <c r="C1492" t="inlineStr">
        <is>
          <t>Berkley Jensen AAA Alkaline Batteries, 48 ct.</t>
        </is>
      </c>
      <c r="D1492" t="inlineStr">
        <is>
          <t>Berkley &amp; Jensen AAA 1.5 Volts Alkaline 48 Pack Battery</t>
        </is>
      </c>
      <c r="E1492" s="2">
        <f>HYPERLINK("https://www.amazon.com/Berkley-Jensen-Volts-Alkaline-Battery/dp/B018RZ0IHO/ref=sr_1_1?keywords=Berkley+Jensen+AAA+Alkaline+Batteries%2C+48+ct.&amp;qid=1695170561&amp;sr=8-1", "https://www.amazon.com/Berkley-Jensen-Volts-Alkaline-Battery/dp/B018RZ0IHO/ref=sr_1_1?keywords=Berkley+Jensen+AAA+Alkaline+Batteries%2C+48+ct.&amp;qid=1695170561&amp;sr=8-1")</f>
        <v/>
      </c>
      <c r="F1492" t="inlineStr">
        <is>
          <t>B018RZ0IHO</t>
        </is>
      </c>
      <c r="G1492">
        <f>_xludf.IMAGE("https://www.shelhealth.com/cdn/shop/files/berkley-jensen-aaa-alkaline-batteries-48-ct-emergency-preparednessbatteries-shelhealth-433.jpg?v=1686284009&amp;width=1946")</f>
        <v/>
      </c>
      <c r="H1492">
        <f>_xludf.IMAGE("https://m.media-amazon.com/images/I/81UA1QS2wyL._AC_UL320_.jpg")</f>
        <v/>
      </c>
      <c r="K1492" t="inlineStr">
        <is>
          <t>42.99</t>
        </is>
      </c>
      <c r="L1492" t="n">
        <v>34</v>
      </c>
      <c r="M1492" s="1" t="inlineStr">
        <is>
          <t>-20.91%</t>
        </is>
      </c>
      <c r="N1492" s="3" t="n">
        <v>-20.91</v>
      </c>
      <c r="O1492" t="n">
        <v>3.9</v>
      </c>
      <c r="P1492" t="n">
        <v>3</v>
      </c>
      <c r="R1492" t="inlineStr">
        <is>
          <t>InStock</t>
        </is>
      </c>
      <c r="S1492" t="inlineStr">
        <is>
          <t>42.99</t>
        </is>
      </c>
      <c r="T1492" t="inlineStr">
        <is>
          <t>4169883385908</t>
        </is>
      </c>
    </row>
    <row r="1493" hidden="1" ht="15.75" customHeight="1">
      <c r="A1493" s="2">
        <f>HYPERLINK("https://www.shelhealth.com/products/039938710804-creative-converting-plates-l-glow-pumpkin-8-ea", "https://www.shelhealth.com/products/039938710804-creative-converting-plates-l-glow-pumpkin-8-ea")</f>
        <v/>
      </c>
      <c r="B1493" s="2">
        <f>HYPERLINK("https://www.shelhealth.com/products/039938710804-creative-converting-plates-l-glow-pumpkin-8-ea", "https://www.shelhealth.com/products/039938710804-creative-converting-plates-l-glow-pumpkin-8-ea")</f>
        <v/>
      </c>
      <c r="C1493" t="inlineStr">
        <is>
          <t>CREATIVE CONVERTING Plates L Glow Pumpkin, 8 ea (Case of 5)</t>
        </is>
      </c>
      <c r="D1493" t="inlineStr">
        <is>
          <t>Creative Converting 8 Count Sturdy Style Paper Dessert Plates, 7", Glow Party (Pack of 2)</t>
        </is>
      </c>
      <c r="E1493" s="2">
        <f>HYPERLINK("https://www.amazon.com/Creative-Converting-Sturdy-Dessert-Plates/dp/B0CHMWSVKT/ref=sr_1_2?keywords=CREATIVE+CONVERTING+Plates+L+Glow+Pumpkin%2C+8+ea+%28Case+of+5%29&amp;qid=1695170510&amp;sr=8-2", "https://www.amazon.com/Creative-Converting-Sturdy-Dessert-Plates/dp/B0CHMWSVKT/ref=sr_1_2?keywords=CREATIVE+CONVERTING+Plates+L+Glow+Pumpkin%2C+8+ea+%28Case+of+5%29&amp;qid=1695170510&amp;sr=8-2")</f>
        <v/>
      </c>
      <c r="F1493" t="inlineStr">
        <is>
          <t>B0CHMWSVKT</t>
        </is>
      </c>
      <c r="G1493">
        <f>_xludf.IMAGE("https://www.shelhealth.com/cdn/shop/files/creative-converting-plates-l-glow-pumpkin-8-ea-case-of-5-home-products-shelhealth-985.jpg?v=1686208598&amp;width=1946")</f>
        <v/>
      </c>
      <c r="H1493">
        <f>_xludf.IMAGE("https://m.media-amazon.com/images/I/61nFw2zHoEL._AC_UL320_.jpg")</f>
        <v/>
      </c>
      <c r="K1493" t="inlineStr">
        <is>
          <t>7.99</t>
        </is>
      </c>
      <c r="L1493" t="n">
        <v>6.28</v>
      </c>
      <c r="M1493" s="1" t="inlineStr">
        <is>
          <t>-21.40%</t>
        </is>
      </c>
      <c r="N1493" s="3" t="n">
        <v>-21.4</v>
      </c>
      <c r="O1493" t="n">
        <v>4.6</v>
      </c>
      <c r="P1493" t="n">
        <v>251</v>
      </c>
      <c r="R1493" t="inlineStr">
        <is>
          <t>OutOfStock</t>
        </is>
      </c>
      <c r="S1493" t="inlineStr">
        <is>
          <t>7.99</t>
        </is>
      </c>
      <c r="T1493" t="inlineStr">
        <is>
          <t>7574039101672</t>
        </is>
      </c>
    </row>
    <row r="1494" hidden="1" ht="15.75" customHeight="1">
      <c r="A1494" s="2">
        <f>HYPERLINK("https://www.shelhealth.com/products/kirkland-signature-ultra-clean-laundry-detergent-152-pack", "https://www.shelhealth.com/products/kirkland-signature-ultra-clean-laundry-detergent-152-pack")</f>
        <v/>
      </c>
      <c r="B1494" s="2">
        <f>HYPERLINK("https://www.shelhealth.com/products/kirkland-signature-ultra-clean-laundry-detergent-152-pack", "https://www.shelhealth.com/products/kirkland-signature-ultra-clean-laundry-detergent-152-pack")</f>
        <v/>
      </c>
      <c r="C1494" t="inlineStr">
        <is>
          <t>Kirkland Signature Ultra Clean Laundry Detergent (152 Pack)</t>
        </is>
      </c>
      <c r="D1494" t="inlineStr">
        <is>
          <t>Kirkland Signature Ultra CleanLiquid Laundry Detergent, 146 loads, 194 fl oz</t>
        </is>
      </c>
      <c r="E1494" s="2">
        <f>HYPERLINK("https://www.amazon.com/Kirkland-Signature-CleanLiquid-Laundry-Detergent/dp/B084T822JC/ref=sr_1_5?keywords=Kirkland+Signature+Ultra+Clean+Laundry+Detergent+%28152+Pack%29&amp;qid=1695170431&amp;sr=8-5", "https://www.amazon.com/Kirkland-Signature-CleanLiquid-Laundry-Detergent/dp/B084T822JC/ref=sr_1_5?keywords=Kirkland+Signature+Ultra+Clean+Laundry+Detergent+%28152+Pack%29&amp;qid=1695170431&amp;sr=8-5")</f>
        <v/>
      </c>
      <c r="F1494" t="inlineStr">
        <is>
          <t>B084T822JC</t>
        </is>
      </c>
      <c r="G1494">
        <f>_xludf.IMAGE("https://www.shelhealth.com/cdn/shop/products/kirkland-signature-ultra-clean-laundry-detergent-152-pack-shelhealth-652.jpg?v=1663343130&amp;width=1946")</f>
        <v/>
      </c>
      <c r="H1494">
        <f>_xludf.IMAGE("https://m.media-amazon.com/images/I/61YLZFnJRbL._AC_UL320_.jpg")</f>
        <v/>
      </c>
      <c r="K1494" t="inlineStr">
        <is>
          <t>43.99</t>
        </is>
      </c>
      <c r="L1494" t="n">
        <v>34.49</v>
      </c>
      <c r="M1494" s="1" t="inlineStr">
        <is>
          <t>-21.60%</t>
        </is>
      </c>
      <c r="N1494" s="3" t="n">
        <v>-21.6</v>
      </c>
      <c r="O1494" t="n">
        <v>4.3</v>
      </c>
      <c r="P1494" t="n">
        <v>76</v>
      </c>
      <c r="R1494" t="inlineStr">
        <is>
          <t>InStock</t>
        </is>
      </c>
      <c r="S1494" t="inlineStr">
        <is>
          <t>43.99</t>
        </is>
      </c>
      <c r="T1494" t="inlineStr">
        <is>
          <t>3819438309428</t>
        </is>
      </c>
    </row>
    <row r="1495" hidden="1" ht="15.75" customHeight="1">
      <c r="A1495" s="2">
        <f>HYPERLINK("https://www.shelhealth.com/products/rabbit-electric-corkscrew-with-cutter", "https://www.shelhealth.com/products/rabbit-electric-corkscrew-with-cutter")</f>
        <v/>
      </c>
      <c r="B1495" s="2">
        <f>HYPERLINK("https://www.shelhealth.com/products/rabbit-electric-corkscrew-with-cutter", "https://www.shelhealth.com/products/rabbit-electric-corkscrew-with-cutter")</f>
        <v/>
      </c>
      <c r="C1495" t="inlineStr">
        <is>
          <t>Rabbit Electric Corkscrew with Cutter</t>
        </is>
      </c>
      <c r="D1495" t="inlineStr">
        <is>
          <t>Oster Electric Wine Opener and Foil Cutter Kit with CorkScrew and Charging Base, Silver</t>
        </is>
      </c>
      <c r="E1495" s="2">
        <f>HYPERLINK("https://www.amazon.com/Oster-Cordless-Electric-Bottle-Opener/dp/B003YFI0O6/ref=sr_1_5?keywords=Rabbit+Electric+Corkscrew+with+Cutter&amp;qid=1695170554&amp;sr=8-5", "https://www.amazon.com/Oster-Cordless-Electric-Bottle-Opener/dp/B003YFI0O6/ref=sr_1_5?keywords=Rabbit+Electric+Corkscrew+with+Cutter&amp;qid=1695170554&amp;sr=8-5")</f>
        <v/>
      </c>
      <c r="F1495" t="inlineStr">
        <is>
          <t>B003YFI0O6</t>
        </is>
      </c>
      <c r="G1495">
        <f>_xludf.IMAGE("https://www.shelhealth.com/cdn/shop/products/rabbit-electric-corkscrew-with-cutter-shelhealth-844.jpg?v=1663356971&amp;width=1946")</f>
        <v/>
      </c>
      <c r="H1495">
        <f>_xludf.IMAGE("https://m.media-amazon.com/images/I/71jh+rwcjPL._AC_UY218_.jpg")</f>
        <v/>
      </c>
      <c r="K1495" t="inlineStr">
        <is>
          <t>31.99</t>
        </is>
      </c>
      <c r="L1495" t="n">
        <v>24.99</v>
      </c>
      <c r="M1495" s="1" t="inlineStr">
        <is>
          <t>-21.88%</t>
        </is>
      </c>
      <c r="N1495" s="3" t="n">
        <v>-21.88</v>
      </c>
      <c r="O1495" t="n">
        <v>4.5</v>
      </c>
      <c r="P1495" t="n">
        <v>47674</v>
      </c>
      <c r="R1495" t="inlineStr">
        <is>
          <t>OutOfStock</t>
        </is>
      </c>
      <c r="S1495" t="inlineStr">
        <is>
          <t>31.99</t>
        </is>
      </c>
      <c r="T1495" t="inlineStr">
        <is>
          <t>4179121078324</t>
        </is>
      </c>
    </row>
    <row r="1496" hidden="1" ht="15.75" customHeight="1">
      <c r="A1496" s="2">
        <f>HYPERLINK("https://www.shelhealth.com/products/glad-13-gal-tall-kitchen-drawstring-plastic-trash-bags-150-ct-white", "https://www.shelhealth.com/products/glad-13-gal-tall-kitchen-drawstring-plastic-trash-bags-150-ct-white")</f>
        <v/>
      </c>
      <c r="B1496" s="2">
        <f>HYPERLINK("https://www.shelhealth.com/products/glad-13-gal-tall-kitchen-drawstring-plastic-trash-bags-150-ct-white", "https://www.shelhealth.com/products/glad-13-gal-tall-kitchen-drawstring-plastic-trash-bags-150-ct-white")</f>
        <v/>
      </c>
      <c r="C1496" t="inlineStr">
        <is>
          <t>Glad 13-Gal. Tall Kitchen Drawstring Plastic Trash Bags, 150 ct. - White</t>
        </is>
      </c>
      <c r="D1496" t="inlineStr">
        <is>
          <t>GLAD ForceFlex Tall Kitchen Drawstring Trash Bags, 13 Gallon White Trash Bag for Kitchen Trash Can, Gain Moonlight Breeze with Febreze Freshness and Leak Protection, 110 Count (Package May Vary)</t>
        </is>
      </c>
      <c r="E1496" s="2">
        <f>HYPERLINK("https://www.amazon.com/Glad-ForceFlex-Kitchen-Drawstring-Moonlight/dp/B087RLL1J5/ref=sr_1_2?keywords=Glad+13-Gal.+Tall+Kitchen+Drawstring+Plastic+Trash+Bags%2C+150+ct.+-+White&amp;qid=1695170433&amp;sr=8-2", "https://www.amazon.com/Glad-ForceFlex-Kitchen-Drawstring-Moonlight/dp/B087RLL1J5/ref=sr_1_2?keywords=Glad+13-Gal.+Tall+Kitchen+Drawstring+Plastic+Trash+Bags%2C+150+ct.+-+White&amp;qid=1695170433&amp;sr=8-2")</f>
        <v/>
      </c>
      <c r="F1496" t="inlineStr">
        <is>
          <t>B087RLL1J5</t>
        </is>
      </c>
      <c r="G1496">
        <f>_xludf.IMAGE("https://www.shelhealth.com/cdn/shop/products/glad-13-gal-tall-kitchen-drawstring-plastic-trash-bags-150-ct-white-shelhealth-340.jpg?v=1663354914&amp;width=1946")</f>
        <v/>
      </c>
      <c r="H1496">
        <f>_xludf.IMAGE("https://m.media-amazon.com/images/I/71vauCfxjYS._AC_UL320_.jpg")</f>
        <v/>
      </c>
      <c r="K1496" t="inlineStr">
        <is>
          <t>30.99</t>
        </is>
      </c>
      <c r="L1496" t="n">
        <v>24.19</v>
      </c>
      <c r="M1496" s="1" t="inlineStr">
        <is>
          <t>-21.94%</t>
        </is>
      </c>
      <c r="N1496" s="3" t="n">
        <v>-21.94</v>
      </c>
      <c r="O1496" t="n">
        <v>4.8</v>
      </c>
      <c r="P1496" t="n">
        <v>13461</v>
      </c>
      <c r="R1496" t="inlineStr">
        <is>
          <t>InStock</t>
        </is>
      </c>
      <c r="S1496" t="inlineStr">
        <is>
          <t>30.99</t>
        </is>
      </c>
      <c r="T1496" t="inlineStr">
        <is>
          <t>4169511305268</t>
        </is>
      </c>
    </row>
    <row r="1497" hidden="1" ht="15.75" customHeight="1">
      <c r="A1497" s="2">
        <f>HYPERLINK("https://www.shelhealth.com/products/808124701120-mrs-meyers-clean-day-laundry-detergent-honeysuckle-2x-64-oz", "https://www.shelhealth.com/products/808124701120-mrs-meyers-clean-day-laundry-detergent-honeysuckle-2x-64-oz")</f>
        <v/>
      </c>
      <c r="B1497" s="2">
        <f>HYPERLINK("https://www.shelhealth.com/products/808124701120-mrs-meyers-clean-day-laundry-detergent-honeysuckle-2x-64-oz", "https://www.shelhealth.com/products/808124701120-mrs-meyers-clean-day-laundry-detergent-honeysuckle-2x-64-oz")</f>
        <v/>
      </c>
      <c r="C1497" t="inlineStr">
        <is>
          <t>Mrs Meyers Clean Day Laundry Detergent Honeysuckle 2X, 64 Oz</t>
        </is>
      </c>
      <c r="D1497" t="inlineStr">
        <is>
          <t>MRS. MEYER'S CLEAN DAY Baby Laundry Detergent Liquid, Infused with Essential Oils, Baby Blossom, 64oz (64 Loads)</t>
        </is>
      </c>
      <c r="E1497" s="2">
        <f>HYPERLINK("https://www.amazon.com/Mrs-Meyers-Laundry-Detergent-Blossom/dp/B00CRATWXM/ref=sr_1_8?keywords=Mrs+Meyers+Clean+Day+Laundry+Detergent+Honeysuckle+2X%2C+64+Oz&amp;qid=1695170536&amp;sr=8-8", "https://www.amazon.com/Mrs-Meyers-Laundry-Detergent-Blossom/dp/B00CRATWXM/ref=sr_1_8?keywords=Mrs+Meyers+Clean+Day+Laundry+Detergent+Honeysuckle+2X%2C+64+Oz&amp;qid=1695170536&amp;sr=8-8")</f>
        <v/>
      </c>
      <c r="F1497" t="inlineStr">
        <is>
          <t>B00CRATWXM</t>
        </is>
      </c>
      <c r="G1497">
        <f>_xludf.IMAGE("https://www.shelhealth.com/cdn/shop/files/mrs-meyers-clean-day-laundry-detergent-honeysuckle-2x-64-oz-home-products-shelhealth-133.jpg?v=1686486311&amp;width=1946")</f>
        <v/>
      </c>
      <c r="H1497">
        <f>_xludf.IMAGE("https://m.media-amazon.com/images/I/61NHv-Nl8cL._AC_UL320_.jpg")</f>
        <v/>
      </c>
      <c r="K1497" t="inlineStr">
        <is>
          <t>25.99</t>
        </is>
      </c>
      <c r="L1497" t="n">
        <v>20.22</v>
      </c>
      <c r="M1497" s="1" t="inlineStr">
        <is>
          <t>-22.20%</t>
        </is>
      </c>
      <c r="N1497" s="3" t="n">
        <v>-22.2</v>
      </c>
      <c r="O1497" t="n">
        <v>4.7</v>
      </c>
      <c r="P1497" t="n">
        <v>2242</v>
      </c>
      <c r="R1497" t="inlineStr">
        <is>
          <t>InStock</t>
        </is>
      </c>
      <c r="S1497" t="inlineStr">
        <is>
          <t>25.99</t>
        </is>
      </c>
      <c r="T1497" t="inlineStr">
        <is>
          <t>7241832825020</t>
        </is>
      </c>
    </row>
    <row r="1498" hidden="1" ht="15.75" customHeight="1">
      <c r="A1498" s="2">
        <f>HYPERLINK("https://www.shelhealth.com/products/cascade-complete-powder-dishwasher-detergent-155-oz", "https://www.shelhealth.com/products/cascade-complete-powder-dishwasher-detergent-155-oz")</f>
        <v/>
      </c>
      <c r="B1498" s="2">
        <f>HYPERLINK("https://www.shelhealth.com/products/cascade-complete-powder-dishwasher-detergent-155-oz", "https://www.shelhealth.com/products/cascade-complete-powder-dishwasher-detergent-155-oz")</f>
        <v/>
      </c>
      <c r="C1498" t="inlineStr">
        <is>
          <t>Cascade Complete Powder Dishwasher Detergent, 155 oz.</t>
        </is>
      </c>
      <c r="D1498" t="inlineStr">
        <is>
          <t>Cascade Complete Gel Dishwasher Detergent, Fresh Scent (155 oz.)</t>
        </is>
      </c>
      <c r="E1498" s="2">
        <f>HYPERLINK("https://www.amazon.com/Cascade-Complete-Dishwasher-Detergent-Fresh/dp/B01NAWXHP4/ref=sr_1_4?keywords=Cascade+Complete+Powder+Dishwasher+Detergent%2C+155+oz.&amp;qid=1695170386&amp;sr=8-4", "https://www.amazon.com/Cascade-Complete-Dishwasher-Detergent-Fresh/dp/B01NAWXHP4/ref=sr_1_4?keywords=Cascade+Complete+Powder+Dishwasher+Detergent%2C+155+oz.&amp;qid=1695170386&amp;sr=8-4")</f>
        <v/>
      </c>
      <c r="F1498" t="inlineStr">
        <is>
          <t>B01NAWXHP4</t>
        </is>
      </c>
      <c r="G1498">
        <f>_xludf.IMAGE("https://www.shelhealth.com/cdn/shop/products/cascade-complete-powder-dishwasher-detergent-155-oz-shelhealth-864.jpg?v=1663355097&amp;width=1946")</f>
        <v/>
      </c>
      <c r="H1498">
        <f>_xludf.IMAGE("https://m.media-amazon.com/images/I/613ew1QDTVL._AC_UL320_.jpg")</f>
        <v/>
      </c>
      <c r="K1498" t="inlineStr">
        <is>
          <t>30.99</t>
        </is>
      </c>
      <c r="L1498" t="n">
        <v>23.99</v>
      </c>
      <c r="M1498" s="1" t="inlineStr">
        <is>
          <t>-22.59%</t>
        </is>
      </c>
      <c r="N1498" s="3" t="n">
        <v>-22.59</v>
      </c>
      <c r="O1498" t="n">
        <v>4.7</v>
      </c>
      <c r="P1498" t="n">
        <v>8415</v>
      </c>
      <c r="R1498" t="inlineStr">
        <is>
          <t>InStock</t>
        </is>
      </c>
      <c r="S1498" t="inlineStr">
        <is>
          <t>30.99</t>
        </is>
      </c>
      <c r="T1498" t="inlineStr">
        <is>
          <t>4169653026868</t>
        </is>
      </c>
    </row>
    <row r="1499" hidden="1" ht="15.75" customHeight="1">
      <c r="A1499" s="2">
        <f>HYPERLINK("https://www.shelhealth.com/products/tide-pods-plus-downy-he-turbo-liquid-detergent-pacs-april-fresh-80-ct", "https://www.shelhealth.com/products/tide-pods-plus-downy-he-turbo-liquid-detergent-pacs-april-fresh-80-ct")</f>
        <v/>
      </c>
      <c r="B1499" s="2">
        <f>HYPERLINK("https://www.shelhealth.com/products/tide-pods-plus-downy-he-turbo-liquid-detergent-pacs-april-fresh-80-ct", "https://www.shelhealth.com/products/tide-pods-plus-downy-he-turbo-liquid-detergent-pacs-april-fresh-80-ct")</f>
        <v/>
      </c>
      <c r="C1499" t="inlineStr">
        <is>
          <t>Tide PODS Plus Downy HE Turbo Liquid Detergent Pacs, April Fresh, 80 ct.</t>
        </is>
      </c>
      <c r="D1499" t="inlineStr">
        <is>
          <t>Tide PODS Plus Downy HE Turbo Laundry Detergent Pacs, April Fresh, 61 count with Fabric Softener Dryer Sheets, 240 Count</t>
        </is>
      </c>
      <c r="E1499" s="2">
        <f>HYPERLINK("https://www.amazon.com/Tide-Laundry-Detergent-Fabric-Softener/dp/B07D4DBLVS/ref=sr_1_2?keywords=Tide+PODS+Plus+Downy+HE+Turbo+Liquid+Detergent+Pacs%2C+April+Fresh%2C+80+ct.&amp;qid=1695170557&amp;sr=8-2", "https://www.amazon.com/Tide-Laundry-Detergent-Fabric-Softener/dp/B07D4DBLVS/ref=sr_1_2?keywords=Tide+PODS+Plus+Downy+HE+Turbo+Liquid+Detergent+Pacs%2C+April+Fresh%2C+80+ct.&amp;qid=1695170557&amp;sr=8-2")</f>
        <v/>
      </c>
      <c r="F1499" t="inlineStr">
        <is>
          <t>B07D4DBLVS</t>
        </is>
      </c>
      <c r="G1499">
        <f>_xludf.IMAGE("https://www.shelhealth.com/cdn/shop/products/tide-pods-plus-downy-he-turbo-liquid-detergent-pacs-april-fresh-80-ct-shelhealth-728.jpg?v=1663356698&amp;width=1946")</f>
        <v/>
      </c>
      <c r="H1499">
        <f>_xludf.IMAGE("https://m.media-amazon.com/images/I/61yUn1AooVL._AC_UL320_.jpg")</f>
        <v/>
      </c>
      <c r="K1499" t="inlineStr">
        <is>
          <t>38.99</t>
        </is>
      </c>
      <c r="L1499" t="n">
        <v>30.18</v>
      </c>
      <c r="M1499" s="1" t="inlineStr">
        <is>
          <t>-22.60%</t>
        </is>
      </c>
      <c r="N1499" s="3" t="n">
        <v>-22.6</v>
      </c>
      <c r="O1499" t="n">
        <v>4.9</v>
      </c>
      <c r="P1499" t="n">
        <v>28</v>
      </c>
      <c r="R1499" t="inlineStr">
        <is>
          <t>InStock</t>
        </is>
      </c>
      <c r="S1499" t="inlineStr">
        <is>
          <t>38.99</t>
        </is>
      </c>
      <c r="T1499" t="inlineStr">
        <is>
          <t>4179057770548</t>
        </is>
      </c>
    </row>
    <row r="1500" hidden="1" ht="15.75" customHeight="1">
      <c r="A1500" s="2">
        <f>HYPERLINK("https://www.shelhealth.com/products/041598001062-weiman-cook-top-cleaner-trigger-22-oz", "https://www.shelhealth.com/products/041598001062-weiman-cook-top-cleaner-trigger-22-oz")</f>
        <v/>
      </c>
      <c r="B1500" s="2">
        <f>HYPERLINK("https://www.shelhealth.com/products/041598001062-weiman-cook-top-cleaner-trigger-22-oz", "https://www.shelhealth.com/products/041598001062-weiman-cook-top-cleaner-trigger-22-oz")</f>
        <v/>
      </c>
      <c r="C1500" t="inlineStr">
        <is>
          <t>WEIMAN Cook Top Cleaner Trigger, 22 oz (Case of 3)</t>
        </is>
      </c>
      <c r="D1500" t="inlineStr">
        <is>
          <t>Weiman Daily Cooktop Cleaner with Microfiber Cloth Included for Glass Ceramic and Induction Cook Tops, 22oz</t>
        </is>
      </c>
      <c r="E1500" s="2">
        <f>HYPERLINK("https://www.amazon.com/Weiman-Cook-Top-Daily-Cleaner/dp/B073BJNRW2/ref=sr_1_5?keywords=WEIMAN+Cook+Top+Cleaner+Trigger%2C+22+oz+%28Case+of+3%29&amp;qid=1695170484&amp;sr=8-5", "https://www.amazon.com/Weiman-Cook-Top-Daily-Cleaner/dp/B073BJNRW2/ref=sr_1_5?keywords=WEIMAN+Cook+Top+Cleaner+Trigger%2C+22+oz+%28Case+of+3%29&amp;qid=1695170484&amp;sr=8-5")</f>
        <v/>
      </c>
      <c r="F1500" t="inlineStr">
        <is>
          <t>B073BJNRW2</t>
        </is>
      </c>
      <c r="G1500">
        <f>_xludf.IMAGE("https://www.shelhealth.com/cdn/shop/files/weiman-cook-top-cleaner-trigger-22-oz-case-of-3-home-products-shelhealth-827.jpg?v=1686229890&amp;width=1946")</f>
        <v/>
      </c>
      <c r="H1500">
        <f>_xludf.IMAGE("https://m.media-amazon.com/images/I/61b78jDXK3L._AC_UL320_.jpg")</f>
        <v/>
      </c>
      <c r="K1500" t="inlineStr">
        <is>
          <t>21.99</t>
        </is>
      </c>
      <c r="L1500" t="n">
        <v>16.99</v>
      </c>
      <c r="M1500" s="1" t="inlineStr">
        <is>
          <t>-22.74%</t>
        </is>
      </c>
      <c r="N1500" s="3" t="n">
        <v>-22.74</v>
      </c>
      <c r="O1500" t="n">
        <v>4.6</v>
      </c>
      <c r="P1500" t="n">
        <v>4120</v>
      </c>
      <c r="R1500" t="inlineStr">
        <is>
          <t>OutOfStock</t>
        </is>
      </c>
      <c r="S1500" t="inlineStr">
        <is>
          <t>21.99</t>
        </is>
      </c>
      <c r="T1500" t="inlineStr">
        <is>
          <t>7574350495976</t>
        </is>
      </c>
    </row>
    <row r="1501" hidden="1" ht="15.75" customHeight="1">
      <c r="A1501" s="2">
        <f>HYPERLINK("https://www.shelhealth.com/products/glad-forceflex-13-gal-tall-kitchen-bags-with-gain-odorshield-120-ct", "https://www.shelhealth.com/products/glad-forceflex-13-gal-tall-kitchen-bags-with-gain-odorshield-120-ct")</f>
        <v/>
      </c>
      <c r="B1501" s="2">
        <f>HYPERLINK("https://www.shelhealth.com/products/glad-forceflex-13-gal-tall-kitchen-bags-with-gain-odorshield-120-ct", "https://www.shelhealth.com/products/glad-forceflex-13-gal-tall-kitchen-bags-with-gain-odorshield-120-ct")</f>
        <v/>
      </c>
      <c r="C1501" t="inlineStr">
        <is>
          <t>Glad ForceFlex 13-Gal. Tall Kitchen Bags with Gain Odorshield, 120 ct.</t>
        </is>
      </c>
      <c r="D1501" t="inlineStr">
        <is>
          <t>Glad ForceFlex Tall Kitchen Drawstring Trash Bags, 13 Gallon Trash Bag, Gain Lavender with Febreze Freshness, 110 Count</t>
        </is>
      </c>
      <c r="E1501" s="2">
        <f>HYPERLINK("https://www.amazon.com/Glad-ForceFlex-Drawstring-Lavender-Freshness/dp/B09QDZM9N5/ref=sr_1_5?keywords=Glad+ForceFlex+13-Gal.+Tall+Kitchen+Bags+with+Gain+Odorshield%2C+120+ct.&amp;qid=1695170573&amp;sr=8-5", "https://www.amazon.com/Glad-ForceFlex-Drawstring-Lavender-Freshness/dp/B09QDZM9N5/ref=sr_1_5?keywords=Glad+ForceFlex+13-Gal.+Tall+Kitchen+Bags+with+Gain+Odorshield%2C+120+ct.&amp;qid=1695170573&amp;sr=8-5")</f>
        <v/>
      </c>
      <c r="F1501" t="inlineStr">
        <is>
          <t>B09QDZM9N5</t>
        </is>
      </c>
      <c r="G1501">
        <f>_xludf.IMAGE("https://www.shelhealth.com/cdn/shop/products/glad-forceflex-13-gal-tall-kitchen-bags-with-gain-odorshield-120-ct-shelhealth-778.jpg?v=1663354927&amp;width=1946")</f>
        <v/>
      </c>
      <c r="H1501">
        <f>_xludf.IMAGE("https://m.media-amazon.com/images/I/81ryWLkP-qL._AC_UL320_.jpg")</f>
        <v/>
      </c>
      <c r="K1501" t="inlineStr">
        <is>
          <t>30.99</t>
        </is>
      </c>
      <c r="L1501" t="n">
        <v>23.9</v>
      </c>
      <c r="M1501" s="1" t="inlineStr">
        <is>
          <t>-22.88%</t>
        </is>
      </c>
      <c r="N1501" s="3" t="n">
        <v>-22.88</v>
      </c>
      <c r="O1501" t="n">
        <v>4.8</v>
      </c>
      <c r="P1501" t="n">
        <v>523</v>
      </c>
      <c r="R1501" t="inlineStr">
        <is>
          <t>InStock</t>
        </is>
      </c>
      <c r="S1501" t="inlineStr">
        <is>
          <t>30.99</t>
        </is>
      </c>
      <c r="T1501" t="inlineStr">
        <is>
          <t>4169517596724</t>
        </is>
      </c>
    </row>
    <row r="1502" hidden="1" ht="15.75" customHeight="1">
      <c r="A1502" s="2">
        <f>HYPERLINK("https://www.shelhealth.com/products/scrubbing-bubbles-fresh-citrus-toilet-cleaning-stamps-and-gel", "https://www.shelhealth.com/products/scrubbing-bubbles-fresh-citrus-toilet-cleaning-stamps-and-gel")</f>
        <v/>
      </c>
      <c r="B1502" s="2">
        <f>HYPERLINK("https://www.shelhealth.com/products/scrubbing-bubbles-fresh-citrus-toilet-cleaning-stamps-and-gel", "https://www.shelhealth.com/products/scrubbing-bubbles-fresh-citrus-toilet-cleaning-stamps-and-gel")</f>
        <v/>
      </c>
      <c r="C1502" t="inlineStr">
        <is>
          <t>Scrubbing Bubbles Fresh Citrus Toilet Cleaning Stamps and Gel</t>
        </is>
      </c>
      <c r="D1502" t="inlineStr">
        <is>
          <t>Scrubbing Bubbles Fresh Gel Toilet Bowl Cleaning Stamps, Clean and Prevent Limescale and Toilet Rings, Rainshower Scent, 1 Dispenser with 24 Stamps, 1.34 Oz</t>
        </is>
      </c>
      <c r="E1502" s="2">
        <f>HYPERLINK("https://www.amazon.com/Scrubbing-Bubbles-Limescale-Rainshower-Dispenser/dp/B00JUDE5IG/ref=sr_1_2?keywords=Scrubbing+Bubbles+Fresh+Citrus+Toilet+Cleaning+Stamps+and+Gel&amp;qid=1695170544&amp;sr=8-2", "https://www.amazon.com/Scrubbing-Bubbles-Limescale-Rainshower-Dispenser/dp/B00JUDE5IG/ref=sr_1_2?keywords=Scrubbing+Bubbles+Fresh+Citrus+Toilet+Cleaning+Stamps+and+Gel&amp;qid=1695170544&amp;sr=8-2")</f>
        <v/>
      </c>
      <c r="F1502" t="inlineStr">
        <is>
          <t>B00JUDE5IG</t>
        </is>
      </c>
      <c r="G1502">
        <f>_xludf.IMAGE("https://www.shelhealth.com/cdn/shop/products/scrubbing-bubbles-fresh-citrus-toilet-cleaning-stamps-and-gel-shelhealth-822.jpg?v=1663369145&amp;width=1946")</f>
        <v/>
      </c>
      <c r="H1502">
        <f>_xludf.IMAGE("https://m.media-amazon.com/images/I/8110r8R7hwL._AC_UL320_.jpg")</f>
        <v/>
      </c>
      <c r="K1502" t="inlineStr">
        <is>
          <t>17.99</t>
        </is>
      </c>
      <c r="L1502" t="n">
        <v>13.87</v>
      </c>
      <c r="M1502" s="1" t="inlineStr">
        <is>
          <t>-22.90%</t>
        </is>
      </c>
      <c r="N1502" s="3" t="n">
        <v>-22.9</v>
      </c>
      <c r="O1502" t="n">
        <v>4.6</v>
      </c>
      <c r="P1502" t="n">
        <v>32714</v>
      </c>
      <c r="R1502" t="inlineStr">
        <is>
          <t>OutOfStock</t>
        </is>
      </c>
      <c r="S1502" t="inlineStr">
        <is>
          <t>17.99</t>
        </is>
      </c>
      <c r="T1502" t="inlineStr">
        <is>
          <t>4613432508505</t>
        </is>
      </c>
    </row>
    <row r="1503" hidden="1" ht="15.75" customHeight="1">
      <c r="A1503" s="2">
        <f>HYPERLINK("https://www.shelhealth.com/products/granite-stone-diamond-tiple-layer-non-stick-10-inches-fry-pan", "https://www.shelhealth.com/products/granite-stone-diamond-tiple-layer-non-stick-10-inches-fry-pan")</f>
        <v/>
      </c>
      <c r="B1503" s="2">
        <f>HYPERLINK("https://www.shelhealth.com/products/granite-stone-diamond-tiple-layer-non-stick-10-inches-fry-pan", "https://www.shelhealth.com/products/granite-stone-diamond-tiple-layer-non-stick-10-inches-fry-pan")</f>
        <v/>
      </c>
      <c r="C1503" t="inlineStr">
        <is>
          <t>Granite Stone Diamond Tiple Layer Non-Stick 10 Inches Fry Pan</t>
        </is>
      </c>
      <c r="D1503" t="inlineStr">
        <is>
          <t>Granitestone 10 Inch Non Stick Frying Pan Nonstick Stainless Steel Pan with Diamond Coating for Long Lasting Nonstick Frying Pan Skillet for Cooking, Induction/Oven/Dishwasher Safe, Non Toxic - Blue</t>
        </is>
      </c>
      <c r="E1503" s="2">
        <f>HYPERLINK("https://www.amazon.com/Granitestone-Nonstick-Stainless-Induction-Dishwasher/dp/B0BYTGQ2N5/ref=sr_1_4?keywords=Granite+Stone+Diamond+Tiple+Layer+Non-Stick+10+Inches+Fry+Pan&amp;qid=1695170410&amp;sr=8-4", "https://www.amazon.com/Granitestone-Nonstick-Stainless-Induction-Dishwasher/dp/B0BYTGQ2N5/ref=sr_1_4?keywords=Granite+Stone+Diamond+Tiple+Layer+Non-Stick+10+Inches+Fry+Pan&amp;qid=1695170410&amp;sr=8-4")</f>
        <v/>
      </c>
      <c r="F1503" t="inlineStr">
        <is>
          <t>B0BYTGQ2N5</t>
        </is>
      </c>
      <c r="G1503">
        <f>_xludf.IMAGE("https://www.shelhealth.com/cdn/shop/products/granite-stone-diamond-tiple-layer-non-stick-10-inches-fry-pan-shelhealth-991.jpg?v=1663357276&amp;width=1946")</f>
        <v/>
      </c>
      <c r="H1503">
        <f>_xludf.IMAGE("https://m.media-amazon.com/images/I/61WjOJtipVL._AC_UL320_.jpg")</f>
        <v/>
      </c>
      <c r="K1503" t="inlineStr">
        <is>
          <t>32.99</t>
        </is>
      </c>
      <c r="L1503" t="n">
        <v>25.43</v>
      </c>
      <c r="M1503" s="1" t="inlineStr">
        <is>
          <t>-22.92%</t>
        </is>
      </c>
      <c r="N1503" s="3" t="n">
        <v>-22.92</v>
      </c>
      <c r="O1503" t="n">
        <v>4.5</v>
      </c>
      <c r="P1503" t="n">
        <v>124</v>
      </c>
      <c r="R1503" t="inlineStr">
        <is>
          <t>OutOfStock</t>
        </is>
      </c>
      <c r="S1503" t="inlineStr">
        <is>
          <t>32.99</t>
        </is>
      </c>
      <c r="T1503" t="inlineStr">
        <is>
          <t>4181101019188</t>
        </is>
      </c>
    </row>
    <row r="1504" hidden="1" ht="15.75" customHeight="1">
      <c r="A1504" s="2">
        <f>HYPERLINK("https://www.shelhealth.com/products/duracell-variable-focus-led-flashlight-2500-lumen", "https://www.shelhealth.com/products/duracell-variable-focus-led-flashlight-2500-lumen")</f>
        <v/>
      </c>
      <c r="B1504" s="2">
        <f>HYPERLINK("https://www.shelhealth.com/products/duracell-variable-focus-led-flashlight-2500-lumen", "https://www.shelhealth.com/products/duracell-variable-focus-led-flashlight-2500-lumen")</f>
        <v/>
      </c>
      <c r="C1504" t="inlineStr">
        <is>
          <t>Duracell Variable Focus Led Flashlight, 2500 Lumen</t>
        </is>
      </c>
      <c r="D1504" t="inlineStr">
        <is>
          <t>Duracell 2500 Lumens Flashlight, Heavy Duty Compact LED Flashlight with AA Batteries</t>
        </is>
      </c>
      <c r="E1504" s="2">
        <f>HYPERLINK("https://www.amazon.com/Duracell-Lumens-Flashlight-Compact-Batteries/dp/B09SJVSBY2/ref=sr_1_3?keywords=Duracell+Variable+Focus+Led+Flashlight%2C+2500+Lumen&amp;qid=1695170406&amp;sr=8-3", "https://www.amazon.com/Duracell-Lumens-Flashlight-Compact-Batteries/dp/B09SJVSBY2/ref=sr_1_3?keywords=Duracell+Variable+Focus+Led+Flashlight%2C+2500+Lumen&amp;qid=1695170406&amp;sr=8-3")</f>
        <v/>
      </c>
      <c r="F1504" t="inlineStr">
        <is>
          <t>B09SJVSBY2</t>
        </is>
      </c>
      <c r="G1504">
        <f>_xludf.IMAGE("https://www.shelhealth.com/cdn/shop/products/duracell-variable-focus-led-flashlight-2500-lumen-shelhealth-907.jpg?v=1663374070&amp;width=1946")</f>
        <v/>
      </c>
      <c r="H1504">
        <f>_xludf.IMAGE("https://m.media-amazon.com/images/I/51WxQwyNxNL._AC_UL320_.jpg")</f>
        <v/>
      </c>
      <c r="K1504" t="inlineStr">
        <is>
          <t>38.99</t>
        </is>
      </c>
      <c r="L1504" t="n">
        <v>29.99</v>
      </c>
      <c r="M1504" s="1" t="inlineStr">
        <is>
          <t>-23.08%</t>
        </is>
      </c>
      <c r="N1504" s="3" t="n">
        <v>-23.08</v>
      </c>
      <c r="O1504" t="n">
        <v>4.6</v>
      </c>
      <c r="P1504" t="n">
        <v>809</v>
      </c>
      <c r="R1504" t="inlineStr">
        <is>
          <t>InStock</t>
        </is>
      </c>
      <c r="S1504" t="inlineStr">
        <is>
          <t>38.99</t>
        </is>
      </c>
      <c r="T1504" t="inlineStr">
        <is>
          <t>4711938031705</t>
        </is>
      </c>
    </row>
    <row r="1505" hidden="1" ht="15.75" customHeight="1">
      <c r="A1505" s="2">
        <f>HYPERLINK("https://www.shelhealth.com/products/all-free-clear-liquid-laundry-for-sensitive-skin-250-oz", "https://www.shelhealth.com/products/all-free-clear-liquid-laundry-for-sensitive-skin-250-oz")</f>
        <v/>
      </c>
      <c r="B1505" s="2">
        <f>HYPERLINK("https://www.shelhealth.com/products/all-free-clear-liquid-laundry-for-sensitive-skin-250-oz", "https://www.shelhealth.com/products/all-free-clear-liquid-laundry-for-sensitive-skin-250-oz")</f>
        <v/>
      </c>
      <c r="C1505" t="inlineStr">
        <is>
          <t>All Free Clear Liquid Laundry for Sensitive Skin, 250 oz.</t>
        </is>
      </c>
      <c r="D1505" t="inlineStr">
        <is>
          <t>all Liquid Laundry Detergent, Free Clear for Sensitive Skin, (Free Clear, 237 Fluid Ounces)</t>
        </is>
      </c>
      <c r="E1505" s="2">
        <f>HYPERLINK("https://www.amazon.com/all-Liquid-Laundry-Detergent-Sensitive/dp/B074J6WWN3/ref=sr_1_1?keywords=All+Free+Clear+Liquid+Laundry+for+Sensitive+Skin%2C+250+oz.&amp;qid=1695170426&amp;sr=8-1", "https://www.amazon.com/all-Liquid-Laundry-Detergent-Sensitive/dp/B074J6WWN3/ref=sr_1_1?keywords=All+Free+Clear+Liquid+Laundry+for+Sensitive+Skin%2C+250+oz.&amp;qid=1695170426&amp;sr=8-1")</f>
        <v/>
      </c>
      <c r="F1505" t="inlineStr">
        <is>
          <t>B074J6WWN3</t>
        </is>
      </c>
      <c r="G1505">
        <f>_xludf.IMAGE("https://www.shelhealth.com/cdn/shop/products/all-free-clear-liquid-laundry-for-sensitive-skin-250-oz-shelhealth-382.jpg?v=1663357027&amp;width=1946")</f>
        <v/>
      </c>
      <c r="H1505">
        <f>_xludf.IMAGE("https://m.media-amazon.com/images/I/61k8W8hKRYL._AC_UL320_.jpg")</f>
        <v/>
      </c>
      <c r="K1505" t="inlineStr">
        <is>
          <t>49.99</t>
        </is>
      </c>
      <c r="L1505" t="n">
        <v>38.37</v>
      </c>
      <c r="M1505" s="1" t="inlineStr">
        <is>
          <t>-23.24%</t>
        </is>
      </c>
      <c r="N1505" s="3" t="n">
        <v>-23.24</v>
      </c>
      <c r="O1505" t="n">
        <v>4.7</v>
      </c>
      <c r="P1505" t="n">
        <v>2315</v>
      </c>
      <c r="R1505" t="inlineStr">
        <is>
          <t>InStock</t>
        </is>
      </c>
      <c r="S1505" t="inlineStr">
        <is>
          <t>49.99</t>
        </is>
      </c>
      <c r="T1505" t="inlineStr">
        <is>
          <t>4179134414900</t>
        </is>
      </c>
    </row>
    <row r="1506" hidden="1" ht="15.75" customHeight="1">
      <c r="A1506" s="2">
        <f>HYPERLINK("https://www.shelhealth.com/products/duracell-rechargeable-aa-pre-charged-batteries-6-ct", "https://www.shelhealth.com/products/duracell-rechargeable-aa-pre-charged-batteries-6-ct")</f>
        <v/>
      </c>
      <c r="B1506" s="2">
        <f>HYPERLINK("https://www.shelhealth.com/products/duracell-rechargeable-aa-pre-charged-batteries-6-ct", "https://www.shelhealth.com/products/duracell-rechargeable-aa-pre-charged-batteries-6-ct")</f>
        <v/>
      </c>
      <c r="C1506" t="inlineStr">
        <is>
          <t>Duracell Rechargeable AA Pre-Charged Batteries, 6 ct.</t>
        </is>
      </c>
      <c r="D1506" t="inlineStr">
        <is>
          <t>Duracell Rechargeable AA Batteries, 6 Count Pack, Double A Battery for Long-lasting Power, All-Purpose Pre-Charged Battery for Household and Business Devices</t>
        </is>
      </c>
      <c r="E1506" s="2">
        <f>HYPERLINK("https://www.amazon.com/Duracell-Charged-Rechargeable-Batteries-6-pack/dp/B000XSA612/ref=sr_1_1?keywords=Duracell+Rechargeable+AA+Pre-Charged+Batteries%2C+6+ct.&amp;qid=1695170567&amp;sr=8-1", "https://www.amazon.com/Duracell-Charged-Rechargeable-Batteries-6-pack/dp/B000XSA612/ref=sr_1_1?keywords=Duracell+Rechargeable+AA+Pre-Charged+Batteries%2C+6+ct.&amp;qid=1695170567&amp;sr=8-1")</f>
        <v/>
      </c>
      <c r="F1506" t="inlineStr">
        <is>
          <t>B000XSA612</t>
        </is>
      </c>
      <c r="G1506">
        <f>_xludf.IMAGE("https://www.shelhealth.com/cdn/shop/products/duracell-rechargeable-aa-pre-charged-batteries-6-ct-shelhealth-446.jpg?v=1675325310&amp;width=1946")</f>
        <v/>
      </c>
      <c r="H1506">
        <f>_xludf.IMAGE("https://m.media-amazon.com/images/I/71f8bQjGd3L._AC_UL320_.jpg")</f>
        <v/>
      </c>
      <c r="K1506" t="inlineStr">
        <is>
          <t>34.99</t>
        </is>
      </c>
      <c r="L1506" t="n">
        <v>26.85</v>
      </c>
      <c r="M1506" s="1" t="inlineStr">
        <is>
          <t>-23.26%</t>
        </is>
      </c>
      <c r="N1506" s="3" t="n">
        <v>-23.26</v>
      </c>
      <c r="O1506" t="n">
        <v>4.6</v>
      </c>
      <c r="P1506" t="n">
        <v>157</v>
      </c>
      <c r="R1506" t="inlineStr">
        <is>
          <t>InStock</t>
        </is>
      </c>
      <c r="S1506" t="inlineStr">
        <is>
          <t>34.99</t>
        </is>
      </c>
      <c r="T1506" t="inlineStr">
        <is>
          <t>4167656767540</t>
        </is>
      </c>
    </row>
    <row r="1507" hidden="1" ht="15.75" customHeight="1">
      <c r="A1507" s="2">
        <f>HYPERLINK("https://www.shelhealth.com/products/pur-faucet-filtration-system", "https://www.shelhealth.com/products/pur-faucet-filtration-system")</f>
        <v/>
      </c>
      <c r="B1507" s="2">
        <f>HYPERLINK("https://www.shelhealth.com/products/pur-faucet-filtration-system", "https://www.shelhealth.com/products/pur-faucet-filtration-system")</f>
        <v/>
      </c>
      <c r="C1507" t="inlineStr">
        <is>
          <t>Pur Faucet Filtration System</t>
        </is>
      </c>
      <c r="D1507" t="inlineStr">
        <is>
          <t>PUR Plus Faucet Mount Water Filtration System, Sage – Horizontal Faucet Mount for Crisp, Refreshing Water, PFM310M &amp; Plus Mineral Core Faucet Mount Water Filter Replacement – Compatible</t>
        </is>
      </c>
      <c r="E1507" s="2">
        <f>HYPERLINK("https://www.amazon.com/PUR-Faucet-Mount-Filtration-System/dp/B0C4D9N9TK/ref=sr_1_8?keywords=Pur+Faucet+Filtration+System&amp;qid=1695170549&amp;sr=8-8", "https://www.amazon.com/PUR-Faucet-Mount-Filtration-System/dp/B0C4D9N9TK/ref=sr_1_8?keywords=Pur+Faucet+Filtration+System&amp;qid=1695170549&amp;sr=8-8")</f>
        <v/>
      </c>
      <c r="F1507" t="inlineStr">
        <is>
          <t>B0C4D9N9TK</t>
        </is>
      </c>
      <c r="G1507">
        <f>_xludf.IMAGE("https://www.shelhealth.com/cdn/shop/products/pur-faucet-filtration-system-shelhealth-810.jpg?v=1663357419&amp;width=1946")</f>
        <v/>
      </c>
      <c r="H1507">
        <f>_xludf.IMAGE("https://m.media-amazon.com/images/I/51tEKv6KxpL._AC_UL320_.jpg")</f>
        <v/>
      </c>
      <c r="K1507" t="inlineStr">
        <is>
          <t>71.99</t>
        </is>
      </c>
      <c r="L1507" t="n">
        <v>54.98</v>
      </c>
      <c r="M1507" s="1" t="inlineStr">
        <is>
          <t>-23.63%</t>
        </is>
      </c>
      <c r="N1507" s="3" t="n">
        <v>-23.63</v>
      </c>
      <c r="O1507" t="n">
        <v>4.3</v>
      </c>
      <c r="P1507" t="n">
        <v>6409</v>
      </c>
      <c r="R1507" t="inlineStr">
        <is>
          <t>InStock</t>
        </is>
      </c>
      <c r="S1507" t="inlineStr">
        <is>
          <t>71.99</t>
        </is>
      </c>
      <c r="T1507" t="inlineStr">
        <is>
          <t>4181272002612</t>
        </is>
      </c>
    </row>
    <row r="1508" hidden="1" ht="15.75" customHeight="1">
      <c r="A1508" s="2">
        <f>HYPERLINK("https://www.shelhealth.com/products/cascade-platinum-actionpacs-dishwasher-detergent-92-ct", "https://www.shelhealth.com/products/cascade-platinum-actionpacs-dishwasher-detergent-92-ct")</f>
        <v/>
      </c>
      <c r="B1508" s="2">
        <f>HYPERLINK("https://www.shelhealth.com/products/cascade-platinum-actionpacs-dishwasher-detergent-92-ct", "https://www.shelhealth.com/products/cascade-platinum-actionpacs-dishwasher-detergent-92-ct")</f>
        <v/>
      </c>
      <c r="C1508" t="inlineStr">
        <is>
          <t>Cascade Platinum ActionPacs Dishwasher Detergent, 92 ct.</t>
        </is>
      </c>
      <c r="D1508" t="inlineStr">
        <is>
          <t>Cascade Platinum ActionPacs Dishwasher Detergent with Dawn, Fresh Scent - 92 Count with 10pct bonus 102 packs</t>
        </is>
      </c>
      <c r="E1508" s="2">
        <f>HYPERLINK("https://www.amazon.com/Cascade-Platinum-ActionPacs-Dishwasher-Detergent/dp/B08CMG84NV/ref=sr_1_2?keywords=Cascade+Platinum+ActionPacs+Dishwasher+Detergent%2C+92+ct.&amp;qid=1695170383&amp;sr=8-2", "https://www.amazon.com/Cascade-Platinum-ActionPacs-Dishwasher-Detergent/dp/B08CMG84NV/ref=sr_1_2?keywords=Cascade+Platinum+ActionPacs+Dishwasher+Detergent%2C+92+ct.&amp;qid=1695170383&amp;sr=8-2")</f>
        <v/>
      </c>
      <c r="F1508" t="inlineStr">
        <is>
          <t>B08CMG84NV</t>
        </is>
      </c>
      <c r="G1508">
        <f>_xludf.IMAGE("https://www.shelhealth.com/cdn/shop/products/cascade-platinum-actionpacs-dishwasher-detergent-92-ct-shelhealth-877.jpg?v=1675325870&amp;width=1946")</f>
        <v/>
      </c>
      <c r="H1508">
        <f>_xludf.IMAGE("https://m.media-amazon.com/images/I/71bohgZk5pL._AC_UL320_.jpg")</f>
        <v/>
      </c>
      <c r="K1508" t="inlineStr">
        <is>
          <t>39.99</t>
        </is>
      </c>
      <c r="L1508" t="n">
        <v>30.53</v>
      </c>
      <c r="M1508" s="1" t="inlineStr">
        <is>
          <t>-23.66%</t>
        </is>
      </c>
      <c r="N1508" s="3" t="n">
        <v>-23.66</v>
      </c>
      <c r="O1508" t="n">
        <v>4.8</v>
      </c>
      <c r="P1508" t="n">
        <v>2576</v>
      </c>
      <c r="R1508" t="inlineStr">
        <is>
          <t>OutOfStock</t>
        </is>
      </c>
      <c r="S1508" t="inlineStr">
        <is>
          <t>39.99</t>
        </is>
      </c>
      <c r="T1508" t="inlineStr">
        <is>
          <t>4169905143860</t>
        </is>
      </c>
    </row>
    <row r="1509" hidden="1" ht="15.75" customHeight="1">
      <c r="A1509" s="2">
        <f>HYPERLINK("https://www.shelhealth.com/products/finish-powerball-max-in-1-automatic-dishwasher-detergent-tablets-117-ct", "https://www.shelhealth.com/products/finish-powerball-max-in-1-automatic-dishwasher-detergent-tablets-117-ct")</f>
        <v/>
      </c>
      <c r="B1509" s="2">
        <f>HYPERLINK("https://www.shelhealth.com/products/finish-powerball-max-in-1-automatic-dishwasher-detergent-tablets-117-ct", "https://www.shelhealth.com/products/finish-powerball-max-in-1-automatic-dishwasher-detergent-tablets-117-ct")</f>
        <v/>
      </c>
      <c r="C1509" t="inlineStr">
        <is>
          <t>Finish Powerball Max-in-1 Automatic Dishwasher Detergent Tablets, 117 ct.</t>
        </is>
      </c>
      <c r="D1509" t="inlineStr">
        <is>
          <t>Finish Max in 1 Powerball, 26ct, Ultra-Degreaser w. Lemon Dishwasher Detergent Tablets</t>
        </is>
      </c>
      <c r="E1509" s="2">
        <f>HYPERLINK("https://www.amazon.com/Finish-Powerball-Ultra-Degreaser-Dishwasher-Detergent/dp/B0751KDJQ3/ref=sr_1_3?keywords=Finish+Powerball+Max-in-1+Automatic+Dishwasher+Detergent+Tablets%2C+117+ct.&amp;qid=1695170566&amp;sr=8-3", "https://www.amazon.com/Finish-Powerball-Ultra-Degreaser-Dishwasher-Detergent/dp/B0751KDJQ3/ref=sr_1_3?keywords=Finish+Powerball+Max-in-1+Automatic+Dishwasher+Detergent+Tablets%2C+117+ct.&amp;qid=1695170566&amp;sr=8-3")</f>
        <v/>
      </c>
      <c r="F1509" t="inlineStr">
        <is>
          <t>B0751KDJQ3</t>
        </is>
      </c>
      <c r="G1509">
        <f>_xludf.IMAGE("https://www.shelhealth.com/cdn/shop/products/finish-powerball-max-in-1-automatic-dishwasher-detergent-tablets-117-ct-shelhealth-544.jpg?v=1663355177&amp;width=1946")</f>
        <v/>
      </c>
      <c r="H1509">
        <f>_xludf.IMAGE("https://m.media-amazon.com/images/I/71qbZHVmNjL._AC_UL320_.jpg")</f>
        <v/>
      </c>
      <c r="K1509" t="inlineStr">
        <is>
          <t>25.99</t>
        </is>
      </c>
      <c r="L1509" t="n">
        <v>19.7</v>
      </c>
      <c r="M1509" s="1" t="inlineStr">
        <is>
          <t>-24.20%</t>
        </is>
      </c>
      <c r="N1509" s="3" t="n">
        <v>-24.2</v>
      </c>
      <c r="O1509" t="n">
        <v>5</v>
      </c>
      <c r="P1509" t="n">
        <v>4</v>
      </c>
      <c r="R1509" t="inlineStr">
        <is>
          <t>OutOfStock</t>
        </is>
      </c>
      <c r="S1509" t="inlineStr">
        <is>
          <t>25.99</t>
        </is>
      </c>
      <c r="T1509" t="inlineStr">
        <is>
          <t>4169699196980</t>
        </is>
      </c>
    </row>
    <row r="1510" hidden="1" ht="15.75" customHeight="1">
      <c r="A1510" s="2">
        <f>HYPERLINK("https://www.shelhealth.com/products/berkley-jensen-7-piece-flameless-led-candles", "https://www.shelhealth.com/products/berkley-jensen-7-piece-flameless-led-candles")</f>
        <v/>
      </c>
      <c r="B1510" s="2">
        <f>HYPERLINK("https://www.shelhealth.com/products/berkley-jensen-7-piece-flameless-led-candles", "https://www.shelhealth.com/products/berkley-jensen-7-piece-flameless-led-candles")</f>
        <v/>
      </c>
      <c r="C1510" t="inlineStr">
        <is>
          <t>berkley Jensen 7 Piece Flameless Led Candles</t>
        </is>
      </c>
      <c r="D1510" t="inlineStr">
        <is>
          <t>Berkley Jensen 12in Window Candles with Three-Piece LED Lights, 4 pk., Glass</t>
        </is>
      </c>
      <c r="E1510" s="2">
        <f>HYPERLINK("https://www.amazon.com/Berkley-Jensen-Window-Candles-Three-Piece/dp/B081VTQZL7/ref=sr_1_2?keywords=berkley+Jensen+7+Piece+Flameless+Led+Candles&amp;qid=1695170540&amp;sr=8-2", "https://www.amazon.com/Berkley-Jensen-Window-Candles-Three-Piece/dp/B081VTQZL7/ref=sr_1_2?keywords=berkley+Jensen+7+Piece+Flameless+Led+Candles&amp;qid=1695170540&amp;sr=8-2")</f>
        <v/>
      </c>
      <c r="F1510" t="inlineStr">
        <is>
          <t>B081VTQZL7</t>
        </is>
      </c>
      <c r="G1510">
        <f>_xludf.IMAGE("https://www.shelhealth.com/cdn/shop/products/berkley-jensen-7-piece-flameless-led-candles-shelhealth-137.jpg?v=1663749259&amp;width=1946")</f>
        <v/>
      </c>
      <c r="H1510">
        <f>_xludf.IMAGE("https://m.media-amazon.com/images/I/41fy0E0gd6L._AC_UL320_.jpg")</f>
        <v/>
      </c>
      <c r="K1510" t="inlineStr">
        <is>
          <t>39.99</t>
        </is>
      </c>
      <c r="L1510" t="n">
        <v>30</v>
      </c>
      <c r="M1510" s="1" t="inlineStr">
        <is>
          <t>-24.98%</t>
        </is>
      </c>
      <c r="N1510" s="3" t="n">
        <v>-24.98</v>
      </c>
      <c r="O1510" t="n">
        <v>4.4</v>
      </c>
      <c r="P1510" t="n">
        <v>480</v>
      </c>
      <c r="R1510" t="inlineStr">
        <is>
          <t>OutOfStock</t>
        </is>
      </c>
      <c r="S1510" t="inlineStr">
        <is>
          <t>39.99</t>
        </is>
      </c>
      <c r="T1510" t="inlineStr">
        <is>
          <t>7263940640956</t>
        </is>
      </c>
    </row>
    <row r="1511" hidden="1" ht="15.75" customHeight="1">
      <c r="A1511" s="2">
        <f>HYPERLINK("https://www.shelhealth.com/products/o-cedar-dual-action-micro-fiber-flip-mop", "https://www.shelhealth.com/products/o-cedar-dual-action-micro-fiber-flip-mop")</f>
        <v/>
      </c>
      <c r="B1511" s="2">
        <f>HYPERLINK("https://www.shelhealth.com/products/o-cedar-dual-action-micro-fiber-flip-mop", "https://www.shelhealth.com/products/o-cedar-dual-action-micro-fiber-flip-mop")</f>
        <v/>
      </c>
      <c r="C1511" t="inlineStr">
        <is>
          <t>O-Cedar Dual-Action Micro Fiber Flip Mop</t>
        </is>
      </c>
      <c r="D1511" t="inlineStr">
        <is>
          <t>kCarpoly 4 Pack Thicken Mop Refills Compatible with O-Cedar Dual-Action Microfiber Flip Mop, Replacement Mop Heads for Dry/Wet Use, Machine Washable Double Sided All Surface Cleaning (4), Blue</t>
        </is>
      </c>
      <c r="E1511" s="2">
        <f>HYPERLINK("https://www.amazon.com/kCarpoly-Compatible-Dual-Action-Microfiber-Replacement/dp/B09QM33PLB/ref=sr_1_1?keywords=o-cedar+dual-action+microfiber+flip+mop&amp;qid=1695170453&amp;sr=8-1", "https://www.amazon.com/kCarpoly-Compatible-Dual-Action-Microfiber-Replacement/dp/B09QM33PLB/ref=sr_1_1?keywords=o-cedar+dual-action+microfiber+flip+mop&amp;qid=1695170453&amp;sr=8-1")</f>
        <v/>
      </c>
      <c r="F1511" t="inlineStr">
        <is>
          <t>B09QM33PLB</t>
        </is>
      </c>
      <c r="G1511">
        <f>_xludf.IMAGE("https://www.shelhealth.com/cdn/shop/products/o-cedar-dual-action-micro-fiber-flip-mop-shelhealth-130.jpg?v=1663357602&amp;width=1946")</f>
        <v/>
      </c>
      <c r="H1511">
        <f>_xludf.IMAGE("https://m.media-amazon.com/images/I/81WDcAL9tkL._AC_UL320_.jpg")</f>
        <v/>
      </c>
      <c r="K1511" t="inlineStr">
        <is>
          <t>23.99</t>
        </is>
      </c>
      <c r="L1511" t="n">
        <v>17.99</v>
      </c>
      <c r="M1511" s="1" t="inlineStr">
        <is>
          <t>-25.01%</t>
        </is>
      </c>
      <c r="N1511" s="3" t="n">
        <v>-25.01</v>
      </c>
      <c r="O1511" t="n">
        <v>4.6</v>
      </c>
      <c r="P1511" t="n">
        <v>683</v>
      </c>
      <c r="R1511" t="inlineStr">
        <is>
          <t>OutOfStock</t>
        </is>
      </c>
      <c r="S1511" t="inlineStr">
        <is>
          <t>23.99</t>
        </is>
      </c>
      <c r="T1511" t="inlineStr">
        <is>
          <t>4251125514292</t>
        </is>
      </c>
    </row>
    <row r="1512" hidden="1" ht="15.75" customHeight="1">
      <c r="A1512" s="2">
        <f>HYPERLINK("https://www.shelhealth.com/products/639713990898-evolution-salt-lamp-salt-white-fire-bowl-7-lb", "https://www.shelhealth.com/products/639713990898-evolution-salt-lamp-salt-white-fire-bowl-7-lb")</f>
        <v/>
      </c>
      <c r="B1512" s="2">
        <f>HYPERLINK("https://www.shelhealth.com/products/639713990898-evolution-salt-lamp-salt-white-fire-bowl-7-lb", "https://www.shelhealth.com/products/639713990898-evolution-salt-lamp-salt-white-fire-bowl-7-lb")</f>
        <v/>
      </c>
      <c r="C1512" t="inlineStr">
        <is>
          <t>EVOLUTION SALT Lamp Salt White Fire Bowl, 7 lb</t>
        </is>
      </c>
      <c r="D1512" t="inlineStr">
        <is>
          <t>Evolution Salt - Fire Bowl Himalayan Salt Lamp 6" 6-7 lbs</t>
        </is>
      </c>
      <c r="E1512" s="2">
        <f>HYPERLINK("https://www.amazon.com/Evolution-Salt-Fire-Bowl-Himalayan/dp/B009Y804R8/ref=sr_1_1?keywords=EVOLUTION+SALT+Lamp+Salt+White+Fire+Bowl%2C+7+lb&amp;qid=1695170512&amp;sr=8-1", "https://www.amazon.com/Evolution-Salt-Fire-Bowl-Himalayan/dp/B009Y804R8/ref=sr_1_1?keywords=EVOLUTION+SALT+Lamp+Salt+White+Fire+Bowl%2C+7+lb&amp;qid=1695170512&amp;sr=8-1")</f>
        <v/>
      </c>
      <c r="F1512" t="inlineStr">
        <is>
          <t>B009Y804R8</t>
        </is>
      </c>
      <c r="G1512">
        <f>_xludf.IMAGE("https://www.shelhealth.com/cdn/shop/files/evolution-salt-lamp-white-fire-bowl-7-lb-home-products-shelhealth-591.jpg?v=1686211504&amp;width=1946")</f>
        <v/>
      </c>
      <c r="H1512">
        <f>_xludf.IMAGE("https://m.media-amazon.com/images/I/713UwVX-zmL._AC_UL320_.jpg")</f>
        <v/>
      </c>
      <c r="K1512" t="inlineStr">
        <is>
          <t>37.99</t>
        </is>
      </c>
      <c r="L1512" t="n">
        <v>28.47</v>
      </c>
      <c r="M1512" s="1" t="inlineStr">
        <is>
          <t>-25.06%</t>
        </is>
      </c>
      <c r="N1512" s="3" t="n">
        <v>-25.06</v>
      </c>
      <c r="O1512" t="n">
        <v>3.7</v>
      </c>
      <c r="P1512" t="n">
        <v>6</v>
      </c>
      <c r="R1512" t="inlineStr">
        <is>
          <t>OutOfStock</t>
        </is>
      </c>
      <c r="S1512" t="inlineStr">
        <is>
          <t>37.99</t>
        </is>
      </c>
      <c r="T1512" t="inlineStr">
        <is>
          <t>7574079602920</t>
        </is>
      </c>
    </row>
    <row r="1513" hidden="1" ht="15.75" customHeight="1">
      <c r="A1513" s="2">
        <f>HYPERLINK("https://www.shelhealth.com/products/berkley-jensen-handmade-gift-tags-60-count", "https://www.shelhealth.com/products/berkley-jensen-handmade-gift-tags-60-count")</f>
        <v/>
      </c>
      <c r="B1513" s="2">
        <f>HYPERLINK("https://www.shelhealth.com/products/berkley-jensen-handmade-gift-tags-60-count", "https://www.shelhealth.com/products/berkley-jensen-handmade-gift-tags-60-count")</f>
        <v/>
      </c>
      <c r="C1513" t="inlineStr">
        <is>
          <t>Berkley Jensen Handmade Gift Tags, 60 Count</t>
        </is>
      </c>
      <c r="D1513" t="inlineStr">
        <is>
          <t>KIRKLAND SIGNATURE Handmade Holiday Gift Tags, 60 Count, Multi-Color</t>
        </is>
      </c>
      <c r="E1513" s="2">
        <f>HYPERLINK("https://www.amazon.com/Kirkland-Signature-Handmade-Holiday-Count/dp/B078XJTJHH/ref=sr_1_1?keywords=Berkley+Jensen+Handmade+Gift+Tags%2C+60+Count&amp;qid=1695170542&amp;sr=8-1", "https://www.amazon.com/Kirkland-Signature-Handmade-Holiday-Count/dp/B078XJTJHH/ref=sr_1_1?keywords=Berkley+Jensen+Handmade+Gift+Tags%2C+60+Count&amp;qid=1695170542&amp;sr=8-1")</f>
        <v/>
      </c>
      <c r="F1513" t="inlineStr">
        <is>
          <t>B078XJTJHH</t>
        </is>
      </c>
      <c r="G1513">
        <f>_xludf.IMAGE("https://www.shelhealth.com/cdn/shop/products/berkley-jensen-handmade-gift-tags-60-count-shelhealth-575.jpg?v=1663749245&amp;width=1946")</f>
        <v/>
      </c>
      <c r="H1513">
        <f>_xludf.IMAGE("https://m.media-amazon.com/images/I/A1-XBQbTjpL._AC_UL320_.jpg")</f>
        <v/>
      </c>
      <c r="K1513" t="inlineStr">
        <is>
          <t>19.99</t>
        </is>
      </c>
      <c r="L1513" t="n">
        <v>14.95</v>
      </c>
      <c r="M1513" s="1" t="inlineStr">
        <is>
          <t>-25.21%</t>
        </is>
      </c>
      <c r="N1513" s="3" t="n">
        <v>-25.21</v>
      </c>
      <c r="O1513" t="n">
        <v>4.7</v>
      </c>
      <c r="P1513" t="n">
        <v>96</v>
      </c>
      <c r="R1513" t="inlineStr">
        <is>
          <t>OutOfStock</t>
        </is>
      </c>
      <c r="S1513" t="inlineStr">
        <is>
          <t>19.99</t>
        </is>
      </c>
      <c r="T1513" t="inlineStr">
        <is>
          <t>7263937659068</t>
        </is>
      </c>
    </row>
    <row r="1514" hidden="1" ht="15.75" customHeight="1">
      <c r="A1514" s="2">
        <f>HYPERLINK("https://www.shelhealth.com/products/gain-fireworks-in-wash-scent-booster-beads-30-3-oz", "https://www.shelhealth.com/products/gain-fireworks-in-wash-scent-booster-beads-30-3-oz")</f>
        <v/>
      </c>
      <c r="B1514" s="2">
        <f>HYPERLINK("https://www.shelhealth.com/products/gain-fireworks-in-wash-scent-booster-beads-30-3-oz", "https://www.shelhealth.com/products/gain-fireworks-in-wash-scent-booster-beads-30-3-oz")</f>
        <v/>
      </c>
      <c r="C1514" t="inlineStr">
        <is>
          <t>Gain Fireworks In-Wash Scent Booster Beads, 30.3 oz.</t>
        </is>
      </c>
      <c r="D1514" t="inlineStr">
        <is>
          <t>Gain Fireworks In-Wash Scent Booster Beads, Original, 14.8 oz (Pack of 2)</t>
        </is>
      </c>
      <c r="E1514" s="2">
        <f>HYPERLINK("https://www.amazon.com/Gain-Fireworks-Wash-Booster-Original/dp/B09LKGZXV3/ref=sr_1_5?keywords=Gain+Fireworks+In-Wash+Scent+Booster+Beads%2C+30.3+oz.&amp;qid=1695170556&amp;sr=8-5", "https://www.amazon.com/Gain-Fireworks-Wash-Booster-Original/dp/B09LKGZXV3/ref=sr_1_5?keywords=Gain+Fireworks+In-Wash+Scent+Booster+Beads%2C+30.3+oz.&amp;qid=1695170556&amp;sr=8-5")</f>
        <v/>
      </c>
      <c r="F1514" t="inlineStr">
        <is>
          <t>B09LKGZXV3</t>
        </is>
      </c>
      <c r="G1514">
        <f>_xludf.IMAGE("https://www.shelhealth.com/cdn/shop/products/gain-fireworks-in-wash-scent-booster-beads-30-3-oz-shelhealth-634.jpg?v=1663356812&amp;width=1946")</f>
        <v/>
      </c>
      <c r="H1514">
        <f>_xludf.IMAGE("https://m.media-amazon.com/images/I/315VRLPqImL._AC_UL320_.jpg")</f>
        <v/>
      </c>
      <c r="K1514" t="inlineStr">
        <is>
          <t>23.99</t>
        </is>
      </c>
      <c r="L1514" t="n">
        <v>17.94</v>
      </c>
      <c r="M1514" s="1" t="inlineStr">
        <is>
          <t>-25.22%</t>
        </is>
      </c>
      <c r="N1514" s="3" t="n">
        <v>-25.22</v>
      </c>
      <c r="O1514" t="n">
        <v>4.6</v>
      </c>
      <c r="P1514" t="n">
        <v>38</v>
      </c>
      <c r="R1514" t="inlineStr">
        <is>
          <t>InStock</t>
        </is>
      </c>
      <c r="S1514" t="inlineStr">
        <is>
          <t>23.99</t>
        </is>
      </c>
      <c r="T1514" t="inlineStr">
        <is>
          <t>4179087622196</t>
        </is>
      </c>
    </row>
    <row r="1515" hidden="1" ht="15.75" customHeight="1">
      <c r="A1515" s="2">
        <f>HYPERLINK("https://www.shelhealth.com/products/rowenta-cord-reel-iron", "https://www.shelhealth.com/products/rowenta-cord-reel-iron")</f>
        <v/>
      </c>
      <c r="B1515" s="2">
        <f>HYPERLINK("https://www.shelhealth.com/products/rowenta-cord-reel-iron", "https://www.shelhealth.com/products/rowenta-cord-reel-iron")</f>
        <v/>
      </c>
      <c r="C1515" t="inlineStr">
        <is>
          <t>Rowenta Cord-Reel Iron</t>
        </is>
      </c>
      <c r="D1515" t="inlineStr">
        <is>
          <t>Rowenta Access Stainless Steel Soleplate Steam Iron with Retractable Cord 350 Microsteam Holes, Cotton, Wool, Poly, Silk, Linen, Nylon 1725 Watts Portable, Ironing, Garment Steamer DW2459</t>
        </is>
      </c>
      <c r="E1515" s="2">
        <f>HYPERLINK("https://www.amazon.com/Rowenta-DW2459-Retractable-Stainless-Soleplate/dp/B083JXZJMJ/ref=sr_1_3?keywords=Rowenta+Cord-Reel+Iron&amp;qid=1695170555&amp;sr=8-3", "https://www.amazon.com/Rowenta-DW2459-Retractable-Stainless-Soleplate/dp/B083JXZJMJ/ref=sr_1_3?keywords=Rowenta+Cord-Reel+Iron&amp;qid=1695170555&amp;sr=8-3")</f>
        <v/>
      </c>
      <c r="F1515" t="inlineStr">
        <is>
          <t>B083JXZJMJ</t>
        </is>
      </c>
      <c r="G1515">
        <f>_xludf.IMAGE("https://www.shelhealth.com/cdn/shop/products/rowenta-cord-reel-iron-shelhealth-653.jpg?v=1663357139&amp;width=1946")</f>
        <v/>
      </c>
      <c r="H1515">
        <f>_xludf.IMAGE("https://m.media-amazon.com/images/I/71vUCDj2k5L._AC_UY218_.jpg")</f>
        <v/>
      </c>
      <c r="K1515" t="inlineStr">
        <is>
          <t>80.99</t>
        </is>
      </c>
      <c r="L1515" t="n">
        <v>59.99</v>
      </c>
      <c r="M1515" s="1" t="inlineStr">
        <is>
          <t>-25.93%</t>
        </is>
      </c>
      <c r="N1515" s="3" t="n">
        <v>-25.93</v>
      </c>
      <c r="O1515" t="n">
        <v>4.3</v>
      </c>
      <c r="P1515" t="n">
        <v>7760</v>
      </c>
      <c r="R1515" t="inlineStr">
        <is>
          <t>OutOfStock</t>
        </is>
      </c>
      <c r="S1515" t="inlineStr">
        <is>
          <t>80.99</t>
        </is>
      </c>
      <c r="T1515" t="inlineStr">
        <is>
          <t>4179228065844</t>
        </is>
      </c>
    </row>
    <row r="1516" hidden="1" ht="15.75" customHeight="1">
      <c r="A1516" s="2">
        <f>HYPERLINK("https://www.shelhealth.com/products/nutri-bites-freeze-dried-beef-liver-treats-17-6-oz", "https://www.shelhealth.com/products/nutri-bites-freeze-dried-beef-liver-treats-17-6-oz")</f>
        <v/>
      </c>
      <c r="B1516" s="2">
        <f>HYPERLINK("https://www.shelhealth.com/products/nutri-bites-freeze-dried-beef-liver-treats-17-6-oz", "https://www.shelhealth.com/products/nutri-bites-freeze-dried-beef-liver-treats-17-6-oz")</f>
        <v/>
      </c>
      <c r="C1516" t="inlineStr">
        <is>
          <t>Nutri Bites Freeze Dried Beef Liver Treats, 17.6 oz. (Pack of 2)</t>
        </is>
      </c>
      <c r="D1516" t="inlineStr">
        <is>
          <t>Nutri Bites Freeze Dried Liver Treats for Dogs &amp; Cats - High-Protein Single Ingredient Dog Treats, Beef Liver - Grain Free, Easy to Digest - Proudly Made in Canada - 500g / 17.6oz (2pk)</t>
        </is>
      </c>
      <c r="E1516" s="2">
        <f>HYPERLINK("https://www.amazon.com/Nutri-Bites-Freeze-Dried-Treats/dp/B0BLW8FN1H/ref=sr_1_1?keywords=Nutri+Bites+Freeze+Dried+Beef+Liver+Treats%2C+17.6+oz.+%28Pack+of+2%29&amp;qid=1695170416&amp;sr=8-1", "https://www.amazon.com/Nutri-Bites-Freeze-Dried-Treats/dp/B0BLW8FN1H/ref=sr_1_1?keywords=Nutri+Bites+Freeze+Dried+Beef+Liver+Treats%2C+17.6+oz.+%28Pack+of+2%29&amp;qid=1695170416&amp;sr=8-1")</f>
        <v/>
      </c>
      <c r="F1516" t="inlineStr">
        <is>
          <t>B0BLW8FN1H</t>
        </is>
      </c>
      <c r="G1516">
        <f>_xludf.IMAGE("https://www.shelhealth.com/cdn/shop/files/nutri-bites-freeze-dried-beef-liver-treats-17-6-oz-pack-of-2-shelhealth-250.jpg?v=1685570645&amp;width=1946")</f>
        <v/>
      </c>
      <c r="H1516">
        <f>_xludf.IMAGE("https://m.media-amazon.com/images/I/71Blk7Bu7OL._AC_UL320_.jpg")</f>
        <v/>
      </c>
      <c r="K1516" t="inlineStr">
        <is>
          <t>49.99</t>
        </is>
      </c>
      <c r="L1516" t="n">
        <v>36.76</v>
      </c>
      <c r="M1516" s="1" t="inlineStr">
        <is>
          <t>-26.47%</t>
        </is>
      </c>
      <c r="N1516" s="3" t="n">
        <v>-26.47</v>
      </c>
      <c r="O1516" t="n">
        <v>4.8</v>
      </c>
      <c r="P1516" t="n">
        <v>481</v>
      </c>
      <c r="R1516" t="inlineStr">
        <is>
          <t>InStock</t>
        </is>
      </c>
      <c r="S1516" t="inlineStr">
        <is>
          <t>49.99</t>
        </is>
      </c>
      <c r="T1516" t="inlineStr">
        <is>
          <t>8222814699752</t>
        </is>
      </c>
    </row>
    <row r="1517" hidden="1" ht="15.75" customHeight="1">
      <c r="A1517" s="2">
        <f>HYPERLINK("https://www.shelhealth.com/products/3m-post-it-notes-3-in-x-3-in-1000-notes", "https://www.shelhealth.com/products/3m-post-it-notes-3-in-x-3-in-1000-notes")</f>
        <v/>
      </c>
      <c r="B1517" s="2">
        <f>HYPERLINK("https://www.shelhealth.com/products/3m-post-it-notes-3-in-x-3-in-1000-notes", "https://www.shelhealth.com/products/3m-post-it-notes-3-in-x-3-in-1000-notes")</f>
        <v/>
      </c>
      <c r="C1517" t="inlineStr">
        <is>
          <t>3M Post-It Notes 3 in. x 3 in. (1000 Notes)</t>
        </is>
      </c>
      <c r="D1517" t="inlineStr">
        <is>
          <t>Post-it Notes, 3x3 in, 18 Pads, America's #1 Favorite Sticky Notes, Jaipur Collection, Bold Colors (Green, Yellow, Orange, Purple, Blue), Clean Removal, Recyclable (654-18BRCP)</t>
        </is>
      </c>
      <c r="E1517" s="2">
        <f>HYPERLINK("https://www.amazon.com/Post-654-18BRCP-3-Inches-Collection-Cabinet/dp/B001CJRM36/ref=sr_1_10?keywords=3M+Post-It+Notes+3+in.+x+3+in.+%281000+Notes%29&amp;qid=1695170543&amp;sr=8-10", "https://www.amazon.com/Post-654-18BRCP-3-Inches-Collection-Cabinet/dp/B001CJRM36/ref=sr_1_10?keywords=3M+Post-It+Notes+3+in.+x+3+in.+%281000+Notes%29&amp;qid=1695170543&amp;sr=8-10")</f>
        <v/>
      </c>
      <c r="F1517" t="inlineStr">
        <is>
          <t>B001CJRM36</t>
        </is>
      </c>
      <c r="G1517">
        <f>_xludf.IMAGE("https://www.shelhealth.com/cdn/shop/products/3m-post-it-notes-3-in-x-1000-shelhealth-901.jpg?v=1663372777&amp;width=1946")</f>
        <v/>
      </c>
      <c r="H1517">
        <f>_xludf.IMAGE("https://m.media-amazon.com/images/I/61miKu2boyL._AC_UL320_.jpg")</f>
        <v/>
      </c>
      <c r="K1517" t="inlineStr">
        <is>
          <t>27.99</t>
        </is>
      </c>
      <c r="L1517" t="n">
        <v>20.48</v>
      </c>
      <c r="M1517" s="1" t="inlineStr">
        <is>
          <t>-26.83%</t>
        </is>
      </c>
      <c r="N1517" s="3" t="n">
        <v>-26.83</v>
      </c>
      <c r="O1517" t="n">
        <v>4.7</v>
      </c>
      <c r="P1517" t="n">
        <v>113</v>
      </c>
      <c r="R1517" t="inlineStr">
        <is>
          <t>InStock</t>
        </is>
      </c>
      <c r="S1517" t="inlineStr">
        <is>
          <t>27.99</t>
        </is>
      </c>
      <c r="T1517" t="inlineStr">
        <is>
          <t>4696977703001</t>
        </is>
      </c>
    </row>
    <row r="1518" hidden="1" ht="15.75" customHeight="1">
      <c r="A1518" s="2">
        <f>HYPERLINK("https://www.shelhealth.com/products/808124700604-mrs-meyers-clean-day-peony-dish-soap-16-oz", "https://www.shelhealth.com/products/808124700604-mrs-meyers-clean-day-peony-dish-soap-16-oz")</f>
        <v/>
      </c>
      <c r="B1518" s="2">
        <f>HYPERLINK("https://www.shelhealth.com/products/808124700604-mrs-meyers-clean-day-peony-dish-soap-16-oz", "https://www.shelhealth.com/products/808124700604-mrs-meyers-clean-day-peony-dish-soap-16-oz")</f>
        <v/>
      </c>
      <c r="C1518" t="inlineStr">
        <is>
          <t>Mrs Meyers Clean Day Peony Dish Soap, 16 Oz (Case of 3)</t>
        </is>
      </c>
      <c r="D1518" t="inlineStr">
        <is>
          <t>MRS. MEYER'S CLEAN DAY Liquid Dish Soap, Biodegradable Formula, Peony, 16 fl. oz - Pack of 3</t>
        </is>
      </c>
      <c r="E1518" s="2">
        <f>HYPERLINK("https://www.amazon.com/MRS-MEYERS-CLEAN-DAY-Biodegradable/dp/B0822LQL28/ref=sr_1_3?keywords=Mrs+Meyers+Clean+Day+Peony+Dish+Soap%2C+16+Oz+%28Case+of+3%29&amp;qid=1695170490&amp;sr=8-3", "https://www.amazon.com/MRS-MEYERS-CLEAN-DAY-Biodegradable/dp/B0822LQL28/ref=sr_1_3?keywords=Mrs+Meyers+Clean+Day+Peony+Dish+Soap%2C+16+Oz+%28Case+of+3%29&amp;qid=1695170490&amp;sr=8-3")</f>
        <v/>
      </c>
      <c r="F1518" t="inlineStr">
        <is>
          <t>B0822LQL28</t>
        </is>
      </c>
      <c r="G1518">
        <f>_xludf.IMAGE("https://www.shelhealth.com/cdn/shop/files/mrs-meyers-clean-day-peony-dish-soap-16-oz-case-of-3-home-products-shelhealth-748.jpg?v=1686141924&amp;width=1946")</f>
        <v/>
      </c>
      <c r="H1518">
        <f>_xludf.IMAGE("https://m.media-amazon.com/images/I/81VI6o6EtuL._AC_UL320_.jpg")</f>
        <v/>
      </c>
      <c r="K1518" t="inlineStr">
        <is>
          <t>19.99</t>
        </is>
      </c>
      <c r="L1518" t="n">
        <v>14.62</v>
      </c>
      <c r="M1518" s="1" t="inlineStr">
        <is>
          <t>-26.86%</t>
        </is>
      </c>
      <c r="N1518" s="3" t="n">
        <v>-26.86</v>
      </c>
      <c r="O1518" t="n">
        <v>4.8</v>
      </c>
      <c r="P1518" t="n">
        <v>974</v>
      </c>
      <c r="R1518" t="inlineStr">
        <is>
          <t>OutOfStock</t>
        </is>
      </c>
      <c r="S1518" t="inlineStr">
        <is>
          <t>19.99</t>
        </is>
      </c>
      <c r="T1518" t="inlineStr">
        <is>
          <t>7241834758332</t>
        </is>
      </c>
    </row>
    <row r="1519" hidden="1" ht="15.75" customHeight="1">
      <c r="A1519" s="2">
        <f>HYPERLINK("https://www.shelhealth.com/products/808124144408-mrs-meyer-s-multi-surface-concentrate-basil-scent-32-oz", "https://www.shelhealth.com/products/808124144408-mrs-meyer-s-multi-surface-concentrate-basil-scent-32-oz")</f>
        <v/>
      </c>
      <c r="B1519" s="2">
        <f>HYPERLINK("https://www.shelhealth.com/products/808124144408-mrs-meyer-s-multi-surface-concentrate-basil-scent-32-oz", "https://www.shelhealth.com/products/808124144408-mrs-meyer-s-multi-surface-concentrate-basil-scent-32-oz")</f>
        <v/>
      </c>
      <c r="C1519" t="inlineStr">
        <is>
          <t>Mrs. Meyer'S Multi-Surface Concentrate Basil Scent, 32 Oz</t>
        </is>
      </c>
      <c r="D1519" t="inlineStr">
        <is>
          <t>Mrs. Meyer's Clean Day Multi-Surface Cleaner Concentrate, Use to Clean Floors, Tile, Counters, Rosemary Scent, 32 oz</t>
        </is>
      </c>
      <c r="E1519" s="2">
        <f>HYPERLINK("https://www.amazon.com/Mrs-Meyers-Clean-Day-Multi-Surface/dp/B00R1OZZUI/ref=sr_1_5?keywords=Mrs.+MeyerS+Multi-Surface+Concentrate+Basil+Scent%2C+32+Oz&amp;qid=1695170461&amp;sr=8-5", "https://www.amazon.com/Mrs-Meyers-Clean-Day-Multi-Surface/dp/B00R1OZZUI/ref=sr_1_5?keywords=Mrs.+MeyerS+Multi-Surface+Concentrate+Basil+Scent%2C+32+Oz&amp;qid=1695170461&amp;sr=8-5")</f>
        <v/>
      </c>
      <c r="F1519" t="inlineStr">
        <is>
          <t>B00R1OZZUI</t>
        </is>
      </c>
      <c r="G1519">
        <f>_xludf.IMAGE("https://www.shelhealth.com/cdn/shop/files/mrs-meyers-multi-surface-concentrate-basil-scent-32-oz-home-products-clean-day-shelhealth-266.jpg?v=1686532600&amp;width=1946")</f>
        <v/>
      </c>
      <c r="H1519">
        <f>_xludf.IMAGE("https://m.media-amazon.com/images/I/618pbC8+mWL._AC_UL320_.jpg")</f>
        <v/>
      </c>
      <c r="K1519" t="inlineStr">
        <is>
          <t>12.99</t>
        </is>
      </c>
      <c r="L1519" t="n">
        <v>9.49</v>
      </c>
      <c r="M1519" s="1" t="inlineStr">
        <is>
          <t>-26.94%</t>
        </is>
      </c>
      <c r="N1519" s="3" t="n">
        <v>-26.94</v>
      </c>
      <c r="O1519" t="n">
        <v>4.8</v>
      </c>
      <c r="P1519" t="n">
        <v>3628</v>
      </c>
      <c r="R1519" t="inlineStr">
        <is>
          <t>InStock</t>
        </is>
      </c>
      <c r="S1519" t="inlineStr">
        <is>
          <t>12.99</t>
        </is>
      </c>
      <c r="T1519" t="inlineStr">
        <is>
          <t>7241836593340</t>
        </is>
      </c>
    </row>
    <row r="1520" hidden="1" ht="15.75" customHeight="1">
      <c r="A1520" s="2">
        <f>HYPERLINK("https://www.shelhealth.com/products/cascade-complete-gel-dishwasher-detergent-fresh-scent-155-oz", "https://www.shelhealth.com/products/cascade-complete-gel-dishwasher-detergent-fresh-scent-155-oz")</f>
        <v/>
      </c>
      <c r="B1520" s="2">
        <f>HYPERLINK("https://www.shelhealth.com/products/cascade-complete-gel-dishwasher-detergent-fresh-scent-155-oz", "https://www.shelhealth.com/products/cascade-complete-gel-dishwasher-detergent-fresh-scent-155-oz")</f>
        <v/>
      </c>
      <c r="C1520" t="inlineStr">
        <is>
          <t>Cascade Complete Gel Dishwasher Detergent, Fresh Scent, 155 oz.</t>
        </is>
      </c>
      <c r="D1520" t="inlineStr">
        <is>
          <t>Cascade Complete Gel Dishwasher Detergent, Fresh Scent (155 oz.)</t>
        </is>
      </c>
      <c r="E1520" s="2">
        <f>HYPERLINK("https://www.amazon.com/Cascade-Complete-Dishwasher-Detergent-Fresh/dp/B01NAWXHP4/ref=sr_1_1?keywords=Cascade+Complete+Gel+Dishwasher+Detergent%2C+Fresh+Scent%2C+155+oz.&amp;qid=1695170393&amp;sr=8-1", "https://www.amazon.com/Cascade-Complete-Dishwasher-Detergent-Fresh/dp/B01NAWXHP4/ref=sr_1_1?keywords=Cascade+Complete+Gel+Dishwasher+Detergent%2C+Fresh+Scent%2C+155+oz.&amp;qid=1695170393&amp;sr=8-1")</f>
        <v/>
      </c>
      <c r="F1520" t="inlineStr">
        <is>
          <t>B01NAWXHP4</t>
        </is>
      </c>
      <c r="G1520">
        <f>_xludf.IMAGE("https://www.shelhealth.com/cdn/shop/products/cascade-complete-gel-dishwasher-detergent-fresh-scent-155-oz-shelhealth-906.jpg?v=1663355159&amp;width=1946")</f>
        <v/>
      </c>
      <c r="H1520">
        <f>_xludf.IMAGE("https://m.media-amazon.com/images/I/613ew1QDTVL._AC_UL320_.jpg")</f>
        <v/>
      </c>
      <c r="K1520" t="inlineStr">
        <is>
          <t>32.99</t>
        </is>
      </c>
      <c r="L1520" t="n">
        <v>23.99</v>
      </c>
      <c r="M1520" s="1" t="inlineStr">
        <is>
          <t>-27.28%</t>
        </is>
      </c>
      <c r="N1520" s="3" t="n">
        <v>-27.28</v>
      </c>
      <c r="O1520" t="n">
        <v>4.7</v>
      </c>
      <c r="P1520" t="n">
        <v>8415</v>
      </c>
      <c r="R1520" t="inlineStr">
        <is>
          <t>InStock</t>
        </is>
      </c>
      <c r="S1520" t="inlineStr">
        <is>
          <t>32.99</t>
        </is>
      </c>
      <c r="T1520" t="inlineStr">
        <is>
          <t>4169691234356</t>
        </is>
      </c>
    </row>
    <row r="1521" hidden="1" ht="15.75" customHeight="1">
      <c r="A1521" s="2">
        <f>HYPERLINK("https://www.shelhealth.com/products/feit-electric-dimmable-led-br-30-flood-65w-soft-white-6-count", "https://www.shelhealth.com/products/feit-electric-dimmable-led-br-30-flood-65w-soft-white-6-count")</f>
        <v/>
      </c>
      <c r="B1521" s="2">
        <f>HYPERLINK("https://www.shelhealth.com/products/feit-electric-dimmable-led-br-30-flood-65w-soft-white-6-count", "https://www.shelhealth.com/products/feit-electric-dimmable-led-br-30-flood-65w-soft-white-6-count")</f>
        <v/>
      </c>
      <c r="C1521" t="inlineStr">
        <is>
          <t>Feit Electric Dimmable Led BR 30 Flood 65W Soft White, 6 Count</t>
        </is>
      </c>
      <c r="D1521" t="inlineStr">
        <is>
          <t>Feit Electric BR30 LED Light Bulbs, 65W Equivalent, Non Dimmable, 10 Year Life, 650 Lumens, 2700K Soft White, E26 Base Recessed Can Light Bulbs, Flood Light Bulbs, Damp Rated, 3 Pack, BR30/10KLED/3</t>
        </is>
      </c>
      <c r="E1521" s="2">
        <f>HYPERLINK("https://www.amazon.com/Feit-Electric-TV205495-BR30-Bulb/dp/B01B80B2QQ/ref=sr_1_7?keywords=Feit+Electric+Dimmable+Led+BR+30+Flood+65W+Soft+White%2C+6+Count&amp;qid=1695170551&amp;sr=8-7", "https://www.amazon.com/Feit-Electric-TV205495-BR30-Bulb/dp/B01B80B2QQ/ref=sr_1_7?keywords=Feit+Electric+Dimmable+Led+BR+30+Flood+65W+Soft+White%2C+6+Count&amp;qid=1695170551&amp;sr=8-7")</f>
        <v/>
      </c>
      <c r="F1521" t="inlineStr">
        <is>
          <t>B01B80B2QQ</t>
        </is>
      </c>
      <c r="G1521">
        <f>_xludf.IMAGE("https://www.shelhealth.com/cdn/shop/products/feit-electric-dimmable-led-br-30-flood-65w-soft-white-6-count-shelhealth-424.jpg?v=1663357848&amp;width=1946")</f>
        <v/>
      </c>
      <c r="H1521">
        <f>_xludf.IMAGE("https://m.media-amazon.com/images/I/51nxBwQU5gL._AC_UL320_.jpg")</f>
        <v/>
      </c>
      <c r="K1521" t="inlineStr">
        <is>
          <t>21.99</t>
        </is>
      </c>
      <c r="L1521" t="n">
        <v>15.99</v>
      </c>
      <c r="M1521" s="1" t="inlineStr">
        <is>
          <t>-27.29%</t>
        </is>
      </c>
      <c r="N1521" s="3" t="n">
        <v>-27.29</v>
      </c>
      <c r="O1521" t="n">
        <v>4.5</v>
      </c>
      <c r="P1521" t="n">
        <v>104</v>
      </c>
      <c r="R1521" t="inlineStr">
        <is>
          <t>InStock</t>
        </is>
      </c>
      <c r="S1521" t="inlineStr">
        <is>
          <t>21.99</t>
        </is>
      </c>
      <c r="T1521" t="inlineStr">
        <is>
          <t>4268904579124</t>
        </is>
      </c>
    </row>
    <row r="1522" hidden="1" ht="15.75" customHeight="1">
      <c r="A1522" s="2">
        <f>HYPERLINK("https://www.shelhealth.com/products/ziploc-easy-open-tabs-sandwich-bags-580-145-count-pack-of-4", "https://www.shelhealth.com/products/ziploc-easy-open-tabs-sandwich-bags-580-145-count-pack-of-4")</f>
        <v/>
      </c>
      <c r="B1522" s="2">
        <f>HYPERLINK("https://www.shelhealth.com/products/ziploc-easy-open-tabs-sandwich-bags-580-145-count-pack-of-4", "https://www.shelhealth.com/products/ziploc-easy-open-tabs-sandwich-bags-580-145-count-pack-of-4")</f>
        <v/>
      </c>
      <c r="C1522" t="inlineStr">
        <is>
          <t>Ziploc Easy Open Tabs Sandwich Bags 580, 145 Count (Pack of 4)</t>
        </is>
      </c>
      <c r="D1522" t="inlineStr">
        <is>
          <t>Ziploc Easy Open Tabs Sandwich Bags 580, 145 Count (Pack of 4)</t>
        </is>
      </c>
      <c r="E1522" s="2">
        <f>HYPERLINK("https://www.amazon.com/Ziploc-Easy-Open-Sandwich-Count/dp/B074HMLKQ3/ref=sr_1_1?keywords=Ziploc+Easy+Open+Tabs+Sandwich+Bags+580%2C+145+Count+%28Pack+of+4%29&amp;qid=1695170427&amp;sr=8-1", "https://www.amazon.com/Ziploc-Easy-Open-Sandwich-Count/dp/B074HMLKQ3/ref=sr_1_1?keywords=Ziploc+Easy+Open+Tabs+Sandwich+Bags+580%2C+145+Count+%28Pack+of+4%29&amp;qid=1695170427&amp;sr=8-1")</f>
        <v/>
      </c>
      <c r="F1522" t="inlineStr">
        <is>
          <t>B074HMLKQ3</t>
        </is>
      </c>
      <c r="G1522">
        <f>_xludf.IMAGE("https://www.shelhealth.com/cdn/shop/products/ziploc-easy-open-tabs-sandwich-bags-580-145-count-pack-of-4-shelhealth-554.jpg?v=1663344346&amp;width=1946")</f>
        <v/>
      </c>
      <c r="H1522">
        <f>_xludf.IMAGE("https://m.media-amazon.com/images/I/61Nscz1cJ7L._AC_UL320_.jpg")</f>
        <v/>
      </c>
      <c r="K1522" t="inlineStr">
        <is>
          <t>18.99</t>
        </is>
      </c>
      <c r="L1522" t="n">
        <v>13.79</v>
      </c>
      <c r="M1522" s="1" t="inlineStr">
        <is>
          <t>-27.38%</t>
        </is>
      </c>
      <c r="N1522" s="3" t="n">
        <v>-27.38</v>
      </c>
      <c r="O1522" t="n">
        <v>4.8</v>
      </c>
      <c r="P1522" t="n">
        <v>1694</v>
      </c>
      <c r="R1522" t="inlineStr">
        <is>
          <t>InStock</t>
        </is>
      </c>
      <c r="S1522" t="inlineStr">
        <is>
          <t>18.99</t>
        </is>
      </c>
      <c r="T1522" t="inlineStr">
        <is>
          <t>3824971644980</t>
        </is>
      </c>
    </row>
    <row r="1523" hidden="1" ht="15.75" customHeight="1">
      <c r="A1523" s="2">
        <f>HYPERLINK("https://www.shelhealth.com/products/808124113671-mrs-meyers-clean-day-iowa-pine-room-freshener-8-oz", "https://www.shelhealth.com/products/808124113671-mrs-meyers-clean-day-iowa-pine-room-freshener-8-oz")</f>
        <v/>
      </c>
      <c r="B1523" s="2">
        <f>HYPERLINK("https://www.shelhealth.com/products/808124113671-mrs-meyers-clean-day-iowa-pine-room-freshener-8-oz", "https://www.shelhealth.com/products/808124113671-mrs-meyers-clean-day-iowa-pine-room-freshener-8-oz")</f>
        <v/>
      </c>
      <c r="C1523" t="inlineStr">
        <is>
          <t>Mrs Meyers Clean Day Iowa Pine Room Freshener, 8 Oz (Case of 3)</t>
        </is>
      </c>
      <c r="D1523" t="inlineStr">
        <is>
          <t>MRS. MEYER'S CLEAN DAY Room Freshener, Iowa Pine, 8 Fl Oz. (Pack of 2)</t>
        </is>
      </c>
      <c r="E1523" s="2">
        <f>HYPERLINK("https://www.amazon.com/MRS-MEYERS-CLEAN-DAY-Freshener/dp/B0BXFLVBPW/ref=sr_1_3?keywords=Mrs+Meyers+Clean+Day+Iowa+Pine+Room+Freshener%2C+8+Oz+%28Case+of+3%29&amp;qid=1695170450&amp;sr=8-3", "https://www.amazon.com/MRS-MEYERS-CLEAN-DAY-Freshener/dp/B0BXFLVBPW/ref=sr_1_3?keywords=Mrs+Meyers+Clean+Day+Iowa+Pine+Room+Freshener%2C+8+Oz+%28Case+of+3%29&amp;qid=1695170450&amp;sr=8-3")</f>
        <v/>
      </c>
      <c r="F1523" t="inlineStr">
        <is>
          <t>B0BXFLVBPW</t>
        </is>
      </c>
      <c r="G1523">
        <f>_xludf.IMAGE("https://www.shelhealth.com/cdn/shop/files/mrs-meyers-clean-day-iowa-pine-room-freshener-8-oz-case-of-3-home-products-shelhealth-272.jpg?v=1686141982&amp;width=1946")</f>
        <v/>
      </c>
      <c r="H1523">
        <f>_xludf.IMAGE("https://m.media-amazon.com/images/I/511HAZpZjkL._AC_UL320_.jpg")</f>
        <v/>
      </c>
      <c r="K1523" t="inlineStr">
        <is>
          <t>24.99</t>
        </is>
      </c>
      <c r="L1523" t="n">
        <v>18.06</v>
      </c>
      <c r="M1523" s="1" t="inlineStr">
        <is>
          <t>-27.73%</t>
        </is>
      </c>
      <c r="N1523" s="3" t="n">
        <v>-27.73</v>
      </c>
      <c r="O1523" t="n">
        <v>5</v>
      </c>
      <c r="P1523" t="n">
        <v>1</v>
      </c>
      <c r="R1523" t="inlineStr">
        <is>
          <t>OutOfStock</t>
        </is>
      </c>
      <c r="S1523" t="inlineStr">
        <is>
          <t>24.99</t>
        </is>
      </c>
      <c r="T1523" t="inlineStr">
        <is>
          <t>7241832759484</t>
        </is>
      </c>
    </row>
    <row r="1524" hidden="1" ht="15.75" customHeight="1">
      <c r="A1524" s="2">
        <f>HYPERLINK("https://www.shelhealth.com/products/rabbit-electric-corkscrew-with-cutter", "https://www.shelhealth.com/products/rabbit-electric-corkscrew-with-cutter")</f>
        <v/>
      </c>
      <c r="B1524" s="2">
        <f>HYPERLINK("https://www.shelhealth.com/products/rabbit-electric-corkscrew-with-cutter", "https://www.shelhealth.com/products/rabbit-electric-corkscrew-with-cutter")</f>
        <v/>
      </c>
      <c r="C1524" t="inlineStr">
        <is>
          <t>Rabbit Electric Corkscrew with Cutter</t>
        </is>
      </c>
      <c r="D1524" t="inlineStr">
        <is>
          <t>Secura Electric Wine Opener, Automatic Electric Wine Bottle Corkscrew Opener with Foil Cutter, Rechargeable (Stainless Steel)</t>
        </is>
      </c>
      <c r="E1524" s="2">
        <f>HYPERLINK("https://www.amazon.com/Secura-SWO-3N-Electrical-Bottle-Stainless/dp/B01261VEOG/ref=sr_1_7?keywords=Rabbit+Electric+Corkscrew+with+Cutter&amp;qid=1695170554&amp;sr=8-7", "https://www.amazon.com/Secura-SWO-3N-Electrical-Bottle-Stainless/dp/B01261VEOG/ref=sr_1_7?keywords=Rabbit+Electric+Corkscrew+with+Cutter&amp;qid=1695170554&amp;sr=8-7")</f>
        <v/>
      </c>
      <c r="F1524" t="inlineStr">
        <is>
          <t>B01261VEOG</t>
        </is>
      </c>
      <c r="G1524">
        <f>_xludf.IMAGE("https://www.shelhealth.com/cdn/shop/products/rabbit-electric-corkscrew-with-cutter-shelhealth-844.jpg?v=1663356971&amp;width=1946")</f>
        <v/>
      </c>
      <c r="H1524">
        <f>_xludf.IMAGE("https://m.media-amazon.com/images/I/61nOvBE0qGL._AC_UY218_.jpg")</f>
        <v/>
      </c>
      <c r="K1524" t="inlineStr">
        <is>
          <t>31.99</t>
        </is>
      </c>
      <c r="L1524" t="n">
        <v>22.99</v>
      </c>
      <c r="M1524" s="1" t="inlineStr">
        <is>
          <t>-28.13%</t>
        </is>
      </c>
      <c r="N1524" s="3" t="n">
        <v>-28.13</v>
      </c>
      <c r="O1524" t="n">
        <v>4.7</v>
      </c>
      <c r="P1524" t="n">
        <v>33417</v>
      </c>
      <c r="R1524" t="inlineStr">
        <is>
          <t>OutOfStock</t>
        </is>
      </c>
      <c r="S1524" t="inlineStr">
        <is>
          <t>31.99</t>
        </is>
      </c>
      <c r="T1524" t="inlineStr">
        <is>
          <t>4179121078324</t>
        </is>
      </c>
    </row>
    <row r="1525" hidden="1" ht="15.75" customHeight="1">
      <c r="A1525" s="2">
        <f>HYPERLINK("https://www.shelhealth.com/products/glad-13-gal-tall-kitchen-drawstring-plastic-trash-bags-150-ct-white", "https://www.shelhealth.com/products/glad-13-gal-tall-kitchen-drawstring-plastic-trash-bags-150-ct-white")</f>
        <v/>
      </c>
      <c r="B1525" s="2">
        <f>HYPERLINK("https://www.shelhealth.com/products/glad-13-gal-tall-kitchen-drawstring-plastic-trash-bags-150-ct-white", "https://www.shelhealth.com/products/glad-13-gal-tall-kitchen-drawstring-plastic-trash-bags-150-ct-white")</f>
        <v/>
      </c>
      <c r="C1525" t="inlineStr">
        <is>
          <t>Glad 13-Gal. Tall Kitchen Drawstring Plastic Trash Bags, 150 ct. - White</t>
        </is>
      </c>
      <c r="D1525" t="inlineStr">
        <is>
          <t>Glad ForceFlex Protection Series Tall Kitchen Drawstring Trash Bags, 13 Gal, 110 Ct, Pack May Vary</t>
        </is>
      </c>
      <c r="E1525" s="2">
        <f>HYPERLINK("https://www.amazon.com/GLAD-Protection-Drawstring-Shield-Gallon/dp/B09J1QW8HZ/ref=sr_1_3?keywords=Glad+13-Gal.+Tall+Kitchen+Drawstring+Plastic+Trash+Bags%2C+150+ct.+-+White&amp;qid=1695170433&amp;sr=8-3", "https://www.amazon.com/GLAD-Protection-Drawstring-Shield-Gallon/dp/B09J1QW8HZ/ref=sr_1_3?keywords=Glad+13-Gal.+Tall+Kitchen+Drawstring+Plastic+Trash+Bags%2C+150+ct.+-+White&amp;qid=1695170433&amp;sr=8-3")</f>
        <v/>
      </c>
      <c r="F1525" t="inlineStr">
        <is>
          <t>B09J1QW8HZ</t>
        </is>
      </c>
      <c r="G1525">
        <f>_xludf.IMAGE("https://www.shelhealth.com/cdn/shop/products/glad-13-gal-tall-kitchen-drawstring-plastic-trash-bags-150-ct-white-shelhealth-340.jpg?v=1663354914&amp;width=1946")</f>
        <v/>
      </c>
      <c r="H1525">
        <f>_xludf.IMAGE("https://m.media-amazon.com/images/I/81KyWjsEsWL._AC_UL320_.jpg")</f>
        <v/>
      </c>
      <c r="K1525" t="inlineStr">
        <is>
          <t>30.99</t>
        </is>
      </c>
      <c r="L1525" t="n">
        <v>22.21</v>
      </c>
      <c r="M1525" s="1" t="inlineStr">
        <is>
          <t>-28.33%</t>
        </is>
      </c>
      <c r="N1525" s="3" t="n">
        <v>-28.33</v>
      </c>
      <c r="O1525" t="n">
        <v>4.7</v>
      </c>
      <c r="P1525" t="n">
        <v>9175</v>
      </c>
      <c r="R1525" t="inlineStr">
        <is>
          <t>InStock</t>
        </is>
      </c>
      <c r="S1525" t="inlineStr">
        <is>
          <t>30.99</t>
        </is>
      </c>
      <c r="T1525" t="inlineStr">
        <is>
          <t>4169511305268</t>
        </is>
      </c>
    </row>
    <row r="1526" hidden="1" ht="15.75" customHeight="1">
      <c r="A1526" s="2">
        <f>HYPERLINK("https://www.shelhealth.com/products/808124144408-mrs-meyer-s-multi-surface-concentrate-basil-scent-32-oz", "https://www.shelhealth.com/products/808124144408-mrs-meyer-s-multi-surface-concentrate-basil-scent-32-oz")</f>
        <v/>
      </c>
      <c r="B1526" s="2">
        <f>HYPERLINK("https://www.shelhealth.com/products/808124144408-mrs-meyer-s-multi-surface-concentrate-basil-scent-32-oz", "https://www.shelhealth.com/products/808124144408-mrs-meyer-s-multi-surface-concentrate-basil-scent-32-oz")</f>
        <v/>
      </c>
      <c r="C1526" t="inlineStr">
        <is>
          <t>Mrs. Meyer'S Multi-Surface Concentrate Basil Scent, 32 Oz</t>
        </is>
      </c>
      <c r="D1526" t="inlineStr">
        <is>
          <t>MRS. MEYER'S CLEAN DAY Multi-Surface Cleaner Concentrate, Use to Clean Floors, Tile, Counters, Basil, 32 fl. oz</t>
        </is>
      </c>
      <c r="E1526" s="2">
        <f>HYPERLINK("https://www.amazon.com/Mrs-Meyers-Clean-Day-Multi-Surface/dp/B00T7PBUK8/ref=sr_1_1?keywords=Mrs.+MeyerS+Multi-Surface+Concentrate+Basil+Scent%2C+32+Oz&amp;qid=1695170461&amp;sr=8-1", "https://www.amazon.com/Mrs-Meyers-Clean-Day-Multi-Surface/dp/B00T7PBUK8/ref=sr_1_1?keywords=Mrs.+MeyerS+Multi-Surface+Concentrate+Basil+Scent%2C+32+Oz&amp;qid=1695170461&amp;sr=8-1")</f>
        <v/>
      </c>
      <c r="F1526" t="inlineStr">
        <is>
          <t>B00T7PBUK8</t>
        </is>
      </c>
      <c r="G1526">
        <f>_xludf.IMAGE("https://www.shelhealth.com/cdn/shop/files/mrs-meyers-multi-surface-concentrate-basil-scent-32-oz-home-products-clean-day-shelhealth-266.jpg?v=1686532600&amp;width=1946")</f>
        <v/>
      </c>
      <c r="H1526">
        <f>_xludf.IMAGE("https://m.media-amazon.com/images/I/61DrIvA9baL._AC_UL320_.jpg")</f>
        <v/>
      </c>
      <c r="K1526" t="inlineStr">
        <is>
          <t>12.99</t>
        </is>
      </c>
      <c r="L1526" t="n">
        <v>9.289999999999999</v>
      </c>
      <c r="M1526" s="1" t="inlineStr">
        <is>
          <t>-28.48%</t>
        </is>
      </c>
      <c r="N1526" s="3" t="n">
        <v>-28.48</v>
      </c>
      <c r="O1526" t="n">
        <v>4.8</v>
      </c>
      <c r="P1526" t="n">
        <v>18039</v>
      </c>
      <c r="R1526" t="inlineStr">
        <is>
          <t>InStock</t>
        </is>
      </c>
      <c r="S1526" t="inlineStr">
        <is>
          <t>12.99</t>
        </is>
      </c>
      <c r="T1526" t="inlineStr">
        <is>
          <t>7241836593340</t>
        </is>
      </c>
    </row>
    <row r="1527" hidden="1" ht="15.75" customHeight="1">
      <c r="A1527" s="2">
        <f>HYPERLINK("https://www.shelhealth.com/products/arm-and-hammer-disinfecting-wipes-440-count", "https://www.shelhealth.com/products/arm-and-hammer-disinfecting-wipes-440-count")</f>
        <v/>
      </c>
      <c r="B1527" s="2">
        <f>HYPERLINK("https://www.shelhealth.com/products/arm-and-hammer-disinfecting-wipes-440-count", "https://www.shelhealth.com/products/arm-and-hammer-disinfecting-wipes-440-count")</f>
        <v/>
      </c>
      <c r="C1527" t="inlineStr">
        <is>
          <t>Arm And Hammer Disinfecting Wipes, 440 Count</t>
        </is>
      </c>
      <c r="D1527" t="inlineStr">
        <is>
          <t>Arm &amp; Hammer Essentials Disinfecting Wipes, Renewing Rain Scent, 6 Pack, 80 Count, 480 Wipes Volcano</t>
        </is>
      </c>
      <c r="E1527" s="2">
        <f>HYPERLINK("https://www.amazon.com/Hammer-Essentials-Disinfecting-Wipes-Renewing/dp/B085MQD48Z/ref=sr_1_6?keywords=Arm+And+Hammer+Disinfecting+Wipes%2C+440+Count&amp;qid=1695170425&amp;sr=8-6", "https://www.amazon.com/Hammer-Essentials-Disinfecting-Wipes-Renewing/dp/B085MQD48Z/ref=sr_1_6?keywords=Arm+And+Hammer+Disinfecting+Wipes%2C+440+Count&amp;qid=1695170425&amp;sr=8-6")</f>
        <v/>
      </c>
      <c r="F1527" t="inlineStr">
        <is>
          <t>B085MQD48Z</t>
        </is>
      </c>
      <c r="G1527">
        <f>_xludf.IMAGE("https://www.shelhealth.com/cdn/shop/products/arm-and-hammer-disinfecting-wipes-440-count-shelhealth-250.jpg?v=1663658291&amp;width=1946")</f>
        <v/>
      </c>
      <c r="H1527">
        <f>_xludf.IMAGE("https://m.media-amazon.com/images/I/81Ofvlfk3bL._AC_UL320_.jpg")</f>
        <v/>
      </c>
      <c r="K1527" t="inlineStr">
        <is>
          <t>34.99</t>
        </is>
      </c>
      <c r="L1527" t="n">
        <v>25</v>
      </c>
      <c r="M1527" s="1" t="inlineStr">
        <is>
          <t>-28.55%</t>
        </is>
      </c>
      <c r="N1527" s="3" t="n">
        <v>-28.55</v>
      </c>
      <c r="O1527" t="n">
        <v>4.5</v>
      </c>
      <c r="P1527" t="n">
        <v>37</v>
      </c>
      <c r="R1527" t="inlineStr">
        <is>
          <t>OutOfStock</t>
        </is>
      </c>
      <c r="S1527" t="inlineStr">
        <is>
          <t>34.99</t>
        </is>
      </c>
      <c r="T1527" t="inlineStr">
        <is>
          <t>6297326911676</t>
        </is>
      </c>
    </row>
    <row r="1528" hidden="1" ht="15.75" customHeight="1">
      <c r="A1528" s="2">
        <f>HYPERLINK("https://www.shelhealth.com/products/tide-original-ultra-concentrated-liquid-laundry-detergent-200-fl-oz", "https://www.shelhealth.com/products/tide-original-ultra-concentrated-liquid-laundry-detergent-200-fl-oz")</f>
        <v/>
      </c>
      <c r="B1528" s="2">
        <f>HYPERLINK("https://www.shelhealth.com/products/tide-original-ultra-concentrated-liquid-laundry-detergent-200-fl-oz", "https://www.shelhealth.com/products/tide-original-ultra-concentrated-liquid-laundry-detergent-200-fl-oz")</f>
        <v/>
      </c>
      <c r="C1528" t="inlineStr">
        <is>
          <t>Tide Original Ultra Concentrated Liquid Laundry Detergent, 200 fl. oz.</t>
        </is>
      </c>
      <c r="D1528" t="inlineStr">
        <is>
          <t>Tide Ultra Concentrated Liquid Laundry Detergent, Original, 96 Loads 150 fl oz</t>
        </is>
      </c>
      <c r="E1528" s="2">
        <f>HYPERLINK("https://www.amazon.com/Tide-Concentrated-Laundry-Detergent-Original/dp/B004QEE2PU/ref=sr_1_2?keywords=Tide+Original+Ultra+Concentrated+Liquid+Laundry+Detergent%2C+200+fl.+oz.&amp;qid=1695170419&amp;sr=8-2", "https://www.amazon.com/Tide-Concentrated-Laundry-Detergent-Original/dp/B004QEE2PU/ref=sr_1_2?keywords=Tide+Original+Ultra+Concentrated+Liquid+Laundry+Detergent%2C+200+fl.+oz.&amp;qid=1695170419&amp;sr=8-2")</f>
        <v/>
      </c>
      <c r="F1528" t="inlineStr">
        <is>
          <t>B004QEE2PU</t>
        </is>
      </c>
      <c r="G1528">
        <f>_xludf.IMAGE("https://www.shelhealth.com/cdn/shop/products/tide-original-ultra-concentrated-liquid-laundry-detergent-200-fl-oz-shelhealth-109.jpg?v=1663356776&amp;width=1946")</f>
        <v/>
      </c>
      <c r="H1528">
        <f>_xludf.IMAGE("https://m.media-amazon.com/images/I/81-EjzxORpL._AC_UL320_.jpg")</f>
        <v/>
      </c>
      <c r="K1528" t="inlineStr">
        <is>
          <t>54.99</t>
        </is>
      </c>
      <c r="L1528" t="n">
        <v>39.28</v>
      </c>
      <c r="M1528" s="1" t="inlineStr">
        <is>
          <t>-28.57%</t>
        </is>
      </c>
      <c r="N1528" s="3" t="n">
        <v>-28.57</v>
      </c>
      <c r="O1528" t="n">
        <v>4.7</v>
      </c>
      <c r="P1528" t="n">
        <v>319</v>
      </c>
      <c r="R1528" t="inlineStr">
        <is>
          <t>InStock</t>
        </is>
      </c>
      <c r="S1528" t="inlineStr">
        <is>
          <t>54.99</t>
        </is>
      </c>
      <c r="T1528" t="inlineStr">
        <is>
          <t>4179082248244</t>
        </is>
      </c>
    </row>
    <row r="1529" hidden="1" ht="15.75" customHeight="1">
      <c r="A1529" s="2">
        <f>HYPERLINK("https://www.shelhealth.com/products/808124421165-mrs-meyers-clean-day-scented-soy-candle-lemon-verbena-scent-7-2-oz", "https://www.shelhealth.com/products/808124421165-mrs-meyers-clean-day-scented-soy-candle-lemon-verbena-scent-7-2-oz")</f>
        <v/>
      </c>
      <c r="B1529" s="2">
        <f>HYPERLINK("https://www.shelhealth.com/products/808124421165-mrs-meyers-clean-day-scented-soy-candle-lemon-verbena-scent-7-2-oz", "https://www.shelhealth.com/products/808124421165-mrs-meyers-clean-day-scented-soy-candle-lemon-verbena-scent-7-2-oz")</f>
        <v/>
      </c>
      <c r="C1529" t="inlineStr">
        <is>
          <t>MRS MEYERS CLEAN DAY Scented Soy Candle Lemon Verbena Scent, 7.2 oz</t>
        </is>
      </c>
      <c r="D1529" t="inlineStr">
        <is>
          <t>Mrs. Meyer's Clean Day's Scented Soy Tin Candle Multipack with Essential Oils, Lavender and Lemon Verbena Scent, 2 Count</t>
        </is>
      </c>
      <c r="E1529" s="2">
        <f>HYPERLINK("https://www.amazon.com/Scented-Multipack-Essential-Lavender-Verbena/dp/B08QH6PYMX/ref=sr_1_4?keywords=MRS+MEYERS+CLEAN+DAY+Scented+Soy+Candle+Lemon+Verbena+Scent%2C+7.2+oz&amp;qid=1695170517&amp;sr=8-4", "https://www.amazon.com/Scented-Multipack-Essential-Lavender-Verbena/dp/B08QH6PYMX/ref=sr_1_4?keywords=MRS+MEYERS+CLEAN+DAY+Scented+Soy+Candle+Lemon+Verbena+Scent%2C+7.2+oz&amp;qid=1695170517&amp;sr=8-4")</f>
        <v/>
      </c>
      <c r="F1529" t="inlineStr">
        <is>
          <t>B08QH6PYMX</t>
        </is>
      </c>
      <c r="G1529">
        <f>_xludf.IMAGE("https://www.shelhealth.com/cdn/shop/files/mrs-meyers-clean-day-scented-soy-candle-lemon-verbena-scent-7-2-oz-home-products-shelhealth-417.jpg?v=1686219987&amp;width=1946")</f>
        <v/>
      </c>
      <c r="H1529">
        <f>_xludf.IMAGE("https://m.media-amazon.com/images/I/61pHf9jSnLL._AC_UL320_.jpg")</f>
        <v/>
      </c>
      <c r="K1529" t="inlineStr">
        <is>
          <t>13.99</t>
        </is>
      </c>
      <c r="L1529" t="n">
        <v>9.98</v>
      </c>
      <c r="M1529" s="1" t="inlineStr">
        <is>
          <t>-28.66%</t>
        </is>
      </c>
      <c r="N1529" s="3" t="n">
        <v>-28.66</v>
      </c>
      <c r="O1529" t="n">
        <v>4.4</v>
      </c>
      <c r="P1529" t="n">
        <v>135</v>
      </c>
      <c r="R1529" t="inlineStr">
        <is>
          <t>InStock</t>
        </is>
      </c>
      <c r="S1529" t="inlineStr">
        <is>
          <t>13.99</t>
        </is>
      </c>
      <c r="T1529" t="inlineStr">
        <is>
          <t>7574209659112</t>
        </is>
      </c>
    </row>
    <row r="1530" hidden="1" ht="15.75" customHeight="1">
      <c r="A1530" s="2">
        <f>HYPERLINK("https://www.shelhealth.com/products/808124411166-mrs-meyers-clean-day-lavender-soy-candle-large-7-2-oz", "https://www.shelhealth.com/products/808124411166-mrs-meyers-clean-day-lavender-soy-candle-large-7-2-oz")</f>
        <v/>
      </c>
      <c r="B1530" s="2">
        <f>HYPERLINK("https://www.shelhealth.com/products/808124411166-mrs-meyers-clean-day-lavender-soy-candle-large-7-2-oz", "https://www.shelhealth.com/products/808124411166-mrs-meyers-clean-day-lavender-soy-candle-large-7-2-oz")</f>
        <v/>
      </c>
      <c r="C1530" t="inlineStr">
        <is>
          <t>MRS MEYERS CLEAN DAY Lavender Soy Candle Large, 7.2 oz</t>
        </is>
      </c>
      <c r="D1530" t="inlineStr">
        <is>
          <t>MRS. MEYER'S CLEAN DAY Soy Aromatherapy Candle, 35 Hour Burn Time, Made with Soy Wax and Essential Oils, Honeysuckle, 7.2 Oz</t>
        </is>
      </c>
      <c r="E1530" s="2">
        <f>HYPERLINK("https://www.amazon.com/MRS-MEYERS-CLEAN-DAY-Aromatherapy/dp/B073LFMKLS/ref=sr_1_7?keywords=MRS+MEYERS+CLEAN+DAY+Lavender+Soy+Candle+Large%2C+7.2+oz&amp;qid=1695170514&amp;sr=8-7", "https://www.amazon.com/MRS-MEYERS-CLEAN-DAY-Aromatherapy/dp/B073LFMKLS/ref=sr_1_7?keywords=MRS+MEYERS+CLEAN+DAY+Lavender+Soy+Candle+Large%2C+7.2+oz&amp;qid=1695170514&amp;sr=8-7")</f>
        <v/>
      </c>
      <c r="F1530" t="inlineStr">
        <is>
          <t>B073LFMKLS</t>
        </is>
      </c>
      <c r="G1530">
        <f>_xludf.IMAGE("https://www.shelhealth.com/cdn/shop/files/mrs-meyers-clean-day-lavender-soy-candle-large-7-2-oz-home-products-shelhealth-544.jpg?v=1688712044&amp;width=1946")</f>
        <v/>
      </c>
      <c r="H1530">
        <f>_xludf.IMAGE("https://m.media-amazon.com/images/I/71TAaIiAhuL._AC_UL320_.jpg")</f>
        <v/>
      </c>
      <c r="K1530" t="inlineStr">
        <is>
          <t>13.99</t>
        </is>
      </c>
      <c r="L1530" t="n">
        <v>9.98</v>
      </c>
      <c r="M1530" s="1" t="inlineStr">
        <is>
          <t>-28.66%</t>
        </is>
      </c>
      <c r="N1530" s="3" t="n">
        <v>-28.66</v>
      </c>
      <c r="O1530" t="n">
        <v>4.4</v>
      </c>
      <c r="P1530" t="n">
        <v>6118</v>
      </c>
      <c r="R1530" t="inlineStr">
        <is>
          <t>InStock</t>
        </is>
      </c>
      <c r="S1530" t="inlineStr">
        <is>
          <t>13.99</t>
        </is>
      </c>
      <c r="T1530" t="inlineStr">
        <is>
          <t>7574209233128</t>
        </is>
      </c>
    </row>
    <row r="1531" hidden="1" ht="15.75" customHeight="1">
      <c r="A1531" s="2">
        <f>HYPERLINK("https://www.shelhealth.com/products/damprid-hanging-moisture-absorber-fresh-scent-4-pack-16-oz-454g", "https://www.shelhealth.com/products/damprid-hanging-moisture-absorber-fresh-scent-4-pack-16-oz-454g")</f>
        <v/>
      </c>
      <c r="B1531" s="2">
        <f>HYPERLINK("https://www.shelhealth.com/products/damprid-hanging-moisture-absorber-fresh-scent-4-pack-16-oz-454g", "https://www.shelhealth.com/products/damprid-hanging-moisture-absorber-fresh-scent-4-pack-16-oz-454g")</f>
        <v/>
      </c>
      <c r="C1531" t="inlineStr">
        <is>
          <t>DampRid Hanging Moisture Absorber Fresh Scent - 4 Pack (16 oz/454g)</t>
        </is>
      </c>
      <c r="D1531" t="inlineStr">
        <is>
          <t>DampRid Fresh Scent Hanging Moisture Absorber, 16 oz., 3 Pack - Eliminates Musty Odors for Fresher, Cleaner Air, Ideal for Closet, 14% More Moisture Absorbing Power*- Blue</t>
        </is>
      </c>
      <c r="E1531" s="2">
        <f>HYPERLINK("https://www.amazon.com/DampRid-Fresh-Hanging-Moisture-Absorber/dp/B09QXW1DHK/ref=sr_1_1?keywords=DampRid+Hanging+Moisture+Absorber+Fresh+Scent+-+4+Pack+%2816+oz%2F454g%29&amp;qid=1695170416&amp;sr=8-1", "https://www.amazon.com/DampRid-Fresh-Hanging-Moisture-Absorber/dp/B09QXW1DHK/ref=sr_1_1?keywords=DampRid+Hanging+Moisture+Absorber+Fresh+Scent+-+4+Pack+%2816+oz%2F454g%29&amp;qid=1695170416&amp;sr=8-1")</f>
        <v/>
      </c>
      <c r="F1531" t="inlineStr">
        <is>
          <t>B09QXW1DHK</t>
        </is>
      </c>
      <c r="G1531">
        <f>_xludf.IMAGE("https://www.shelhealth.com/cdn/shop/products/damprid-hanging-moisture-absorber-fresh-scent-4-pack-16-oz454g-shelhealth-863.jpg?v=1663343081&amp;width=1946")</f>
        <v/>
      </c>
      <c r="H1531">
        <f>_xludf.IMAGE("https://m.media-amazon.com/images/I/810LZGIWcjL._AC_UL320_.jpg")</f>
        <v/>
      </c>
      <c r="K1531" t="inlineStr">
        <is>
          <t>17.99</t>
        </is>
      </c>
      <c r="L1531" t="n">
        <v>12.79</v>
      </c>
      <c r="M1531" s="1" t="inlineStr">
        <is>
          <t>-28.90%</t>
        </is>
      </c>
      <c r="N1531" s="3" t="n">
        <v>-28.9</v>
      </c>
      <c r="O1531" t="n">
        <v>4.7</v>
      </c>
      <c r="P1531" t="n">
        <v>7717</v>
      </c>
      <c r="R1531" t="inlineStr">
        <is>
          <t>InStock</t>
        </is>
      </c>
      <c r="S1531" t="inlineStr">
        <is>
          <t>17.99</t>
        </is>
      </c>
      <c r="T1531" t="inlineStr">
        <is>
          <t>3819420418100</t>
        </is>
      </c>
    </row>
    <row r="1532" hidden="1" ht="15.75" customHeight="1">
      <c r="A1532" s="2">
        <f>HYPERLINK("https://www.shelhealth.com/products/dawn-ultra-original-scent-dishwashing-liquid-dish-soap-90-oz", "https://www.shelhealth.com/products/dawn-ultra-original-scent-dishwashing-liquid-dish-soap-90-oz")</f>
        <v/>
      </c>
      <c r="B1532" s="2">
        <f>HYPERLINK("https://www.shelhealth.com/products/dawn-ultra-original-scent-dishwashing-liquid-dish-soap-90-oz", "https://www.shelhealth.com/products/dawn-ultra-original-scent-dishwashing-liquid-dish-soap-90-oz")</f>
        <v/>
      </c>
      <c r="C1532" t="inlineStr">
        <is>
          <t>Dawn Ultra Original Scent Dishwashing Liquid Dish Soap , 90 oz.</t>
        </is>
      </c>
      <c r="D1532" t="inlineStr">
        <is>
          <t>Dawn Antibacterial EZ-Squeeze Dishwashing Liquid Dish Soap,Apple Blossom Scent, (3x22 fl oz)</t>
        </is>
      </c>
      <c r="E1532" s="2">
        <f>HYPERLINK("https://www.amazon.com/Dawn-Antibacterial-EZ-Squeeze-Dishwashing-Blossom/dp/B0BS5KBCLG/ref=sr_1_8?keywords=Dawn+Ultra+Original+Scent+Dishwashing+Liquid+Dish+Soap+%2C+90+oz.&amp;qid=1695170382&amp;sr=8-8", "https://www.amazon.com/Dawn-Antibacterial-EZ-Squeeze-Dishwashing-Blossom/dp/B0BS5KBCLG/ref=sr_1_8?keywords=Dawn+Ultra+Original+Scent+Dishwashing+Liquid+Dish+Soap+%2C+90+oz.&amp;qid=1695170382&amp;sr=8-8")</f>
        <v/>
      </c>
      <c r="F1532" t="inlineStr">
        <is>
          <t>B0BS5KBCLG</t>
        </is>
      </c>
      <c r="G1532">
        <f>_xludf.IMAGE("https://www.shelhealth.com/cdn/shop/files/dawn-ultra-original-scent-dishwashing-liquid-dish-soap-90-oz-grocery-household-petcleaning-goods-shelhealth-673.jpg?v=1686283072&amp;width=1946")</f>
        <v/>
      </c>
      <c r="H1532">
        <f>_xludf.IMAGE("https://m.media-amazon.com/images/I/817dPL-EWRL._AC_UL320_.jpg")</f>
        <v/>
      </c>
      <c r="K1532" t="inlineStr">
        <is>
          <t>18.99</t>
        </is>
      </c>
      <c r="L1532" t="n">
        <v>13.42</v>
      </c>
      <c r="M1532" s="1" t="inlineStr">
        <is>
          <t>-29.33%</t>
        </is>
      </c>
      <c r="N1532" s="3" t="n">
        <v>-29.33</v>
      </c>
      <c r="O1532" t="n">
        <v>4.8</v>
      </c>
      <c r="P1532" t="n">
        <v>1706</v>
      </c>
      <c r="R1532" t="inlineStr">
        <is>
          <t>InStock</t>
        </is>
      </c>
      <c r="S1532" t="inlineStr">
        <is>
          <t>18.99</t>
        </is>
      </c>
      <c r="T1532" t="inlineStr">
        <is>
          <t>4169655058484</t>
        </is>
      </c>
    </row>
    <row r="1533" hidden="1" ht="15.75" customHeight="1">
      <c r="A1533" s="2">
        <f>HYPERLINK("https://www.shelhealth.com/products/farberware-pro-pineapple-corer", "https://www.shelhealth.com/products/farberware-pro-pineapple-corer")</f>
        <v/>
      </c>
      <c r="B1533" s="2">
        <f>HYPERLINK("https://www.shelhealth.com/products/farberware-pro-pineapple-corer", "https://www.shelhealth.com/products/farberware-pro-pineapple-corer")</f>
        <v/>
      </c>
      <c r="C1533" t="inlineStr">
        <is>
          <t>Farberware Pro Pineapple Corer</t>
        </is>
      </c>
      <c r="D1533" t="inlineStr">
        <is>
          <t>Deiss PRO Pineapple Corer — 2 in 1 Stainless Steel Pineapple Cutter Tool &amp; Corer Tool Kitchen - Pineapple Corer And Slicer Tool - Fruit Cutter Tool, Pineapple Slicer And Corer - Dishwasher Safe</t>
        </is>
      </c>
      <c r="E1533" s="2">
        <f>HYPERLINK("https://www.amazon.com/Deiss-PRO-Pineapple-Corer-Dishwasher/dp/B0737C25QN/ref=sr_1_7?keywords=Farberware+Pro+Pineapple+Corer&amp;qid=1695170549&amp;sr=8-7", "https://www.amazon.com/Deiss-PRO-Pineapple-Corer-Dishwasher/dp/B0737C25QN/ref=sr_1_7?keywords=Farberware+Pro+Pineapple+Corer&amp;qid=1695170549&amp;sr=8-7")</f>
        <v/>
      </c>
      <c r="F1533" t="inlineStr">
        <is>
          <t>B0737C25QN</t>
        </is>
      </c>
      <c r="G1533">
        <f>_xludf.IMAGE("https://www.shelhealth.com/cdn/shop/products/farberware-pro-pineapple-corer-shelhealth-366.jpg?v=1663357317&amp;width=1946")</f>
        <v/>
      </c>
      <c r="H1533">
        <f>_xludf.IMAGE("https://m.media-amazon.com/images/I/81BX3aF7rpL._AC_UL320_.jpg")</f>
        <v/>
      </c>
      <c r="K1533" t="inlineStr">
        <is>
          <t>16.99</t>
        </is>
      </c>
      <c r="L1533" t="n">
        <v>11.98</v>
      </c>
      <c r="M1533" s="1" t="inlineStr">
        <is>
          <t>-29.49%</t>
        </is>
      </c>
      <c r="N1533" s="3" t="n">
        <v>-29.49</v>
      </c>
      <c r="O1533" t="n">
        <v>4.6</v>
      </c>
      <c r="P1533" t="n">
        <v>489</v>
      </c>
      <c r="R1533" t="inlineStr">
        <is>
          <t>OutOfStock</t>
        </is>
      </c>
      <c r="S1533" t="inlineStr">
        <is>
          <t>16.99</t>
        </is>
      </c>
      <c r="T1533" t="inlineStr">
        <is>
          <t>4181130641460</t>
        </is>
      </c>
    </row>
    <row r="1534" hidden="1" ht="15.75" customHeight="1">
      <c r="A1534" s="2">
        <f>HYPERLINK("https://www.shelhealth.com/products/lysol-disinfectant-spray-4-ct-19-oz", "https://www.shelhealth.com/products/lysol-disinfectant-spray-4-ct-19-oz")</f>
        <v/>
      </c>
      <c r="B1534" s="2">
        <f>HYPERLINK("https://www.shelhealth.com/products/lysol-disinfectant-spray-4-ct-19-oz", "https://www.shelhealth.com/products/lysol-disinfectant-spray-4-ct-19-oz")</f>
        <v/>
      </c>
      <c r="C1534" t="inlineStr">
        <is>
          <t>Lysol Disinfectant Spray, 4 ct./19 oz.</t>
        </is>
      </c>
      <c r="D1534" t="inlineStr">
        <is>
          <t>Lysol Professional Disinfectant Spray, Spring Waterfall, 19 oz (Pack of 3)</t>
        </is>
      </c>
      <c r="E1534" s="2">
        <f>HYPERLINK("https://www.amazon.com/Lysol-Professional-Disinfectant-Spring-Waterfall/dp/B01MT152XK/ref=sr_1_5?keywords=Lysol+Disinfectant+Spray%2C+4+ct.%2F19+oz.&amp;qid=1695170396&amp;sr=8-5", "https://www.amazon.com/Lysol-Professional-Disinfectant-Spring-Waterfall/dp/B01MT152XK/ref=sr_1_5?keywords=Lysol+Disinfectant+Spray%2C+4+ct.%2F19+oz.&amp;qid=1695170396&amp;sr=8-5")</f>
        <v/>
      </c>
      <c r="F1534" t="inlineStr">
        <is>
          <t>B01MT152XK</t>
        </is>
      </c>
      <c r="G1534">
        <f>_xludf.IMAGE("https://www.shelhealth.com/cdn/shop/products/lysol-disinfectant-spray-4-ct-19-oz-shelhealth-997.jpg?v=1663355321&amp;width=1946")</f>
        <v/>
      </c>
      <c r="H1534">
        <f>_xludf.IMAGE("https://m.media-amazon.com/images/I/71pzX3C4sUL._AC_UL320_.jpg")</f>
        <v/>
      </c>
      <c r="K1534" t="inlineStr">
        <is>
          <t>29.99</t>
        </is>
      </c>
      <c r="L1534" t="n">
        <v>20.99</v>
      </c>
      <c r="M1534" s="1" t="inlineStr">
        <is>
          <t>-30.01%</t>
        </is>
      </c>
      <c r="N1534" s="3" t="n">
        <v>-30.01</v>
      </c>
      <c r="O1534" t="n">
        <v>4.3</v>
      </c>
      <c r="P1534" t="n">
        <v>108</v>
      </c>
      <c r="R1534" t="inlineStr">
        <is>
          <t>OutOfStock</t>
        </is>
      </c>
      <c r="S1534" t="inlineStr">
        <is>
          <t>29.99</t>
        </is>
      </c>
      <c r="T1534" t="inlineStr">
        <is>
          <t>4169806643252</t>
        </is>
      </c>
    </row>
    <row r="1535" hidden="1" ht="15.75" customHeight="1">
      <c r="A1535" s="2">
        <f>HYPERLINK("https://www.shelhealth.com/products/tide-pods-ultra-oxi-liquid-detergent-pacs-80-ct", "https://www.shelhealth.com/products/tide-pods-ultra-oxi-liquid-detergent-pacs-80-ct")</f>
        <v/>
      </c>
      <c r="B1535" s="2">
        <f>HYPERLINK("https://www.shelhealth.com/products/tide-pods-ultra-oxi-liquid-detergent-pacs-80-ct", "https://www.shelhealth.com/products/tide-pods-ultra-oxi-liquid-detergent-pacs-80-ct")</f>
        <v/>
      </c>
      <c r="C1535" t="inlineStr">
        <is>
          <t>Tide PODS Ultra OXI Liquid Detergent Pacs, 80 ct.</t>
        </is>
      </c>
      <c r="D1535" t="inlineStr">
        <is>
          <t>Tide PODS Liquid Laundry Detergent Soap Pacs, 4-n-1 Ultra Oxi, HE Compatible 85 Count, Built in Pre-Treater for Stains</t>
        </is>
      </c>
      <c r="E1535" s="2">
        <f>HYPERLINK("https://www.amazon.com/Askshy-Laundry-Detergent-Compatible-Pre-Treater/dp/B0B1PGR1LZ/ref=sr_1_1?keywords=Tide+PODS+Ultra+OXI+Liquid+Detergent+Pacs%2C+80+ct.&amp;qid=1695170557&amp;rdc=1&amp;sr=8-1", "https://www.amazon.com/Askshy-Laundry-Detergent-Compatible-Pre-Treater/dp/B0B1PGR1LZ/ref=sr_1_1?keywords=Tide+PODS+Ultra+OXI+Liquid+Detergent+Pacs%2C+80+ct.&amp;qid=1695170557&amp;rdc=1&amp;sr=8-1")</f>
        <v/>
      </c>
      <c r="F1535" t="inlineStr">
        <is>
          <t>B0B1PGR1LZ</t>
        </is>
      </c>
      <c r="G1535">
        <f>_xludf.IMAGE("https://www.shelhealth.com/cdn/shop/products/tide-pods-ultra-oxi-liquid-detergent-pacs-80-ct-shelhealth-884.jpg?v=1663356710&amp;width=1946")</f>
        <v/>
      </c>
      <c r="H1535">
        <f>_xludf.IMAGE("https://m.media-amazon.com/images/I/81FwbeqIyYL._AC_UL320_.jpg")</f>
        <v/>
      </c>
      <c r="K1535" t="inlineStr">
        <is>
          <t>38.99</t>
        </is>
      </c>
      <c r="L1535" t="n">
        <v>27.24</v>
      </c>
      <c r="M1535" s="1" t="inlineStr">
        <is>
          <t>-30.14%</t>
        </is>
      </c>
      <c r="N1535" s="3" t="n">
        <v>-30.14</v>
      </c>
      <c r="O1535" t="n">
        <v>4.8</v>
      </c>
      <c r="P1535" t="n">
        <v>23237</v>
      </c>
      <c r="R1535" t="inlineStr">
        <is>
          <t>InStock</t>
        </is>
      </c>
      <c r="S1535" t="inlineStr">
        <is>
          <t>38.99</t>
        </is>
      </c>
      <c r="T1535" t="inlineStr">
        <is>
          <t>4179061669940</t>
        </is>
      </c>
    </row>
    <row r="1536" hidden="1" ht="15.75" customHeight="1">
      <c r="A1536" s="2">
        <f>HYPERLINK("https://www.shelhealth.com/products/glad-forceflex-13-gal-tall-kitchen-bags-140-ct", "https://www.shelhealth.com/products/glad-forceflex-13-gal-tall-kitchen-bags-140-ct")</f>
        <v/>
      </c>
      <c r="B1536" s="2">
        <f>HYPERLINK("https://www.shelhealth.com/products/glad-forceflex-13-gal-tall-kitchen-bags-140-ct", "https://www.shelhealth.com/products/glad-forceflex-13-gal-tall-kitchen-bags-140-ct")</f>
        <v/>
      </c>
      <c r="C1536" t="inlineStr">
        <is>
          <t>Glad ForceFlex 13-Gal. Tall Kitchen Bags, 140 ct.</t>
        </is>
      </c>
      <c r="D1536" t="inlineStr">
        <is>
          <t>Glad ForceFlex Protection Series, Tall Kitchen Trash Bags, 13 Gal, Fresh Clean with Febreze, 110 Count (Packaging May Vary)</t>
        </is>
      </c>
      <c r="E1536" s="2">
        <f>HYPERLINK("https://www.amazon.com/Glad-Tall-Kitchen-Drawstring-Trash/dp/B00FQT4LX2/ref=sr_1_2?keywords=Glad+ForceFlex+13-Gal.+Tall+Kitchen+Bags%2C+140+ct.&amp;qid=1695170438&amp;sr=8-2", "https://www.amazon.com/Glad-Tall-Kitchen-Drawstring-Trash/dp/B00FQT4LX2/ref=sr_1_2?keywords=Glad+ForceFlex+13-Gal.+Tall+Kitchen+Bags%2C+140+ct.&amp;qid=1695170438&amp;sr=8-2")</f>
        <v/>
      </c>
      <c r="F1536" t="inlineStr">
        <is>
          <t>B00FQT4LX2</t>
        </is>
      </c>
      <c r="G1536">
        <f>_xludf.IMAGE("https://www.shelhealth.com/cdn/shop/products/glad-forceflex-13-gal-tall-kitchen-bags-140-ct-shelhealth-272.jpg?v=1663354948&amp;width=1946")</f>
        <v/>
      </c>
      <c r="H1536">
        <f>_xludf.IMAGE("https://m.media-amazon.com/images/I/81uXwVIixJL._AC_UL320_.jpg")</f>
        <v/>
      </c>
      <c r="K1536" t="inlineStr">
        <is>
          <t>32.99</t>
        </is>
      </c>
      <c r="L1536" t="n">
        <v>22.99</v>
      </c>
      <c r="M1536" s="1" t="inlineStr">
        <is>
          <t>-30.31%</t>
        </is>
      </c>
      <c r="N1536" s="3" t="n">
        <v>-30.31</v>
      </c>
      <c r="O1536" t="n">
        <v>4.7</v>
      </c>
      <c r="P1536" t="n">
        <v>91270</v>
      </c>
      <c r="R1536" t="inlineStr">
        <is>
          <t>InStock</t>
        </is>
      </c>
      <c r="S1536" t="inlineStr">
        <is>
          <t>32.99</t>
        </is>
      </c>
      <c r="T1536" t="inlineStr">
        <is>
          <t>4169526771764</t>
        </is>
      </c>
    </row>
    <row r="1537" hidden="1" ht="15.75" customHeight="1">
      <c r="A1537" s="2">
        <f>HYPERLINK("https://www.shelhealth.com/products/glad-4-gal-small-trash-bags-156-ct", "https://www.shelhealth.com/products/glad-4-gal-small-trash-bags-156-ct")</f>
        <v/>
      </c>
      <c r="B1537" s="2">
        <f>HYPERLINK("https://www.shelhealth.com/products/glad-4-gal-small-trash-bags-156-ct", "https://www.shelhealth.com/products/glad-4-gal-small-trash-bags-156-ct")</f>
        <v/>
      </c>
      <c r="C1537" t="inlineStr">
        <is>
          <t>Glad 4-Gal. Small Trash Bags, 156 ct.</t>
        </is>
      </c>
      <c r="D1537" t="inlineStr">
        <is>
          <t>Glad Small Drawstring Trash Bag with Clorox, 4 Gal Lemon Fresh Bleach Scent 80 Ct (Package May Vary)</t>
        </is>
      </c>
      <c r="E1537" s="2">
        <f>HYPERLINK("https://www.amazon.com/Glad-Drawstring-Clorox-Bleach-Package/dp/B08L4Q6VSL/ref=sr_1_6?keywords=Glad+4-Gal.+Small+Trash+Bags%2C+156+ct.&amp;qid=1695170438&amp;sr=8-6", "https://www.amazon.com/Glad-Drawstring-Clorox-Bleach-Package/dp/B08L4Q6VSL/ref=sr_1_6?keywords=Glad+4-Gal.+Small+Trash+Bags%2C+156+ct.&amp;qid=1695170438&amp;sr=8-6")</f>
        <v/>
      </c>
      <c r="F1537" t="inlineStr">
        <is>
          <t>B08L4Q6VSL</t>
        </is>
      </c>
      <c r="G1537">
        <f>_xludf.IMAGE("https://www.shelhealth.com/cdn/shop/products/glad-4-gal-small-trash-bags-156-ct-shelhealth-773.jpg?v=1663354908&amp;width=1946")</f>
        <v/>
      </c>
      <c r="H1537">
        <f>_xludf.IMAGE("https://m.media-amazon.com/images/I/71uRtxU60CL._AC_UL320_.jpg")</f>
        <v/>
      </c>
      <c r="K1537" t="inlineStr">
        <is>
          <t>23.99</t>
        </is>
      </c>
      <c r="L1537" t="n">
        <v>16.69</v>
      </c>
      <c r="M1537" s="1" t="inlineStr">
        <is>
          <t>-30.43%</t>
        </is>
      </c>
      <c r="N1537" s="3" t="n">
        <v>-30.43</v>
      </c>
      <c r="O1537" t="n">
        <v>4.8</v>
      </c>
      <c r="P1537" t="n">
        <v>4390</v>
      </c>
      <c r="R1537" t="inlineStr">
        <is>
          <t>InStock</t>
        </is>
      </c>
      <c r="S1537" t="inlineStr">
        <is>
          <t>23.99</t>
        </is>
      </c>
      <c r="T1537" t="inlineStr">
        <is>
          <t>4169508683828</t>
        </is>
      </c>
    </row>
    <row r="1538" hidden="1" ht="15.75" customHeight="1">
      <c r="A1538" s="2">
        <f>HYPERLINK("https://www.shelhealth.com/products/downy-infusions-lavender-serenity-in-wash-scent-booster-beads-30-3-oz", "https://www.shelhealth.com/products/downy-infusions-lavender-serenity-in-wash-scent-booster-beads-30-3-oz")</f>
        <v/>
      </c>
      <c r="B1538" s="2">
        <f>HYPERLINK("https://www.shelhealth.com/products/downy-infusions-lavender-serenity-in-wash-scent-booster-beads-30-3-oz", "https://www.shelhealth.com/products/downy-infusions-lavender-serenity-in-wash-scent-booster-beads-30-3-oz")</f>
        <v/>
      </c>
      <c r="C1538" t="inlineStr">
        <is>
          <t>Downy Infusions Lavender Serenity In-Wash Scent Booster Beads, 30.3 oz.</t>
        </is>
      </c>
      <c r="D1538" t="inlineStr">
        <is>
          <t>Downy Infusions In-Wash Laundry Scent Booster Beads, CALM, Soothing Lavender and Vanilla Bean, 24 oz</t>
        </is>
      </c>
      <c r="E1538" s="2">
        <f>HYPERLINK("https://www.amazon.com/Downy-Infusions-Laundry-Soothing-Lavender/dp/B0CCGC1V3N/ref=sr_1_4?keywords=Downy+Infusions+Lavender+Serenity+In-Wash+Scent+Booster+Beads%2C+30.3+oz.&amp;qid=1695170420&amp;sr=8-4", "https://www.amazon.com/Downy-Infusions-Laundry-Soothing-Lavender/dp/B0CCGC1V3N/ref=sr_1_4?keywords=Downy+Infusions+Lavender+Serenity+In-Wash+Scent+Booster+Beads%2C+30.3+oz.&amp;qid=1695170420&amp;sr=8-4")</f>
        <v/>
      </c>
      <c r="F1538" t="inlineStr">
        <is>
          <t>B0CCGC1V3N</t>
        </is>
      </c>
      <c r="G1538">
        <f>_xludf.IMAGE("https://www.shelhealth.com/cdn/shop/products/downy-infusions-lavender-serenity-in-wash-scent-booster-beads-30-3-oz-shelhealth-716.jpg?v=1663356594&amp;width=1946")</f>
        <v/>
      </c>
      <c r="H1538">
        <f>_xludf.IMAGE("https://m.media-amazon.com/images/I/716zEhBSugL._AC_UL320_.jpg")</f>
        <v/>
      </c>
      <c r="K1538" t="inlineStr">
        <is>
          <t>22.99</t>
        </is>
      </c>
      <c r="L1538" t="n">
        <v>15.99</v>
      </c>
      <c r="M1538" s="1" t="inlineStr">
        <is>
          <t>-30.45%</t>
        </is>
      </c>
      <c r="N1538" s="3" t="n">
        <v>-30.45</v>
      </c>
      <c r="O1538" t="n">
        <v>5</v>
      </c>
      <c r="P1538" t="n">
        <v>1</v>
      </c>
      <c r="R1538" t="inlineStr">
        <is>
          <t>InStock</t>
        </is>
      </c>
      <c r="S1538" t="inlineStr">
        <is>
          <t>22.99</t>
        </is>
      </c>
      <c r="T1538" t="inlineStr">
        <is>
          <t>4179003375668</t>
        </is>
      </c>
    </row>
    <row r="1539" hidden="1" ht="15.75" customHeight="1">
      <c r="A1539" s="2">
        <f>HYPERLINK("https://www.shelhealth.com/products/downy-infusions-lavender-serenity-in-wash-scent-booster-beads-30-3-oz", "https://www.shelhealth.com/products/downy-infusions-lavender-serenity-in-wash-scent-booster-beads-30-3-oz")</f>
        <v/>
      </c>
      <c r="B1539" s="2">
        <f>HYPERLINK("https://www.shelhealth.com/products/downy-infusions-lavender-serenity-in-wash-scent-booster-beads-30-3-oz", "https://www.shelhealth.com/products/downy-infusions-lavender-serenity-in-wash-scent-booster-beads-30-3-oz")</f>
        <v/>
      </c>
      <c r="C1539" t="inlineStr">
        <is>
          <t>Downy Infusions Lavender Serenity In-Wash Scent Booster Beads, 30.3 oz.</t>
        </is>
      </c>
      <c r="D1539" t="inlineStr">
        <is>
          <t>Downy Infusions Laundry Scent Booster Beads for Washer, Calm, Lavender &amp; Vanilla Bean, 26.5oz, Use with Fabric Softener</t>
        </is>
      </c>
      <c r="E1539" s="2">
        <f>HYPERLINK("https://www.amazon.com/Downy-Infusions-Booster-Lavender-Vanilla/dp/B089356T4D/ref=sr_1_8?keywords=Downy+Infusions+Lavender+Serenity+In-Wash+Scent+Booster+Beads%2C+30.3+oz.&amp;qid=1695170420&amp;sr=8-8", "https://www.amazon.com/Downy-Infusions-Booster-Lavender-Vanilla/dp/B089356T4D/ref=sr_1_8?keywords=Downy+Infusions+Lavender+Serenity+In-Wash+Scent+Booster+Beads%2C+30.3+oz.&amp;qid=1695170420&amp;sr=8-8")</f>
        <v/>
      </c>
      <c r="F1539" t="inlineStr">
        <is>
          <t>B089356T4D</t>
        </is>
      </c>
      <c r="G1539">
        <f>_xludf.IMAGE("https://www.shelhealth.com/cdn/shop/products/downy-infusions-lavender-serenity-in-wash-scent-booster-beads-30-3-oz-shelhealth-716.jpg?v=1663356594&amp;width=1946")</f>
        <v/>
      </c>
      <c r="H1539">
        <f>_xludf.IMAGE("https://m.media-amazon.com/images/I/71Z6os7BMkL._AC_UL320_.jpg")</f>
        <v/>
      </c>
      <c r="K1539" t="inlineStr">
        <is>
          <t>22.99</t>
        </is>
      </c>
      <c r="L1539" t="n">
        <v>15.99</v>
      </c>
      <c r="M1539" s="1" t="inlineStr">
        <is>
          <t>-30.45%</t>
        </is>
      </c>
      <c r="N1539" s="3" t="n">
        <v>-30.45</v>
      </c>
      <c r="O1539" t="n">
        <v>4.8</v>
      </c>
      <c r="P1539" t="n">
        <v>10534</v>
      </c>
      <c r="R1539" t="inlineStr">
        <is>
          <t>InStock</t>
        </is>
      </c>
      <c r="S1539" t="inlineStr">
        <is>
          <t>22.99</t>
        </is>
      </c>
      <c r="T1539" t="inlineStr">
        <is>
          <t>4179003375668</t>
        </is>
      </c>
    </row>
    <row r="1540" hidden="1" ht="15.75" customHeight="1">
      <c r="A1540" s="2">
        <f>HYPERLINK("https://www.shelhealth.com/products/pur-faucet-mount-filter-5-pack", "https://www.shelhealth.com/products/pur-faucet-mount-filter-5-pack")</f>
        <v/>
      </c>
      <c r="B1540" s="2">
        <f>HYPERLINK("https://www.shelhealth.com/products/pur-faucet-mount-filter-5-pack", "https://www.shelhealth.com/products/pur-faucet-mount-filter-5-pack")</f>
        <v/>
      </c>
      <c r="C1540" t="inlineStr">
        <is>
          <t>Pur Faucet Mount Filter, 5 Pack</t>
        </is>
      </c>
      <c r="D1540" t="inlineStr">
        <is>
          <t>PUR Faucet Mount Replacement Filter, 5 pk.</t>
        </is>
      </c>
      <c r="E1540" s="2">
        <f>HYPERLINK("https://www.amazon.com/PUR-Faucet-Mount-Replacement-Filter/dp/B07N5MJH63/ref=sr_1_1?keywords=Pur+Faucet+Mount+Filter%2C+5+Pack&amp;qid=1695170547&amp;sr=8-1", "https://www.amazon.com/PUR-Faucet-Mount-Replacement-Filter/dp/B07N5MJH63/ref=sr_1_1?keywords=Pur+Faucet+Mount+Filter%2C+5+Pack&amp;qid=1695170547&amp;sr=8-1")</f>
        <v/>
      </c>
      <c r="F1540" t="inlineStr">
        <is>
          <t>B07N5MJH63</t>
        </is>
      </c>
      <c r="G1540">
        <f>_xludf.IMAGE("https://www.shelhealth.com/cdn/shop/products/pur-faucet-mount-filter-5-pack-shelhealth-833.jpg?v=1663357425&amp;width=1946")</f>
        <v/>
      </c>
      <c r="H1540">
        <f>_xludf.IMAGE("https://m.media-amazon.com/images/I/71VGpOyTJrL._AC_UL320_.jpg")</f>
        <v/>
      </c>
      <c r="K1540" t="inlineStr">
        <is>
          <t>71.99</t>
        </is>
      </c>
      <c r="L1540" t="n">
        <v>49.99</v>
      </c>
      <c r="M1540" s="1" t="inlineStr">
        <is>
          <t>-30.56%</t>
        </is>
      </c>
      <c r="N1540" s="3" t="n">
        <v>-30.56</v>
      </c>
      <c r="O1540" t="n">
        <v>4.7</v>
      </c>
      <c r="P1540" t="n">
        <v>30830</v>
      </c>
      <c r="R1540" t="inlineStr">
        <is>
          <t>OutOfStock</t>
        </is>
      </c>
      <c r="S1540" t="inlineStr">
        <is>
          <t>71.99</t>
        </is>
      </c>
      <c r="T1540" t="inlineStr">
        <is>
          <t>4181272756276</t>
        </is>
      </c>
    </row>
    <row r="1541" hidden="1" ht="15.75" customHeight="1">
      <c r="A1541" s="2">
        <f>HYPERLINK("https://www.shelhealth.com/products/808124144408-mrs-meyer-s-multi-surface-concentrate-basil-scent-32-oz", "https://www.shelhealth.com/products/808124144408-mrs-meyer-s-multi-surface-concentrate-basil-scent-32-oz")</f>
        <v/>
      </c>
      <c r="B1541" s="2">
        <f>HYPERLINK("https://www.shelhealth.com/products/808124144408-mrs-meyer-s-multi-surface-concentrate-basil-scent-32-oz", "https://www.shelhealth.com/products/808124144408-mrs-meyer-s-multi-surface-concentrate-basil-scent-32-oz")</f>
        <v/>
      </c>
      <c r="C1541" t="inlineStr">
        <is>
          <t>Mrs. Meyer'S Multi-Surface Concentrate Basil Scent, 32 Oz</t>
        </is>
      </c>
      <c r="D1541" t="inlineStr">
        <is>
          <t>MRS. MEYER'S CLEAN DAY Multi-Surface Cleaner Concentrate, Use to Clean Floors, Tile, Counters, Bluebell, 32 fl. oz</t>
        </is>
      </c>
      <c r="E1541" s="2">
        <f>HYPERLINK("https://www.amazon.com/Mrs-Meyers-Clean-Day-Multi-Surface/dp/B00MELHLLO/ref=sr_1_10?keywords=Mrs.+MeyerS+Multi-Surface+Concentrate+Basil+Scent%2C+32+Oz&amp;qid=1695170461&amp;sr=8-10", "https://www.amazon.com/Mrs-Meyers-Clean-Day-Multi-Surface/dp/B00MELHLLO/ref=sr_1_10?keywords=Mrs.+MeyerS+Multi-Surface+Concentrate+Basil+Scent%2C+32+Oz&amp;qid=1695170461&amp;sr=8-10")</f>
        <v/>
      </c>
      <c r="F1541" t="inlineStr">
        <is>
          <t>B00MELHLLO</t>
        </is>
      </c>
      <c r="G1541">
        <f>_xludf.IMAGE("https://www.shelhealth.com/cdn/shop/files/mrs-meyers-multi-surface-concentrate-basil-scent-32-oz-home-products-clean-day-shelhealth-266.jpg?v=1686532600&amp;width=1946")</f>
        <v/>
      </c>
      <c r="H1541">
        <f>_xludf.IMAGE("https://m.media-amazon.com/images/I/61cO9ySjDbL._AC_UL320_.jpg")</f>
        <v/>
      </c>
      <c r="K1541" t="inlineStr">
        <is>
          <t>12.99</t>
        </is>
      </c>
      <c r="L1541" t="n">
        <v>8.99</v>
      </c>
      <c r="M1541" s="1" t="inlineStr">
        <is>
          <t>-30.79%</t>
        </is>
      </c>
      <c r="N1541" s="3" t="n">
        <v>-30.79</v>
      </c>
      <c r="O1541" t="n">
        <v>4.7</v>
      </c>
      <c r="P1541" t="n">
        <v>3255</v>
      </c>
      <c r="R1541" t="inlineStr">
        <is>
          <t>InStock</t>
        </is>
      </c>
      <c r="S1541" t="inlineStr">
        <is>
          <t>12.99</t>
        </is>
      </c>
      <c r="T1541" t="inlineStr">
        <is>
          <t>7241836593340</t>
        </is>
      </c>
    </row>
    <row r="1542" hidden="1" ht="15.75" customHeight="1">
      <c r="A1542" s="2">
        <f>HYPERLINK("https://www.shelhealth.com/products/808124144408-mrs-meyer-s-multi-surface-concentrate-basil-scent-32-oz", "https://www.shelhealth.com/products/808124144408-mrs-meyer-s-multi-surface-concentrate-basil-scent-32-oz")</f>
        <v/>
      </c>
      <c r="B1542" s="2">
        <f>HYPERLINK("https://www.shelhealth.com/products/808124144408-mrs-meyer-s-multi-surface-concentrate-basil-scent-32-oz", "https://www.shelhealth.com/products/808124144408-mrs-meyer-s-multi-surface-concentrate-basil-scent-32-oz")</f>
        <v/>
      </c>
      <c r="C1542" t="inlineStr">
        <is>
          <t>Mrs. Meyer'S Multi-Surface Concentrate Basil Scent, 32 Oz</t>
        </is>
      </c>
      <c r="D1542" t="inlineStr">
        <is>
          <t>Mrs. Meyer's Multi-Surface Cleaner Concentrate, Use to Clean Floors, Tile, Counters, Lavender, 32 fl. oz</t>
        </is>
      </c>
      <c r="E1542" s="2">
        <f>HYPERLINK("https://www.amazon.com/Mrs-Meyers-Clean-Day-Multi-Surface/dp/B00T7PEEG0/ref=sr_1_4?keywords=Mrs.+MeyerS+Multi-Surface+Concentrate+Basil+Scent%2C+32+Oz&amp;qid=1695170461&amp;sr=8-4", "https://www.amazon.com/Mrs-Meyers-Clean-Day-Multi-Surface/dp/B00T7PEEG0/ref=sr_1_4?keywords=Mrs.+MeyerS+Multi-Surface+Concentrate+Basil+Scent%2C+32+Oz&amp;qid=1695170461&amp;sr=8-4")</f>
        <v/>
      </c>
      <c r="F1542" t="inlineStr">
        <is>
          <t>B00T7PEEG0</t>
        </is>
      </c>
      <c r="G1542">
        <f>_xludf.IMAGE("https://www.shelhealth.com/cdn/shop/files/mrs-meyers-multi-surface-concentrate-basil-scent-32-oz-home-products-clean-day-shelhealth-266.jpg?v=1686532600&amp;width=1946")</f>
        <v/>
      </c>
      <c r="H1542">
        <f>_xludf.IMAGE("https://m.media-amazon.com/images/I/61sTlR1a8-L._AC_UL320_.jpg")</f>
        <v/>
      </c>
      <c r="K1542" t="inlineStr">
        <is>
          <t>12.99</t>
        </is>
      </c>
      <c r="L1542" t="n">
        <v>8.99</v>
      </c>
      <c r="M1542" s="1" t="inlineStr">
        <is>
          <t>-30.79%</t>
        </is>
      </c>
      <c r="N1542" s="3" t="n">
        <v>-30.79</v>
      </c>
      <c r="O1542" t="n">
        <v>4.8</v>
      </c>
      <c r="P1542" t="n">
        <v>2833</v>
      </c>
      <c r="R1542" t="inlineStr">
        <is>
          <t>InStock</t>
        </is>
      </c>
      <c r="S1542" t="inlineStr">
        <is>
          <t>12.99</t>
        </is>
      </c>
      <c r="T1542" t="inlineStr">
        <is>
          <t>7241836593340</t>
        </is>
      </c>
    </row>
    <row r="1543" hidden="1" ht="15.75" customHeight="1">
      <c r="A1543" s="2">
        <f>HYPERLINK("https://www.shelhealth.com/products/808124144408-mrs-meyer-s-multi-surface-concentrate-basil-scent-32-oz", "https://www.shelhealth.com/products/808124144408-mrs-meyer-s-multi-surface-concentrate-basil-scent-32-oz")</f>
        <v/>
      </c>
      <c r="B1543" s="2">
        <f>HYPERLINK("https://www.shelhealth.com/products/808124144408-mrs-meyer-s-multi-surface-concentrate-basil-scent-32-oz", "https://www.shelhealth.com/products/808124144408-mrs-meyer-s-multi-surface-concentrate-basil-scent-32-oz")</f>
        <v/>
      </c>
      <c r="C1543" t="inlineStr">
        <is>
          <t>Mrs. Meyer'S Multi-Surface Concentrate Basil Scent, 32 Oz</t>
        </is>
      </c>
      <c r="D1543" t="inlineStr">
        <is>
          <t>MRS. MEYER'S CLEAN DAY Multi-Surface Cleaner Concentrate, Use to Clean Floors, Tile, Counters, Lemon Verbena, 32 fl. oz</t>
        </is>
      </c>
      <c r="E1543" s="2">
        <f>HYPERLINK("https://www.amazon.com/MRS-MEYERS-CLEAN-DAY-Multi-Surface/dp/B00T7PC6H4/ref=sr_1_8?keywords=Mrs.+MeyerS+Multi-Surface+Concentrate+Basil+Scent%2C+32+Oz&amp;qid=1695170461&amp;sr=8-8", "https://www.amazon.com/MRS-MEYERS-CLEAN-DAY-Multi-Surface/dp/B00T7PC6H4/ref=sr_1_8?keywords=Mrs.+MeyerS+Multi-Surface+Concentrate+Basil+Scent%2C+32+Oz&amp;qid=1695170461&amp;sr=8-8")</f>
        <v/>
      </c>
      <c r="F1543" t="inlineStr">
        <is>
          <t>B00T7PC6H4</t>
        </is>
      </c>
      <c r="G1543">
        <f>_xludf.IMAGE("https://www.shelhealth.com/cdn/shop/files/mrs-meyers-multi-surface-concentrate-basil-scent-32-oz-home-products-clean-day-shelhealth-266.jpg?v=1686532600&amp;width=1946")</f>
        <v/>
      </c>
      <c r="H1543">
        <f>_xludf.IMAGE("https://m.media-amazon.com/images/I/617Q6EXnNAL._AC_UL320_.jpg")</f>
        <v/>
      </c>
      <c r="K1543" t="inlineStr">
        <is>
          <t>12.99</t>
        </is>
      </c>
      <c r="L1543" t="n">
        <v>8.99</v>
      </c>
      <c r="M1543" s="1" t="inlineStr">
        <is>
          <t>-30.79%</t>
        </is>
      </c>
      <c r="N1543" s="3" t="n">
        <v>-30.79</v>
      </c>
      <c r="O1543" t="n">
        <v>4.8</v>
      </c>
      <c r="P1543" t="n">
        <v>6121</v>
      </c>
      <c r="R1543" t="inlineStr">
        <is>
          <t>InStock</t>
        </is>
      </c>
      <c r="S1543" t="inlineStr">
        <is>
          <t>12.99</t>
        </is>
      </c>
      <c r="T1543" t="inlineStr">
        <is>
          <t>7241836593340</t>
        </is>
      </c>
    </row>
    <row r="1544" hidden="1" ht="15.75" customHeight="1">
      <c r="A1544" s="2">
        <f>HYPERLINK("https://www.shelhealth.com/products/lysol-disinfectant-spray-4-ct-19-oz", "https://www.shelhealth.com/products/lysol-disinfectant-spray-4-ct-19-oz")</f>
        <v/>
      </c>
      <c r="B1544" s="2">
        <f>HYPERLINK("https://www.shelhealth.com/products/lysol-disinfectant-spray-4-ct-19-oz", "https://www.shelhealth.com/products/lysol-disinfectant-spray-4-ct-19-oz")</f>
        <v/>
      </c>
      <c r="C1544" t="inlineStr">
        <is>
          <t>Lysol Disinfectant Spray, 4 ct./19 oz.</t>
        </is>
      </c>
      <c r="D1544" t="inlineStr">
        <is>
          <t>Lysol Bundle containing x2 Lysol Disinfectant Spray for Hard and Soft Surfaces, Crisp Linen, 19 Fl. Oz + Lysol Air Sanitizer Spray, For Air Sanitization and Odor Elimination, White Linen, 10 Fl. Oz</t>
        </is>
      </c>
      <c r="E1544" s="2">
        <f>HYPERLINK("https://www.amazon.com/Lysol-containing-Disinfectant-Sanitization-Elimination/dp/B0BQ4PPX43/ref=sr_1_6?keywords=Lysol+Disinfectant+Spray%2C+4+ct.%2F19+oz.&amp;qid=1695170396&amp;sr=8-6", "https://www.amazon.com/Lysol-containing-Disinfectant-Sanitization-Elimination/dp/B0BQ4PPX43/ref=sr_1_6?keywords=Lysol+Disinfectant+Spray%2C+4+ct.%2F19+oz.&amp;qid=1695170396&amp;sr=8-6")</f>
        <v/>
      </c>
      <c r="F1544" t="inlineStr">
        <is>
          <t>B0BQ4PPX43</t>
        </is>
      </c>
      <c r="G1544">
        <f>_xludf.IMAGE("https://www.shelhealth.com/cdn/shop/products/lysol-disinfectant-spray-4-ct-19-oz-shelhealth-997.jpg?v=1663355321&amp;width=1946")</f>
        <v/>
      </c>
      <c r="H1544">
        <f>_xludf.IMAGE("https://m.media-amazon.com/images/I/81nIl0lKQjL._AC_UL320_.jpg")</f>
        <v/>
      </c>
      <c r="K1544" t="inlineStr">
        <is>
          <t>29.99</t>
        </is>
      </c>
      <c r="L1544" t="n">
        <v>20.74</v>
      </c>
      <c r="M1544" s="1" t="inlineStr">
        <is>
          <t>-30.84%</t>
        </is>
      </c>
      <c r="N1544" s="3" t="n">
        <v>-30.84</v>
      </c>
      <c r="O1544" t="n">
        <v>4.8</v>
      </c>
      <c r="P1544" t="n">
        <v>54</v>
      </c>
      <c r="R1544" t="inlineStr">
        <is>
          <t>OutOfStock</t>
        </is>
      </c>
      <c r="S1544" t="inlineStr">
        <is>
          <t>29.99</t>
        </is>
      </c>
      <c r="T1544" t="inlineStr">
        <is>
          <t>4169806643252</t>
        </is>
      </c>
    </row>
    <row r="1545" hidden="1" ht="15.75" customHeight="1">
      <c r="A1545" s="2">
        <f>HYPERLINK("https://www.shelhealth.com/products/arm-and-hammer-disinfecting-wipes-440-count", "https://www.shelhealth.com/products/arm-and-hammer-disinfecting-wipes-440-count")</f>
        <v/>
      </c>
      <c r="B1545" s="2">
        <f>HYPERLINK("https://www.shelhealth.com/products/arm-and-hammer-disinfecting-wipes-440-count", "https://www.shelhealth.com/products/arm-and-hammer-disinfecting-wipes-440-count")</f>
        <v/>
      </c>
      <c r="C1545" t="inlineStr">
        <is>
          <t>Arm And Hammer Disinfecting Wipes, 440 Count</t>
        </is>
      </c>
      <c r="D1545" t="inlineStr">
        <is>
          <t>Arm &amp; Hammer Essentials Disinfecting Wipes, Lemon Orchard Scent, 40 Count(Pack of 8)</t>
        </is>
      </c>
      <c r="E1545" s="2">
        <f>HYPERLINK("https://www.amazon.com/Hammer-Essentials-Disinfecting-Wipes-Orchard/dp/B08KGVX1V6/ref=sr_1_5?keywords=Arm+And+Hammer+Disinfecting+Wipes%2C+440+Count&amp;qid=1695170425&amp;sr=8-5", "https://www.amazon.com/Hammer-Essentials-Disinfecting-Wipes-Orchard/dp/B08KGVX1V6/ref=sr_1_5?keywords=Arm+And+Hammer+Disinfecting+Wipes%2C+440+Count&amp;qid=1695170425&amp;sr=8-5")</f>
        <v/>
      </c>
      <c r="F1545" t="inlineStr">
        <is>
          <t>B08KGVX1V6</t>
        </is>
      </c>
      <c r="G1545">
        <f>_xludf.IMAGE("https://www.shelhealth.com/cdn/shop/products/arm-and-hammer-disinfecting-wipes-440-count-shelhealth-250.jpg?v=1663658291&amp;width=1946")</f>
        <v/>
      </c>
      <c r="H1545">
        <f>_xludf.IMAGE("https://m.media-amazon.com/images/I/81fD3DwEO6L._AC_UL320_.jpg")</f>
        <v/>
      </c>
      <c r="K1545" t="inlineStr">
        <is>
          <t>34.99</t>
        </is>
      </c>
      <c r="L1545" t="n">
        <v>24</v>
      </c>
      <c r="M1545" s="1" t="inlineStr">
        <is>
          <t>-31.41%</t>
        </is>
      </c>
      <c r="N1545" s="3" t="n">
        <v>-31.41</v>
      </c>
      <c r="O1545" t="n">
        <v>3.7</v>
      </c>
      <c r="P1545" t="n">
        <v>63</v>
      </c>
      <c r="R1545" t="inlineStr">
        <is>
          <t>OutOfStock</t>
        </is>
      </c>
      <c r="S1545" t="inlineStr">
        <is>
          <t>34.99</t>
        </is>
      </c>
      <c r="T1545" t="inlineStr">
        <is>
          <t>6297326911676</t>
        </is>
      </c>
    </row>
    <row r="1546" hidden="1" ht="15.75" customHeight="1">
      <c r="A1546" s="2">
        <f>HYPERLINK("https://www.shelhealth.com/products/arm-and-hammer-disinfecting-wipes-440-count", "https://www.shelhealth.com/products/arm-and-hammer-disinfecting-wipes-440-count")</f>
        <v/>
      </c>
      <c r="B1546" s="2">
        <f>HYPERLINK("https://www.shelhealth.com/products/arm-and-hammer-disinfecting-wipes-440-count", "https://www.shelhealth.com/products/arm-and-hammer-disinfecting-wipes-440-count")</f>
        <v/>
      </c>
      <c r="C1546" t="inlineStr">
        <is>
          <t>Arm And Hammer Disinfecting Wipes, 440 Count</t>
        </is>
      </c>
      <c r="D1546" t="inlineStr">
        <is>
          <t>Arm &amp; Hammer Essentials Disinfecting Wipes, Renewing Rain Scent, 40 Count, 8 Pack</t>
        </is>
      </c>
      <c r="E1546" s="2">
        <f>HYPERLINK("https://www.amazon.com/Hammer-Essentials-Disinfecting-Renewing-Volcano/dp/B08LW3Y7FQ/ref=sr_1_1?keywords=Arm+And+Hammer+Disinfecting+Wipes%2C+440+Count&amp;qid=1695170425&amp;sr=8-1", "https://www.amazon.com/Hammer-Essentials-Disinfecting-Renewing-Volcano/dp/B08LW3Y7FQ/ref=sr_1_1?keywords=Arm+And+Hammer+Disinfecting+Wipes%2C+440+Count&amp;qid=1695170425&amp;sr=8-1")</f>
        <v/>
      </c>
      <c r="F1546" t="inlineStr">
        <is>
          <t>B08LW3Y7FQ</t>
        </is>
      </c>
      <c r="G1546">
        <f>_xludf.IMAGE("https://www.shelhealth.com/cdn/shop/products/arm-and-hammer-disinfecting-wipes-440-count-shelhealth-250.jpg?v=1663658291&amp;width=1946")</f>
        <v/>
      </c>
      <c r="H1546">
        <f>_xludf.IMAGE("https://m.media-amazon.com/images/I/81GfXEtD4yL._AC_UL320_.jpg")</f>
        <v/>
      </c>
      <c r="K1546" t="inlineStr">
        <is>
          <t>34.99</t>
        </is>
      </c>
      <c r="L1546" t="n">
        <v>24</v>
      </c>
      <c r="M1546" s="1" t="inlineStr">
        <is>
          <t>-31.41%</t>
        </is>
      </c>
      <c r="N1546" s="3" t="n">
        <v>-31.41</v>
      </c>
      <c r="O1546" t="n">
        <v>3.3</v>
      </c>
      <c r="P1546" t="n">
        <v>33</v>
      </c>
      <c r="R1546" t="inlineStr">
        <is>
          <t>OutOfStock</t>
        </is>
      </c>
      <c r="S1546" t="inlineStr">
        <is>
          <t>34.99</t>
        </is>
      </c>
      <c r="T1546" t="inlineStr">
        <is>
          <t>6297326911676</t>
        </is>
      </c>
    </row>
    <row r="1547" hidden="1" ht="15.75" customHeight="1">
      <c r="A1547" s="2">
        <f>HYPERLINK("https://www.shelhealth.com/products/ziploc-double-zipper-freezer-gallon-bags-total-152-bags-4-x-38-count", "https://www.shelhealth.com/products/ziploc-double-zipper-freezer-gallon-bags-total-152-bags-4-x-38-count")</f>
        <v/>
      </c>
      <c r="B1547" s="2">
        <f>HYPERLINK("https://www.shelhealth.com/products/ziploc-double-zipper-freezer-gallon-bags-total-152-bags-4-x-38-count", "https://www.shelhealth.com/products/ziploc-double-zipper-freezer-gallon-bags-total-152-bags-4-x-38-count")</f>
        <v/>
      </c>
      <c r="C1547" t="inlineStr">
        <is>
          <t>Ziploc Double Zipper Freezer Gallon Bags, Total: 152 Bags (4 X 38 Count)</t>
        </is>
      </c>
      <c r="D1547" t="inlineStr">
        <is>
          <t>Ziploc Double Zipper Freezer Gallon Bags, Total: 152 Bags (4 X 38 Count)</t>
        </is>
      </c>
      <c r="E1547" s="2">
        <f>HYPERLINK("https://www.amazon.com/Ziploc-Double-Zipper-Freezer-Gallon/dp/B001KWMERO/ref=sr_1_1?keywords=Ziploc+Double+Zipper+Freezer+Gallon+Bags%2C+Total%3A+152+Bags+%284+X+38+Count%29&amp;qid=1695170388&amp;sr=8-1", "https://www.amazon.com/Ziploc-Double-Zipper-Freezer-Gallon/dp/B001KWMERO/ref=sr_1_1?keywords=Ziploc+Double+Zipper+Freezer+Gallon+Bags%2C+Total%3A+152+Bags+%284+X+38+Count%29&amp;qid=1695170388&amp;sr=8-1")</f>
        <v/>
      </c>
      <c r="F1547" t="inlineStr">
        <is>
          <t>B001KWMERO</t>
        </is>
      </c>
      <c r="G1547">
        <f>_xludf.IMAGE("https://www.shelhealth.com/cdn/shop/products/ziploc-double-zipper-freezer-gallon-bags-total-152-4-x-38-count-shelhealth-441.jpg?v=1663344353&amp;width=1946")</f>
        <v/>
      </c>
      <c r="H1547">
        <f>_xludf.IMAGE("https://m.media-amazon.com/images/I/810ZQbSqUDL._AC_UL320_.jpg")</f>
        <v/>
      </c>
      <c r="K1547" t="inlineStr">
        <is>
          <t>25.99</t>
        </is>
      </c>
      <c r="L1547" t="n">
        <v>17.79</v>
      </c>
      <c r="M1547" s="1" t="inlineStr">
        <is>
          <t>-31.55%</t>
        </is>
      </c>
      <c r="N1547" s="3" t="n">
        <v>-31.55</v>
      </c>
      <c r="O1547" t="n">
        <v>4.7</v>
      </c>
      <c r="P1547" t="n">
        <v>642</v>
      </c>
      <c r="R1547" t="inlineStr">
        <is>
          <t>InStock</t>
        </is>
      </c>
      <c r="S1547" t="inlineStr">
        <is>
          <t>25.99</t>
        </is>
      </c>
      <c r="T1547" t="inlineStr">
        <is>
          <t>3824974331956</t>
        </is>
      </c>
    </row>
    <row r="1548" hidden="1" ht="15.75" customHeight="1">
      <c r="A1548" s="2">
        <f>HYPERLINK("https://www.shelhealth.com/products/639713990904-evolution-salt-lamp-salt-white-himalayan-6-lb", "https://www.shelhealth.com/products/639713990904-evolution-salt-lamp-salt-white-himalayan-6-lb")</f>
        <v/>
      </c>
      <c r="B1548" s="2">
        <f>HYPERLINK("https://www.shelhealth.com/products/639713990904-evolution-salt-lamp-salt-white-himalayan-6-lb", "https://www.shelhealth.com/products/639713990904-evolution-salt-lamp-salt-white-himalayan-6-lb")</f>
        <v/>
      </c>
      <c r="C1548" t="inlineStr">
        <is>
          <t>EVOLUTION SALT Lamp Salt White Himalayan, 6 lb</t>
        </is>
      </c>
      <c r="D1548" t="inlineStr">
        <is>
          <t>Evolution Salt - Pillar Crystal Himalayan Salt Lamp 4-6 lbs</t>
        </is>
      </c>
      <c r="E1548" s="2">
        <f>HYPERLINK("https://www.amazon.com/Evolution-Salt-Pillar-Crystal-Himalayan/dp/B009Y8048C/ref=sr_1_3?keywords=EVOLUTION+SALT+Lamp+Salt+White+Himalayan%2C+6+lb&amp;qid=1695170551&amp;sr=8-3", "https://www.amazon.com/Evolution-Salt-Pillar-Crystal-Himalayan/dp/B009Y8048C/ref=sr_1_3?keywords=EVOLUTION+SALT+Lamp+Salt+White+Himalayan%2C+6+lb&amp;qid=1695170551&amp;sr=8-3")</f>
        <v/>
      </c>
      <c r="F1548" t="inlineStr">
        <is>
          <t>B009Y8048C</t>
        </is>
      </c>
      <c r="G1548">
        <f>_xludf.IMAGE("https://www.shelhealth.com/cdn/shop/files/evolution-salt-lamp-white-himalayan-6-lb-home-products-shelhealth-763.jpg?v=1686211501&amp;width=1946")</f>
        <v/>
      </c>
      <c r="H1548">
        <f>_xludf.IMAGE("https://m.media-amazon.com/images/I/71LgpeZGN9L._AC_UL320_.jpg")</f>
        <v/>
      </c>
      <c r="K1548" t="inlineStr">
        <is>
          <t>54.99</t>
        </is>
      </c>
      <c r="L1548" t="n">
        <v>37.51</v>
      </c>
      <c r="M1548" s="1" t="inlineStr">
        <is>
          <t>-31.79%</t>
        </is>
      </c>
      <c r="N1548" s="3" t="n">
        <v>-31.79</v>
      </c>
      <c r="O1548" t="n">
        <v>1</v>
      </c>
      <c r="P1548" t="n">
        <v>2</v>
      </c>
      <c r="R1548" t="inlineStr">
        <is>
          <t>OutOfStock</t>
        </is>
      </c>
      <c r="S1548" t="inlineStr">
        <is>
          <t>54.99</t>
        </is>
      </c>
      <c r="T1548" t="inlineStr">
        <is>
          <t>7574079668456</t>
        </is>
      </c>
    </row>
    <row r="1549" hidden="1" ht="15.75" customHeight="1">
      <c r="A1549" s="2">
        <f>HYPERLINK("https://www.shelhealth.com/products/iron-out-powder-rust-stain-remover-2-x-76-oz", "https://www.shelhealth.com/products/iron-out-powder-rust-stain-remover-2-x-76-oz")</f>
        <v/>
      </c>
      <c r="B1549" s="2">
        <f>HYPERLINK("https://www.shelhealth.com/products/iron-out-powder-rust-stain-remover-2-x-76-oz", "https://www.shelhealth.com/products/iron-out-powder-rust-stain-remover-2-x-76-oz")</f>
        <v/>
      </c>
      <c r="C1549" t="inlineStr">
        <is>
          <t>Iron OUT Powder Rust Stain Remover, 2 x 76 oz.</t>
        </is>
      </c>
      <c r="D1549" t="inlineStr">
        <is>
          <t>IRON OUT IO30N Rust Stain Remover Powder, 1 lb 12 oz Bottle, 2 Count</t>
        </is>
      </c>
      <c r="E1549" s="2">
        <f>HYPERLINK("https://www.amazon.com/Iron-Out-IO30N-Count-White/dp/B07NC6KY4J/ref=sr_1_3?keywords=Iron+OUT+Powder+Rust+Stain+Remover%2C+2+x+76+oz.&amp;qid=1695170543&amp;sr=8-3", "https://www.amazon.com/Iron-Out-IO30N-Count-White/dp/B07NC6KY4J/ref=sr_1_3?keywords=Iron+OUT+Powder+Rust+Stain+Remover%2C+2+x+76+oz.&amp;qid=1695170543&amp;sr=8-3")</f>
        <v/>
      </c>
      <c r="F1549" t="inlineStr">
        <is>
          <t>B07NC6KY4J</t>
        </is>
      </c>
      <c r="G1549">
        <f>_xludf.IMAGE("https://www.shelhealth.com/cdn/shop/products/iron-out-powder-rust-stain-remover-2-x-76-oz-shelhealth-985.jpg?v=1663370441&amp;width=1946")</f>
        <v/>
      </c>
      <c r="H1549">
        <f>_xludf.IMAGE("https://m.media-amazon.com/images/I/618-J1MTzNL._AC_UL320_.jpg")</f>
        <v/>
      </c>
      <c r="K1549" t="inlineStr">
        <is>
          <t>32.99</t>
        </is>
      </c>
      <c r="L1549" t="n">
        <v>22.49</v>
      </c>
      <c r="M1549" s="1" t="inlineStr">
        <is>
          <t>-31.83%</t>
        </is>
      </c>
      <c r="N1549" s="3" t="n">
        <v>-31.83</v>
      </c>
      <c r="O1549" t="n">
        <v>4.6</v>
      </c>
      <c r="P1549" t="n">
        <v>128</v>
      </c>
      <c r="R1549" t="inlineStr">
        <is>
          <t>InStock</t>
        </is>
      </c>
      <c r="S1549" t="inlineStr">
        <is>
          <t>32.99</t>
        </is>
      </c>
      <c r="T1549" t="inlineStr">
        <is>
          <t>4664144298073</t>
        </is>
      </c>
    </row>
    <row r="1550" hidden="1" ht="15.75" customHeight="1">
      <c r="A1550" s="2">
        <f>HYPERLINK("https://www.shelhealth.com/products/bask-clear-vinyl-disposable-gloves-100-gloves", "https://www.shelhealth.com/products/bask-clear-vinyl-disposable-gloves-100-gloves")</f>
        <v/>
      </c>
      <c r="B1550" s="2">
        <f>HYPERLINK("https://www.shelhealth.com/products/bask-clear-vinyl-disposable-gloves-100-gloves", "https://www.shelhealth.com/products/bask-clear-vinyl-disposable-gloves-100-gloves")</f>
        <v/>
      </c>
      <c r="C1550" t="inlineStr">
        <is>
          <t>Bask Clear Vinyl Disposable Gloves, 100 Gloves</t>
        </is>
      </c>
      <c r="D1550" t="inlineStr">
        <is>
          <t>MEDD MAX Disposable Vinyl Gloves Powder Free Non Latex Allergy Free, Clear Multi-Purpose Heavy Duty Super Strength Plastic Rubber Vynil Cleaning Gloves, Small (Pack of 100)</t>
        </is>
      </c>
      <c r="E1550" s="2">
        <f>HYPERLINK("https://www.amazon.com/Disposable-Allergy-Multi-Purpose-Strength-Cleaning/dp/B084CY4F2R/ref=sr_1_5?keywords=Bask+Clear+Vinyl+Disposable+Gloves%2C+100+Gloves&amp;qid=1695170549&amp;sr=8-5", "https://www.amazon.com/Disposable-Allergy-Multi-Purpose-Strength-Cleaning/dp/B084CY4F2R/ref=sr_1_5?keywords=Bask+Clear+Vinyl+Disposable+Gloves%2C+100+Gloves&amp;qid=1695170549&amp;sr=8-5")</f>
        <v/>
      </c>
      <c r="F1550" t="inlineStr">
        <is>
          <t>B084CY4F2R</t>
        </is>
      </c>
      <c r="G1550">
        <f>_xludf.IMAGE("https://www.shelhealth.com/cdn/shop/products/bask-clear-vinyl-disposable-gloves-100-shelhealth-783.jpg?v=1663374232&amp;width=1946")</f>
        <v/>
      </c>
      <c r="H1550">
        <f>_xludf.IMAGE("https://m.media-amazon.com/images/I/71Bi3sI8kTL._AC_UL320_.jpg")</f>
        <v/>
      </c>
      <c r="K1550" t="inlineStr">
        <is>
          <t>21.99</t>
        </is>
      </c>
      <c r="L1550" t="n">
        <v>14.99</v>
      </c>
      <c r="M1550" s="1" t="inlineStr">
        <is>
          <t>-31.83%</t>
        </is>
      </c>
      <c r="N1550" s="3" t="n">
        <v>-31.83</v>
      </c>
      <c r="O1550" t="n">
        <v>4.5</v>
      </c>
      <c r="P1550" t="n">
        <v>921</v>
      </c>
      <c r="R1550" t="inlineStr">
        <is>
          <t>InStock</t>
        </is>
      </c>
      <c r="S1550" t="inlineStr">
        <is>
          <t>21.99</t>
        </is>
      </c>
      <c r="T1550" t="inlineStr">
        <is>
          <t>4713271525465</t>
        </is>
      </c>
    </row>
    <row r="1551" hidden="1" ht="15.75" customHeight="1">
      <c r="A1551" s="2">
        <f>HYPERLINK("https://www.shelhealth.com/products/bask-clear-vinyl-disposable-gloves-100-gloves", "https://www.shelhealth.com/products/bask-clear-vinyl-disposable-gloves-100-gloves")</f>
        <v/>
      </c>
      <c r="B1551" s="2">
        <f>HYPERLINK("https://www.shelhealth.com/products/bask-clear-vinyl-disposable-gloves-100-gloves", "https://www.shelhealth.com/products/bask-clear-vinyl-disposable-gloves-100-gloves")</f>
        <v/>
      </c>
      <c r="C1551" t="inlineStr">
        <is>
          <t>Bask Clear Vinyl Disposable Gloves, 100 Gloves</t>
        </is>
      </c>
      <c r="D1551" t="inlineStr">
        <is>
          <t>100 Count Disposable Non-Sterile Vinyl Gloves Powder-Free CLEAR</t>
        </is>
      </c>
      <c r="E1551" s="2">
        <f>HYPERLINK("https://www.amazon.com/Disposable-Non-Sterile-Gloves-Powder-Free-MEDIUM/dp/B08FBP935W/ref=sr_1_3?keywords=Bask+Clear+Vinyl+Disposable+Gloves%2C+100+Gloves&amp;qid=1695170549&amp;sr=8-3", "https://www.amazon.com/Disposable-Non-Sterile-Gloves-Powder-Free-MEDIUM/dp/B08FBP935W/ref=sr_1_3?keywords=Bask+Clear+Vinyl+Disposable+Gloves%2C+100+Gloves&amp;qid=1695170549&amp;sr=8-3")</f>
        <v/>
      </c>
      <c r="F1551" t="inlineStr">
        <is>
          <t>B08FBP935W</t>
        </is>
      </c>
      <c r="G1551">
        <f>_xludf.IMAGE("https://www.shelhealth.com/cdn/shop/products/bask-clear-vinyl-disposable-gloves-100-shelhealth-783.jpg?v=1663374232&amp;width=1946")</f>
        <v/>
      </c>
      <c r="H1551">
        <f>_xludf.IMAGE("https://m.media-amazon.com/images/I/31luZz23nCL._AC_UL320_.jpg")</f>
        <v/>
      </c>
      <c r="K1551" t="inlineStr">
        <is>
          <t>21.99</t>
        </is>
      </c>
      <c r="L1551" t="n">
        <v>14.98</v>
      </c>
      <c r="M1551" s="1" t="inlineStr">
        <is>
          <t>-31.88%</t>
        </is>
      </c>
      <c r="N1551" s="3" t="n">
        <v>-31.88</v>
      </c>
      <c r="O1551" t="n">
        <v>5</v>
      </c>
      <c r="P1551" t="n">
        <v>1</v>
      </c>
      <c r="R1551" t="inlineStr">
        <is>
          <t>InStock</t>
        </is>
      </c>
      <c r="S1551" t="inlineStr">
        <is>
          <t>21.99</t>
        </is>
      </c>
      <c r="T1551" t="inlineStr">
        <is>
          <t>4713271525465</t>
        </is>
      </c>
    </row>
    <row r="1552" hidden="1" ht="15.75" customHeight="1">
      <c r="A1552" s="2">
        <f>HYPERLINK("https://www.shelhealth.com/products/cascade-platinum-actionpacs-dishwasher-detergent-92-ct", "https://www.shelhealth.com/products/cascade-platinum-actionpacs-dishwasher-detergent-92-ct")</f>
        <v/>
      </c>
      <c r="B1552" s="2">
        <f>HYPERLINK("https://www.shelhealth.com/products/cascade-platinum-actionpacs-dishwasher-detergent-92-ct", "https://www.shelhealth.com/products/cascade-platinum-actionpacs-dishwasher-detergent-92-ct")</f>
        <v/>
      </c>
      <c r="C1552" t="inlineStr">
        <is>
          <t>Cascade Platinum ActionPacs Dishwasher Detergent, 92 ct.</t>
        </is>
      </c>
      <c r="D1552" t="inlineStr">
        <is>
          <t>Cascade Platinum ActionPacs Dishwasher Detergent, Fresh, 62 Count per Pack, 34.5 Ounce with Cascade Platinum Rinse Aid, 901 ml, Regular Scent</t>
        </is>
      </c>
      <c r="E1552" s="2">
        <f>HYPERLINK("https://www.amazon.com/Cascade-Platinum-ActionPacs-Dishwasher-Detergent/dp/B082FGG261/ref=sr_1_5?keywords=Cascade+Platinum+ActionPacs+Dishwasher+Detergent%2C+92+ct.&amp;qid=1695170383&amp;sr=8-5", "https://www.amazon.com/Cascade-Platinum-ActionPacs-Dishwasher-Detergent/dp/B082FGG261/ref=sr_1_5?keywords=Cascade+Platinum+ActionPacs+Dishwasher+Detergent%2C+92+ct.&amp;qid=1695170383&amp;sr=8-5")</f>
        <v/>
      </c>
      <c r="F1552" t="inlineStr">
        <is>
          <t>B082FGG261</t>
        </is>
      </c>
      <c r="G1552">
        <f>_xludf.IMAGE("https://www.shelhealth.com/cdn/shop/products/cascade-platinum-actionpacs-dishwasher-detergent-92-ct-shelhealth-877.jpg?v=1675325870&amp;width=1946")</f>
        <v/>
      </c>
      <c r="H1552">
        <f>_xludf.IMAGE("https://m.media-amazon.com/images/I/61ihs8KzhNL._AC_UL320_.jpg")</f>
        <v/>
      </c>
      <c r="K1552" t="inlineStr">
        <is>
          <t>39.99</t>
        </is>
      </c>
      <c r="L1552" t="n">
        <v>27.22</v>
      </c>
      <c r="M1552" s="1" t="inlineStr">
        <is>
          <t>-31.93%</t>
        </is>
      </c>
      <c r="N1552" s="3" t="n">
        <v>-31.93</v>
      </c>
      <c r="O1552" t="n">
        <v>4.8</v>
      </c>
      <c r="P1552" t="n">
        <v>9</v>
      </c>
      <c r="R1552" t="inlineStr">
        <is>
          <t>OutOfStock</t>
        </is>
      </c>
      <c r="S1552" t="inlineStr">
        <is>
          <t>39.99</t>
        </is>
      </c>
      <c r="T1552" t="inlineStr">
        <is>
          <t>4169905143860</t>
        </is>
      </c>
    </row>
    <row r="1553" hidden="1" ht="15.75" customHeight="1">
      <c r="A1553" s="2">
        <f>HYPERLINK("https://www.shelhealth.com/products/berkley-jensen-55-gal-1-2mil-industrial-drum-liner-bags-50-ct", "https://www.shelhealth.com/products/berkley-jensen-55-gal-1-2mil-industrial-drum-liner-bags-50-ct")</f>
        <v/>
      </c>
      <c r="B1553" s="2">
        <f>HYPERLINK("https://www.shelhealth.com/products/berkley-jensen-55-gal-1-2mil-industrial-drum-liner-bags-50-ct", "https://www.shelhealth.com/products/berkley-jensen-55-gal-1-2mil-industrial-drum-liner-bags-50-ct")</f>
        <v/>
      </c>
      <c r="C1553" t="inlineStr">
        <is>
          <t>Berkley Jensen 55-Gal. 1.2mil Industrial Drum Liner Bags, 50 ct.</t>
        </is>
      </c>
      <c r="D1553" t="inlineStr">
        <is>
          <t>Berkly &amp; Jensen 1.2mil Industrial Drum Liner Bags, 55 Gallon, 50 Bags</t>
        </is>
      </c>
      <c r="E1553" s="2">
        <f>HYPERLINK("https://www.amazon.com/Berkly-Jensen-1-2mil-Industrial-Gallon/dp/B00PPQ8F6U/ref=sr_1_fkmr0_2?keywords=Berkley+Jensen+55-Gal.+1.2mil+Industrial+Drum+Liner+Bags%2C+50+ct.&amp;qid=1695170570&amp;sr=8-2-fkmr0", "https://www.amazon.com/Berkly-Jensen-1-2mil-Industrial-Gallon/dp/B00PPQ8F6U/ref=sr_1_fkmr0_2?keywords=Berkley+Jensen+55-Gal.+1.2mil+Industrial+Drum+Liner+Bags%2C+50+ct.&amp;qid=1695170570&amp;sr=8-2-fkmr0")</f>
        <v/>
      </c>
      <c r="F1553" t="inlineStr">
        <is>
          <t>B00PPQ8F6U</t>
        </is>
      </c>
      <c r="G1553">
        <f>_xludf.IMAGE("https://www.shelhealth.com/cdn/shop/products/berkley-jensen-55-gal-1-2mil-industrial-drum-liner-bags-50-ct-shelhealth-532.jpg?v=1663354888&amp;width=1946")</f>
        <v/>
      </c>
      <c r="H1553">
        <f>_xludf.IMAGE("https://m.media-amazon.com/images/I/81k6vFIvp7L._AC_UL320_.jpg")</f>
        <v/>
      </c>
      <c r="K1553" t="inlineStr">
        <is>
          <t>38.99</t>
        </is>
      </c>
      <c r="L1553" t="n">
        <v>26.49</v>
      </c>
      <c r="M1553" s="1" t="inlineStr">
        <is>
          <t>-32.06%</t>
        </is>
      </c>
      <c r="N1553" s="3" t="n">
        <v>-32.06</v>
      </c>
      <c r="O1553" t="n">
        <v>4.7</v>
      </c>
      <c r="P1553" t="n">
        <v>578</v>
      </c>
      <c r="R1553" t="inlineStr">
        <is>
          <t>InStock</t>
        </is>
      </c>
      <c r="S1553" t="inlineStr">
        <is>
          <t>38.99</t>
        </is>
      </c>
      <c r="T1553" t="inlineStr">
        <is>
          <t>4169502425140</t>
        </is>
      </c>
    </row>
    <row r="1554" hidden="1" ht="15.75" customHeight="1">
      <c r="A1554" s="2">
        <f>HYPERLINK("https://www.shelhealth.com/products/febreze-air-freshener-hawaiian-aloha-8-8-oz", "https://www.shelhealth.com/products/febreze-air-freshener-hawaiian-aloha-8-8-oz")</f>
        <v/>
      </c>
      <c r="B1554" s="2">
        <f>HYPERLINK("https://www.shelhealth.com/products/febreze-air-freshener-hawaiian-aloha-8-8-oz", "https://www.shelhealth.com/products/febreze-air-freshener-hawaiian-aloha-8-8-oz")</f>
        <v/>
      </c>
      <c r="C1554" t="inlineStr">
        <is>
          <t>Febreze AIR Freshener Hawaiian Aloha, 8.8 oz (Case of 5)</t>
        </is>
      </c>
      <c r="D1554" t="inlineStr">
        <is>
          <t>Febreze Air Freshener and Odor Eliminator Spray– one each of Linen &amp; Sky, Original, Hawaiian Aloha and Fresh Scents. 250g or 8.8oz each (Pack of 4)</t>
        </is>
      </c>
      <c r="E1554" s="2">
        <f>HYPERLINK("https://www.amazon.com/Febreze-Freshener-Eliminator-Original-Hawaiian/dp/B08P96FWGN/ref=sr_1_5?keywords=Febreze+AIR+Freshener+Hawaiian+Aloha%2C+8.8+oz+%28Case+of+5%29&amp;qid=1695170548&amp;sr=8-5", "https://www.amazon.com/Febreze-Freshener-Eliminator-Original-Hawaiian/dp/B08P96FWGN/ref=sr_1_5?keywords=Febreze+AIR+Freshener+Hawaiian+Aloha%2C+8.8+oz+%28Case+of+5%29&amp;qid=1695170548&amp;sr=8-5")</f>
        <v/>
      </c>
      <c r="F1554" t="inlineStr">
        <is>
          <t>B08P96FWGN</t>
        </is>
      </c>
      <c r="G1554">
        <f>_xludf.IMAGE("https://www.shelhealth.com/cdn/shop/products/febreze-air-freshener-hawaiian-aloha-8-oz-case-of-5-shelhealth-297.jpg?v=1675329832&amp;width=1946")</f>
        <v/>
      </c>
      <c r="H1554">
        <f>_xludf.IMAGE("https://m.media-amazon.com/images/I/71p2r8QG6-L._AC_UL320_.jpg")</f>
        <v/>
      </c>
      <c r="K1554" t="inlineStr">
        <is>
          <t>34.99</t>
        </is>
      </c>
      <c r="L1554" t="n">
        <v>23.74</v>
      </c>
      <c r="M1554" s="1" t="inlineStr">
        <is>
          <t>-32.15%</t>
        </is>
      </c>
      <c r="N1554" s="3" t="n">
        <v>-32.15</v>
      </c>
      <c r="O1554" t="n">
        <v>5</v>
      </c>
      <c r="P1554" t="n">
        <v>3</v>
      </c>
      <c r="R1554" t="inlineStr">
        <is>
          <t>InStock</t>
        </is>
      </c>
      <c r="S1554" t="inlineStr">
        <is>
          <t>34.99</t>
        </is>
      </c>
      <c r="T1554" t="inlineStr">
        <is>
          <t>4458272784473</t>
        </is>
      </c>
    </row>
    <row r="1555" hidden="1" ht="15.75" customHeight="1">
      <c r="A1555" s="2">
        <f>HYPERLINK("https://www.shelhealth.com/products/duracell-optimum-aa-batteries-28-ct", "https://www.shelhealth.com/products/duracell-optimum-aa-batteries-28-ct")</f>
        <v/>
      </c>
      <c r="B1555" s="2">
        <f>HYPERLINK("https://www.shelhealth.com/products/duracell-optimum-aa-batteries-28-ct", "https://www.shelhealth.com/products/duracell-optimum-aa-batteries-28-ct")</f>
        <v/>
      </c>
      <c r="C1555" t="inlineStr">
        <is>
          <t>Duracell Optimum AA Batteries, 28 ct.</t>
        </is>
      </c>
      <c r="D1555" t="inlineStr">
        <is>
          <t>Duracell Optimum AA Batteries, 28 Count Pack Double A Battery with Power Boost Ingredients, Long-lasting Power Alkaline AA Battery for Household Devices (Ecommerce Packaging)</t>
        </is>
      </c>
      <c r="E1555" s="2">
        <f>HYPERLINK("https://www.amazon.com/Duracell-Batteries-Ingredients-Long-lasting-Household/dp/B0B2KX374T/ref=sr_1_1?keywords=Duracell+Optimum+AA+Batteries%2C+28+ct.&amp;qid=1695170436&amp;sr=8-1", "https://www.amazon.com/Duracell-Batteries-Ingredients-Long-lasting-Household/dp/B0B2KX374T/ref=sr_1_1?keywords=Duracell+Optimum+AA+Batteries%2C+28+ct.&amp;qid=1695170436&amp;sr=8-1")</f>
        <v/>
      </c>
      <c r="F1555" t="inlineStr">
        <is>
          <t>B0B2KX374T</t>
        </is>
      </c>
      <c r="G1555">
        <f>_xludf.IMAGE("https://www.shelhealth.com/cdn/shop/products/duracell-optimum-aa-batteries-28-ct-shelhealth-697.jpg?v=1663355440&amp;width=1946")</f>
        <v/>
      </c>
      <c r="H1555">
        <f>_xludf.IMAGE("https://m.media-amazon.com/images/I/61Ww8AqHrzL._AC_UL320_.jpg")</f>
        <v/>
      </c>
      <c r="K1555" t="inlineStr">
        <is>
          <t>36.99</t>
        </is>
      </c>
      <c r="L1555" t="n">
        <v>25</v>
      </c>
      <c r="M1555" s="1" t="inlineStr">
        <is>
          <t>-32.41%</t>
        </is>
      </c>
      <c r="N1555" s="3" t="n">
        <v>-32.41</v>
      </c>
      <c r="O1555" t="n">
        <v>4.8</v>
      </c>
      <c r="P1555" t="n">
        <v>740</v>
      </c>
      <c r="R1555" t="inlineStr">
        <is>
          <t>InStock</t>
        </is>
      </c>
      <c r="S1555" t="inlineStr">
        <is>
          <t>36.99</t>
        </is>
      </c>
      <c r="T1555" t="inlineStr">
        <is>
          <t>4169892921396</t>
        </is>
      </c>
    </row>
    <row r="1556" hidden="1" ht="15.75" customHeight="1">
      <c r="A1556" s="2">
        <f>HYPERLINK("https://www.shelhealth.com/products/808124113602-mrs-meyers-clean-day-acorn-spice-dish-soap-16-oz", "https://www.shelhealth.com/products/808124113602-mrs-meyers-clean-day-acorn-spice-dish-soap-16-oz")</f>
        <v/>
      </c>
      <c r="B1556" s="2">
        <f>HYPERLINK("https://www.shelhealth.com/products/808124113602-mrs-meyers-clean-day-acorn-spice-dish-soap-16-oz", "https://www.shelhealth.com/products/808124113602-mrs-meyers-clean-day-acorn-spice-dish-soap-16-oz")</f>
        <v/>
      </c>
      <c r="C1556" t="inlineStr">
        <is>
          <t>Mrs Meyers Clean Day Acorn Spice Dish Soap, 16 Oz (Case of 3)</t>
        </is>
      </c>
      <c r="D1556" t="inlineStr">
        <is>
          <t>MRS. MEYER'S CLEAN DAY Liquid Dish Soap, Biodegradable Formula, Limited Edition Acorn Spice, 16 fl. oz - Pack of 3</t>
        </is>
      </c>
      <c r="E1556" s="2">
        <f>HYPERLINK("https://www.amazon.com/Meyers-Liquid-Biodegradable-Formula-Limited/dp/B0B64GDLCK/ref=sr_1_1?keywords=Mrs+Meyers+Clean+Day+Acorn+Spice+Dish+Soap%2C+16+Oz+%28Case+of+3%29&amp;qid=1695170486&amp;sr=8-1", "https://www.amazon.com/Meyers-Liquid-Biodegradable-Formula-Limited/dp/B0B64GDLCK/ref=sr_1_1?keywords=Mrs+Meyers+Clean+Day+Acorn+Spice+Dish+Soap%2C+16+Oz+%28Case+of+3%29&amp;qid=1695170486&amp;sr=8-1")</f>
        <v/>
      </c>
      <c r="F1556" t="inlineStr">
        <is>
          <t>B0B64GDLCK</t>
        </is>
      </c>
      <c r="G1556">
        <f>_xludf.IMAGE("https://www.shelhealth.com/cdn/shop/products/mrs-meyers-clean-day-acorn-spice-dish-soap-16-oz-case-of-3-shelhealth-828.jpg?v=1677068793&amp;width=1946")</f>
        <v/>
      </c>
      <c r="H1556">
        <f>_xludf.IMAGE("https://m.media-amazon.com/images/I/71SER6KDvSL._AC_UL320_.jpg")</f>
        <v/>
      </c>
      <c r="K1556" t="inlineStr">
        <is>
          <t>20.99</t>
        </is>
      </c>
      <c r="L1556" t="n">
        <v>14.16</v>
      </c>
      <c r="M1556" s="1" t="inlineStr">
        <is>
          <t>-32.54%</t>
        </is>
      </c>
      <c r="N1556" s="3" t="n">
        <v>-32.54</v>
      </c>
      <c r="O1556" t="n">
        <v>4.8</v>
      </c>
      <c r="P1556" t="n">
        <v>32991</v>
      </c>
      <c r="R1556" t="inlineStr">
        <is>
          <t>OutOfStock</t>
        </is>
      </c>
      <c r="S1556" t="inlineStr">
        <is>
          <t>20.99</t>
        </is>
      </c>
      <c r="T1556" t="inlineStr">
        <is>
          <t>7241830531260</t>
        </is>
      </c>
    </row>
    <row r="1557" hidden="1" ht="15.75" customHeight="1">
      <c r="A1557" s="2">
        <f>HYPERLINK("https://www.shelhealth.com/products/swiffer-sweeper-dry-mop-pad-refills-for-floor-mopping-and-cleaning-all-purpose-floor-cleaning-product-lavender-vanilla-and-comfort-scent-86-count", "https://www.shelhealth.com/products/swiffer-sweeper-dry-mop-pad-refills-for-floor-mopping-and-cleaning-all-purpose-floor-cleaning-product-lavender-vanilla-and-comfort-scent-86-count")</f>
        <v/>
      </c>
      <c r="B1557" s="2">
        <f>HYPERLINK("https://www.shelhealth.com/products/swiffer-sweeper-dry-mop-pad-refills-for-floor-mopping-and-cleaning-all-purpose-floor-cleaning-product-lavender-vanilla-and-comfort-scent-86-count", "https://www.shelhealth.com/products/swiffer-sweeper-dry-mop-pad-refills-for-floor-mopping-and-cleaning-all-purpose-floor-cleaning-product-lavender-vanilla-and-comfort-scent-86-count")</f>
        <v/>
      </c>
      <c r="C1557" t="inlineStr">
        <is>
          <t>Swiffer Sweeper Dry Mop Pad Refills for Floor Mopping and Cleaning, All Purpose Floor Cleaning Product, Lavender Vanilla and Comfort Scent, 86 Count</t>
        </is>
      </c>
      <c r="D1557" t="inlineStr">
        <is>
          <t>Swiffer Sweeper Heavy Duty Mop Pad Refills for Floor Mopping and Cleaning, All Purpose Multi Surface Floor Cleaning Product, 20 Count, 2 Pack</t>
        </is>
      </c>
      <c r="E1557" s="2" t="n"/>
      <c r="F1557" t="inlineStr">
        <is>
          <t>B07DBC5DYP</t>
        </is>
      </c>
      <c r="G1557">
        <f>_xludf.IMAGE("https://www.shelhealth.com/cdn/shop/products/swiffer-sweeper-dry-mop-pad-refills-for-floor-mopping-and-cleaning-all-purpose-product-lavender-vanilla-comfort-scent-86-count-shelhealth-301.jpg?v=1663343450&amp;width=1946")</f>
        <v/>
      </c>
      <c r="H1557">
        <f>_xludf.IMAGE("https://m.media-amazon.com/images/I/61rZCCGIlNL._AC_UL320_.jpg")</f>
        <v/>
      </c>
      <c r="K1557" t="inlineStr">
        <is>
          <t>26.99</t>
        </is>
      </c>
      <c r="L1557" t="n">
        <v>18.16</v>
      </c>
      <c r="M1557" s="1" t="inlineStr">
        <is>
          <t>-32.72%</t>
        </is>
      </c>
      <c r="N1557" s="3" t="n">
        <v>-32.72</v>
      </c>
      <c r="O1557" t="n">
        <v>4.7</v>
      </c>
      <c r="P1557" t="n">
        <v>9669</v>
      </c>
      <c r="R1557" t="inlineStr">
        <is>
          <t>InStock</t>
        </is>
      </c>
      <c r="S1557" t="inlineStr">
        <is>
          <t>26.99</t>
        </is>
      </c>
      <c r="T1557" t="inlineStr">
        <is>
          <t>3820361711668</t>
        </is>
      </c>
    </row>
    <row r="1558" hidden="1" ht="15.75" customHeight="1">
      <c r="A1558" s="2">
        <f>HYPERLINK("https://www.shelhealth.com/products/scotch-brite-heavy-duty-scrub-sponge-21-sponges-total", "https://www.shelhealth.com/products/scotch-brite-heavy-duty-scrub-sponge-21-sponges-total")</f>
        <v/>
      </c>
      <c r="B1558" s="2">
        <f>HYPERLINK("https://www.shelhealth.com/products/scotch-brite-heavy-duty-scrub-sponge-21-sponges-total", "https://www.shelhealth.com/products/scotch-brite-heavy-duty-scrub-sponge-21-sponges-total")</f>
        <v/>
      </c>
      <c r="C1558" t="inlineStr">
        <is>
          <t>Scotch-Brite Heavy Duty Scrub Sponge, 21 Sponges Total</t>
        </is>
      </c>
      <c r="D1558" t="inlineStr">
        <is>
          <t>Scotch-Brite Heavy Duty Scrub Sponge, 21 Count</t>
        </is>
      </c>
      <c r="E1558" s="2">
        <f>HYPERLINK("https://www.amazon.com/Scotch-Brite-Heavy-Scrub-Sponge-21-Count/dp/B0055O2A3G/ref=sr_1_1?keywords=Scotch-Brite+Heavy+Duty+Scrub+Sponge%2C+21+Sponges+Total&amp;qid=1695170390&amp;sr=8-1", "https://www.amazon.com/Scotch-Brite-Heavy-Scrub-Sponge-21-Count/dp/B0055O2A3G/ref=sr_1_1?keywords=Scotch-Brite+Heavy+Duty+Scrub+Sponge%2C+21+Sponges+Total&amp;qid=1695170390&amp;sr=8-1")</f>
        <v/>
      </c>
      <c r="F1558" t="inlineStr">
        <is>
          <t>B0055O2A3G</t>
        </is>
      </c>
      <c r="G1558">
        <f>_xludf.IMAGE("https://www.shelhealth.com/cdn/shop/products/scotch-brite-heavy-duty-scrub-sponge-21-sponges-total-shelhealth-137.jpg?v=1663342897&amp;width=1946")</f>
        <v/>
      </c>
      <c r="H1558">
        <f>_xludf.IMAGE("https://m.media-amazon.com/images/I/71WzaXp+lPL._AC_UL320_.jpg")</f>
        <v/>
      </c>
      <c r="K1558" t="inlineStr">
        <is>
          <t>21.99</t>
        </is>
      </c>
      <c r="L1558" t="n">
        <v>14.68</v>
      </c>
      <c r="M1558" s="1" t="inlineStr">
        <is>
          <t>-33.24%</t>
        </is>
      </c>
      <c r="N1558" s="3" t="n">
        <v>-33.24</v>
      </c>
      <c r="O1558" t="n">
        <v>4.7</v>
      </c>
      <c r="P1558" t="n">
        <v>3879</v>
      </c>
      <c r="R1558" t="inlineStr">
        <is>
          <t>InStock</t>
        </is>
      </c>
      <c r="S1558" t="inlineStr">
        <is>
          <t>21.99</t>
        </is>
      </c>
      <c r="T1558" t="inlineStr">
        <is>
          <t>3818790748212</t>
        </is>
      </c>
    </row>
    <row r="1559" hidden="1" ht="15.75" customHeight="1">
      <c r="A1559" s="2">
        <f>HYPERLINK("https://www.shelhealth.com/products/gain-fireworks-in-wash-scent-booster-beads-30-3-oz", "https://www.shelhealth.com/products/gain-fireworks-in-wash-scent-booster-beads-30-3-oz")</f>
        <v/>
      </c>
      <c r="B1559" s="2">
        <f>HYPERLINK("https://www.shelhealth.com/products/gain-fireworks-in-wash-scent-booster-beads-30-3-oz", "https://www.shelhealth.com/products/gain-fireworks-in-wash-scent-booster-beads-30-3-oz")</f>
        <v/>
      </c>
      <c r="C1559" t="inlineStr">
        <is>
          <t>Gain Fireworks In-Wash Scent Booster Beads, 30.3 oz.</t>
        </is>
      </c>
      <c r="D1559" t="inlineStr">
        <is>
          <t>Gain Fireworks In-Wash Scent Booster Beads, Blissful Breeze, 26.5 oz</t>
        </is>
      </c>
      <c r="E1559" s="2">
        <f>HYPERLINK("https://www.amazon.com/Gain-Fireworks-Booster-Blissful-Breeze/dp/B08CYRWLKQ/ref=sr_1_3?keywords=Gain+Fireworks+In-Wash+Scent+Booster+Beads%2C+30.3+oz.&amp;qid=1695170556&amp;sr=8-3", "https://www.amazon.com/Gain-Fireworks-Booster-Blissful-Breeze/dp/B08CYRWLKQ/ref=sr_1_3?keywords=Gain+Fireworks+In-Wash+Scent+Booster+Beads%2C+30.3+oz.&amp;qid=1695170556&amp;sr=8-3")</f>
        <v/>
      </c>
      <c r="F1559" t="inlineStr">
        <is>
          <t>B08CYRWLKQ</t>
        </is>
      </c>
      <c r="G1559">
        <f>_xludf.IMAGE("https://www.shelhealth.com/cdn/shop/products/gain-fireworks-in-wash-scent-booster-beads-30-3-oz-shelhealth-634.jpg?v=1663356812&amp;width=1946")</f>
        <v/>
      </c>
      <c r="H1559">
        <f>_xludf.IMAGE("https://m.media-amazon.com/images/I/81TiSGly43L._AC_UL320_.jpg")</f>
        <v/>
      </c>
      <c r="K1559" t="inlineStr">
        <is>
          <t>23.99</t>
        </is>
      </c>
      <c r="L1559" t="n">
        <v>15.99</v>
      </c>
      <c r="M1559" s="1" t="inlineStr">
        <is>
          <t>-33.35%</t>
        </is>
      </c>
      <c r="N1559" s="3" t="n">
        <v>-33.35</v>
      </c>
      <c r="O1559" t="n">
        <v>4.9</v>
      </c>
      <c r="P1559" t="n">
        <v>2457</v>
      </c>
      <c r="R1559" t="inlineStr">
        <is>
          <t>InStock</t>
        </is>
      </c>
      <c r="S1559" t="inlineStr">
        <is>
          <t>23.99</t>
        </is>
      </c>
      <c r="T1559" t="inlineStr">
        <is>
          <t>4179087622196</t>
        </is>
      </c>
    </row>
    <row r="1560" hidden="1" ht="15.75" customHeight="1">
      <c r="A1560" s="2">
        <f>HYPERLINK("https://www.shelhealth.com/products/downy-fresh-protect-with-febreze-april-fresh-in-wash-odor-defense-beads-30-3-oz", "https://www.shelhealth.com/products/downy-fresh-protect-with-febreze-april-fresh-in-wash-odor-defense-beads-30-3-oz")</f>
        <v/>
      </c>
      <c r="B1560" s="2">
        <f>HYPERLINK("https://www.shelhealth.com/products/downy-fresh-protect-with-febreze-april-fresh-in-wash-odor-defense-beads-30-3-oz", "https://www.shelhealth.com/products/downy-fresh-protect-with-febreze-april-fresh-in-wash-odor-defense-beads-30-3-oz")</f>
        <v/>
      </c>
      <c r="C1560" t="inlineStr">
        <is>
          <t>Downy Fresh Protect With Febreze April Fresh In-Wash Odor Defense Beads, 30.3 oz.</t>
        </is>
      </c>
      <c r="D1560" t="inlineStr">
        <is>
          <t>Downy Fresh Protect Laundry Scent Booster Beads for Washer with Febreze Odor Defense, April Fresh, 26.5 oz, Use with Fabric Softener</t>
        </is>
      </c>
      <c r="E1560" s="2">
        <f>HYPERLINK("https://www.amazon.com/Downy-Fresh-Protect-Febreze-Defense/dp/B08933S3VK/ref=sr_1_2?keywords=Downy+Fresh+Protect+With+Febreze+April+Fresh+In-Wash+Odor+Defense+Beads%2C+30.3+oz.&amp;qid=1695170433&amp;sr=8-2", "https://www.amazon.com/Downy-Fresh-Protect-Febreze-Defense/dp/B08933S3VK/ref=sr_1_2?keywords=Downy+Fresh+Protect+With+Febreze+April+Fresh+In-Wash+Odor+Defense+Beads%2C+30.3+oz.&amp;qid=1695170433&amp;sr=8-2")</f>
        <v/>
      </c>
      <c r="F1560" t="inlineStr">
        <is>
          <t>B08933S3VK</t>
        </is>
      </c>
      <c r="G1560">
        <f>_xludf.IMAGE("https://www.shelhealth.com/cdn/shop/products/downy-fresh-protect-with-febreze-april-in-wash-odor-defense-beads-30-3-oz-shelhealth-371.jpg?v=1663356602&amp;width=1946")</f>
        <v/>
      </c>
      <c r="H1560">
        <f>_xludf.IMAGE("https://m.media-amazon.com/images/I/716gG8sM9EL._AC_UL320_.jpg")</f>
        <v/>
      </c>
      <c r="K1560" t="inlineStr">
        <is>
          <t>23.99</t>
        </is>
      </c>
      <c r="L1560" t="n">
        <v>15.94</v>
      </c>
      <c r="M1560" s="1" t="inlineStr">
        <is>
          <t>-33.56%</t>
        </is>
      </c>
      <c r="N1560" s="3" t="n">
        <v>-33.56</v>
      </c>
      <c r="O1560" t="n">
        <v>4.9</v>
      </c>
      <c r="P1560" t="n">
        <v>4244</v>
      </c>
      <c r="R1560" t="inlineStr">
        <is>
          <t>InStock</t>
        </is>
      </c>
      <c r="S1560" t="inlineStr">
        <is>
          <t>23.99</t>
        </is>
      </c>
      <c r="T1560" t="inlineStr">
        <is>
          <t>4179005046836</t>
        </is>
      </c>
    </row>
    <row r="1561" hidden="1" ht="15.75" customHeight="1">
      <c r="A1561" s="2">
        <f>HYPERLINK("https://www.shelhealth.com/products/3m-post-it-notes-4-in-x-6-in-1000-notes", "https://www.shelhealth.com/products/3m-post-it-notes-4-in-x-6-in-1000-notes")</f>
        <v/>
      </c>
      <c r="B1561" s="2">
        <f>HYPERLINK("https://www.shelhealth.com/products/3m-post-it-notes-4-in-x-6-in-1000-notes", "https://www.shelhealth.com/products/3m-post-it-notes-4-in-x-6-in-1000-notes")</f>
        <v/>
      </c>
      <c r="C1561" t="inlineStr">
        <is>
          <t>3M Post-It Notes 4 in. x 6 in. (1000 Notes)</t>
        </is>
      </c>
      <c r="D1561" t="inlineStr">
        <is>
          <t>Post-it Super Sticky Notes, 4x6 in, 5 Pads, 2x the Sticking Power, Supernova Neons, Bright Colors, Recyclable (660-5SSMIA)</t>
        </is>
      </c>
      <c r="E1561" s="2">
        <f>HYPERLINK("https://www.amazon.com/Post-Sticky-Sticking-Collection-660-5SSMIA/dp/B01D8F5FJO/ref=sr_1_2?keywords=3M+Post-It+Notes+4+in.+x+6+in.+%281000+Notes%29&amp;qid=1695170548&amp;sr=8-2", "https://www.amazon.com/Post-Sticky-Sticking-Collection-660-5SSMIA/dp/B01D8F5FJO/ref=sr_1_2?keywords=3M+Post-It+Notes+4+in.+x+6+in.+%281000+Notes%29&amp;qid=1695170548&amp;sr=8-2")</f>
        <v/>
      </c>
      <c r="F1561" t="inlineStr">
        <is>
          <t>B01D8F5FJO</t>
        </is>
      </c>
      <c r="G1561">
        <f>_xludf.IMAGE("https://www.shelhealth.com/cdn/shop/products/3m-post-it-notes-4-in-x-6-1000-shelhealth-914.jpg?v=1663372769&amp;width=1946")</f>
        <v/>
      </c>
      <c r="H1561">
        <f>_xludf.IMAGE("https://m.media-amazon.com/images/I/61B4BvnIRLL._AC_UL320_.jpg")</f>
        <v/>
      </c>
      <c r="K1561" t="inlineStr">
        <is>
          <t>27.99</t>
        </is>
      </c>
      <c r="L1561" t="n">
        <v>18.5</v>
      </c>
      <c r="M1561" s="1" t="inlineStr">
        <is>
          <t>-33.90%</t>
        </is>
      </c>
      <c r="N1561" s="3" t="n">
        <v>-33.9</v>
      </c>
      <c r="O1561" t="n">
        <v>4.7</v>
      </c>
      <c r="P1561" t="n">
        <v>106</v>
      </c>
      <c r="R1561" t="inlineStr">
        <is>
          <t>InStock</t>
        </is>
      </c>
      <c r="S1561" t="inlineStr">
        <is>
          <t>27.99</t>
        </is>
      </c>
      <c r="T1561" t="inlineStr">
        <is>
          <t>4696976883801</t>
        </is>
      </c>
    </row>
    <row r="1562" hidden="1" ht="15.75" customHeight="1">
      <c r="A1562" s="2">
        <f>HYPERLINK("https://www.shelhealth.com/products/gain-flings-original-scent-liquid-laundry-detergent-pacs-132-ct", "https://www.shelhealth.com/products/gain-flings-original-scent-liquid-laundry-detergent-pacs-132-ct")</f>
        <v/>
      </c>
      <c r="B1562" s="2">
        <f>HYPERLINK("https://www.shelhealth.com/products/gain-flings-original-scent-liquid-laundry-detergent-pacs-132-ct", "https://www.shelhealth.com/products/gain-flings-original-scent-liquid-laundry-detergent-pacs-132-ct")</f>
        <v/>
      </c>
      <c r="C1562" t="inlineStr">
        <is>
          <t>Gain Flings! Original Scent Liquid Laundry Detergent Pacs, 132 ct.</t>
        </is>
      </c>
      <c r="D1562" t="inlineStr">
        <is>
          <t>Gain flings! Liquid Laundry Detergent Soap Pacs, HE Compatible, 3 Bag Value Pack, 111 Count, Long Lasting Scent, Original Scent</t>
        </is>
      </c>
      <c r="E1562" s="2">
        <f>HYPERLINK("https://www.amazon.com/Gain-Laundry-Detergent-Compatible-Original/dp/B09KXVD87Q/ref=sr_1_5?keywords=Gain+Flings%21+Original+Scent+Liquid+Laundry+Detergent+Pacs%2C+132+ct.&amp;qid=1695170557&amp;sr=8-5", "https://www.amazon.com/Gain-Laundry-Detergent-Compatible-Original/dp/B09KXVD87Q/ref=sr_1_5?keywords=Gain+Flings%21+Original+Scent+Liquid+Laundry+Detergent+Pacs%2C+132+ct.&amp;qid=1695170557&amp;sr=8-5")</f>
        <v/>
      </c>
      <c r="F1562" t="inlineStr">
        <is>
          <t>B09KXVD87Q</t>
        </is>
      </c>
      <c r="G1562">
        <f>_xludf.IMAGE("https://www.shelhealth.com/cdn/shop/products/gain-flings-original-scent-liquid-laundry-detergent-pacs-132-ct-shelhealth-826.jpg?v=1663356839&amp;width=1946")</f>
        <v/>
      </c>
      <c r="H1562">
        <f>_xludf.IMAGE("https://m.media-amazon.com/images/I/81b7pC3QHzL._AC_UL320_.jpg")</f>
        <v/>
      </c>
      <c r="K1562" t="inlineStr">
        <is>
          <t>41.99</t>
        </is>
      </c>
      <c r="L1562" t="n">
        <v>27.72</v>
      </c>
      <c r="M1562" s="1" t="inlineStr">
        <is>
          <t>-33.98%</t>
        </is>
      </c>
      <c r="N1562" s="3" t="n">
        <v>-33.98</v>
      </c>
      <c r="O1562" t="n">
        <v>4.9</v>
      </c>
      <c r="P1562" t="n">
        <v>760</v>
      </c>
      <c r="R1562" t="inlineStr">
        <is>
          <t>InStock</t>
        </is>
      </c>
      <c r="S1562" t="inlineStr">
        <is>
          <t>41.99</t>
        </is>
      </c>
      <c r="T1562" t="inlineStr">
        <is>
          <t>4179090735156</t>
        </is>
      </c>
    </row>
    <row r="1563" hidden="1" ht="15.75" customHeight="1">
      <c r="A1563" s="2">
        <f>HYPERLINK("https://www.shelhealth.com/products/swiffer-wetjet-hardwood-floor-spray-mop-starter-kit", "https://www.shelhealth.com/products/swiffer-wetjet-hardwood-floor-spray-mop-starter-kit")</f>
        <v/>
      </c>
      <c r="B1563" s="2">
        <f>HYPERLINK("https://www.shelhealth.com/products/swiffer-wetjet-hardwood-floor-spray-mop-starter-kit", "https://www.shelhealth.com/products/swiffer-wetjet-hardwood-floor-spray-mop-starter-kit")</f>
        <v/>
      </c>
      <c r="C1563" t="inlineStr">
        <is>
          <t>Swiffer WetJet Hardwood Floor Spray Mop Starter Kit</t>
        </is>
      </c>
      <c r="D1563" t="inlineStr">
        <is>
          <t>Swiffer Wetjet Wood Floor Spray Mop Starter Kit, 1 Power Mop, 5 Mopping Pads, 1 Floor Cleaner Liquid Solution, 7 Piece Set</t>
        </is>
      </c>
      <c r="E1563" s="2">
        <f>HYPERLINK("https://www.amazon.com/Swiffer-WetJet-Wood-Starter-Purple/dp/B07FYP757T/ref=sr_1_7?keywords=Swiffer+WetJet+Hardwood+Floor+Spray+Mop+Starter+Kit&amp;qid=1695170436&amp;sr=8-7", "https://www.amazon.com/Swiffer-WetJet-Wood-Starter-Purple/dp/B07FYP757T/ref=sr_1_7?keywords=Swiffer+WetJet+Hardwood+Floor+Spray+Mop+Starter+Kit&amp;qid=1695170436&amp;sr=8-7")</f>
        <v/>
      </c>
      <c r="F1563" t="inlineStr">
        <is>
          <t>B07FYP757T</t>
        </is>
      </c>
      <c r="G1563">
        <f>_xludf.IMAGE("https://www.shelhealth.com/cdn/shop/files/swiffer-wetjet-hardwood-floor-spray-mop-starter-kit-grocery-household-petcleaning-goods-shelhealth-863.jpg?v=1686284011&amp;width=1946")</f>
        <v/>
      </c>
      <c r="H1563">
        <f>_xludf.IMAGE("https://m.media-amazon.com/images/I/810dN3J5MML._AC_UL320_.jpg")</f>
        <v/>
      </c>
      <c r="K1563" t="inlineStr">
        <is>
          <t>46.99</t>
        </is>
      </c>
      <c r="L1563" t="n">
        <v>30.97</v>
      </c>
      <c r="M1563" s="1" t="inlineStr">
        <is>
          <t>-34.09%</t>
        </is>
      </c>
      <c r="N1563" s="3" t="n">
        <v>-34.09</v>
      </c>
      <c r="O1563" t="n">
        <v>4.5</v>
      </c>
      <c r="P1563" t="n">
        <v>571</v>
      </c>
      <c r="R1563" t="inlineStr">
        <is>
          <t>InStock</t>
        </is>
      </c>
      <c r="S1563" t="inlineStr">
        <is>
          <t>46.99</t>
        </is>
      </c>
      <c r="T1563" t="inlineStr">
        <is>
          <t>4169877585972</t>
        </is>
      </c>
    </row>
    <row r="1564" hidden="1" ht="15.75" customHeight="1">
      <c r="A1564" s="2">
        <f>HYPERLINK("https://www.shelhealth.com/products/duracell-coppertop-d-batteries-12-ct", "https://www.shelhealth.com/products/duracell-coppertop-d-batteries-12-ct")</f>
        <v/>
      </c>
      <c r="B1564" s="2">
        <f>HYPERLINK("https://www.shelhealth.com/products/duracell-coppertop-d-batteries-12-ct", "https://www.shelhealth.com/products/duracell-coppertop-d-batteries-12-ct")</f>
        <v/>
      </c>
      <c r="C1564" t="inlineStr">
        <is>
          <t>Duracell Coppertop D Batteries, 12 ct.</t>
        </is>
      </c>
      <c r="D1564" t="inlineStr">
        <is>
          <t>Duracell Mn1300 Coppertop Alkaline Batteries, D, 12/Bx</t>
        </is>
      </c>
      <c r="E1564" s="2">
        <f>HYPERLINK("https://www.amazon.com/Duracell-Alkaline-Manganese-General-Purpose/dp/B00PV1HRQI/ref=sr_1_1?keywords=Duracell+Coppertop+D+Batteries%2C+12+ct.&amp;qid=1695170561&amp;sr=8-1", "https://www.amazon.com/Duracell-Alkaline-Manganese-General-Purpose/dp/B00PV1HRQI/ref=sr_1_1?keywords=Duracell+Coppertop+D+Batteries%2C+12+ct.&amp;qid=1695170561&amp;sr=8-1")</f>
        <v/>
      </c>
      <c r="F1564" t="inlineStr">
        <is>
          <t>B00PV1HRQI</t>
        </is>
      </c>
      <c r="G1564">
        <f>_xludf.IMAGE("https://www.shelhealth.com/cdn/shop/files/duracell-coppertop-d-batteries-12-ct-emergency-preparednessbatteries-shelhealth-729.jpg?v=1686284097&amp;width=1946")</f>
        <v/>
      </c>
      <c r="H1564">
        <f>_xludf.IMAGE("https://m.media-amazon.com/images/I/71seBInjGTL._AC_UL320_.jpg")</f>
        <v/>
      </c>
      <c r="K1564" t="inlineStr">
        <is>
          <t>32.99</t>
        </is>
      </c>
      <c r="L1564" t="n">
        <v>21.68</v>
      </c>
      <c r="M1564" s="1" t="inlineStr">
        <is>
          <t>-34.28%</t>
        </is>
      </c>
      <c r="N1564" s="3" t="n">
        <v>-34.28</v>
      </c>
      <c r="O1564" t="n">
        <v>4.7</v>
      </c>
      <c r="P1564" t="n">
        <v>2309</v>
      </c>
      <c r="R1564" t="inlineStr">
        <is>
          <t>InStock</t>
        </is>
      </c>
      <c r="S1564" t="inlineStr">
        <is>
          <t>32.99</t>
        </is>
      </c>
      <c r="T1564" t="inlineStr">
        <is>
          <t>4169765355572</t>
        </is>
      </c>
    </row>
    <row r="1565" hidden="1" ht="15.75" customHeight="1">
      <c r="A1565" s="2">
        <f>HYPERLINK("https://www.shelhealth.com/products/dawn-platinum-refreshing-rain-dishwashing-liquid-dish-soap-2-pk-40-fl-oz", "https://www.shelhealth.com/products/dawn-platinum-refreshing-rain-dishwashing-liquid-dish-soap-2-pk-40-fl-oz")</f>
        <v/>
      </c>
      <c r="B1565" s="2">
        <f>HYPERLINK("https://www.shelhealth.com/products/dawn-platinum-refreshing-rain-dishwashing-liquid-dish-soap-2-pk-40-fl-oz", "https://www.shelhealth.com/products/dawn-platinum-refreshing-rain-dishwashing-liquid-dish-soap-2-pk-40-fl-oz")</f>
        <v/>
      </c>
      <c r="C1565" t="inlineStr">
        <is>
          <t>Dawn Platinum Refreshing Rain Dishwashing Liquid Dish Soap, 2 pk./40 fl. oz.</t>
        </is>
      </c>
      <c r="D1565" t="inlineStr">
        <is>
          <t>Dawn Platinum Dishwashing Liquid, Refreshing Rain, 16.2 Fl Oz (Pack of 2)</t>
        </is>
      </c>
      <c r="E1565" s="2">
        <f>HYPERLINK("https://www.amazon.com/Dawn-Platinum-Dishwashing-Liquid-Refreshing/dp/B0797GJXVD/ref=sr_1_4?keywords=Dawn+Platinum+Refreshing+Rain+Dishwashing+Liquid+Dish+Soap%2C+2+pk.%2F40+fl.+oz.&amp;qid=1695170388&amp;sr=8-4", "https://www.amazon.com/Dawn-Platinum-Dishwashing-Liquid-Refreshing/dp/B0797GJXVD/ref=sr_1_4?keywords=Dawn+Platinum+Refreshing+Rain+Dishwashing+Liquid+Dish+Soap%2C+2+pk.%2F40+fl.+oz.&amp;qid=1695170388&amp;sr=8-4")</f>
        <v/>
      </c>
      <c r="F1565" t="inlineStr">
        <is>
          <t>B0797GJXVD</t>
        </is>
      </c>
      <c r="G1565">
        <f>_xludf.IMAGE("https://www.shelhealth.com/cdn/shop/products/dawn-platinum-refreshing-rain-dishwashing-liquid-dish-soap-2-pk-40-fl-oz-berkley-jensen-shelhealth-396.jpg?v=1663355134&amp;width=1946")</f>
        <v/>
      </c>
      <c r="H1565">
        <f>_xludf.IMAGE("https://m.media-amazon.com/images/I/91PcqvO+DPL._AC_UL320_.jpg")</f>
        <v/>
      </c>
      <c r="K1565" t="inlineStr">
        <is>
          <t>23.99</t>
        </is>
      </c>
      <c r="L1565" t="n">
        <v>15.7</v>
      </c>
      <c r="M1565" s="1" t="inlineStr">
        <is>
          <t>-34.56%</t>
        </is>
      </c>
      <c r="N1565" s="3" t="n">
        <v>-34.56</v>
      </c>
      <c r="O1565" t="n">
        <v>4.8</v>
      </c>
      <c r="P1565" t="n">
        <v>53959</v>
      </c>
      <c r="R1565" t="inlineStr">
        <is>
          <t>InStock</t>
        </is>
      </c>
      <c r="S1565" t="inlineStr">
        <is>
          <t>23.99</t>
        </is>
      </c>
      <c r="T1565" t="inlineStr">
        <is>
          <t>4169680584756</t>
        </is>
      </c>
    </row>
    <row r="1566" hidden="1" ht="15.75" customHeight="1">
      <c r="A1566" s="2">
        <f>HYPERLINK("https://www.shelhealth.com/products/tide-pods-plus-febreze-odor-defense-laundry-detergent-pacs-active-fresh-scent-80-ct", "https://www.shelhealth.com/products/tide-pods-plus-febreze-odor-defense-laundry-detergent-pacs-active-fresh-scent-80-ct")</f>
        <v/>
      </c>
      <c r="B1566" s="2">
        <f>HYPERLINK("https://www.shelhealth.com/products/tide-pods-plus-febreze-odor-defense-laundry-detergent-pacs-active-fresh-scent-80-ct", "https://www.shelhealth.com/products/tide-pods-plus-febreze-odor-defense-laundry-detergent-pacs-active-fresh-scent-80-ct")</f>
        <v/>
      </c>
      <c r="C1566" t="inlineStr">
        <is>
          <t>Tide PODS Plus Febreze Odor Defense Laundry Detergent Pacs, Active Fresh Scent, 80 ct.</t>
        </is>
      </c>
      <c r="D1566" t="inlineStr">
        <is>
          <t>Tide pods Plus febreze Odor Defense Laundry Detergent pacs, Active Fresh Scent, 43 Loads, 1 Count</t>
        </is>
      </c>
      <c r="E1566" s="2">
        <f>HYPERLINK("https://www.amazon.com/Tide-febreze-defense-laundry-detergent/dp/B01DD9T9GA/ref=sr_1_1?keywords=Tide+PODS+Plus+Febreze+Odor+Defense+Laundry+Detergent+Pacs%2C+Active+Fresh+Scent%2C+80+ct.&amp;qid=1695170573&amp;sr=8-1", "https://www.amazon.com/Tide-febreze-defense-laundry-detergent/dp/B01DD9T9GA/ref=sr_1_1?keywords=Tide+PODS+Plus+Febreze+Odor+Defense+Laundry+Detergent+Pacs%2C+Active+Fresh+Scent%2C+80+ct.&amp;qid=1695170573&amp;sr=8-1")</f>
        <v/>
      </c>
      <c r="F1566" t="inlineStr">
        <is>
          <t>B01DD9T9GA</t>
        </is>
      </c>
      <c r="G1566">
        <f>_xludf.IMAGE("https://www.shelhealth.com/cdn/shop/products/tide-pods-plus-febreze-odor-defense-laundry-detergent-pacs-active-fresh-scent-80-ct-shelhealth-182.jpg?v=1663356691&amp;width=1946")</f>
        <v/>
      </c>
      <c r="H1566">
        <f>_xludf.IMAGE("https://m.media-amazon.com/images/I/81lKTtwTCnL._AC_UL320_.jpg")</f>
        <v/>
      </c>
      <c r="K1566" t="inlineStr">
        <is>
          <t>38.99</t>
        </is>
      </c>
      <c r="L1566" t="n">
        <v>25.37</v>
      </c>
      <c r="M1566" s="1" t="inlineStr">
        <is>
          <t>-34.93%</t>
        </is>
      </c>
      <c r="N1566" s="3" t="n">
        <v>-34.93</v>
      </c>
      <c r="O1566" t="n">
        <v>4.8</v>
      </c>
      <c r="P1566" t="n">
        <v>41</v>
      </c>
      <c r="R1566" t="inlineStr">
        <is>
          <t>InStock</t>
        </is>
      </c>
      <c r="S1566" t="inlineStr">
        <is>
          <t>38.99</t>
        </is>
      </c>
      <c r="T1566" t="inlineStr">
        <is>
          <t>4179051905076</t>
        </is>
      </c>
    </row>
    <row r="1567" hidden="1" ht="15.75" customHeight="1">
      <c r="A1567" s="2">
        <f>HYPERLINK("https://www.shelhealth.com/products/mr-clean-multi-purpose-cleaner-with-febreze-meadows-rain-scent-1-36-gal", "https://www.shelhealth.com/products/mr-clean-multi-purpose-cleaner-with-febreze-meadows-rain-scent-1-36-gal")</f>
        <v/>
      </c>
      <c r="B1567" s="2">
        <f>HYPERLINK("https://www.shelhealth.com/products/mr-clean-multi-purpose-cleaner-with-febreze-meadows-rain-scent-1-36-gal", "https://www.shelhealth.com/products/mr-clean-multi-purpose-cleaner-with-febreze-meadows-rain-scent-1-36-gal")</f>
        <v/>
      </c>
      <c r="C1567" t="inlineStr">
        <is>
          <t>Mr. Clean Multi-Purpose Cleaner with Febreze Meadows &amp; Rain Scent, 1.36 gal.</t>
        </is>
      </c>
      <c r="D1567" t="inlineStr">
        <is>
          <t>Mr Clean 75873 40 Fl Oz Multi-Purpose Cleaner With Febreze® Meadows &amp;amp; Rain™</t>
        </is>
      </c>
      <c r="E1567" s="2">
        <f>HYPERLINK("https://www.amazon.com/Clean-Multi-Purpose-Cleaner-Febreze-Meadows/dp/B076B5L9KP/ref=sr_1_1?keywords=Mr.+Clean+Multi-Purpose+Cleaner+with+Febreze+Meadows&amp;qid=1695170413&amp;sr=8-1", "https://www.amazon.com/Clean-Multi-Purpose-Cleaner-Febreze-Meadows/dp/B076B5L9KP/ref=sr_1_1?keywords=Mr.+Clean+Multi-Purpose+Cleaner+with+Febreze+Meadows&amp;qid=1695170413&amp;sr=8-1")</f>
        <v/>
      </c>
      <c r="F1567" t="inlineStr">
        <is>
          <t>B076B5L9KP</t>
        </is>
      </c>
      <c r="G1567">
        <f>_xludf.IMAGE("https://www.shelhealth.com/cdn/shop/products/mr-clean-multi-purpose-cleaner-with-febreze-meadows-rain-scent-1-36-gal-shelhealth-427.jpg?v=1663355365&amp;width=1946")</f>
        <v/>
      </c>
      <c r="H1567">
        <f>_xludf.IMAGE("https://m.media-amazon.com/images/I/41CjVLkAIwL._AC_UL320_.jpg")</f>
        <v/>
      </c>
      <c r="K1567" t="inlineStr">
        <is>
          <t>36.99</t>
        </is>
      </c>
      <c r="L1567" t="n">
        <v>23.98</v>
      </c>
      <c r="M1567" s="1" t="inlineStr">
        <is>
          <t>-35.17%</t>
        </is>
      </c>
      <c r="N1567" s="3" t="n">
        <v>-35.17</v>
      </c>
      <c r="O1567" t="n">
        <v>4.5</v>
      </c>
      <c r="P1567" t="n">
        <v>67</v>
      </c>
      <c r="R1567" t="inlineStr">
        <is>
          <t>InStock</t>
        </is>
      </c>
      <c r="S1567" t="inlineStr">
        <is>
          <t>36.99</t>
        </is>
      </c>
      <c r="T1567" t="inlineStr">
        <is>
          <t>4169858482228</t>
        </is>
      </c>
    </row>
    <row r="1568" hidden="1" ht="15.75" customHeight="1">
      <c r="A1568" s="2">
        <f>HYPERLINK("https://www.shelhealth.com/products/glade-plugins-hawaiian-breeze-scented-oil-warmer-refills-8-pk", "https://www.shelhealth.com/products/glade-plugins-hawaiian-breeze-scented-oil-warmer-refills-8-pk")</f>
        <v/>
      </c>
      <c r="B1568" s="2">
        <f>HYPERLINK("https://www.shelhealth.com/products/glade-plugins-hawaiian-breeze-scented-oil-warmer-refills-8-pk", "https://www.shelhealth.com/products/glade-plugins-hawaiian-breeze-scented-oil-warmer-refills-8-pk")</f>
        <v/>
      </c>
      <c r="C1568" t="inlineStr">
        <is>
          <t>Glade PlugIns Hawaiian Breeze Scented Oil Warmer Refills, 8 pk.</t>
        </is>
      </c>
      <c r="D1568" t="inlineStr">
        <is>
          <t>Glade PlugIns Refills Air Freshener Starter Kit, Scented and Essential Oils for Home and Bathroom, Hawaiian Breeze 3.35 Fl Oz, 1 Warmer + 5 Refills</t>
        </is>
      </c>
      <c r="E1568" s="2">
        <f>HYPERLINK("https://www.amazon.com/Glade-Hawaiian-Essential-Continuous-Fragrance/dp/B07QRYP8SJ/ref=sr_1_3?keywords=Glade+PlugIns+Hawaiian+Breeze+Scented+Oil+Warmer+Refills%2C+8+pk.&amp;qid=1695170562&amp;sr=8-3", "https://www.amazon.com/Glade-Hawaiian-Essential-Continuous-Fragrance/dp/B07QRYP8SJ/ref=sr_1_3?keywords=Glade+PlugIns+Hawaiian+Breeze+Scented+Oil+Warmer+Refills%2C+8+pk.&amp;qid=1695170562&amp;sr=8-3")</f>
        <v/>
      </c>
      <c r="F1568" t="inlineStr">
        <is>
          <t>B07QRYP8SJ</t>
        </is>
      </c>
      <c r="G1568">
        <f>_xludf.IMAGE("https://www.shelhealth.com/cdn/shop/files/glade-plugins-hawaiian-breeze-scented-oil-warmer-refills-8-pk-grocery-household-petcleaning-goods-shelhealth-152.jpg?v=1686283077&amp;width=1946")</f>
        <v/>
      </c>
      <c r="H1568">
        <f>_xludf.IMAGE("https://m.media-amazon.com/images/I/61h7ly2FZBL._AC_UL320_.jpg")</f>
        <v/>
      </c>
      <c r="K1568" t="inlineStr">
        <is>
          <t>28.99</t>
        </is>
      </c>
      <c r="L1568" t="n">
        <v>18.76</v>
      </c>
      <c r="M1568" s="1" t="inlineStr">
        <is>
          <t>-35.29%</t>
        </is>
      </c>
      <c r="N1568" s="3" t="n">
        <v>-35.29</v>
      </c>
      <c r="O1568" t="n">
        <v>4.6</v>
      </c>
      <c r="P1568" t="n">
        <v>74707</v>
      </c>
      <c r="R1568" t="inlineStr">
        <is>
          <t>OutOfStock</t>
        </is>
      </c>
      <c r="S1568" t="inlineStr">
        <is>
          <t>28.99</t>
        </is>
      </c>
      <c r="T1568" t="inlineStr">
        <is>
          <t>4169649750068</t>
        </is>
      </c>
    </row>
    <row r="1569" hidden="1" ht="15.75" customHeight="1">
      <c r="A1569" s="2">
        <f>HYPERLINK("https://www.shelhealth.com/products/cascade-complete-action-pacs-90-count", "https://www.shelhealth.com/products/cascade-complete-action-pacs-90-count")</f>
        <v/>
      </c>
      <c r="B1569" s="2">
        <f>HYPERLINK("https://www.shelhealth.com/products/cascade-complete-action-pacs-90-count", "https://www.shelhealth.com/products/cascade-complete-action-pacs-90-count")</f>
        <v/>
      </c>
      <c r="C1569" t="inlineStr">
        <is>
          <t>Cascade Complete Action Pacs, 90 count</t>
        </is>
      </c>
      <c r="D1569" t="inlineStr">
        <is>
          <t>Cascade Complete Dishwasher Pods, Dishwasher tabs, Dish Washing Pods for Dishwasher, Dishwasher tablets, Fresh Scent ActionPacs, 78 Count</t>
        </is>
      </c>
      <c r="E1569" s="2">
        <f>HYPERLINK("https://www.amazon.com/Cascade-Complete-ActionPacs-Dishwasher-Detergent/dp/B01NCJSM2T/ref=sr_1_7?keywords=cascade+complete+actionpacs%2C+90+count&amp;qid=1695170391&amp;sr=8-7", "https://www.amazon.com/Cascade-Complete-ActionPacs-Dishwasher-Detergent/dp/B01NCJSM2T/ref=sr_1_7?keywords=cascade+complete+actionpacs%2C+90+count&amp;qid=1695170391&amp;sr=8-7")</f>
        <v/>
      </c>
      <c r="F1569" t="inlineStr">
        <is>
          <t>B01NCJSM2T</t>
        </is>
      </c>
      <c r="G1569">
        <f>_xludf.IMAGE("https://www.shelhealth.com/cdn/shop/products/cascade-complete-action-pacs-90-count-shelhealth-139.jpg?v=1663343181&amp;width=1946")</f>
        <v/>
      </c>
      <c r="H1569">
        <f>_xludf.IMAGE("https://m.media-amazon.com/images/I/71R014ZvXwL._AC_UL320_.jpg")</f>
        <v/>
      </c>
      <c r="K1569" t="inlineStr">
        <is>
          <t>27.99</t>
        </is>
      </c>
      <c r="L1569" t="n">
        <v>18.1</v>
      </c>
      <c r="M1569" s="1" t="inlineStr">
        <is>
          <t>-35.33%</t>
        </is>
      </c>
      <c r="N1569" s="3" t="n">
        <v>-35.33</v>
      </c>
      <c r="O1569" t="n">
        <v>4.8</v>
      </c>
      <c r="P1569" t="n">
        <v>89777</v>
      </c>
      <c r="R1569" t="inlineStr">
        <is>
          <t>InStock</t>
        </is>
      </c>
      <c r="S1569" t="inlineStr">
        <is>
          <t>27.99</t>
        </is>
      </c>
      <c r="T1569" t="inlineStr">
        <is>
          <t>3819517050932</t>
        </is>
      </c>
    </row>
    <row r="1570" hidden="1" ht="15.75" customHeight="1">
      <c r="A1570" s="2">
        <f>HYPERLINK("https://www.shelhealth.com/products/cascade-complete-powder-dishwasher-detergent-155-oz", "https://www.shelhealth.com/products/cascade-complete-powder-dishwasher-detergent-155-oz")</f>
        <v/>
      </c>
      <c r="B1570" s="2">
        <f>HYPERLINK("https://www.shelhealth.com/products/cascade-complete-powder-dishwasher-detergent-155-oz", "https://www.shelhealth.com/products/cascade-complete-powder-dishwasher-detergent-155-oz")</f>
        <v/>
      </c>
      <c r="C1570" t="inlineStr">
        <is>
          <t>Cascade Complete Powder Dishwasher Detergent, 155 oz.</t>
        </is>
      </c>
      <c r="D1570" t="inlineStr">
        <is>
          <t>Cascade Complete, Powder Dishwasher Detergent, Fresh Scent 45 Oz (Pack of 2)</t>
        </is>
      </c>
      <c r="E1570" s="2">
        <f>HYPERLINK("https://www.amazon.com/Cascade-Complete-Powder-Dishwasher-Detergent/dp/B000GCPZU2/ref=sr_1_2?keywords=Cascade+Complete+Powder+Dishwasher+Detergent%2C+155+oz.&amp;qid=1695170386&amp;sr=8-2", "https://www.amazon.com/Cascade-Complete-Powder-Dishwasher-Detergent/dp/B000GCPZU2/ref=sr_1_2?keywords=Cascade+Complete+Powder+Dishwasher+Detergent%2C+155+oz.&amp;qid=1695170386&amp;sr=8-2")</f>
        <v/>
      </c>
      <c r="F1570" t="inlineStr">
        <is>
          <t>B000GCPZU2</t>
        </is>
      </c>
      <c r="G1570">
        <f>_xludf.IMAGE("https://www.shelhealth.com/cdn/shop/products/cascade-complete-powder-dishwasher-detergent-155-oz-shelhealth-864.jpg?v=1663355097&amp;width=1946")</f>
        <v/>
      </c>
      <c r="H1570">
        <f>_xludf.IMAGE("https://m.media-amazon.com/images/I/91H-rArdD3L._AC_UL320_.jpg")</f>
        <v/>
      </c>
      <c r="K1570" t="inlineStr">
        <is>
          <t>30.99</t>
        </is>
      </c>
      <c r="L1570" t="n">
        <v>19.95</v>
      </c>
      <c r="M1570" s="1" t="inlineStr">
        <is>
          <t>-35.62%</t>
        </is>
      </c>
      <c r="N1570" s="3" t="n">
        <v>-35.62</v>
      </c>
      <c r="O1570" t="n">
        <v>4.7</v>
      </c>
      <c r="P1570" t="n">
        <v>3990</v>
      </c>
      <c r="R1570" t="inlineStr">
        <is>
          <t>InStock</t>
        </is>
      </c>
      <c r="S1570" t="inlineStr">
        <is>
          <t>30.99</t>
        </is>
      </c>
      <c r="T1570" t="inlineStr">
        <is>
          <t>4169653026868</t>
        </is>
      </c>
    </row>
    <row r="1571" hidden="1" ht="15.75" customHeight="1">
      <c r="A1571" s="2">
        <f>HYPERLINK("https://www.shelhealth.com/products/3m-post-it-notes-3-in-x-3-in-1000-notes", "https://www.shelhealth.com/products/3m-post-it-notes-3-in-x-3-in-1000-notes")</f>
        <v/>
      </c>
      <c r="B1571" s="2">
        <f>HYPERLINK("https://www.shelhealth.com/products/3m-post-it-notes-3-in-x-3-in-1000-notes", "https://www.shelhealth.com/products/3m-post-it-notes-3-in-x-3-in-1000-notes")</f>
        <v/>
      </c>
      <c r="C1571" t="inlineStr">
        <is>
          <t>3M Post-It Notes 3 in. x 3 in. (1000 Notes)</t>
        </is>
      </c>
      <c r="D1571" t="inlineStr">
        <is>
          <t>Post-it Super Sticky Notes, 3 in x 3 in, 24 Pads, 2x the Sticking Power, Rio de Janerio Collection, Bright Colors (Orange, Pink, Blue, Green),Recyclable (654-24SSAU)</t>
        </is>
      </c>
      <c r="E1571" s="2">
        <f>HYPERLINK("https://www.amazon.com/Post-Sticking-24-Pads-Cabinet-654-24SSAU/dp/B01824MUH6/ref=sr_1_6?keywords=3M+Post-It+Notes+3+in.+x+3+in.+%281000+Notes%29&amp;qid=1695170543&amp;sr=8-6", "https://www.amazon.com/Post-Sticking-24-Pads-Cabinet-654-24SSAU/dp/B01824MUH6/ref=sr_1_6?keywords=3M+Post-It+Notes+3+in.+x+3+in.+%281000+Notes%29&amp;qid=1695170543&amp;sr=8-6")</f>
        <v/>
      </c>
      <c r="F1571" t="inlineStr">
        <is>
          <t>B01824MUH6</t>
        </is>
      </c>
      <c r="G1571">
        <f>_xludf.IMAGE("https://www.shelhealth.com/cdn/shop/products/3m-post-it-notes-3-in-x-1000-shelhealth-901.jpg?v=1663372777&amp;width=1946")</f>
        <v/>
      </c>
      <c r="H1571">
        <f>_xludf.IMAGE("https://m.media-amazon.com/images/I/71EGjWPYRvL._AC_UL320_.jpg")</f>
        <v/>
      </c>
      <c r="K1571" t="inlineStr">
        <is>
          <t>27.99</t>
        </is>
      </c>
      <c r="L1571" t="n">
        <v>17.98</v>
      </c>
      <c r="M1571" s="1" t="inlineStr">
        <is>
          <t>-35.76%</t>
        </is>
      </c>
      <c r="N1571" s="3" t="n">
        <v>-35.76</v>
      </c>
      <c r="O1571" t="n">
        <v>4.1</v>
      </c>
      <c r="P1571" t="n">
        <v>11</v>
      </c>
      <c r="R1571" t="inlineStr">
        <is>
          <t>InStock</t>
        </is>
      </c>
      <c r="S1571" t="inlineStr">
        <is>
          <t>27.99</t>
        </is>
      </c>
      <c r="T1571" t="inlineStr">
        <is>
          <t>4696977703001</t>
        </is>
      </c>
    </row>
    <row r="1572" hidden="1" ht="15.75" customHeight="1">
      <c r="A1572" s="2">
        <f>HYPERLINK("https://www.shelhealth.com/products/berkley-jensen-42-gal-3mil-heavy-duty-contractor-and-industrial-use-bags-32-ct", "https://www.shelhealth.com/products/berkley-jensen-42-gal-3mil-heavy-duty-contractor-and-industrial-use-bags-32-ct")</f>
        <v/>
      </c>
      <c r="B1572" s="2">
        <f>HYPERLINK("https://www.shelhealth.com/products/berkley-jensen-42-gal-3mil-heavy-duty-contractor-and-industrial-use-bags-32-ct", "https://www.shelhealth.com/products/berkley-jensen-42-gal-3mil-heavy-duty-contractor-and-industrial-use-bags-32-ct")</f>
        <v/>
      </c>
      <c r="C1572" t="inlineStr">
        <is>
          <t>Berkley Jensen 42-Gal. 3mil Heavy Duty Contractor and Industrial Use Bags, 32 ct.</t>
        </is>
      </c>
      <c r="D1572" t="inlineStr">
        <is>
          <t>Berkley Jensen 3mil Heavy Duty Contractor &amp; Industrial Use Bags, 42-gal. Capacity, 32 ct.</t>
        </is>
      </c>
      <c r="E1572" s="2">
        <f>HYPERLINK("https://www.amazon.com/Berkley-Jensen-Contractor-Industrial-Capacity/dp/B06XBF2BYY/ref=sr_1_1?keywords=Berkley+Jensen+42-Gal.+3mil+Heavy+Duty+Contractor+and+Industrial+Use+Bags%2C+32+ct.&amp;qid=1695170565&amp;sr=8-1", "https://www.amazon.com/Berkley-Jensen-Contractor-Industrial-Capacity/dp/B06XBF2BYY/ref=sr_1_1?keywords=Berkley+Jensen+42-Gal.+3mil+Heavy+Duty+Contractor+and+Industrial+Use+Bags%2C+32+ct.&amp;qid=1695170565&amp;sr=8-1")</f>
        <v/>
      </c>
      <c r="F1572" t="inlineStr">
        <is>
          <t>B06XBF2BYY</t>
        </is>
      </c>
      <c r="G1572">
        <f>_xludf.IMAGE("https://www.shelhealth.com/cdn/shop/products/berkley-jensen-42-gal-3mil-heavy-duty-contractor-and-industrial-use-bags-32-ct-shelhealth-684.jpg?v=1663354867&amp;width=1946")</f>
        <v/>
      </c>
      <c r="H1572">
        <f>_xludf.IMAGE("https://m.media-amazon.com/images/I/81MazPGvfRL._AC_UL320_.jpg")</f>
        <v/>
      </c>
      <c r="K1572" t="inlineStr">
        <is>
          <t>38.99</t>
        </is>
      </c>
      <c r="L1572" t="n">
        <v>25</v>
      </c>
      <c r="M1572" s="1" t="inlineStr">
        <is>
          <t>-35.88%</t>
        </is>
      </c>
      <c r="N1572" s="3" t="n">
        <v>-35.88</v>
      </c>
      <c r="O1572" t="n">
        <v>4.2</v>
      </c>
      <c r="P1572" t="n">
        <v>15</v>
      </c>
      <c r="R1572" t="inlineStr">
        <is>
          <t>InStock</t>
        </is>
      </c>
      <c r="S1572" t="inlineStr">
        <is>
          <t>38.99</t>
        </is>
      </c>
      <c r="T1572" t="inlineStr">
        <is>
          <t>4169495380020</t>
        </is>
      </c>
    </row>
    <row r="1573" hidden="1" ht="15.75" customHeight="1">
      <c r="A1573" s="2">
        <f>HYPERLINK("https://www.shelhealth.com/products/berkley-jensen-42-gal-3mil-heavy-duty-contractor-and-industrial-use-bags-32-ct", "https://www.shelhealth.com/products/berkley-jensen-42-gal-3mil-heavy-duty-contractor-and-industrial-use-bags-32-ct")</f>
        <v/>
      </c>
      <c r="B1573" s="2">
        <f>HYPERLINK("https://www.shelhealth.com/products/berkley-jensen-42-gal-3mil-heavy-duty-contractor-and-industrial-use-bags-32-ct", "https://www.shelhealth.com/products/berkley-jensen-42-gal-3mil-heavy-duty-contractor-and-industrial-use-bags-32-ct")</f>
        <v/>
      </c>
      <c r="C1573" t="inlineStr">
        <is>
          <t>Berkley Jensen 42-Gal. 3mil Heavy Duty Contractor and Industrial Use Bags, 32 ct.</t>
        </is>
      </c>
      <c r="D1573" t="inlineStr">
        <is>
          <t>Ultrasac Extra Heavy Duty Contractor Bags - 42 gallons 4 Mil (32 Pack w/Ties) - 33" x 48" Extremely Thick and Tough Professional Trash Bag for Construction, Commerical, Industrial, Yard, Outdoor use</t>
        </is>
      </c>
      <c r="E1573" s="2">
        <f>HYPERLINK("https://www.amazon.com/Aluf-Plastics-Ultrasac-Professional-Contractor/dp/B00DH4IP4O/ref=sr_1_4?keywords=Berkley+Jensen+42-Gal.+3mil+Heavy+Duty+Contractor+and+Industrial+Use+Bags%2C+32+ct.&amp;qid=1695170565&amp;sr=8-4", "https://www.amazon.com/Aluf-Plastics-Ultrasac-Professional-Contractor/dp/B00DH4IP4O/ref=sr_1_4?keywords=Berkley+Jensen+42-Gal.+3mil+Heavy+Duty+Contractor+and+Industrial+Use+Bags%2C+32+ct.&amp;qid=1695170565&amp;sr=8-4")</f>
        <v/>
      </c>
      <c r="F1573" t="inlineStr">
        <is>
          <t>B00DH4IP4O</t>
        </is>
      </c>
      <c r="G1573">
        <f>_xludf.IMAGE("https://www.shelhealth.com/cdn/shop/products/berkley-jensen-42-gal-3mil-heavy-duty-contractor-and-industrial-use-bags-32-ct-shelhealth-684.jpg?v=1663354867&amp;width=1946")</f>
        <v/>
      </c>
      <c r="H1573">
        <f>_xludf.IMAGE("https://m.media-amazon.com/images/I/616NIy5Td7S._AC_UL320_.jpg")</f>
        <v/>
      </c>
      <c r="K1573" t="inlineStr">
        <is>
          <t>38.99</t>
        </is>
      </c>
      <c r="L1573" t="n">
        <v>24.97</v>
      </c>
      <c r="M1573" s="1" t="inlineStr">
        <is>
          <t>-35.96%</t>
        </is>
      </c>
      <c r="N1573" s="3" t="n">
        <v>-35.96</v>
      </c>
      <c r="O1573" t="n">
        <v>4.6</v>
      </c>
      <c r="P1573" t="n">
        <v>1443</v>
      </c>
      <c r="R1573" t="inlineStr">
        <is>
          <t>InStock</t>
        </is>
      </c>
      <c r="S1573" t="inlineStr">
        <is>
          <t>38.99</t>
        </is>
      </c>
      <c r="T1573" t="inlineStr">
        <is>
          <t>4169495380020</t>
        </is>
      </c>
    </row>
    <row r="1574" hidden="1" ht="15.75" customHeight="1">
      <c r="A1574" s="2">
        <f>HYPERLINK("https://www.shelhealth.com/products/tide-original-ultra-concentrated-liquid-laundry-detergent-200-fl-oz", "https://www.shelhealth.com/products/tide-original-ultra-concentrated-liquid-laundry-detergent-200-fl-oz")</f>
        <v/>
      </c>
      <c r="B1574" s="2">
        <f>HYPERLINK("https://www.shelhealth.com/products/tide-original-ultra-concentrated-liquid-laundry-detergent-200-fl-oz", "https://www.shelhealth.com/products/tide-original-ultra-concentrated-liquid-laundry-detergent-200-fl-oz")</f>
        <v/>
      </c>
      <c r="C1574" t="inlineStr">
        <is>
          <t>Tide Original Ultra Concentrated Liquid Laundry Detergent, 200 fl. oz.</t>
        </is>
      </c>
      <c r="D1574" t="inlineStr">
        <is>
          <t>Ultra Concentrated New Tide Coldwater Clean Original Liquid Laundry Detergent 4.87 L/165 Fl. Oz - 123 Loads 2) Brand: Tide</t>
        </is>
      </c>
      <c r="E1574" s="2">
        <f>HYPERLINK("https://www.amazon.com/Concentrated-Tide-Coldwater-Original-Detergent/dp/B08KWJQKKQ/ref=sr_1_1?keywords=Tide+Original+Ultra+Concentrated+Liquid+Laundry+Detergent%2C+200+fl.+oz.&amp;qid=1695170419&amp;sr=8-1", "https://www.amazon.com/Concentrated-Tide-Coldwater-Original-Detergent/dp/B08KWJQKKQ/ref=sr_1_1?keywords=Tide+Original+Ultra+Concentrated+Liquid+Laundry+Detergent%2C+200+fl.+oz.&amp;qid=1695170419&amp;sr=8-1")</f>
        <v/>
      </c>
      <c r="F1574" t="inlineStr">
        <is>
          <t>B08KWJQKKQ</t>
        </is>
      </c>
      <c r="G1574">
        <f>_xludf.IMAGE("https://www.shelhealth.com/cdn/shop/products/tide-original-ultra-concentrated-liquid-laundry-detergent-200-fl-oz-shelhealth-109.jpg?v=1663356776&amp;width=1946")</f>
        <v/>
      </c>
      <c r="H1574">
        <f>_xludf.IMAGE("https://m.media-amazon.com/images/I/71sy6f01suL._AC_UL320_.jpg")</f>
        <v/>
      </c>
      <c r="K1574" t="inlineStr">
        <is>
          <t>54.99</t>
        </is>
      </c>
      <c r="L1574" t="n">
        <v>35</v>
      </c>
      <c r="M1574" s="1" t="inlineStr">
        <is>
          <t>-36.35%</t>
        </is>
      </c>
      <c r="N1574" s="3" t="n">
        <v>-36.35</v>
      </c>
      <c r="O1574" t="n">
        <v>4.8</v>
      </c>
      <c r="P1574" t="n">
        <v>39317</v>
      </c>
      <c r="R1574" t="inlineStr">
        <is>
          <t>InStock</t>
        </is>
      </c>
      <c r="S1574" t="inlineStr">
        <is>
          <t>54.99</t>
        </is>
      </c>
      <c r="T1574" t="inlineStr">
        <is>
          <t>4179082248244</t>
        </is>
      </c>
    </row>
    <row r="1575" hidden="1" ht="15.75" customHeight="1">
      <c r="A1575" s="2">
        <f>HYPERLINK("https://www.shelhealth.com/products/berkley-jensen-clear-vinyl-disposable-gloves-large-400-gloves", "https://www.shelhealth.com/products/berkley-jensen-clear-vinyl-disposable-gloves-large-400-gloves")</f>
        <v/>
      </c>
      <c r="B1575" s="2">
        <f>HYPERLINK("https://www.shelhealth.com/products/berkley-jensen-clear-vinyl-disposable-gloves-large-400-gloves", "https://www.shelhealth.com/products/berkley-jensen-clear-vinyl-disposable-gloves-large-400-gloves")</f>
        <v/>
      </c>
      <c r="C1575" t="inlineStr">
        <is>
          <t>Berkley Jensen Clear Vinyl Disposable Gloves, Large, 400 Gloves</t>
        </is>
      </c>
      <c r="D1575" t="inlineStr">
        <is>
          <t>KingSeal X-LARGE, Vinyl General Purpose Disposable Gloves, Powder-Free, 4 mil, Clear - 4 boxes of 100 Gloves by Weight (400 Count)</t>
        </is>
      </c>
      <c r="E1575" s="2">
        <f>HYPERLINK("https://www.amazon.com/KingSeal-Disposable-Gloves-Powder-Free-X-Large/dp/B013KPLOLK/ref=sr_1_6?keywords=Berkley+Jensen+Clear+Vinyl+Disposable+Gloves%2C+Large%2C+400+Gloves&amp;qid=1695170406&amp;sr=8-6", "https://www.amazon.com/KingSeal-Disposable-Gloves-Powder-Free-X-Large/dp/B013KPLOLK/ref=sr_1_6?keywords=Berkley+Jensen+Clear+Vinyl+Disposable+Gloves%2C+Large%2C+400+Gloves&amp;qid=1695170406&amp;sr=8-6")</f>
        <v/>
      </c>
      <c r="F1575" t="inlineStr">
        <is>
          <t>B013KPLOLK</t>
        </is>
      </c>
      <c r="G1575">
        <f>_xludf.IMAGE("https://www.shelhealth.com/cdn/shop/products/berkley-jensen-clear-vinyl-disposable-gloves-large-400-shelhealth-387.jpg?v=1663368323&amp;width=1946")</f>
        <v/>
      </c>
      <c r="H1575">
        <f>_xludf.IMAGE("https://m.media-amazon.com/images/I/81LZbImd0PS._AC_UL320_.jpg")</f>
        <v/>
      </c>
      <c r="K1575" t="inlineStr">
        <is>
          <t>36.99</t>
        </is>
      </c>
      <c r="L1575" t="n">
        <v>23.49</v>
      </c>
      <c r="M1575" s="1" t="inlineStr">
        <is>
          <t>-36.50%</t>
        </is>
      </c>
      <c r="N1575" s="3" t="n">
        <v>-36.5</v>
      </c>
      <c r="O1575" t="n">
        <v>4.5</v>
      </c>
      <c r="P1575" t="n">
        <v>293</v>
      </c>
      <c r="R1575" t="inlineStr">
        <is>
          <t>OutOfStock</t>
        </is>
      </c>
      <c r="S1575" t="inlineStr">
        <is>
          <t>36.99</t>
        </is>
      </c>
      <c r="T1575" t="inlineStr">
        <is>
          <t>4505039798361</t>
        </is>
      </c>
    </row>
    <row r="1576" hidden="1" ht="15.75" customHeight="1">
      <c r="A1576" s="2">
        <f>HYPERLINK("https://www.shelhealth.com/products/ultra-downy-april-fresh-liquid-laundry-fabric-softener-170-oz-197-loads", "https://www.shelhealth.com/products/ultra-downy-april-fresh-liquid-laundry-fabric-softener-170-oz-197-loads")</f>
        <v/>
      </c>
      <c r="B1576" s="2">
        <f>HYPERLINK("https://www.shelhealth.com/products/ultra-downy-april-fresh-liquid-laundry-fabric-softener-170-oz-197-loads", "https://www.shelhealth.com/products/ultra-downy-april-fresh-liquid-laundry-fabric-softener-170-oz-197-loads")</f>
        <v/>
      </c>
      <c r="C1576" t="inlineStr">
        <is>
          <t>Ultra Downy April Fresh Liquid Laundry Fabric Softener - 148 oz. - 204 loads</t>
        </is>
      </c>
      <c r="D1576" t="inlineStr">
        <is>
          <t>Downy Ultra April Fresh Laundry Fabric Softener Liquid, Six 34 Fl Oz Bottles, 240 Loads Total</t>
        </is>
      </c>
      <c r="E1576" s="2">
        <f>HYPERLINK("https://www.amazon.com/Downy-Ultra-Liquid-Fabric-Softener/dp/B000HJTCLC/ref=sr_1_1?keywords=Ultra+Downy+April+Fresh+Liquid+Laundry+Fabric+Softener+-+148+oz.+-+204+loads&amp;qid=1695170417&amp;sr=8-1", "https://www.amazon.com/Downy-Ultra-Liquid-Fabric-Softener/dp/B000HJTCLC/ref=sr_1_1?keywords=Ultra+Downy+April+Fresh+Liquid+Laundry+Fabric+Softener+-+148+oz.+-+204+loads&amp;qid=1695170417&amp;sr=8-1")</f>
        <v/>
      </c>
      <c r="F1576" t="inlineStr">
        <is>
          <t>B000HJTCLC</t>
        </is>
      </c>
      <c r="G1576">
        <f>_xludf.IMAGE("https://www.shelhealth.com/cdn/shop/products/ultra-downy-april-fresh-liquid-laundry-fabric-softener-148-oz-204-loads-shelhealth-196.jpg?v=1663343249&amp;width=1946")</f>
        <v/>
      </c>
      <c r="H1576">
        <f>_xludf.IMAGE("https://m.media-amazon.com/images/I/81oGxWZXEFL._AC_UL320_.jpg")</f>
        <v/>
      </c>
      <c r="K1576" t="inlineStr">
        <is>
          <t>32.99</t>
        </is>
      </c>
      <c r="L1576" t="n">
        <v>20.94</v>
      </c>
      <c r="M1576" s="1" t="inlineStr">
        <is>
          <t>-36.53%</t>
        </is>
      </c>
      <c r="N1576" s="3" t="n">
        <v>-36.53</v>
      </c>
      <c r="O1576" t="n">
        <v>4.8</v>
      </c>
      <c r="P1576" t="n">
        <v>39582</v>
      </c>
      <c r="R1576" t="inlineStr">
        <is>
          <t>InStock</t>
        </is>
      </c>
      <c r="S1576" t="inlineStr">
        <is>
          <t>32.99</t>
        </is>
      </c>
      <c r="T1576" t="inlineStr">
        <is>
          <t>3819976720436</t>
        </is>
      </c>
    </row>
    <row r="1577" hidden="1" ht="15.75" customHeight="1">
      <c r="A1577" s="2">
        <f>HYPERLINK("https://www.shelhealth.com/products/dawn-platinum-refreshing-rain-dishwashing-liquid-dish-soap-2-pk-40-fl-oz", "https://www.shelhealth.com/products/dawn-platinum-refreshing-rain-dishwashing-liquid-dish-soap-2-pk-40-fl-oz")</f>
        <v/>
      </c>
      <c r="B1577" s="2">
        <f>HYPERLINK("https://www.shelhealth.com/products/dawn-platinum-refreshing-rain-dishwashing-liquid-dish-soap-2-pk-40-fl-oz", "https://www.shelhealth.com/products/dawn-platinum-refreshing-rain-dishwashing-liquid-dish-soap-2-pk-40-fl-oz")</f>
        <v/>
      </c>
      <c r="C1577" t="inlineStr">
        <is>
          <t>Dawn Platinum Refreshing Rain Dishwashing Liquid Dish Soap, 2 pk./40 fl. oz.</t>
        </is>
      </c>
      <c r="D1577" t="inlineStr">
        <is>
          <t>Dawn Platinum Dishwashing Liquid Dish Soap, Refreshing Rain, 16.2 Fl Oz (Pack of 2)</t>
        </is>
      </c>
      <c r="E1577" s="2">
        <f>HYPERLINK("https://www.amazon.com/Dawn-Platinum-Dishwashing-Refreshing-Packaging/dp/B079JHJS99/ref=sr_1_3?keywords=Dawn+Platinum+Refreshing+Rain+Dishwashing+Liquid+Dish+Soap%2C+2+pk.%2F40+fl.+oz.&amp;qid=1695170388&amp;sr=8-3", "https://www.amazon.com/Dawn-Platinum-Dishwashing-Refreshing-Packaging/dp/B079JHJS99/ref=sr_1_3?keywords=Dawn+Platinum+Refreshing+Rain+Dishwashing+Liquid+Dish+Soap%2C+2+pk.%2F40+fl.+oz.&amp;qid=1695170388&amp;sr=8-3")</f>
        <v/>
      </c>
      <c r="F1577" t="inlineStr">
        <is>
          <t>B079JHJS99</t>
        </is>
      </c>
      <c r="G1577">
        <f>_xludf.IMAGE("https://www.shelhealth.com/cdn/shop/products/dawn-platinum-refreshing-rain-dishwashing-liquid-dish-soap-2-pk-40-fl-oz-berkley-jensen-shelhealth-396.jpg?v=1663355134&amp;width=1946")</f>
        <v/>
      </c>
      <c r="H1577">
        <f>_xludf.IMAGE("https://m.media-amazon.com/images/I/81IY+YXQgSL._AC_UL320_.jpg")</f>
        <v/>
      </c>
      <c r="K1577" t="inlineStr">
        <is>
          <t>23.99</t>
        </is>
      </c>
      <c r="L1577" t="n">
        <v>15.2</v>
      </c>
      <c r="M1577" s="1" t="inlineStr">
        <is>
          <t>-36.64%</t>
        </is>
      </c>
      <c r="N1577" s="3" t="n">
        <v>-36.64</v>
      </c>
      <c r="O1577" t="n">
        <v>4.8</v>
      </c>
      <c r="P1577" t="n">
        <v>13365</v>
      </c>
      <c r="R1577" t="inlineStr">
        <is>
          <t>InStock</t>
        </is>
      </c>
      <c r="S1577" t="inlineStr">
        <is>
          <t>23.99</t>
        </is>
      </c>
      <c r="T1577" t="inlineStr">
        <is>
          <t>4169680584756</t>
        </is>
      </c>
    </row>
    <row r="1578" hidden="1" ht="15.75" customHeight="1">
      <c r="A1578" s="2">
        <f>HYPERLINK("https://www.shelhealth.com/products/ziploc-1-gal-slider-storage-bags-120-pk", "https://www.shelhealth.com/products/ziploc-1-gal-slider-storage-bags-120-pk")</f>
        <v/>
      </c>
      <c r="B1578" s="2">
        <f>HYPERLINK("https://www.shelhealth.com/products/ziploc-1-gal-slider-storage-bags-120-pk", "https://www.shelhealth.com/products/ziploc-1-gal-slider-storage-bags-120-pk")</f>
        <v/>
      </c>
      <c r="C1578" t="inlineStr">
        <is>
          <t>Ziploc 1-Gal. Slider Storage Bags, 120 pk.</t>
        </is>
      </c>
      <c r="D1578" t="inlineStr">
        <is>
          <t>Hefty Slider Storage Calendar Bags, Gallon Size, 120 Count</t>
        </is>
      </c>
      <c r="E1578" s="2">
        <f>HYPERLINK("https://www.amazon.com/Hefty-Slider-Storage-Calendar-Gallon/dp/B0B34YHSWH/ref=sr_1_9?keywords=Ziploc+1-Gal.+Slider+Storage+Bags%2C+120+pk.&amp;qid=1695170436&amp;sr=8-9", "https://www.amazon.com/Hefty-Slider-Storage-Calendar-Gallon/dp/B0B34YHSWH/ref=sr_1_9?keywords=Ziploc+1-Gal.+Slider+Storage+Bags%2C+120+pk.&amp;qid=1695170436&amp;sr=8-9")</f>
        <v/>
      </c>
      <c r="F1578" t="inlineStr">
        <is>
          <t>B0B34YHSWH</t>
        </is>
      </c>
      <c r="G1578">
        <f>_xludf.IMAGE("https://www.shelhealth.com/cdn/shop/files/ziploc-1-gal-slider-storage-bags-120-pk-grocery-household-petpaper-plastic-shelhealth-973.jpg?v=1686283186&amp;width=1946")</f>
        <v/>
      </c>
      <c r="H1578">
        <f>_xludf.IMAGE("https://m.media-amazon.com/images/I/81FptJ-j58L._AC_UL320_.jpg")</f>
        <v/>
      </c>
      <c r="K1578" t="inlineStr">
        <is>
          <t>29.99</t>
        </is>
      </c>
      <c r="L1578" t="n">
        <v>18.99</v>
      </c>
      <c r="M1578" s="1" t="inlineStr">
        <is>
          <t>-36.68%</t>
        </is>
      </c>
      <c r="N1578" s="3" t="n">
        <v>-36.68</v>
      </c>
      <c r="O1578" t="n">
        <v>4.8</v>
      </c>
      <c r="P1578" t="n">
        <v>282</v>
      </c>
      <c r="R1578" t="inlineStr">
        <is>
          <t>InStock</t>
        </is>
      </c>
      <c r="S1578" t="inlineStr">
        <is>
          <t>29.99</t>
        </is>
      </c>
      <c r="T1578" t="inlineStr">
        <is>
          <t>4169551872052</t>
        </is>
      </c>
    </row>
    <row r="1579" hidden="1" ht="15.75" customHeight="1">
      <c r="A1579" s="2">
        <f>HYPERLINK("https://www.shelhealth.com/products/duracell-rechargeable-aa-pre-charged-batteries-6-ct", "https://www.shelhealth.com/products/duracell-rechargeable-aa-pre-charged-batteries-6-ct")</f>
        <v/>
      </c>
      <c r="B1579" s="2">
        <f>HYPERLINK("https://www.shelhealth.com/products/duracell-rechargeable-aa-pre-charged-batteries-6-ct", "https://www.shelhealth.com/products/duracell-rechargeable-aa-pre-charged-batteries-6-ct")</f>
        <v/>
      </c>
      <c r="C1579" t="inlineStr">
        <is>
          <t>Duracell Rechargeable AA Pre-Charged Batteries, 6 ct.</t>
        </is>
      </c>
      <c r="D1579" t="inlineStr">
        <is>
          <t>Duracell Rechargeable AAA Batteries, 6 Count Pack, Triple A Battery for Long-lasting Power, All-Purpose Pre-Charged Battery for Household and Business Devices</t>
        </is>
      </c>
      <c r="E1579" s="2">
        <f>HYPERLINK("https://www.amazon.com/Duracell-AAA-Rechargeable-Batteries-Pack/dp/B0022DESX8/ref=sr_1_2?keywords=Duracell+Rechargeable+AA+Pre-Charged+Batteries%2C+6+ct.&amp;qid=1695170567&amp;sr=8-2", "https://www.amazon.com/Duracell-AAA-Rechargeable-Batteries-Pack/dp/B0022DESX8/ref=sr_1_2?keywords=Duracell+Rechargeable+AA+Pre-Charged+Batteries%2C+6+ct.&amp;qid=1695170567&amp;sr=8-2")</f>
        <v/>
      </c>
      <c r="F1579" t="inlineStr">
        <is>
          <t>B0022DESX8</t>
        </is>
      </c>
      <c r="G1579">
        <f>_xludf.IMAGE("https://www.shelhealth.com/cdn/shop/products/duracell-rechargeable-aa-pre-charged-batteries-6-ct-shelhealth-446.jpg?v=1675325310&amp;width=1946")</f>
        <v/>
      </c>
      <c r="H1579">
        <f>_xludf.IMAGE("https://m.media-amazon.com/images/I/71r6G0oGOVL._AC_UL320_.jpg")</f>
        <v/>
      </c>
      <c r="K1579" t="inlineStr">
        <is>
          <t>34.99</t>
        </is>
      </c>
      <c r="L1579" t="n">
        <v>22</v>
      </c>
      <c r="M1579" s="1" t="inlineStr">
        <is>
          <t>-37.12%</t>
        </is>
      </c>
      <c r="N1579" s="3" t="n">
        <v>-37.12</v>
      </c>
      <c r="O1579" t="n">
        <v>4.7</v>
      </c>
      <c r="P1579" t="n">
        <v>508</v>
      </c>
      <c r="R1579" t="inlineStr">
        <is>
          <t>InStock</t>
        </is>
      </c>
      <c r="S1579" t="inlineStr">
        <is>
          <t>34.99</t>
        </is>
      </c>
      <c r="T1579" t="inlineStr">
        <is>
          <t>4167656767540</t>
        </is>
      </c>
    </row>
    <row r="1580" hidden="1" ht="15.75" customHeight="1">
      <c r="A1580" s="2">
        <f>HYPERLINK("https://www.shelhealth.com/products/scotch-brite-non-scratch-scrub-sponges-21-sponges-total", "https://www.shelhealth.com/products/scotch-brite-non-scratch-scrub-sponges-21-sponges-total")</f>
        <v/>
      </c>
      <c r="B1580" s="2">
        <f>HYPERLINK("https://www.shelhealth.com/products/scotch-brite-non-scratch-scrub-sponges-21-sponges-total", "https://www.shelhealth.com/products/scotch-brite-non-scratch-scrub-sponges-21-sponges-total")</f>
        <v/>
      </c>
      <c r="C1580" t="inlineStr">
        <is>
          <t>Scotch-Brite Non-Scratch Scrub Sponges, 21 Sponges Total</t>
        </is>
      </c>
      <c r="D1580" t="inlineStr">
        <is>
          <t>Scotch-Brite Zero Scratch Non-Scratch Scrub Sponges, Sponges for Cleaning Kitchen, Bathroom, and Household, non-scratch Sponges Safe for Non-Stick Cookware, 12 Scrubbing Sponge</t>
        </is>
      </c>
      <c r="E1580" s="2">
        <f>HYPERLINK("https://www.amazon.com/Scotch-Brite-Non-Scratch-Scrub-Sponge-12-Sponges/dp/B0044D5EI2/ref=sr_1_10?keywords=Scotch-Brite+Non-Scratch+Scrub+Sponges%2C+21+Sponges+Total&amp;qid=1695170382&amp;sr=8-10", "https://www.amazon.com/Scotch-Brite-Non-Scratch-Scrub-Sponge-12-Sponges/dp/B0044D5EI2/ref=sr_1_10?keywords=Scotch-Brite+Non-Scratch+Scrub+Sponges%2C+21+Sponges+Total&amp;qid=1695170382&amp;sr=8-10")</f>
        <v/>
      </c>
      <c r="F1580" t="inlineStr">
        <is>
          <t>B0044D5EI2</t>
        </is>
      </c>
      <c r="G1580">
        <f>_xludf.IMAGE("https://www.shelhealth.com/cdn/shop/products/scotch-brite-non-scratch-scrub-sponges-21-total-shelhealth-257.jpg?v=1663343405&amp;width=1946")</f>
        <v/>
      </c>
      <c r="H1580">
        <f>_xludf.IMAGE("https://m.media-amazon.com/images/I/81UdyfrEOGL._AC_UL320_.jpg")</f>
        <v/>
      </c>
      <c r="K1580" t="inlineStr">
        <is>
          <t>21.99</t>
        </is>
      </c>
      <c r="L1580" t="n">
        <v>13.82</v>
      </c>
      <c r="M1580" s="1" t="inlineStr">
        <is>
          <t>-37.15%</t>
        </is>
      </c>
      <c r="N1580" s="3" t="n">
        <v>-37.15</v>
      </c>
      <c r="O1580" t="n">
        <v>4.3</v>
      </c>
      <c r="P1580" t="n">
        <v>176</v>
      </c>
      <c r="R1580" t="inlineStr">
        <is>
          <t>InStock</t>
        </is>
      </c>
      <c r="S1580" t="inlineStr">
        <is>
          <t>21.99</t>
        </is>
      </c>
      <c r="T1580" t="inlineStr">
        <is>
          <t>3820350996532</t>
        </is>
      </c>
    </row>
    <row r="1581" hidden="1" ht="15.75" customHeight="1">
      <c r="A1581" s="2">
        <f>HYPERLINK("https://www.shelhealth.com/products/acrylic-beverage-dispenser-2-5-gallon", "https://www.shelhealth.com/products/acrylic-beverage-dispenser-2-5-gallon")</f>
        <v/>
      </c>
      <c r="B1581" s="2">
        <f>HYPERLINK("https://www.shelhealth.com/products/acrylic-beverage-dispenser-2-5-gallon", "https://www.shelhealth.com/products/acrylic-beverage-dispenser-2-5-gallon")</f>
        <v/>
      </c>
      <c r="C1581" t="inlineStr">
        <is>
          <t>Acrylic Beverage Dispenser 2.5 Gallon</t>
        </is>
      </c>
      <c r="D1581" t="inlineStr">
        <is>
          <t>CreativeWare RM-BEV03 2.5-Gallon Bark Beverage Dispenser</t>
        </is>
      </c>
      <c r="E1581" s="2">
        <f>HYPERLINK("https://www.amazon.com/CreativeWare-2-5-Gallon-Bark-Beverage-Dispenser/dp/B004W05JQ4/ref=sr_1_1?keywords=Acrylic+Beverage+Dispenser+2.5+Gallon&amp;qid=1695170553&amp;sr=8-1", "https://www.amazon.com/CreativeWare-2-5-Gallon-Bark-Beverage-Dispenser/dp/B004W05JQ4/ref=sr_1_1?keywords=Acrylic+Beverage+Dispenser+2.5+Gallon&amp;qid=1695170553&amp;sr=8-1")</f>
        <v/>
      </c>
      <c r="F1581" t="inlineStr">
        <is>
          <t>B004W05JQ4</t>
        </is>
      </c>
      <c r="G1581">
        <f>_xludf.IMAGE("https://www.shelhealth.com/cdn/shop/products/acrylic-beverage-dispenser-2-5-gallon-shelhealth-551.jpg?v=1663357185&amp;width=1946")</f>
        <v/>
      </c>
      <c r="H1581">
        <f>_xludf.IMAGE("https://m.media-amazon.com/images/I/81na1WMsSrL._AC_UL320_.jpg")</f>
        <v/>
      </c>
      <c r="K1581" t="inlineStr">
        <is>
          <t>36.99</t>
        </is>
      </c>
      <c r="L1581" t="n">
        <v>22.98</v>
      </c>
      <c r="M1581" s="1" t="inlineStr">
        <is>
          <t>-37.88%</t>
        </is>
      </c>
      <c r="N1581" s="3" t="n">
        <v>-37.88</v>
      </c>
      <c r="O1581" t="n">
        <v>4.6</v>
      </c>
      <c r="P1581" t="n">
        <v>8927</v>
      </c>
      <c r="R1581" t="inlineStr">
        <is>
          <t>OutOfStock</t>
        </is>
      </c>
      <c r="S1581" t="inlineStr">
        <is>
          <t>36.99</t>
        </is>
      </c>
      <c r="T1581" t="inlineStr">
        <is>
          <t>4179239501876</t>
        </is>
      </c>
    </row>
    <row r="1582" hidden="1" ht="15.75" customHeight="1">
      <c r="A1582" s="2">
        <f>HYPERLINK("https://www.shelhealth.com/products/clean-freak-deep-cleaning-mist-multi-surface-spray-lemon-zest-scent-3-count", "https://www.shelhealth.com/products/clean-freak-deep-cleaning-mist-multi-surface-spray-lemon-zest-scent-3-count")</f>
        <v/>
      </c>
      <c r="B1582" s="2">
        <f>HYPERLINK("https://www.shelhealth.com/products/clean-freak-deep-cleaning-mist-multi-surface-spray-lemon-zest-scent-3-count", "https://www.shelhealth.com/products/clean-freak-deep-cleaning-mist-multi-surface-spray-lemon-zest-scent-3-count")</f>
        <v/>
      </c>
      <c r="C1582" t="inlineStr">
        <is>
          <t>Mr. Clean Clean Freak Deep Cleaning Mist Multi-Surface Spray Lemon Zest Scent (3 Pack)</t>
        </is>
      </c>
      <c r="D1582" t="inlineStr">
        <is>
          <t>Mr. Clean Freak Deep Cleaning Mist Multi-Surface Spray, Lemon Zest Scent Starter Kit, 16 fl oz (Pack of 6)</t>
        </is>
      </c>
      <c r="E1582" s="2">
        <f>HYPERLINK("https://www.amazon.com/Mr-Clean-Cleaning-Multi-Surface-Starter/dp/B07MCM41ZQ/ref=sr_1_1?keywords=Mr.+Clean+Clean+Freak+Deep+Cleaning+Mist+Multi-Surface+Spray+Lemon+Zest+Scent+%283+Pack%29&amp;qid=1695170419&amp;sr=8-1", "https://www.amazon.com/Mr-Clean-Cleaning-Multi-Surface-Starter/dp/B07MCM41ZQ/ref=sr_1_1?keywords=Mr.+Clean+Clean+Freak+Deep+Cleaning+Mist+Multi-Surface+Spray+Lemon+Zest+Scent+%283+Pack%29&amp;qid=1695170419&amp;sr=8-1")</f>
        <v/>
      </c>
      <c r="F1582" t="inlineStr">
        <is>
          <t>B07MCM41ZQ</t>
        </is>
      </c>
      <c r="G1582">
        <f>_xludf.IMAGE("https://www.shelhealth.com/cdn/shop/products/mr-clean-freak-deep-cleaning-mist-multi-surface-spray-lemon-zest-scent-3-pack-shelhealth-426.jpg?v=1663373883&amp;width=1946")</f>
        <v/>
      </c>
      <c r="H1582">
        <f>_xludf.IMAGE("https://m.media-amazon.com/images/I/818emp9MlML._AC_UL320_.jpg")</f>
        <v/>
      </c>
      <c r="K1582" t="inlineStr">
        <is>
          <t>20.99</t>
        </is>
      </c>
      <c r="L1582" t="n">
        <v>12.95</v>
      </c>
      <c r="M1582" s="1" t="inlineStr">
        <is>
          <t>-38.30%</t>
        </is>
      </c>
      <c r="N1582" s="3" t="n">
        <v>-38.3</v>
      </c>
      <c r="O1582" t="n">
        <v>4.2</v>
      </c>
      <c r="P1582" t="n">
        <v>2223</v>
      </c>
      <c r="R1582" t="inlineStr">
        <is>
          <t>InStock</t>
        </is>
      </c>
      <c r="S1582" t="inlineStr">
        <is>
          <t>20.99</t>
        </is>
      </c>
      <c r="T1582" t="inlineStr">
        <is>
          <t>4711264813145</t>
        </is>
      </c>
    </row>
    <row r="1583" hidden="1" ht="15.75" customHeight="1">
      <c r="A1583" s="2">
        <f>HYPERLINK("https://www.shelhealth.com/products/swiffer-wetjet-hardwood-floor-spray-mop-pad-refill-extra-power-30-ct", "https://www.shelhealth.com/products/swiffer-wetjet-hardwood-floor-spray-mop-pad-refill-extra-power-30-ct")</f>
        <v/>
      </c>
      <c r="B1583" s="2">
        <f>HYPERLINK("https://www.shelhealth.com/products/swiffer-wetjet-hardwood-floor-spray-mop-pad-refill-extra-power-30-ct", "https://www.shelhealth.com/products/swiffer-wetjet-hardwood-floor-spray-mop-pad-refill-extra-power-30-ct")</f>
        <v/>
      </c>
      <c r="C1583" t="inlineStr">
        <is>
          <t>Swiffer WetJet Hardwood Floor Spray Mop Pad Refill Extra Power, 30 ct</t>
        </is>
      </c>
      <c r="D1583" t="inlineStr">
        <is>
          <t>Swiffer WetJet Hardwood Floor Spray Mop Pad Refill Extra Power 10 Count</t>
        </is>
      </c>
      <c r="E1583" s="2">
        <f>HYPERLINK("https://www.amazon.com/Swiffer-WetJet-Hardwood-Floor-Refill/dp/B008UQV80C/ref=sr_1_3?keywords=Swiffer+WetJet+Hardwood+Floor+Spray+Mop+Pad+Refill+Extra+Power%2C+30+ct&amp;qid=1695170409&amp;sr=8-3", "https://www.amazon.com/Swiffer-WetJet-Hardwood-Floor-Refill/dp/B008UQV80C/ref=sr_1_3?keywords=Swiffer+WetJet+Hardwood+Floor+Spray+Mop+Pad+Refill+Extra+Power%2C+30+ct&amp;qid=1695170409&amp;sr=8-3")</f>
        <v/>
      </c>
      <c r="F1583" t="inlineStr">
        <is>
          <t>B008UQV80C</t>
        </is>
      </c>
      <c r="G1583">
        <f>_xludf.IMAGE("https://www.shelhealth.com/cdn/shop/products/swiffer-wetjet-hardwood-floor-spray-mop-pad-refill-extra-power-30-ct-shelhealth-572.jpg?v=1663355307&amp;width=1946")</f>
        <v/>
      </c>
      <c r="H1583">
        <f>_xludf.IMAGE("https://m.media-amazon.com/images/I/818YnICy3BL._AC_UL320_.jpg")</f>
        <v/>
      </c>
      <c r="K1583" t="inlineStr">
        <is>
          <t>25.99</t>
        </is>
      </c>
      <c r="L1583" t="n">
        <v>15.95</v>
      </c>
      <c r="M1583" s="1" t="inlineStr">
        <is>
          <t>-38.63%</t>
        </is>
      </c>
      <c r="N1583" s="3" t="n">
        <v>-38.63</v>
      </c>
      <c r="O1583" t="n">
        <v>4.6</v>
      </c>
      <c r="P1583" t="n">
        <v>455</v>
      </c>
      <c r="R1583" t="inlineStr">
        <is>
          <t>InStock</t>
        </is>
      </c>
      <c r="S1583" t="inlineStr">
        <is>
          <t>25.99</t>
        </is>
      </c>
      <c r="T1583" t="inlineStr">
        <is>
          <t>4169796976692</t>
        </is>
      </c>
    </row>
    <row r="1584" hidden="1" ht="15.75" customHeight="1">
      <c r="A1584" s="2">
        <f>HYPERLINK("https://www.shelhealth.com/products/895454002362-better-life-detergent-dishwasher-auto-magic-30-oz", "https://www.shelhealth.com/products/895454002362-better-life-detergent-dishwasher-auto-magic-30-oz")</f>
        <v/>
      </c>
      <c r="B1584" s="2">
        <f>HYPERLINK("https://www.shelhealth.com/products/895454002362-better-life-detergent-dishwasher-auto-magic-30-oz", "https://www.shelhealth.com/products/895454002362-better-life-detergent-dishwasher-auto-magic-30-oz")</f>
        <v/>
      </c>
      <c r="C1584" t="inlineStr">
        <is>
          <t>Better Life Detergent Dishwasher Auto Magic, 30 Oz (Case of 3)</t>
        </is>
      </c>
      <c r="D1584" t="inlineStr">
        <is>
          <t>Better Life Detergent Dishwasher Auto Magic, 30 oz</t>
        </is>
      </c>
      <c r="E1584" s="2">
        <f>HYPERLINK("https://www.amazon.com/Better-Life-Detergent-Dishwasher-Magic/dp/B072LXMCRD/ref=sr_1_1?keywords=Better+Life+Detergent+Dishwasher+Auto+Magic%2C+30+Oz+%28Case+of+3%29&amp;qid=1695170488&amp;sr=8-1", "https://www.amazon.com/Better-Life-Detergent-Dishwasher-Magic/dp/B072LXMCRD/ref=sr_1_1?keywords=Better+Life+Detergent+Dishwasher+Auto+Magic%2C+30+Oz+%28Case+of+3%29&amp;qid=1695170488&amp;sr=8-1")</f>
        <v/>
      </c>
      <c r="F1584" t="inlineStr">
        <is>
          <t>B072LXMCRD</t>
        </is>
      </c>
      <c r="G1584">
        <f>_xludf.IMAGE("https://www.shelhealth.com/cdn/shop/files/better-life-detergent-dishwasher-auto-magic-30-oz-case-of-3-home-products-shelhealth-379.jpg?v=1686193578&amp;width=1946")</f>
        <v/>
      </c>
      <c r="H1584">
        <f>_xludf.IMAGE("https://m.media-amazon.com/images/I/61T2VsDYFIL._AC_UL320_.jpg")</f>
        <v/>
      </c>
      <c r="K1584" t="inlineStr">
        <is>
          <t>27.99</t>
        </is>
      </c>
      <c r="L1584" t="n">
        <v>17.07</v>
      </c>
      <c r="M1584" s="1" t="inlineStr">
        <is>
          <t>-39.01%</t>
        </is>
      </c>
      <c r="N1584" s="3" t="n">
        <v>-39.01</v>
      </c>
      <c r="O1584" t="n">
        <v>3.9</v>
      </c>
      <c r="P1584" t="n">
        <v>10</v>
      </c>
      <c r="R1584" t="inlineStr">
        <is>
          <t>InStock</t>
        </is>
      </c>
      <c r="S1584" t="inlineStr">
        <is>
          <t>27.99</t>
        </is>
      </c>
      <c r="T1584" t="inlineStr">
        <is>
          <t>7241504620732</t>
        </is>
      </c>
    </row>
    <row r="1585" hidden="1" ht="15.75" customHeight="1">
      <c r="A1585" s="2">
        <f>HYPERLINK("https://www.shelhealth.com/products/39938016210-creative-converting-ohio-state-university-plastic-table-cover-1-ea", "https://www.shelhealth.com/products/39938016210-creative-converting-ohio-state-university-plastic-table-cover-1-ea")</f>
        <v/>
      </c>
      <c r="B1585" s="2">
        <f>HYPERLINK("https://www.shelhealth.com/products/39938016210-creative-converting-ohio-state-university-plastic-table-cover-1-ea", "https://www.shelhealth.com/products/39938016210-creative-converting-ohio-state-university-plastic-table-cover-1-ea")</f>
        <v/>
      </c>
      <c r="C1585" t="inlineStr">
        <is>
          <t>CREATIVE CONVERTING Ohio State University Plastic Table Cover, 1 ea (Case of 5)</t>
        </is>
      </c>
      <c r="D1585" t="inlineStr">
        <is>
          <t>Creative Converting The Ohio State University Plastic Table Cover, 54"x108" -</t>
        </is>
      </c>
      <c r="E1585" s="2">
        <f>HYPERLINK("https://www.amazon.com/Creative-Converting-State-University-Plastic/dp/B0082AKGUY/ref=sr_1_1?keywords=CREATIVE+CONVERTING+Ohio+State+University+Plastic+Table+Cover%2C+1+ea+%28Case+of+5%29&amp;qid=1695170540&amp;sr=8-1", "https://www.amazon.com/Creative-Converting-State-University-Plastic/dp/B0082AKGUY/ref=sr_1_1?keywords=CREATIVE+CONVERTING+Ohio+State+University+Plastic+Table+Cover%2C+1+ea+%28Case+of+5%29&amp;qid=1695170540&amp;sr=8-1")</f>
        <v/>
      </c>
      <c r="F1585" t="inlineStr">
        <is>
          <t>B0082AKGUY</t>
        </is>
      </c>
      <c r="G1585">
        <f>_xludf.IMAGE("https://www.shelhealth.com/cdn/shop/files/creative-converting-ohio-state-university-plastic-table-cover-1-ea-case-of-5-household-products-shelhealth-156.jpg?v=1693368312&amp;width=1946")</f>
        <v/>
      </c>
      <c r="H1585">
        <f>_xludf.IMAGE("https://m.media-amazon.com/images/I/81NQsRB-xvS._AC_UL320_.jpg")</f>
        <v/>
      </c>
      <c r="K1585" t="inlineStr">
        <is>
          <t>15.99</t>
        </is>
      </c>
      <c r="L1585" t="n">
        <v>9.69</v>
      </c>
      <c r="M1585" s="1" t="inlineStr">
        <is>
          <t>-39.40%</t>
        </is>
      </c>
      <c r="N1585" s="3" t="n">
        <v>-39.4</v>
      </c>
      <c r="O1585" t="n">
        <v>4.8</v>
      </c>
      <c r="P1585" t="n">
        <v>430</v>
      </c>
      <c r="R1585" t="inlineStr">
        <is>
          <t>OutOfStock</t>
        </is>
      </c>
      <c r="S1585" t="inlineStr">
        <is>
          <t>15.99</t>
        </is>
      </c>
      <c r="T1585" t="inlineStr">
        <is>
          <t>7574036840680</t>
        </is>
      </c>
    </row>
    <row r="1586" hidden="1" ht="15.75" customHeight="1">
      <c r="A1586" s="2">
        <f>HYPERLINK("https://www.shelhealth.com/products/ultra-downy-april-fresh-liquid-laundry-fabric-softener-170-oz-197-loads", "https://www.shelhealth.com/products/ultra-downy-april-fresh-liquid-laundry-fabric-softener-170-oz-197-loads")</f>
        <v/>
      </c>
      <c r="B1586" s="2">
        <f>HYPERLINK("https://www.shelhealth.com/products/ultra-downy-april-fresh-liquid-laundry-fabric-softener-170-oz-197-loads", "https://www.shelhealth.com/products/ultra-downy-april-fresh-liquid-laundry-fabric-softener-170-oz-197-loads")</f>
        <v/>
      </c>
      <c r="C1586" t="inlineStr">
        <is>
          <t>Ultra Downy April Fresh Liquid Laundry Fabric Softener - 148 oz. - 204 loads</t>
        </is>
      </c>
      <c r="D1586" t="inlineStr">
        <is>
          <t>Downy Ultra Plus Laundry Fabric Softener Liquid, April Fresh Scent, 152 Total Loads (Pack Of 2)</t>
        </is>
      </c>
      <c r="E1586" s="2">
        <f>HYPERLINK("https://www.amazon.com/Downy-Conditioner-Softener-Concentrated-Bottles/dp/B07WLYS2CP/ref=sr_1_7?keywords=Ultra+Downy+April+Fresh+Liquid+Laundry+Fabric+Softener+-+148+oz.+-+204+loads&amp;qid=1695170417&amp;sr=8-7", "https://www.amazon.com/Downy-Conditioner-Softener-Concentrated-Bottles/dp/B07WLYS2CP/ref=sr_1_7?keywords=Ultra+Downy+April+Fresh+Liquid+Laundry+Fabric+Softener+-+148+oz.+-+204+loads&amp;qid=1695170417&amp;sr=8-7")</f>
        <v/>
      </c>
      <c r="F1586" t="inlineStr">
        <is>
          <t>B07WLYS2CP</t>
        </is>
      </c>
      <c r="G1586">
        <f>_xludf.IMAGE("https://www.shelhealth.com/cdn/shop/products/ultra-downy-april-fresh-liquid-laundry-fabric-softener-148-oz-204-loads-shelhealth-196.jpg?v=1663343249&amp;width=1946")</f>
        <v/>
      </c>
      <c r="H1586">
        <f>_xludf.IMAGE("https://m.media-amazon.com/images/I/81IkTTNIcFL._AC_UL320_.jpg")</f>
        <v/>
      </c>
      <c r="K1586" t="inlineStr">
        <is>
          <t>32.99</t>
        </is>
      </c>
      <c r="L1586" t="n">
        <v>19.98</v>
      </c>
      <c r="M1586" s="1" t="inlineStr">
        <is>
          <t>-39.44%</t>
        </is>
      </c>
      <c r="N1586" s="3" t="n">
        <v>-39.44</v>
      </c>
      <c r="O1586" t="n">
        <v>4.8</v>
      </c>
      <c r="P1586" t="n">
        <v>17257</v>
      </c>
      <c r="R1586" t="inlineStr">
        <is>
          <t>InStock</t>
        </is>
      </c>
      <c r="S1586" t="inlineStr">
        <is>
          <t>32.99</t>
        </is>
      </c>
      <c r="T1586" t="inlineStr">
        <is>
          <t>3819976720436</t>
        </is>
      </c>
    </row>
    <row r="1587" hidden="1" ht="15.75" customHeight="1">
      <c r="A1587" s="2">
        <f>HYPERLINK("https://www.shelhealth.com/products/swiffer-wetjet-hardwood-floor-spray-mop-starter-kit", "https://www.shelhealth.com/products/swiffer-wetjet-hardwood-floor-spray-mop-starter-kit")</f>
        <v/>
      </c>
      <c r="B1587" s="2">
        <f>HYPERLINK("https://www.shelhealth.com/products/swiffer-wetjet-hardwood-floor-spray-mop-starter-kit", "https://www.shelhealth.com/products/swiffer-wetjet-hardwood-floor-spray-mop-starter-kit")</f>
        <v/>
      </c>
      <c r="C1587" t="inlineStr">
        <is>
          <t>Swiffer WetJet Hardwood Floor Spray Mop Starter Kit</t>
        </is>
      </c>
      <c r="D1587" t="inlineStr">
        <is>
          <t>Swiffer WetJet Hardwood and Floor Spray Mop Cleaner Starter Kit, Includes: 1 Power Mop, 10 Pads, Cleaning Solution, Batteries</t>
        </is>
      </c>
      <c r="E1587" s="2" t="n"/>
      <c r="F1587" t="inlineStr">
        <is>
          <t>B07YQDD94M</t>
        </is>
      </c>
      <c r="G1587">
        <f>_xludf.IMAGE("https://www.shelhealth.com/cdn/shop/files/swiffer-wetjet-hardwood-floor-spray-mop-starter-kit-grocery-household-petcleaning-goods-shelhealth-863.jpg?v=1686284011&amp;width=1946")</f>
        <v/>
      </c>
      <c r="H1587">
        <f>_xludf.IMAGE("https://m.media-amazon.com/images/I/71Xc30C3OmL._AC_UL320_.jpg")</f>
        <v/>
      </c>
      <c r="K1587" t="inlineStr">
        <is>
          <t>46.99</t>
        </is>
      </c>
      <c r="L1587" t="n">
        <v>28.24</v>
      </c>
      <c r="M1587" s="1" t="inlineStr">
        <is>
          <t>-39.90%</t>
        </is>
      </c>
      <c r="N1587" s="3" t="n">
        <v>-39.9</v>
      </c>
      <c r="O1587" t="n">
        <v>4.6</v>
      </c>
      <c r="P1587" t="n">
        <v>48459</v>
      </c>
      <c r="R1587" t="inlineStr">
        <is>
          <t>InStock</t>
        </is>
      </c>
      <c r="S1587" t="inlineStr">
        <is>
          <t>46.99</t>
        </is>
      </c>
      <c r="T1587" t="inlineStr">
        <is>
          <t>4169877585972</t>
        </is>
      </c>
    </row>
    <row r="1588" hidden="1" ht="15.75" customHeight="1">
      <c r="A1588" s="2">
        <f>HYPERLINK("https://www.shelhealth.com/products/swiffer-wetjet-hardwood-floor-spray-mop-starter-kit", "https://www.shelhealth.com/products/swiffer-wetjet-hardwood-floor-spray-mop-starter-kit")</f>
        <v/>
      </c>
      <c r="B1588" s="2">
        <f>HYPERLINK("https://www.shelhealth.com/products/swiffer-wetjet-hardwood-floor-spray-mop-starter-kit", "https://www.shelhealth.com/products/swiffer-wetjet-hardwood-floor-spray-mop-starter-kit")</f>
        <v/>
      </c>
      <c r="C1588" t="inlineStr">
        <is>
          <t>Swiffer WetJet Hardwood Floor Spray Mop Starter Kit</t>
        </is>
      </c>
      <c r="D1588" t="inlineStr">
        <is>
          <t>Swiffer WetJet Hardwood and Floor Spray Mop Cleaner Starter Kit, Includes: 1 Power Mop, 10 Pads, Cleaning Solution, Batteries</t>
        </is>
      </c>
      <c r="E1588" s="2">
        <f>HYPERLINK("https://www.amazon.com/Swiffer-Wetjet-Hardwood-Cleaner-Starter/dp/B07YQDD94M/ref=sr_1_5?keywords=Swiffer+WetJet+Hardwood+Floor+Spray+Mop+Starter+Kit&amp;qid=1695170436&amp;sr=8-5", "https://www.amazon.com/Swiffer-Wetjet-Hardwood-Cleaner-Starter/dp/B07YQDD94M/ref=sr_1_5?keywords=Swiffer+WetJet+Hardwood+Floor+Spray+Mop+Starter+Kit&amp;qid=1695170436&amp;sr=8-5")</f>
        <v/>
      </c>
      <c r="F1588" t="inlineStr">
        <is>
          <t>B07YQDD94M</t>
        </is>
      </c>
      <c r="G1588">
        <f>_xludf.IMAGE("https://www.shelhealth.com/cdn/shop/files/swiffer-wetjet-hardwood-floor-spray-mop-starter-kit-grocery-household-petcleaning-goods-shelhealth-863.jpg?v=1686284011&amp;width=1946")</f>
        <v/>
      </c>
      <c r="H1588">
        <f>_xludf.IMAGE("https://m.media-amazon.com/images/I/71Xc30C3OmL._AC_UL320_.jpg")</f>
        <v/>
      </c>
      <c r="K1588" t="inlineStr">
        <is>
          <t>46.99</t>
        </is>
      </c>
      <c r="L1588" t="n">
        <v>28.24</v>
      </c>
      <c r="M1588" s="1" t="inlineStr">
        <is>
          <t>-39.90%</t>
        </is>
      </c>
      <c r="N1588" s="3" t="n">
        <v>-39.9</v>
      </c>
      <c r="O1588" t="n">
        <v>4.6</v>
      </c>
      <c r="P1588" t="n">
        <v>48459</v>
      </c>
      <c r="R1588" t="inlineStr">
        <is>
          <t>InStock</t>
        </is>
      </c>
      <c r="S1588" t="inlineStr">
        <is>
          <t>46.99</t>
        </is>
      </c>
      <c r="T1588" t="inlineStr">
        <is>
          <t>4169877585972</t>
        </is>
      </c>
    </row>
    <row r="1589" hidden="1" ht="15.75" customHeight="1">
      <c r="A1589" s="2">
        <f>HYPERLINK("https://www.shelhealth.com/products/nutri-bites-freeze-dried-beef-liver-treats-17-6-oz", "https://www.shelhealth.com/products/nutri-bites-freeze-dried-beef-liver-treats-17-6-oz")</f>
        <v/>
      </c>
      <c r="B1589" s="2">
        <f>HYPERLINK("https://www.shelhealth.com/products/nutri-bites-freeze-dried-beef-liver-treats-17-6-oz", "https://www.shelhealth.com/products/nutri-bites-freeze-dried-beef-liver-treats-17-6-oz")</f>
        <v/>
      </c>
      <c r="C1589" t="inlineStr">
        <is>
          <t>Nutri Bites Freeze Dried Beef Liver Treats, 17.6 oz. (Pack of 2)</t>
        </is>
      </c>
      <c r="D1589" t="inlineStr">
        <is>
          <t>Chewmasters 100% Pure Beef Liver Bites, Healthy Freeze Dried Dog Treats, 17.6 oz, All Natural, Grain Free, High Protein &amp; Zero Additives, Made in USA, Packed with Nutrients and Vitamins</t>
        </is>
      </c>
      <c r="E1589" s="2">
        <f>HYPERLINK("https://www.amazon.com/Chewmasters-274386-Liver-Freeze-Treats/dp/B00FA4UL7S/ref=sr_1_4?keywords=Nutri+Bites+Freeze+Dried+Beef+Liver+Treats%2C+17.6+oz.+%28Pack+of+2%29&amp;qid=1695170416&amp;sr=8-4", "https://www.amazon.com/Chewmasters-274386-Liver-Freeze-Treats/dp/B00FA4UL7S/ref=sr_1_4?keywords=Nutri+Bites+Freeze+Dried+Beef+Liver+Treats%2C+17.6+oz.+%28Pack+of+2%29&amp;qid=1695170416&amp;sr=8-4")</f>
        <v/>
      </c>
      <c r="F1589" t="inlineStr">
        <is>
          <t>B00FA4UL7S</t>
        </is>
      </c>
      <c r="G1589">
        <f>_xludf.IMAGE("https://www.shelhealth.com/cdn/shop/files/nutri-bites-freeze-dried-beef-liver-treats-17-6-oz-pack-of-2-shelhealth-250.jpg?v=1685570645&amp;width=1946")</f>
        <v/>
      </c>
      <c r="H1589">
        <f>_xludf.IMAGE("https://m.media-amazon.com/images/I/61WyMvxikjL._AC_UL320_.jpg")</f>
        <v/>
      </c>
      <c r="K1589" t="inlineStr">
        <is>
          <t>49.99</t>
        </is>
      </c>
      <c r="L1589" t="n">
        <v>29.98</v>
      </c>
      <c r="M1589" s="1" t="inlineStr">
        <is>
          <t>-40.03%</t>
        </is>
      </c>
      <c r="N1589" s="3" t="n">
        <v>-40.03</v>
      </c>
      <c r="O1589" t="n">
        <v>4.6</v>
      </c>
      <c r="P1589" t="n">
        <v>1938</v>
      </c>
      <c r="R1589" t="inlineStr">
        <is>
          <t>InStock</t>
        </is>
      </c>
      <c r="S1589" t="inlineStr">
        <is>
          <t>49.99</t>
        </is>
      </c>
      <c r="T1589" t="inlineStr">
        <is>
          <t>8222814699752</t>
        </is>
      </c>
    </row>
    <row r="1590" hidden="1" ht="15.75" customHeight="1">
      <c r="A1590" s="2">
        <f>HYPERLINK("https://www.shelhealth.com/products/brita-on-tap-faucet-replacement-filter-4-pack", "https://www.shelhealth.com/products/brita-on-tap-faucet-replacement-filter-4-pack")</f>
        <v/>
      </c>
      <c r="B1590" s="2">
        <f>HYPERLINK("https://www.shelhealth.com/products/brita-on-tap-faucet-replacement-filter-4-pack", "https://www.shelhealth.com/products/brita-on-tap-faucet-replacement-filter-4-pack")</f>
        <v/>
      </c>
      <c r="C1590" t="inlineStr">
        <is>
          <t>Brita On Tap Faucet Replacement Filter, 4 Pack</t>
        </is>
      </c>
      <c r="D1590" t="inlineStr">
        <is>
          <t>Faucet Water Filter Replacement for Brita Faucet Filtration Systems Compatible with Brita 36311 On Tap Faucet Filters System for Sink FR-200 FF-100 - Pack of 4 - Fits All Brita Tap Water Filters</t>
        </is>
      </c>
      <c r="E1590" s="2">
        <f>HYPERLINK("https://www.amazon.com/Replacement-Filtration-Systems-Compatible-Filters/dp/B0CCF597CL/ref=sr_1_7?keywords=Brita+On+Tap+Faucet+Replacement+Filter%2C+4+Pack&amp;qid=1695170554&amp;sr=8-7", "https://www.amazon.com/Replacement-Filtration-Systems-Compatible-Filters/dp/B0CCF597CL/ref=sr_1_7?keywords=Brita+On+Tap+Faucet+Replacement+Filter%2C+4+Pack&amp;qid=1695170554&amp;sr=8-7")</f>
        <v/>
      </c>
      <c r="F1590" t="inlineStr">
        <is>
          <t>B0CCF597CL</t>
        </is>
      </c>
      <c r="G1590">
        <f>_xludf.IMAGE("https://www.shelhealth.com/cdn/shop/products/brita-on-tap-faucet-replacement-filter-4-pack-shelhealth-948.jpg?v=1663357240&amp;width=1946")</f>
        <v/>
      </c>
      <c r="H1590">
        <f>_xludf.IMAGE("https://m.media-amazon.com/images/I/61h2UJlfTiL._AC_UL320_.jpg")</f>
        <v/>
      </c>
      <c r="K1590" t="inlineStr">
        <is>
          <t>63.99</t>
        </is>
      </c>
      <c r="L1590" t="n">
        <v>37.99</v>
      </c>
      <c r="M1590" s="1" t="inlineStr">
        <is>
          <t>-40.63%</t>
        </is>
      </c>
      <c r="N1590" s="3" t="n">
        <v>-40.63</v>
      </c>
      <c r="O1590" t="n">
        <v>5</v>
      </c>
      <c r="P1590" t="n">
        <v>3</v>
      </c>
      <c r="R1590" t="inlineStr">
        <is>
          <t>OutOfStock</t>
        </is>
      </c>
      <c r="S1590" t="inlineStr">
        <is>
          <t>63.99</t>
        </is>
      </c>
      <c r="T1590" t="inlineStr">
        <is>
          <t>4179297632308</t>
        </is>
      </c>
    </row>
    <row r="1591" hidden="1" ht="15.75" customHeight="1">
      <c r="A1591" s="2">
        <f>HYPERLINK("https://www.shelhealth.com/products/brita-on-tap-faucet-replacement-filter-4-pack", "https://www.shelhealth.com/products/brita-on-tap-faucet-replacement-filter-4-pack")</f>
        <v/>
      </c>
      <c r="B1591" s="2">
        <f>HYPERLINK("https://www.shelhealth.com/products/brita-on-tap-faucet-replacement-filter-4-pack", "https://www.shelhealth.com/products/brita-on-tap-faucet-replacement-filter-4-pack")</f>
        <v/>
      </c>
      <c r="C1591" t="inlineStr">
        <is>
          <t>Brita On Tap Faucet Replacement Filter, 4 Pack</t>
        </is>
      </c>
      <c r="D1591" t="inlineStr">
        <is>
          <t>Faucet Water Filter Replacement for Brita Faucet Filtration Systems Compatible with Brita 36311 On Tap Faucet Filters System for Sink FR-200 FF-100 - Pack of 4 - Fits All Brita Tap Water Filters</t>
        </is>
      </c>
      <c r="E1591" s="2" t="n"/>
      <c r="F1591" t="inlineStr">
        <is>
          <t>B0CCF597CL</t>
        </is>
      </c>
      <c r="G1591">
        <f>_xludf.IMAGE("https://www.shelhealth.com/cdn/shop/products/brita-on-tap-faucet-replacement-filter-4-pack-shelhealth-948.jpg?v=1663357240&amp;width=1946")</f>
        <v/>
      </c>
      <c r="H1591">
        <f>_xludf.IMAGE("https://m.media-amazon.com/images/I/61h2UJlfTiL._AC_UL320_.jpg")</f>
        <v/>
      </c>
      <c r="K1591" t="inlineStr">
        <is>
          <t>63.99</t>
        </is>
      </c>
      <c r="L1591" t="n">
        <v>37.99</v>
      </c>
      <c r="M1591" s="1" t="inlineStr">
        <is>
          <t>-40.63%</t>
        </is>
      </c>
      <c r="N1591" s="3" t="n">
        <v>-40.63</v>
      </c>
      <c r="O1591" t="n">
        <v>5</v>
      </c>
      <c r="P1591" t="n">
        <v>3</v>
      </c>
      <c r="R1591" t="inlineStr">
        <is>
          <t>OutOfStock</t>
        </is>
      </c>
      <c r="S1591" t="inlineStr">
        <is>
          <t>63.99</t>
        </is>
      </c>
      <c r="T1591" t="inlineStr">
        <is>
          <t>4179297632308</t>
        </is>
      </c>
    </row>
    <row r="1592" hidden="1" ht="15.75" customHeight="1">
      <c r="A1592" s="2">
        <f>HYPERLINK("https://www.shelhealth.com/products/39938016166-creative-converting-michigan-table-cover-1-ea", "https://www.shelhealth.com/products/39938016166-creative-converting-michigan-table-cover-1-ea")</f>
        <v/>
      </c>
      <c r="B1592" s="2">
        <f>HYPERLINK("https://www.shelhealth.com/products/39938016166-creative-converting-michigan-table-cover-1-ea", "https://www.shelhealth.com/products/39938016166-creative-converting-michigan-table-cover-1-ea")</f>
        <v/>
      </c>
      <c r="C1592" t="inlineStr">
        <is>
          <t>CREATIVE CONVERTING Michigan Table Cover, 1 ea (Case of 5)</t>
        </is>
      </c>
      <c r="D1592" t="inlineStr">
        <is>
          <t>Creative Converting University of Michigan Print Plastic Tablecloth, 54"x108", Multicolor</t>
        </is>
      </c>
      <c r="E1592" s="2">
        <f>HYPERLINK("https://www.amazon.com/Creative-Converting-Michigan-Wolverines-Plastic/dp/B0082AKF5U/ref=sr_1_2?keywords=CREATIVE+CONVERTING+Michigan+Table+Cover%2C+1+ea+%28Case+of+5%29&amp;qid=1695170531&amp;sr=8-2", "https://www.amazon.com/Creative-Converting-Michigan-Wolverines-Plastic/dp/B0082AKF5U/ref=sr_1_2?keywords=CREATIVE+CONVERTING+Michigan+Table+Cover%2C+1+ea+%28Case+of+5%29&amp;qid=1695170531&amp;sr=8-2")</f>
        <v/>
      </c>
      <c r="F1592" t="inlineStr">
        <is>
          <t>B0082AKF5U</t>
        </is>
      </c>
      <c r="G1592">
        <f>_xludf.IMAGE("https://www.shelhealth.com/cdn/shop/files/creative-converting-michigan-table-cover-1-ea-case-of-5-household-products-shelhealth-647.jpg?v=1693228111&amp;width=1946")</f>
        <v/>
      </c>
      <c r="H1592">
        <f>_xludf.IMAGE("https://m.media-amazon.com/images/I/61ZAzj7+-nL._AC_UL320_.jpg")</f>
        <v/>
      </c>
      <c r="K1592" t="inlineStr">
        <is>
          <t>15.99</t>
        </is>
      </c>
      <c r="L1592" t="n">
        <v>9.49</v>
      </c>
      <c r="M1592" s="1" t="inlineStr">
        <is>
          <t>-40.65%</t>
        </is>
      </c>
      <c r="N1592" s="3" t="n">
        <v>-40.65</v>
      </c>
      <c r="O1592" t="n">
        <v>4.7</v>
      </c>
      <c r="P1592" t="n">
        <v>243</v>
      </c>
      <c r="R1592" t="inlineStr">
        <is>
          <t>OutOfStock</t>
        </is>
      </c>
      <c r="S1592" t="inlineStr">
        <is>
          <t>15.99</t>
        </is>
      </c>
      <c r="T1592" t="inlineStr">
        <is>
          <t>7574029861096</t>
        </is>
      </c>
    </row>
    <row r="1593" hidden="1" ht="15.75" customHeight="1">
      <c r="A1593" s="2">
        <f>HYPERLINK("https://www.shelhealth.com/products/39938016159-creative-converting-university-of-michigan-plastic-table-cover-1-ea", "https://www.shelhealth.com/products/39938016159-creative-converting-university-of-michigan-plastic-table-cover-1-ea")</f>
        <v/>
      </c>
      <c r="B1593" s="2">
        <f>HYPERLINK("https://www.shelhealth.com/products/39938016159-creative-converting-university-of-michigan-plastic-table-cover-1-ea", "https://www.shelhealth.com/products/39938016159-creative-converting-university-of-michigan-plastic-table-cover-1-ea")</f>
        <v/>
      </c>
      <c r="C1593" t="inlineStr">
        <is>
          <t>CREATIVE CONVERTING University of Michigan Plastic Table Cover, 1 ea (Case of 5)</t>
        </is>
      </c>
      <c r="D1593" t="inlineStr">
        <is>
          <t>Creative Converting University of Michigan Print Plastic Tablecloth, 54"x108", Multicolor</t>
        </is>
      </c>
      <c r="E1593" s="2">
        <f>HYPERLINK("https://www.amazon.com/Creative-Converting-Michigan-Wolverines-Plastic/dp/B0082AKF5U/ref=sr_1_2?keywords=CREATIVE+CONVERTING+University+of+Michigan+Plastic+Table+Cover%2C+1+ea+%28Case+of+5%29&amp;qid=1695170532&amp;sr=8-2", "https://www.amazon.com/Creative-Converting-Michigan-Wolverines-Plastic/dp/B0082AKF5U/ref=sr_1_2?keywords=CREATIVE+CONVERTING+University+of+Michigan+Plastic+Table+Cover%2C+1+ea+%28Case+of+5%29&amp;qid=1695170532&amp;sr=8-2")</f>
        <v/>
      </c>
      <c r="F1593" t="inlineStr">
        <is>
          <t>B0082AKF5U</t>
        </is>
      </c>
      <c r="G1593">
        <f>_xludf.IMAGE("https://www.shelhealth.com/cdn/shop/files/creative-converting-university-of-michigan-plastic-table-cover-1-ea-case-5-household-products-shelhealth-938.jpg?v=1686140246&amp;width=1946")</f>
        <v/>
      </c>
      <c r="H1593">
        <f>_xludf.IMAGE("https://m.media-amazon.com/images/I/61ZAzj7+-nL._AC_UL320_.jpg")</f>
        <v/>
      </c>
      <c r="K1593" t="inlineStr">
        <is>
          <t>15.99</t>
        </is>
      </c>
      <c r="L1593" t="n">
        <v>9.49</v>
      </c>
      <c r="M1593" s="1" t="inlineStr">
        <is>
          <t>-40.65%</t>
        </is>
      </c>
      <c r="N1593" s="3" t="n">
        <v>-40.65</v>
      </c>
      <c r="O1593" t="n">
        <v>4.7</v>
      </c>
      <c r="P1593" t="n">
        <v>243</v>
      </c>
      <c r="R1593" t="inlineStr">
        <is>
          <t>OutOfStock</t>
        </is>
      </c>
      <c r="S1593" t="inlineStr">
        <is>
          <t>15.99</t>
        </is>
      </c>
      <c r="T1593" t="inlineStr">
        <is>
          <t>7574041428200</t>
        </is>
      </c>
    </row>
    <row r="1594" hidden="1" ht="15.75" customHeight="1">
      <c r="A1594" s="2">
        <f>HYPERLINK("https://www.shelhealth.com/products/arm-and-hammer-disinfecting-wipes-440-count", "https://www.shelhealth.com/products/arm-and-hammer-disinfecting-wipes-440-count")</f>
        <v/>
      </c>
      <c r="B1594" s="2">
        <f>HYPERLINK("https://www.shelhealth.com/products/arm-and-hammer-disinfecting-wipes-440-count", "https://www.shelhealth.com/products/arm-and-hammer-disinfecting-wipes-440-count")</f>
        <v/>
      </c>
      <c r="C1594" t="inlineStr">
        <is>
          <t>Arm And Hammer Disinfecting Wipes, 440 Count</t>
        </is>
      </c>
      <c r="D1594" t="inlineStr">
        <is>
          <t>Arm &amp; Hammer Essentials Disinfecting Wipes, Lemon Orchard and Renewing Rain Variety 110 Count (Pack of 4), Volcano</t>
        </is>
      </c>
      <c r="E1594" s="2">
        <f>HYPERLINK("https://www.amazon.com/Essentials-Disinfecting-Orchard-Renewing-Variety/dp/B08ZYXWW7Q/ref=sr_1_2?keywords=Arm+And+Hammer+Disinfecting+Wipes%2C+440+Count&amp;qid=1695170425&amp;sr=8-2", "https://www.amazon.com/Essentials-Disinfecting-Orchard-Renewing-Variety/dp/B08ZYXWW7Q/ref=sr_1_2?keywords=Arm+And+Hammer+Disinfecting+Wipes%2C+440+Count&amp;qid=1695170425&amp;sr=8-2")</f>
        <v/>
      </c>
      <c r="F1594" t="inlineStr">
        <is>
          <t>B08ZYXWW7Q</t>
        </is>
      </c>
      <c r="G1594">
        <f>_xludf.IMAGE("https://www.shelhealth.com/cdn/shop/products/arm-and-hammer-disinfecting-wipes-440-count-shelhealth-250.jpg?v=1663658291&amp;width=1946")</f>
        <v/>
      </c>
      <c r="H1594">
        <f>_xludf.IMAGE("https://m.media-amazon.com/images/I/61DSvFVhUDS._AC_UL320_.jpg")</f>
        <v/>
      </c>
      <c r="K1594" t="inlineStr">
        <is>
          <t>34.99</t>
        </is>
      </c>
      <c r="L1594" t="n">
        <v>20.59</v>
      </c>
      <c r="M1594" s="1" t="inlineStr">
        <is>
          <t>-41.15%</t>
        </is>
      </c>
      <c r="N1594" s="3" t="n">
        <v>-41.15</v>
      </c>
      <c r="O1594" t="n">
        <v>4.7</v>
      </c>
      <c r="P1594" t="n">
        <v>316</v>
      </c>
      <c r="R1594" t="inlineStr">
        <is>
          <t>OutOfStock</t>
        </is>
      </c>
      <c r="S1594" t="inlineStr">
        <is>
          <t>34.99</t>
        </is>
      </c>
      <c r="T1594" t="inlineStr">
        <is>
          <t>6297326911676</t>
        </is>
      </c>
    </row>
    <row r="1595" hidden="1" ht="15.75" customHeight="1">
      <c r="A1595" s="2">
        <f>HYPERLINK("https://www.shelhealth.com/products/o-cedar-dual-action-micro-fiber-flip-mop", "https://www.shelhealth.com/products/o-cedar-dual-action-micro-fiber-flip-mop")</f>
        <v/>
      </c>
      <c r="B1595" s="2">
        <f>HYPERLINK("https://www.shelhealth.com/products/o-cedar-dual-action-micro-fiber-flip-mop", "https://www.shelhealth.com/products/o-cedar-dual-action-micro-fiber-flip-mop")</f>
        <v/>
      </c>
      <c r="C1595" t="inlineStr">
        <is>
          <t>O-Cedar Dual-Action Micro Fiber Flip Mop</t>
        </is>
      </c>
      <c r="D1595" t="inlineStr">
        <is>
          <t>O-Cedar Dual-Action Microfiber Sweeper Dust Mop,Red</t>
        </is>
      </c>
      <c r="E1595" s="2">
        <f>HYPERLINK("https://www.amazon.com/Cedar-Dual-Action-Microfiber-Sweeper-Dust/dp/B00L9RL9SA/ref=sr_1_3?keywords=o-cedar+dual-action+microfiber+flip+mop&amp;qid=1695170453&amp;sr=8-3", "https://www.amazon.com/Cedar-Dual-Action-Microfiber-Sweeper-Dust/dp/B00L9RL9SA/ref=sr_1_3?keywords=o-cedar+dual-action+microfiber+flip+mop&amp;qid=1695170453&amp;sr=8-3")</f>
        <v/>
      </c>
      <c r="F1595" t="inlineStr">
        <is>
          <t>B00L9RL9SA</t>
        </is>
      </c>
      <c r="G1595">
        <f>_xludf.IMAGE("https://www.shelhealth.com/cdn/shop/products/o-cedar-dual-action-micro-fiber-flip-mop-shelhealth-130.jpg?v=1663357602&amp;width=1946")</f>
        <v/>
      </c>
      <c r="H1595">
        <f>_xludf.IMAGE("https://m.media-amazon.com/images/I/714amZafFGL._AC_UL320_.jpg")</f>
        <v/>
      </c>
      <c r="K1595" t="inlineStr">
        <is>
          <t>23.99</t>
        </is>
      </c>
      <c r="L1595" t="n">
        <v>13.99</v>
      </c>
      <c r="M1595" s="1" t="inlineStr">
        <is>
          <t>-41.68%</t>
        </is>
      </c>
      <c r="N1595" s="3" t="n">
        <v>-41.68</v>
      </c>
      <c r="O1595" t="n">
        <v>4.5</v>
      </c>
      <c r="P1595" t="n">
        <v>9905</v>
      </c>
      <c r="R1595" t="inlineStr">
        <is>
          <t>OutOfStock</t>
        </is>
      </c>
      <c r="S1595" t="inlineStr">
        <is>
          <t>23.99</t>
        </is>
      </c>
      <c r="T1595" t="inlineStr">
        <is>
          <t>4251125514292</t>
        </is>
      </c>
    </row>
    <row r="1596" hidden="1" ht="15.75" customHeight="1">
      <c r="A1596" s="2">
        <f>HYPERLINK("https://www.shelhealth.com/products/895454002638-better-life-tub-tile-cleaner-32-oz", "https://www.shelhealth.com/products/895454002638-better-life-tub-tile-cleaner-32-oz")</f>
        <v/>
      </c>
      <c r="B1596" s="2">
        <f>HYPERLINK("https://www.shelhealth.com/products/895454002638-better-life-tub-tile-cleaner-32-oz", "https://www.shelhealth.com/products/895454002638-better-life-tub-tile-cleaner-32-oz")</f>
        <v/>
      </c>
      <c r="C1596" t="inlineStr">
        <is>
          <t>Better Life Tub &amp; Tile Cleaner, 32 Oz (Case of 3)</t>
        </is>
      </c>
      <c r="D1596" t="inlineStr">
        <is>
          <t>BETTER LIFE Bathroom Cleaner - Tea Tree Bathtub &amp; Shower Cleaner Spray for Glass and Tile - Foaming Mold and Mildew Remover for Tub Works on Hard Water Stains - 32oz (Pack of 2)</t>
        </is>
      </c>
      <c r="E1596" s="2">
        <f>HYPERLINK("https://www.amazon.com/Better-Life-Natural-Cleaner-Eucalyptus/dp/B07L4H21T6/ref=sr_1_1?keywords=Better+Life+Tub&amp;qid=1695170458&amp;sr=8-1", "https://www.amazon.com/Better-Life-Natural-Cleaner-Eucalyptus/dp/B07L4H21T6/ref=sr_1_1?keywords=Better+Life+Tub&amp;qid=1695170458&amp;sr=8-1")</f>
        <v/>
      </c>
      <c r="F1596" t="inlineStr">
        <is>
          <t>B07L4H21T6</t>
        </is>
      </c>
      <c r="G1596">
        <f>_xludf.IMAGE("https://www.shelhealth.com/cdn/shop/files/better-life-tub-tile-cleaner-32-oz-case-of-3-home-products-shelhealth-203.jpg?v=1686522776&amp;width=1946")</f>
        <v/>
      </c>
      <c r="H1596">
        <f>_xludf.IMAGE("https://m.media-amazon.com/images/I/71ZT90u1TQL._AC_UL320_.jpg")</f>
        <v/>
      </c>
      <c r="K1596" t="inlineStr">
        <is>
          <t>23.99</t>
        </is>
      </c>
      <c r="L1596" t="n">
        <v>13.97</v>
      </c>
      <c r="M1596" s="1" t="inlineStr">
        <is>
          <t>-41.77%</t>
        </is>
      </c>
      <c r="N1596" s="3" t="n">
        <v>-41.77</v>
      </c>
      <c r="O1596" t="n">
        <v>4.2</v>
      </c>
      <c r="P1596" t="n">
        <v>17107</v>
      </c>
      <c r="R1596" t="inlineStr">
        <is>
          <t>OutOfStock</t>
        </is>
      </c>
      <c r="S1596" t="inlineStr">
        <is>
          <t>23.99</t>
        </is>
      </c>
      <c r="T1596" t="inlineStr">
        <is>
          <t>7241505734844</t>
        </is>
      </c>
    </row>
    <row r="1597" hidden="1" ht="15.75" customHeight="1">
      <c r="A1597" s="2">
        <f>HYPERLINK("https://www.shelhealth.com/products/o-cedar-dual-action-micro-fiber-flip-mop", "https://www.shelhealth.com/products/o-cedar-dual-action-micro-fiber-flip-mop")</f>
        <v/>
      </c>
      <c r="B1597" s="2">
        <f>HYPERLINK("https://www.shelhealth.com/products/o-cedar-dual-action-micro-fiber-flip-mop", "https://www.shelhealth.com/products/o-cedar-dual-action-micro-fiber-flip-mop")</f>
        <v/>
      </c>
      <c r="C1597" t="inlineStr">
        <is>
          <t>O-Cedar Dual-Action Micro Fiber Flip Mop</t>
        </is>
      </c>
      <c r="D1597" t="inlineStr">
        <is>
          <t>Ximoon Microfiber Flip Mop Refill Replacement for O Cedar Dust Mop Replace Head Chenille Dual Action Cleaning Pad Hardwood Floor Wet/Dry Mopping - 2 Pack</t>
        </is>
      </c>
      <c r="E1597" s="2">
        <f>HYPERLINK("https://www.amazon.com/Ximoon-Microfiber-Replacement-Chenille-Cleaning/dp/B07RTBKN8C/ref=sr_1_10?keywords=o-cedar+dual-action+microfiber+flip+mop&amp;qid=1695170453&amp;sr=8-10", "https://www.amazon.com/Ximoon-Microfiber-Replacement-Chenille-Cleaning/dp/B07RTBKN8C/ref=sr_1_10?keywords=o-cedar+dual-action+microfiber+flip+mop&amp;qid=1695170453&amp;sr=8-10")</f>
        <v/>
      </c>
      <c r="F1597" t="inlineStr">
        <is>
          <t>B07RTBKN8C</t>
        </is>
      </c>
      <c r="G1597">
        <f>_xludf.IMAGE("https://www.shelhealth.com/cdn/shop/products/o-cedar-dual-action-micro-fiber-flip-mop-shelhealth-130.jpg?v=1663357602&amp;width=1946")</f>
        <v/>
      </c>
      <c r="H1597">
        <f>_xludf.IMAGE("https://m.media-amazon.com/images/I/81fn4-P0m5L._AC_UL320_.jpg")</f>
        <v/>
      </c>
      <c r="K1597" t="inlineStr">
        <is>
          <t>23.99</t>
        </is>
      </c>
      <c r="L1597" t="n">
        <v>13.97</v>
      </c>
      <c r="M1597" s="1" t="inlineStr">
        <is>
          <t>-41.77%</t>
        </is>
      </c>
      <c r="N1597" s="3" t="n">
        <v>-41.77</v>
      </c>
      <c r="O1597" t="n">
        <v>4.7</v>
      </c>
      <c r="P1597" t="n">
        <v>349</v>
      </c>
      <c r="R1597" t="inlineStr">
        <is>
          <t>OutOfStock</t>
        </is>
      </c>
      <c r="S1597" t="inlineStr">
        <is>
          <t>23.99</t>
        </is>
      </c>
      <c r="T1597" t="inlineStr">
        <is>
          <t>4251125514292</t>
        </is>
      </c>
    </row>
    <row r="1598" hidden="1" ht="15.75" customHeight="1">
      <c r="A1598" s="2">
        <f>HYPERLINK("https://www.shelhealth.com/products/ultra-downy-april-fresh-liquid-laundry-fabric-softener-170-oz-197-loads", "https://www.shelhealth.com/products/ultra-downy-april-fresh-liquid-laundry-fabric-softener-170-oz-197-loads")</f>
        <v/>
      </c>
      <c r="B1598" s="2">
        <f>HYPERLINK("https://www.shelhealth.com/products/ultra-downy-april-fresh-liquid-laundry-fabric-softener-170-oz-197-loads", "https://www.shelhealth.com/products/ultra-downy-april-fresh-liquid-laundry-fabric-softener-170-oz-197-loads")</f>
        <v/>
      </c>
      <c r="C1598" t="inlineStr">
        <is>
          <t>Ultra Downy April Fresh Liquid Laundry Fabric Softener - 148 oz. - 204 loads</t>
        </is>
      </c>
      <c r="D1598" t="inlineStr">
        <is>
          <t>Downy Ultra Laundry Fabric Softener Liquid, April Fresh Scent, 120 Loads (Pack of 2)</t>
        </is>
      </c>
      <c r="E1598" s="2">
        <f>HYPERLINK("https://www.amazon.com/Downy-Laundry-Fabric-Softener-Liquid/dp/B0BV686K2F/ref=sr_1_6?keywords=Ultra+Downy+April+Fresh+Liquid+Laundry+Fabric+Softener+-+148+oz.+-+204+loads&amp;qid=1695170417&amp;sr=8-6", "https://www.amazon.com/Downy-Laundry-Fabric-Softener-Liquid/dp/B0BV686K2F/ref=sr_1_6?keywords=Ultra+Downy+April+Fresh+Liquid+Laundry+Fabric+Softener+-+148+oz.+-+204+loads&amp;qid=1695170417&amp;sr=8-6")</f>
        <v/>
      </c>
      <c r="F1598" t="inlineStr">
        <is>
          <t>B0BV686K2F</t>
        </is>
      </c>
      <c r="G1598">
        <f>_xludf.IMAGE("https://www.shelhealth.com/cdn/shop/products/ultra-downy-april-fresh-liquid-laundry-fabric-softener-148-oz-204-loads-shelhealth-196.jpg?v=1663343249&amp;width=1946")</f>
        <v/>
      </c>
      <c r="H1598">
        <f>_xludf.IMAGE("https://m.media-amazon.com/images/I/510oYhMTbBL._AC_UL320_.jpg")</f>
        <v/>
      </c>
      <c r="K1598" t="inlineStr">
        <is>
          <t>32.99</t>
        </is>
      </c>
      <c r="L1598" t="n">
        <v>19.04</v>
      </c>
      <c r="M1598" s="1" t="inlineStr">
        <is>
          <t>-42.29%</t>
        </is>
      </c>
      <c r="N1598" s="3" t="n">
        <v>-42.29</v>
      </c>
      <c r="O1598" t="n">
        <v>4.9</v>
      </c>
      <c r="P1598" t="n">
        <v>36</v>
      </c>
      <c r="R1598" t="inlineStr">
        <is>
          <t>InStock</t>
        </is>
      </c>
      <c r="S1598" t="inlineStr">
        <is>
          <t>32.99</t>
        </is>
      </c>
      <c r="T1598" t="inlineStr">
        <is>
          <t>3819976720436</t>
        </is>
      </c>
    </row>
    <row r="1599" hidden="1" ht="15.75" customHeight="1">
      <c r="A1599" s="2">
        <f>HYPERLINK("https://www.shelhealth.com/products/628689700242-paper-chef-parchment-pre-cut-sheets-1-ea", "https://www.shelhealth.com/products/628689700242-paper-chef-parchment-pre-cut-sheets-1-ea")</f>
        <v/>
      </c>
      <c r="B1599" s="2">
        <f>HYPERLINK("https://www.shelhealth.com/products/628689700242-paper-chef-parchment-pre-cut-sheets-1-ea", "https://www.shelhealth.com/products/628689700242-paper-chef-parchment-pre-cut-sheets-1-ea")</f>
        <v/>
      </c>
      <c r="C1599" t="inlineStr">
        <is>
          <t>PAPER CHEF Parchment Pre Cut Sheets, 1 ea (Case of 4)</t>
        </is>
      </c>
      <c r="D1599" t="inlineStr">
        <is>
          <t>200 Pcs Parchment Paper Sheets, 12 x 16 Inches Air Fryer Disposable Paper Liners, Non-Stick Precut Parchment Paper for Baking, HOFHTD Unbleached Baking Papers for Cooking, Grilling, Roasting, Steaming</t>
        </is>
      </c>
      <c r="E1599" s="2">
        <f>HYPERLINK("https://www.amazon.com/Parchment-Disposable-Non-Stick-HOFHTD-Unbleached/dp/B09V4SYGPK/ref=sr_1_7?keywords=PAPER+CHEF+Parchment+Pre+Cut+Sheets%2C+1+ea+%28Case+of+4%29&amp;qid=1695170526&amp;sr=8-7", "https://www.amazon.com/Parchment-Disposable-Non-Stick-HOFHTD-Unbleached/dp/B09V4SYGPK/ref=sr_1_7?keywords=PAPER+CHEF+Parchment+Pre+Cut+Sheets%2C+1+ea+%28Case+of+4%29&amp;qid=1695170526&amp;sr=8-7")</f>
        <v/>
      </c>
      <c r="F1599" t="inlineStr">
        <is>
          <t>B09V4SYGPK</t>
        </is>
      </c>
      <c r="G1599">
        <f>_xludf.IMAGE("https://www.shelhealth.com/cdn/shop/files/paper-chef-parchment-pre-cut-sheets-1-ea-case-of-4-household-products-shelhealth-641.jpg?v=1688713709&amp;width=1946")</f>
        <v/>
      </c>
      <c r="H1599">
        <f>_xludf.IMAGE("https://m.media-amazon.com/images/I/71pYXa7r1-L._AC_UL320_.jpg")</f>
        <v/>
      </c>
      <c r="K1599" t="inlineStr">
        <is>
          <t>25.99</t>
        </is>
      </c>
      <c r="L1599" t="n">
        <v>14.99</v>
      </c>
      <c r="M1599" s="1" t="inlineStr">
        <is>
          <t>-42.32%</t>
        </is>
      </c>
      <c r="N1599" s="3" t="n">
        <v>-42.32</v>
      </c>
      <c r="O1599" t="n">
        <v>4.8</v>
      </c>
      <c r="P1599" t="n">
        <v>15</v>
      </c>
      <c r="R1599" t="inlineStr">
        <is>
          <t>OutOfStock</t>
        </is>
      </c>
      <c r="S1599" t="inlineStr">
        <is>
          <t>25.99</t>
        </is>
      </c>
      <c r="T1599" t="inlineStr">
        <is>
          <t>7574247735528</t>
        </is>
      </c>
    </row>
    <row r="1600" hidden="1" ht="15.75" customHeight="1">
      <c r="A1600" s="2">
        <f>HYPERLINK("https://www.shelhealth.com/products/microban-24-hour-disinfectant-sanitizing-spray-3-ct", "https://www.shelhealth.com/products/microban-24-hour-disinfectant-sanitizing-spray-3-ct")</f>
        <v/>
      </c>
      <c r="B1600" s="2">
        <f>HYPERLINK("https://www.shelhealth.com/products/microban-24-hour-disinfectant-sanitizing-spray-3-ct", "https://www.shelhealth.com/products/microban-24-hour-disinfectant-sanitizing-spray-3-ct")</f>
        <v/>
      </c>
      <c r="C1600" t="inlineStr">
        <is>
          <t>Microban 24 Hour Disinfectant Sanitizing Spray, 3 ct.</t>
        </is>
      </c>
      <c r="D1600" t="inlineStr">
        <is>
          <t>Microban Disinfectant Spray, 24 Hour Sanitizing and Antibacterial Spray, All Purpose Cleaner, Fresh Scent, 22 Fl Oz (Pack of 4)</t>
        </is>
      </c>
      <c r="E1600" s="2">
        <f>HYPERLINK("https://www.amazon.com/Microban-Multi-Purpose-Cleaner-Disinfectant-Spray/dp/B08PFLM6GR/ref=sr_1_1?keywords=Microban+24+Hour+Disinfectant+Sanitizing+Spray%2C+3+ct.&amp;qid=1695170401&amp;sr=8-1", "https://www.amazon.com/Microban-Multi-Purpose-Cleaner-Disinfectant-Spray/dp/B08PFLM6GR/ref=sr_1_1?keywords=Microban+24+Hour+Disinfectant+Sanitizing+Spray%2C+3+ct.&amp;qid=1695170401&amp;sr=8-1")</f>
        <v/>
      </c>
      <c r="F1600" t="inlineStr">
        <is>
          <t>B08PFLM6GR</t>
        </is>
      </c>
      <c r="G1600">
        <f>_xludf.IMAGE("https://www.shelhealth.com/cdn/shop/products/microban-24-hour-disinfectant-sanitizing-spray-3-ct-shelhealth-863.jpg?v=1663372971&amp;width=1946")</f>
        <v/>
      </c>
      <c r="H1600">
        <f>_xludf.IMAGE("https://m.media-amazon.com/images/I/91KM1BSyhHL._AC_UL320_.jpg")</f>
        <v/>
      </c>
      <c r="K1600" t="inlineStr">
        <is>
          <t>27.99</t>
        </is>
      </c>
      <c r="L1600" t="n">
        <v>15.99</v>
      </c>
      <c r="M1600" s="1" t="inlineStr">
        <is>
          <t>-42.87%</t>
        </is>
      </c>
      <c r="N1600" s="3" t="n">
        <v>-42.87</v>
      </c>
      <c r="O1600" t="n">
        <v>4.7</v>
      </c>
      <c r="P1600" t="n">
        <v>4618</v>
      </c>
      <c r="R1600" t="inlineStr">
        <is>
          <t>InStock</t>
        </is>
      </c>
      <c r="S1600" t="inlineStr">
        <is>
          <t>27.99</t>
        </is>
      </c>
      <c r="T1600" t="inlineStr">
        <is>
          <t>4697907855449</t>
        </is>
      </c>
    </row>
    <row r="1601" hidden="1" ht="15.75" customHeight="1">
      <c r="A1601" s="2">
        <f>HYPERLINK("https://www.shelhealth.com/products/brita-on-tap-faucet-replacement-filter-4-pack", "https://www.shelhealth.com/products/brita-on-tap-faucet-replacement-filter-4-pack")</f>
        <v/>
      </c>
      <c r="B1601" s="2">
        <f>HYPERLINK("https://www.shelhealth.com/products/brita-on-tap-faucet-replacement-filter-4-pack", "https://www.shelhealth.com/products/brita-on-tap-faucet-replacement-filter-4-pack")</f>
        <v/>
      </c>
      <c r="C1601" t="inlineStr">
        <is>
          <t>Brita On Tap Faucet Replacement Filter, 4 Pack</t>
        </is>
      </c>
      <c r="D1601" t="inlineStr">
        <is>
          <t>AQUA CREST Faucet Filter Replacement, Replacement for Brita® Faucet Filter, Brita® 36311 On Tap Water Filtration System, Brita® FR-200, FF-100 Replacement Filter, White (Pack of 4)</t>
        </is>
      </c>
      <c r="E1601" s="2" t="n"/>
      <c r="F1601" t="inlineStr">
        <is>
          <t>B07YTZ56PL</t>
        </is>
      </c>
      <c r="G1601">
        <f>_xludf.IMAGE("https://www.shelhealth.com/cdn/shop/products/brita-on-tap-faucet-replacement-filter-4-pack-shelhealth-948.jpg?v=1663357240&amp;width=1946")</f>
        <v/>
      </c>
      <c r="H1601">
        <f>_xludf.IMAGE("https://m.media-amazon.com/images/I/71w37v54wnL._AC_UL320_.jpg")</f>
        <v/>
      </c>
      <c r="K1601" t="inlineStr">
        <is>
          <t>63.99</t>
        </is>
      </c>
      <c r="L1601" t="n">
        <v>35.99</v>
      </c>
      <c r="M1601" s="1" t="inlineStr">
        <is>
          <t>-43.76%</t>
        </is>
      </c>
      <c r="N1601" s="3" t="n">
        <v>-43.76</v>
      </c>
      <c r="O1601" t="n">
        <v>4.5</v>
      </c>
      <c r="P1601" t="n">
        <v>652</v>
      </c>
      <c r="R1601" t="inlineStr">
        <is>
          <t>OutOfStock</t>
        </is>
      </c>
      <c r="S1601" t="inlineStr">
        <is>
          <t>63.99</t>
        </is>
      </c>
      <c r="T1601" t="inlineStr">
        <is>
          <t>4179297632308</t>
        </is>
      </c>
    </row>
    <row r="1602" hidden="1" ht="15.75" customHeight="1">
      <c r="A1602" s="2">
        <f>HYPERLINK("https://www.shelhealth.com/products/brita-on-tap-faucet-replacement-filter-4-pack", "https://www.shelhealth.com/products/brita-on-tap-faucet-replacement-filter-4-pack")</f>
        <v/>
      </c>
      <c r="B1602" s="2">
        <f>HYPERLINK("https://www.shelhealth.com/products/brita-on-tap-faucet-replacement-filter-4-pack", "https://www.shelhealth.com/products/brita-on-tap-faucet-replacement-filter-4-pack")</f>
        <v/>
      </c>
      <c r="C1602" t="inlineStr">
        <is>
          <t>Brita On Tap Faucet Replacement Filter, 4 Pack</t>
        </is>
      </c>
      <c r="D1602" t="inlineStr">
        <is>
          <t>AQUA CREST Faucet Filter Replacement, Replacement for Brita® Faucet Filter, Brita® 36311 On Tap Water Filtration System, Brita® FR-200, FF-100 Replacement Filter, White (Pack of 4)</t>
        </is>
      </c>
      <c r="E1602" s="2">
        <f>HYPERLINK("https://www.amazon.com/AQUA-CREST-Cartridges-Compatible-Replacement/dp/B07YTZ56PL/ref=sr_1_8?keywords=Brita+On+Tap+Faucet+Replacement+Filter%2C+4+Pack&amp;qid=1695170554&amp;sr=8-8", "https://www.amazon.com/AQUA-CREST-Cartridges-Compatible-Replacement/dp/B07YTZ56PL/ref=sr_1_8?keywords=Brita+On+Tap+Faucet+Replacement+Filter%2C+4+Pack&amp;qid=1695170554&amp;sr=8-8")</f>
        <v/>
      </c>
      <c r="F1602" t="inlineStr">
        <is>
          <t>B07YTZ56PL</t>
        </is>
      </c>
      <c r="G1602">
        <f>_xludf.IMAGE("https://www.shelhealth.com/cdn/shop/products/brita-on-tap-faucet-replacement-filter-4-pack-shelhealth-948.jpg?v=1663357240&amp;width=1946")</f>
        <v/>
      </c>
      <c r="H1602">
        <f>_xludf.IMAGE("https://m.media-amazon.com/images/I/71w37v54wnL._AC_UL320_.jpg")</f>
        <v/>
      </c>
      <c r="K1602" t="inlineStr">
        <is>
          <t>63.99</t>
        </is>
      </c>
      <c r="L1602" t="n">
        <v>35.99</v>
      </c>
      <c r="M1602" s="1" t="inlineStr">
        <is>
          <t>-43.76%</t>
        </is>
      </c>
      <c r="N1602" s="3" t="n">
        <v>-43.76</v>
      </c>
      <c r="O1602" t="n">
        <v>4.5</v>
      </c>
      <c r="P1602" t="n">
        <v>652</v>
      </c>
      <c r="R1602" t="inlineStr">
        <is>
          <t>OutOfStock</t>
        </is>
      </c>
      <c r="S1602" t="inlineStr">
        <is>
          <t>63.99</t>
        </is>
      </c>
      <c r="T1602" t="inlineStr">
        <is>
          <t>4179297632308</t>
        </is>
      </c>
    </row>
    <row r="1603" hidden="1" ht="15.75" customHeight="1">
      <c r="A1603" s="2">
        <f>HYPERLINK("https://www.shelhealth.com/products/palmolive-ultra-dishwashing-liquid-dish-soap-original-102-fl-oz", "https://www.shelhealth.com/products/palmolive-ultra-dishwashing-liquid-dish-soap-original-102-fl-oz")</f>
        <v/>
      </c>
      <c r="B1603" s="2">
        <f>HYPERLINK("https://www.shelhealth.com/products/palmolive-ultra-dishwashing-liquid-dish-soap-original-102-fl-oz", "https://www.shelhealth.com/products/palmolive-ultra-dishwashing-liquid-dish-soap-original-102-fl-oz")</f>
        <v/>
      </c>
      <c r="C1603" t="inlineStr">
        <is>
          <t>Palmolive Ultra Dishwashing Liquid Dish Soap, Original, 102 fl. oz.</t>
        </is>
      </c>
      <c r="D1603" t="inlineStr">
        <is>
          <t>Palmolive Ultra Dishwashing Liquid Dish Soap, Citrus Lemon Scent- 20 Fl. Oz</t>
        </is>
      </c>
      <c r="E1603" s="2">
        <f>HYPERLINK("https://www.amazon.com/Palmolive-Dishwashing-Liquid-Citrus-Scent/dp/B08P3HBY63/ref=sr_1_3?keywords=Palmolive+Ultra+Dishwashing+Liquid+Dish+Soap%2C+Original%2C+102+fl.+oz.&amp;qid=1695170433&amp;sr=8-3", "https://www.amazon.com/Palmolive-Dishwashing-Liquid-Citrus-Scent/dp/B08P3HBY63/ref=sr_1_3?keywords=Palmolive+Ultra+Dishwashing+Liquid+Dish+Soap%2C+Original%2C+102+fl.+oz.&amp;qid=1695170433&amp;sr=8-3")</f>
        <v/>
      </c>
      <c r="F1603" t="inlineStr">
        <is>
          <t>B08P3HBY63</t>
        </is>
      </c>
      <c r="G1603">
        <f>_xludf.IMAGE("https://www.shelhealth.com/cdn/shop/files/palmolive-ultra-dishwashing-liquid-dish-soap-original-102-fl-oz-grocery-household-petcleaning-goods-shelhealth-124.jpg?v=1686283062&amp;width=1946")</f>
        <v/>
      </c>
      <c r="H1603">
        <f>_xludf.IMAGE("https://m.media-amazon.com/images/I/719tY7FQlbL._AC_UL320_.jpg")</f>
        <v/>
      </c>
      <c r="K1603" t="inlineStr">
        <is>
          <t>15.99</t>
        </is>
      </c>
      <c r="L1603" t="n">
        <v>8.99</v>
      </c>
      <c r="M1603" s="1" t="inlineStr">
        <is>
          <t>-43.78%</t>
        </is>
      </c>
      <c r="N1603" s="3" t="n">
        <v>-43.78</v>
      </c>
      <c r="O1603" t="n">
        <v>4.4</v>
      </c>
      <c r="P1603" t="n">
        <v>535</v>
      </c>
      <c r="R1603" t="inlineStr">
        <is>
          <t>InStock</t>
        </is>
      </c>
      <c r="S1603" t="inlineStr">
        <is>
          <t>15.99</t>
        </is>
      </c>
      <c r="T1603" t="inlineStr">
        <is>
          <t>4169704669236</t>
        </is>
      </c>
    </row>
    <row r="1604" hidden="1" ht="15.75" customHeight="1">
      <c r="A1604" s="2">
        <f>HYPERLINK("https://www.shelhealth.com/products/rowenta-cord-reel-iron", "https://www.shelhealth.com/products/rowenta-cord-reel-iron")</f>
        <v/>
      </c>
      <c r="B1604" s="2">
        <f>HYPERLINK("https://www.shelhealth.com/products/rowenta-cord-reel-iron", "https://www.shelhealth.com/products/rowenta-cord-reel-iron")</f>
        <v/>
      </c>
      <c r="C1604" t="inlineStr">
        <is>
          <t>Rowenta Cord-Reel Iron</t>
        </is>
      </c>
      <c r="D1604" t="inlineStr">
        <is>
          <t>BLACK+DECKER Cord Reel Iron with Nonstick Soleplate, ICR16X</t>
        </is>
      </c>
      <c r="E1604" s="2">
        <f>HYPERLINK("https://www.amazon.com/Black-Decker-ICR16X-Iron-Navy/dp/B010UZYNYS/ref=sr_1_9?keywords=Rowenta+Cord-Reel+Iron&amp;qid=1695170555&amp;sr=8-9", "https://www.amazon.com/Black-Decker-ICR16X-Iron-Navy/dp/B010UZYNYS/ref=sr_1_9?keywords=Rowenta+Cord-Reel+Iron&amp;qid=1695170555&amp;sr=8-9")</f>
        <v/>
      </c>
      <c r="F1604" t="inlineStr">
        <is>
          <t>B010UZYNYS</t>
        </is>
      </c>
      <c r="G1604">
        <f>_xludf.IMAGE("https://www.shelhealth.com/cdn/shop/products/rowenta-cord-reel-iron-shelhealth-653.jpg?v=1663357139&amp;width=1946")</f>
        <v/>
      </c>
      <c r="H1604">
        <f>_xludf.IMAGE("https://m.media-amazon.com/images/I/71KnerysbNL._AC_UY218_.jpg")</f>
        <v/>
      </c>
      <c r="K1604" t="inlineStr">
        <is>
          <t>80.99</t>
        </is>
      </c>
      <c r="L1604" t="n">
        <v>44.99</v>
      </c>
      <c r="M1604" s="1" t="inlineStr">
        <is>
          <t>-44.45%</t>
        </is>
      </c>
      <c r="N1604" s="3" t="n">
        <v>-44.45</v>
      </c>
      <c r="O1604" t="n">
        <v>4.4</v>
      </c>
      <c r="P1604" t="n">
        <v>2730</v>
      </c>
      <c r="R1604" t="inlineStr">
        <is>
          <t>OutOfStock</t>
        </is>
      </c>
      <c r="S1604" t="inlineStr">
        <is>
          <t>80.99</t>
        </is>
      </c>
      <c r="T1604" t="inlineStr">
        <is>
          <t>4179228065844</t>
        </is>
      </c>
    </row>
    <row r="1605" hidden="1" ht="15.75" customHeight="1">
      <c r="A1605" s="2">
        <f>HYPERLINK("https://www.shelhealth.com/products/pur-faucet-filtration-system", "https://www.shelhealth.com/products/pur-faucet-filtration-system")</f>
        <v/>
      </c>
      <c r="B1605" s="2">
        <f>HYPERLINK("https://www.shelhealth.com/products/pur-faucet-filtration-system", "https://www.shelhealth.com/products/pur-faucet-filtration-system")</f>
        <v/>
      </c>
      <c r="C1605" t="inlineStr">
        <is>
          <t>Pur Faucet Filtration System</t>
        </is>
      </c>
      <c r="D1605" t="inlineStr">
        <is>
          <t>PUR Plus Faucet Mount Water Filtration System, Champagne, PFM360F</t>
        </is>
      </c>
      <c r="E1605" s="2">
        <f>HYPERLINK("https://www.amazon.com/PUR-Faucet-Filtration-Champagne-PFM360F/dp/B09DTV1XC6/ref=sr_1_10?keywords=Pur+Faucet+Filtration+System&amp;qid=1695170549&amp;sr=8-10", "https://www.amazon.com/PUR-Faucet-Filtration-Champagne-PFM360F/dp/B09DTV1XC6/ref=sr_1_10?keywords=Pur+Faucet+Filtration+System&amp;qid=1695170549&amp;sr=8-10")</f>
        <v/>
      </c>
      <c r="F1605" t="inlineStr">
        <is>
          <t>B09DTV1XC6</t>
        </is>
      </c>
      <c r="G1605">
        <f>_xludf.IMAGE("https://www.shelhealth.com/cdn/shop/products/pur-faucet-filtration-system-shelhealth-810.jpg?v=1663357419&amp;width=1946")</f>
        <v/>
      </c>
      <c r="H1605">
        <f>_xludf.IMAGE("https://m.media-amazon.com/images/I/51Bd24k2UYL._AC_UL320_.jpg")</f>
        <v/>
      </c>
      <c r="K1605" t="inlineStr">
        <is>
          <t>71.99</t>
        </is>
      </c>
      <c r="L1605" t="n">
        <v>39.99</v>
      </c>
      <c r="M1605" s="1" t="inlineStr">
        <is>
          <t>-44.45%</t>
        </is>
      </c>
      <c r="N1605" s="3" t="n">
        <v>-44.45</v>
      </c>
      <c r="O1605" t="n">
        <v>4</v>
      </c>
      <c r="P1605" t="n">
        <v>4</v>
      </c>
      <c r="R1605" t="inlineStr">
        <is>
          <t>InStock</t>
        </is>
      </c>
      <c r="S1605" t="inlineStr">
        <is>
          <t>71.99</t>
        </is>
      </c>
      <c r="T1605" t="inlineStr">
        <is>
          <t>4181272002612</t>
        </is>
      </c>
    </row>
    <row r="1606" hidden="1" ht="15.75" customHeight="1">
      <c r="A1606" s="2">
        <f>HYPERLINK("https://www.shelhealth.com/products/febreze-air-freshener-hawaiian-aloha-8-8-oz", "https://www.shelhealth.com/products/febreze-air-freshener-hawaiian-aloha-8-8-oz")</f>
        <v/>
      </c>
      <c r="B1606" s="2">
        <f>HYPERLINK("https://www.shelhealth.com/products/febreze-air-freshener-hawaiian-aloha-8-8-oz", "https://www.shelhealth.com/products/febreze-air-freshener-hawaiian-aloha-8-8-oz")</f>
        <v/>
      </c>
      <c r="C1606" t="inlineStr">
        <is>
          <t>Febreze AIR Freshener Hawaiian Aloha, 8.8 oz (Case of 5)</t>
        </is>
      </c>
      <c r="D1606" t="inlineStr">
        <is>
          <t>Febreze Air Freshener and Odor Eliminator Spray Variety Pack, Original Gain Scent, Linen &amp; Sky, Hawaiian Aloha, and Ocean Scent, 8.8 oz (Pack of 4)</t>
        </is>
      </c>
      <c r="E1606" s="2">
        <f>HYPERLINK("https://www.amazon.com/Febreze-Air/dp/B08YXJGMNZ/ref=sr_1_7?keywords=Febreze+AIR+Freshener+Hawaiian+Aloha%2C+8.8+oz+%28Case+of+5%29&amp;qid=1695170548&amp;sr=8-7", "https://www.amazon.com/Febreze-Air/dp/B08YXJGMNZ/ref=sr_1_7?keywords=Febreze+AIR+Freshener+Hawaiian+Aloha%2C+8.8+oz+%28Case+of+5%29&amp;qid=1695170548&amp;sr=8-7")</f>
        <v/>
      </c>
      <c r="F1606" t="inlineStr">
        <is>
          <t>B08YXJGMNZ</t>
        </is>
      </c>
      <c r="G1606">
        <f>_xludf.IMAGE("https://www.shelhealth.com/cdn/shop/products/febreze-air-freshener-hawaiian-aloha-8-oz-case-of-5-shelhealth-297.jpg?v=1675329832&amp;width=1946")</f>
        <v/>
      </c>
      <c r="H1606">
        <f>_xludf.IMAGE("https://m.media-amazon.com/images/I/71cpTkuoJcL._AC_UL320_.jpg")</f>
        <v/>
      </c>
      <c r="K1606" t="inlineStr">
        <is>
          <t>34.99</t>
        </is>
      </c>
      <c r="L1606" t="n">
        <v>19.29</v>
      </c>
      <c r="M1606" s="1" t="inlineStr">
        <is>
          <t>-44.87%</t>
        </is>
      </c>
      <c r="N1606" s="3" t="n">
        <v>-44.87</v>
      </c>
      <c r="O1606" t="n">
        <v>3.7</v>
      </c>
      <c r="P1606" t="n">
        <v>8</v>
      </c>
      <c r="R1606" t="inlineStr">
        <is>
          <t>InStock</t>
        </is>
      </c>
      <c r="S1606" t="inlineStr">
        <is>
          <t>34.99</t>
        </is>
      </c>
      <c r="T1606" t="inlineStr">
        <is>
          <t>4458272784473</t>
        </is>
      </c>
    </row>
    <row r="1607" hidden="1" ht="15.75" customHeight="1">
      <c r="A1607" s="2">
        <f>HYPERLINK("https://www.shelhealth.com/products/lysol-disinfectant-spray-4-ct-19-oz", "https://www.shelhealth.com/products/lysol-disinfectant-spray-4-ct-19-oz")</f>
        <v/>
      </c>
      <c r="B1607" s="2">
        <f>HYPERLINK("https://www.shelhealth.com/products/lysol-disinfectant-spray-4-ct-19-oz", "https://www.shelhealth.com/products/lysol-disinfectant-spray-4-ct-19-oz")</f>
        <v/>
      </c>
      <c r="C1607" t="inlineStr">
        <is>
          <t>Lysol Disinfectant Spray, 4 ct./19 oz.</t>
        </is>
      </c>
      <c r="D1607" t="inlineStr">
        <is>
          <t>Lysol Disinfectant Spray, Sanitizing and Antibacterial Spray, For Disinfecting and Deodorizing, Crisp Linen, 2 Count, 12.5 fl oz each</t>
        </is>
      </c>
      <c r="E1607" s="2">
        <f>HYPERLINK("https://www.amazon.com/Lysol-Disinfectant-Spray-Crisp-Linen/dp/B014V9M3UA/ref=sr_1_9?keywords=Lysol+Disinfectant+Spray%2C+4+ct.%2F19+oz.&amp;qid=1695170396&amp;sr=8-9", "https://www.amazon.com/Lysol-Disinfectant-Spray-Crisp-Linen/dp/B014V9M3UA/ref=sr_1_9?keywords=Lysol+Disinfectant+Spray%2C+4+ct.%2F19+oz.&amp;qid=1695170396&amp;sr=8-9")</f>
        <v/>
      </c>
      <c r="F1607" t="inlineStr">
        <is>
          <t>B014V9M3UA</t>
        </is>
      </c>
      <c r="G1607">
        <f>_xludf.IMAGE("https://www.shelhealth.com/cdn/shop/products/lysol-disinfectant-spray-4-ct-19-oz-shelhealth-997.jpg?v=1663355321&amp;width=1946")</f>
        <v/>
      </c>
      <c r="H1607">
        <f>_xludf.IMAGE("https://m.media-amazon.com/images/I/81S4XFlStHL._AC_UL320_.jpg")</f>
        <v/>
      </c>
      <c r="K1607" t="inlineStr">
        <is>
          <t>29.99</t>
        </is>
      </c>
      <c r="L1607" t="n">
        <v>16.49</v>
      </c>
      <c r="M1607" s="1" t="inlineStr">
        <is>
          <t>-45.02%</t>
        </is>
      </c>
      <c r="N1607" s="3" t="n">
        <v>-45.02</v>
      </c>
      <c r="O1607" t="n">
        <v>4.7</v>
      </c>
      <c r="P1607" t="n">
        <v>1432</v>
      </c>
      <c r="R1607" t="inlineStr">
        <is>
          <t>OutOfStock</t>
        </is>
      </c>
      <c r="S1607" t="inlineStr">
        <is>
          <t>29.99</t>
        </is>
      </c>
      <c r="T1607" t="inlineStr">
        <is>
          <t>4169806643252</t>
        </is>
      </c>
    </row>
    <row r="1608" hidden="1" ht="15.75" customHeight="1">
      <c r="A1608" s="2">
        <f>HYPERLINK("https://www.shelhealth.com/products/downy-unstopables-in-wash-scent-booster-beads-fresh-30-3-oz", "https://www.shelhealth.com/products/downy-unstopables-in-wash-scent-booster-beads-fresh-30-3-oz")</f>
        <v/>
      </c>
      <c r="B1608" s="2">
        <f>HYPERLINK("https://www.shelhealth.com/products/downy-unstopables-in-wash-scent-booster-beads-fresh-30-3-oz", "https://www.shelhealth.com/products/downy-unstopables-in-wash-scent-booster-beads-fresh-30-3-oz")</f>
        <v/>
      </c>
      <c r="C1608" t="inlineStr">
        <is>
          <t>Downy Unstopables in-Wash Scent Booster Beads, Fresh (30.3 oz.)</t>
        </is>
      </c>
      <c r="D1608" t="inlineStr">
        <is>
          <t>Downy Unstopables In-Wash Scent Booster Beads, SPRING, 10 oz</t>
        </is>
      </c>
      <c r="E1608" s="2">
        <f>HYPERLINK("https://www.amazon.com/Downy-Unstopables-wash-Booster-Spring/dp/B07BHXTW8N/ref=sr_1_6?keywords=Downy+Unstopables+in-Wash+Scent+Booster+Beads%2C+Fresh+%2830.3+oz.%29&amp;qid=1695170384&amp;sr=8-6", "https://www.amazon.com/Downy-Unstopables-wash-Booster-Spring/dp/B07BHXTW8N/ref=sr_1_6?keywords=Downy+Unstopables+in-Wash+Scent+Booster+Beads%2C+Fresh+%2830.3+oz.%29&amp;qid=1695170384&amp;sr=8-6")</f>
        <v/>
      </c>
      <c r="F1608" t="inlineStr">
        <is>
          <t>B07BHXTW8N</t>
        </is>
      </c>
      <c r="G1608">
        <f>_xludf.IMAGE("https://www.shelhealth.com/cdn/shop/products/downy-unstopables-in-wash-scent-booster-beads-fresh-30-3-oz-shelhealth-182.jpg?v=1663343197&amp;width=1946")</f>
        <v/>
      </c>
      <c r="H1608">
        <f>_xludf.IMAGE("https://m.media-amazon.com/images/I/816PWqbabAL._AC_UL320_.jpg")</f>
        <v/>
      </c>
      <c r="K1608" t="inlineStr">
        <is>
          <t>21.99</t>
        </is>
      </c>
      <c r="L1608" t="n">
        <v>12</v>
      </c>
      <c r="M1608" s="1" t="inlineStr">
        <is>
          <t>-45.43%</t>
        </is>
      </c>
      <c r="N1608" s="3" t="n">
        <v>-45.43</v>
      </c>
      <c r="O1608" t="n">
        <v>4.6</v>
      </c>
      <c r="P1608" t="n">
        <v>31</v>
      </c>
      <c r="R1608" t="inlineStr">
        <is>
          <t>InStock</t>
        </is>
      </c>
      <c r="S1608" t="inlineStr">
        <is>
          <t>21.99</t>
        </is>
      </c>
      <c r="T1608" t="inlineStr">
        <is>
          <t>3819605065780</t>
        </is>
      </c>
    </row>
    <row r="1609" hidden="1" ht="15.75" customHeight="1">
      <c r="A1609" s="2">
        <f>HYPERLINK("https://www.shelhealth.com/products/shout-stain-remover-1-gal-with-spray-bottle-22-oz", "https://www.shelhealth.com/products/shout-stain-remover-1-gal-with-spray-bottle-22-oz")</f>
        <v/>
      </c>
      <c r="B1609" s="2">
        <f>HYPERLINK("https://www.shelhealth.com/products/shout-stain-remover-1-gal-with-spray-bottle-22-oz", "https://www.shelhealth.com/products/shout-stain-remover-1-gal-with-spray-bottle-22-oz")</f>
        <v/>
      </c>
      <c r="C1609" t="inlineStr">
        <is>
          <t>Shout Stain Remover, 1 gal. with Spray Bottle, 22 oz.</t>
        </is>
      </c>
      <c r="D1609" t="inlineStr">
        <is>
          <t>Shout Triple Acting Laundry Stain Remover with 22 OZ Trigger, 1 Gallon</t>
        </is>
      </c>
      <c r="E1609" s="2">
        <f>HYPERLINK("https://www.amazon.com/Shout-Triple-Laundry-Remover-Trigger/dp/B002LHNWFA/ref=sr_1_9?keywords=Shout+Stain+Remover%2C+1+gal.+with+Spray+Bottle%2C+22+oz.&amp;qid=1695170384&amp;sr=8-9", "https://www.amazon.com/Shout-Triple-Laundry-Remover-Trigger/dp/B002LHNWFA/ref=sr_1_9?keywords=Shout+Stain+Remover%2C+1+gal.+with+Spray+Bottle%2C+22+oz.&amp;qid=1695170384&amp;sr=8-9")</f>
        <v/>
      </c>
      <c r="F1609" t="inlineStr">
        <is>
          <t>B002LHNWFA</t>
        </is>
      </c>
      <c r="G1609">
        <f>_xludf.IMAGE("https://www.shelhealth.com/cdn/shop/products/shout-stain-remover-1-gal-with-spray-bottle-22-oz-shelhealth-249.jpg?v=1663356613&amp;width=1946")</f>
        <v/>
      </c>
      <c r="H1609">
        <f>_xludf.IMAGE("https://m.media-amazon.com/images/I/51DmEeag38L._AC_UL320_.jpg")</f>
        <v/>
      </c>
      <c r="K1609" t="inlineStr">
        <is>
          <t>32.99</t>
        </is>
      </c>
      <c r="L1609" t="n">
        <v>18</v>
      </c>
      <c r="M1609" s="1" t="inlineStr">
        <is>
          <t>-45.44%</t>
        </is>
      </c>
      <c r="N1609" s="3" t="n">
        <v>-45.44</v>
      </c>
      <c r="O1609" t="n">
        <v>4.7</v>
      </c>
      <c r="P1609" t="n">
        <v>485</v>
      </c>
      <c r="R1609" t="inlineStr">
        <is>
          <t>OutOfStock</t>
        </is>
      </c>
      <c r="S1609" t="inlineStr">
        <is>
          <t>32.99</t>
        </is>
      </c>
      <c r="T1609" t="inlineStr">
        <is>
          <t>4179005374516</t>
        </is>
      </c>
    </row>
    <row r="1610" hidden="1" ht="15.75" customHeight="1">
      <c r="A1610" s="2">
        <f>HYPERLINK("https://www.shelhealth.com/products/merrick-non-slip-rubberized-hangers-20-pack", "https://www.shelhealth.com/products/merrick-non-slip-rubberized-hangers-20-pack")</f>
        <v/>
      </c>
      <c r="B1610" s="2">
        <f>HYPERLINK("https://www.shelhealth.com/products/merrick-non-slip-rubberized-hangers-20-pack", "https://www.shelhealth.com/products/merrick-non-slip-rubberized-hangers-20-pack")</f>
        <v/>
      </c>
      <c r="C1610" t="inlineStr">
        <is>
          <t>merrick non slip rubberized hangers, 20 pack</t>
        </is>
      </c>
      <c r="D1610" t="inlineStr">
        <is>
          <t>Plastic Hangers,Adult Hangers for Closet,20 Pack Balck Lightweight Hangers for Dorm,Non-Slip Coat Hangers for Shirts,Coats,Pants,Dress,Skirts,Room Essentials and Basics</t>
        </is>
      </c>
      <c r="E1610" s="2">
        <f>HYPERLINK("https://www.amazon.com/Plastic-Hangers-Lightweight-Non-Slip-Essentials/dp/B0CB11CT33/ref=sr_1_5?keywords=merrick+non+slip+rubberized+hangers%2C+20+pack&amp;qid=1695170569&amp;sr=8-5", "https://www.amazon.com/Plastic-Hangers-Lightweight-Non-Slip-Essentials/dp/B0CB11CT33/ref=sr_1_5?keywords=merrick+non+slip+rubberized+hangers%2C+20+pack&amp;qid=1695170569&amp;sr=8-5")</f>
        <v/>
      </c>
      <c r="F1610" t="inlineStr">
        <is>
          <t>B0CB11CT33</t>
        </is>
      </c>
      <c r="G1610">
        <f>_xludf.IMAGE("https://www.shelhealth.com/cdn/shop/products/merrick-non-slip-rubberized-hangers-20-pack-shelhealth-923.jpg?v=1663357221&amp;width=1946")</f>
        <v/>
      </c>
      <c r="H1610">
        <f>_xludf.IMAGE("https://m.media-amazon.com/images/I/71iG5STSxqL._AC_UL320_.jpg")</f>
        <v/>
      </c>
      <c r="K1610" t="inlineStr">
        <is>
          <t>21.99</t>
        </is>
      </c>
      <c r="L1610" t="n">
        <v>11.99</v>
      </c>
      <c r="M1610" s="1" t="inlineStr">
        <is>
          <t>-45.48%</t>
        </is>
      </c>
      <c r="N1610" s="3" t="n">
        <v>-45.48</v>
      </c>
      <c r="O1610" t="n">
        <v>4.6</v>
      </c>
      <c r="P1610" t="n">
        <v>3</v>
      </c>
      <c r="R1610" t="inlineStr">
        <is>
          <t>OutOfStock</t>
        </is>
      </c>
      <c r="S1610" t="inlineStr">
        <is>
          <t>21.99</t>
        </is>
      </c>
      <c r="T1610" t="inlineStr">
        <is>
          <t>4179256672308</t>
        </is>
      </c>
    </row>
    <row r="1611" hidden="1" ht="15.75" customHeight="1">
      <c r="A1611" s="2">
        <f>HYPERLINK("https://www.shelhealth.com/products/downy-infusions-liquid-fabric-softener-115-fl-oz", "https://www.shelhealth.com/products/downy-infusions-liquid-fabric-softener-115-fl-oz")</f>
        <v/>
      </c>
      <c r="B1611" s="2">
        <f>HYPERLINK("https://www.shelhealth.com/products/downy-infusions-liquid-fabric-softener-115-fl-oz", "https://www.shelhealth.com/products/downy-infusions-liquid-fabric-softener-115-fl-oz")</f>
        <v/>
      </c>
      <c r="C1611" t="inlineStr">
        <is>
          <t>Downy Infusions Liquid Fabric Softener, 115 fl. oz.</t>
        </is>
      </c>
      <c r="D1611" t="inlineStr">
        <is>
          <t>Downy Infusions Liquid Fabric Softener, Romantic,White Tea &amp; Peony, 32 fl oz</t>
        </is>
      </c>
      <c r="E1611" s="2">
        <f>HYPERLINK("https://www.amazon.com/Downy-Infusions-Liquid-Softener-Romantic/dp/B0828H5MWX/ref=sr_1_3?keywords=Downy+Infusions+Liquid+Fabric+Softener%2C+115+fl.+oz.&amp;qid=1695170396&amp;sr=8-3", "https://www.amazon.com/Downy-Infusions-Liquid-Softener-Romantic/dp/B0828H5MWX/ref=sr_1_3?keywords=Downy+Infusions+Liquid+Fabric+Softener%2C+115+fl.+oz.&amp;qid=1695170396&amp;sr=8-3")</f>
        <v/>
      </c>
      <c r="F1611" t="inlineStr">
        <is>
          <t>B0828H5MWX</t>
        </is>
      </c>
      <c r="G1611">
        <f>_xludf.IMAGE("https://www.shelhealth.com/cdn/shop/products/downy-infusions-liquid-fabric-softener-115-fl-oz-shelhealth-669.jpg?v=1663356546&amp;width=1946")</f>
        <v/>
      </c>
      <c r="H1611">
        <f>_xludf.IMAGE("https://m.media-amazon.com/images/I/81j5yn6iaPL._AC_UL320_.jpg")</f>
        <v/>
      </c>
      <c r="K1611" t="inlineStr">
        <is>
          <t>27.99</t>
        </is>
      </c>
      <c r="L1611" t="n">
        <v>15.24</v>
      </c>
      <c r="M1611" s="1" t="inlineStr">
        <is>
          <t>-45.55%</t>
        </is>
      </c>
      <c r="N1611" s="3" t="n">
        <v>-45.55</v>
      </c>
      <c r="O1611" t="n">
        <v>4.7</v>
      </c>
      <c r="P1611" t="n">
        <v>223</v>
      </c>
      <c r="R1611" t="inlineStr">
        <is>
          <t>OutOfStock</t>
        </is>
      </c>
      <c r="S1611" t="inlineStr">
        <is>
          <t>27.99</t>
        </is>
      </c>
      <c r="T1611" t="inlineStr">
        <is>
          <t>4178968412212</t>
        </is>
      </c>
    </row>
    <row r="1612" hidden="1" ht="15.75" customHeight="1">
      <c r="A1612" s="2">
        <f>HYPERLINK("https://www.shelhealth.com/products/o-cedar-dual-action-micro-fiber-flip-mop", "https://www.shelhealth.com/products/o-cedar-dual-action-micro-fiber-flip-mop")</f>
        <v/>
      </c>
      <c r="B1612" s="2">
        <f>HYPERLINK("https://www.shelhealth.com/products/o-cedar-dual-action-micro-fiber-flip-mop", "https://www.shelhealth.com/products/o-cedar-dual-action-micro-fiber-flip-mop")</f>
        <v/>
      </c>
      <c r="C1612" t="inlineStr">
        <is>
          <t>O-Cedar Dual-Action Micro Fiber Flip Mop</t>
        </is>
      </c>
      <c r="D1612" t="inlineStr">
        <is>
          <t>Microfiber Flip Mop Refill, Compatible with O-Cedar Flip Mop Dual-Action Microfiber Flip Mop, 2 Pack Replacement Mop Heads for Dry/Wet Use, Machine Washable Double Sided All Surface Cleaning</t>
        </is>
      </c>
      <c r="E1612" s="2">
        <f>HYPERLINK("https://www.amazon.com/Microfiber-Dual-Action-Replacement-Washable-Cleaning/dp/B09TV9J8RJ/ref=sr_1_7?keywords=o-cedar+dual-action+microfiber+flip+mop&amp;qid=1695170453&amp;sr=8-7", "https://www.amazon.com/Microfiber-Dual-Action-Replacement-Washable-Cleaning/dp/B09TV9J8RJ/ref=sr_1_7?keywords=o-cedar+dual-action+microfiber+flip+mop&amp;qid=1695170453&amp;sr=8-7")</f>
        <v/>
      </c>
      <c r="F1612" t="inlineStr">
        <is>
          <t>B09TV9J8RJ</t>
        </is>
      </c>
      <c r="G1612">
        <f>_xludf.IMAGE("https://www.shelhealth.com/cdn/shop/products/o-cedar-dual-action-micro-fiber-flip-mop-shelhealth-130.jpg?v=1663357602&amp;width=1946")</f>
        <v/>
      </c>
      <c r="H1612">
        <f>_xludf.IMAGE("https://m.media-amazon.com/images/I/81MHoYifJjL._AC_UL320_.jpg")</f>
        <v/>
      </c>
      <c r="K1612" t="inlineStr">
        <is>
          <t>23.99</t>
        </is>
      </c>
      <c r="L1612" t="n">
        <v>12.99</v>
      </c>
      <c r="M1612" s="1" t="inlineStr">
        <is>
          <t>-45.85%</t>
        </is>
      </c>
      <c r="N1612" s="3" t="n">
        <v>-45.85</v>
      </c>
      <c r="O1612" t="n">
        <v>4.4</v>
      </c>
      <c r="P1612" t="n">
        <v>54</v>
      </c>
      <c r="R1612" t="inlineStr">
        <is>
          <t>OutOfStock</t>
        </is>
      </c>
      <c r="S1612" t="inlineStr">
        <is>
          <t>23.99</t>
        </is>
      </c>
      <c r="T1612" t="inlineStr">
        <is>
          <t>4251125514292</t>
        </is>
      </c>
    </row>
    <row r="1613" hidden="1" ht="15.75" customHeight="1">
      <c r="A1613" s="2">
        <f>HYPERLINK("https://www.shelhealth.com/products/downy-fresh-protect-with-febreze-april-fresh-in-wash-odor-defense-beads-30-3-oz", "https://www.shelhealth.com/products/downy-fresh-protect-with-febreze-april-fresh-in-wash-odor-defense-beads-30-3-oz")</f>
        <v/>
      </c>
      <c r="B1613" s="2">
        <f>HYPERLINK("https://www.shelhealth.com/products/downy-fresh-protect-with-febreze-april-fresh-in-wash-odor-defense-beads-30-3-oz", "https://www.shelhealth.com/products/downy-fresh-protect-with-febreze-april-fresh-in-wash-odor-defense-beads-30-3-oz")</f>
        <v/>
      </c>
      <c r="C1613" t="inlineStr">
        <is>
          <t>Downy Fresh Protect With Febreze April Fresh In-Wash Odor Defense Beads, 30.3 oz.</t>
        </is>
      </c>
      <c r="D1613" t="inlineStr">
        <is>
          <t>Downy Fresh Protect Laundry Scent Booster Beads for Washer with Febreze Odor Defense, April Fresh, 42 Loads, 20.1 oz</t>
        </is>
      </c>
      <c r="E1613" s="2">
        <f>HYPERLINK("https://www.amazon.com/Downy-Fresh-Protect-Febreze-Defense/dp/B07CTMKQQ5/ref=sr_1_3?keywords=Downy+Fresh+Protect+With+Febreze+April+Fresh+In-Wash+Odor+Defense+Beads%2C+30.3+oz.&amp;qid=1695170433&amp;sr=8-3", "https://www.amazon.com/Downy-Fresh-Protect-Febreze-Defense/dp/B07CTMKQQ5/ref=sr_1_3?keywords=Downy+Fresh+Protect+With+Febreze+April+Fresh+In-Wash+Odor+Defense+Beads%2C+30.3+oz.&amp;qid=1695170433&amp;sr=8-3")</f>
        <v/>
      </c>
      <c r="F1613" t="inlineStr">
        <is>
          <t>B07CTMKQQ5</t>
        </is>
      </c>
      <c r="G1613">
        <f>_xludf.IMAGE("https://www.shelhealth.com/cdn/shop/products/downy-fresh-protect-with-febreze-april-in-wash-odor-defense-beads-30-3-oz-shelhealth-371.jpg?v=1663356602&amp;width=1946")</f>
        <v/>
      </c>
      <c r="H1613">
        <f>_xludf.IMAGE("https://m.media-amazon.com/images/I/711zufsg-HL._AC_UL320_.jpg")</f>
        <v/>
      </c>
      <c r="K1613" t="inlineStr">
        <is>
          <t>23.99</t>
        </is>
      </c>
      <c r="L1613" t="n">
        <v>12.97</v>
      </c>
      <c r="M1613" s="1" t="inlineStr">
        <is>
          <t>-45.94%</t>
        </is>
      </c>
      <c r="N1613" s="3" t="n">
        <v>-45.94</v>
      </c>
      <c r="O1613" t="n">
        <v>4.8</v>
      </c>
      <c r="P1613" t="n">
        <v>12292</v>
      </c>
      <c r="R1613" t="inlineStr">
        <is>
          <t>InStock</t>
        </is>
      </c>
      <c r="S1613" t="inlineStr">
        <is>
          <t>23.99</t>
        </is>
      </c>
      <c r="T1613" t="inlineStr">
        <is>
          <t>4179005046836</t>
        </is>
      </c>
    </row>
    <row r="1614" hidden="1" ht="15.75" customHeight="1">
      <c r="A1614" s="2">
        <f>HYPERLINK("https://www.shelhealth.com/products/gain-fireworks-in-wash-scent-booster-beads-30-3-oz", "https://www.shelhealth.com/products/gain-fireworks-in-wash-scent-booster-beads-30-3-oz")</f>
        <v/>
      </c>
      <c r="B1614" s="2">
        <f>HYPERLINK("https://www.shelhealth.com/products/gain-fireworks-in-wash-scent-booster-beads-30-3-oz", "https://www.shelhealth.com/products/gain-fireworks-in-wash-scent-booster-beads-30-3-oz")</f>
        <v/>
      </c>
      <c r="C1614" t="inlineStr">
        <is>
          <t>Gain Fireworks In-Wash Scent Booster Beads, 30.3 oz.</t>
        </is>
      </c>
      <c r="D1614" t="inlineStr">
        <is>
          <t>Gain Fireworks In-Wash Scent Booster Beads, Blissful Breeze, 18.2 oz</t>
        </is>
      </c>
      <c r="E1614" s="2">
        <f>HYPERLINK("https://www.amazon.com/Gain-Fireworks-Booster-Blissful-Breeze/dp/B0CCK3N116/ref=sr_1_4?keywords=Gain+Fireworks+In-Wash+Scent+Booster+Beads%2C+30.3+oz.&amp;qid=1695170556&amp;sr=8-4", "https://www.amazon.com/Gain-Fireworks-Booster-Blissful-Breeze/dp/B0CCK3N116/ref=sr_1_4?keywords=Gain+Fireworks+In-Wash+Scent+Booster+Beads%2C+30.3+oz.&amp;qid=1695170556&amp;sr=8-4")</f>
        <v/>
      </c>
      <c r="F1614" t="inlineStr">
        <is>
          <t>B0CCK3N116</t>
        </is>
      </c>
      <c r="G1614">
        <f>_xludf.IMAGE("https://www.shelhealth.com/cdn/shop/products/gain-fireworks-in-wash-scent-booster-beads-30-3-oz-shelhealth-634.jpg?v=1663356812&amp;width=1946")</f>
        <v/>
      </c>
      <c r="H1614">
        <f>_xludf.IMAGE("https://m.media-amazon.com/images/I/71tlqMPoS0L._AC_UL320_.jpg")</f>
        <v/>
      </c>
      <c r="K1614" t="inlineStr">
        <is>
          <t>23.99</t>
        </is>
      </c>
      <c r="L1614" t="n">
        <v>12.94</v>
      </c>
      <c r="M1614" s="1" t="inlineStr">
        <is>
          <t>-46.06%</t>
        </is>
      </c>
      <c r="N1614" s="3" t="n">
        <v>-46.06</v>
      </c>
      <c r="O1614" t="n">
        <v>5</v>
      </c>
      <c r="P1614" t="n">
        <v>1</v>
      </c>
      <c r="R1614" t="inlineStr">
        <is>
          <t>InStock</t>
        </is>
      </c>
      <c r="S1614" t="inlineStr">
        <is>
          <t>23.99</t>
        </is>
      </c>
      <c r="T1614" t="inlineStr">
        <is>
          <t>4179087622196</t>
        </is>
      </c>
    </row>
    <row r="1615" hidden="1" ht="15.75" customHeight="1">
      <c r="A1615" s="2">
        <f>HYPERLINK("https://www.shelhealth.com/products/teflon-5-piece-kitchen-set", "https://www.shelhealth.com/products/teflon-5-piece-kitchen-set")</f>
        <v/>
      </c>
      <c r="B1615" s="2">
        <f>HYPERLINK("https://www.shelhealth.com/products/teflon-5-piece-kitchen-set", "https://www.shelhealth.com/products/teflon-5-piece-kitchen-set")</f>
        <v/>
      </c>
      <c r="C1615" t="inlineStr">
        <is>
          <t>Teflon 5 Piece Kitchen Set</t>
        </is>
      </c>
      <c r="D1615" t="inlineStr">
        <is>
          <t>Silicone Kitchen Utensils Set, 5 Pieces Heat Resistant Non Stick Cooking Tools - Flexible Silicone Spatula/Turner/Serving Spoon/Soup Ladle/Slotted Spoon</t>
        </is>
      </c>
      <c r="E1615" s="2">
        <f>HYPERLINK("https://www.amazon.com/Daily-DKSS0202-Silicone-Utensils-Set/dp/B0794TT36K/ref=sr_1_6?keywords=Teflon+5+Piece+Kitchen+Set&amp;qid=1695170555&amp;sr=8-6", "https://www.amazon.com/Daily-DKSS0202-Silicone-Utensils-Set/dp/B0794TT36K/ref=sr_1_6?keywords=Teflon+5+Piece+Kitchen+Set&amp;qid=1695170555&amp;sr=8-6")</f>
        <v/>
      </c>
      <c r="F1615" t="inlineStr">
        <is>
          <t>B0794TT36K</t>
        </is>
      </c>
      <c r="G1615">
        <f>_xludf.IMAGE("https://www.shelhealth.com/cdn/shop/products/teflon-5-piece-kitchen-set-shelhealth-360.jpg?v=1663357382&amp;width=1946")</f>
        <v/>
      </c>
      <c r="H1615">
        <f>_xludf.IMAGE("https://m.media-amazon.com/images/I/61FlHZSL-dL._AC_UL320_.jpg")</f>
        <v/>
      </c>
      <c r="K1615" t="inlineStr">
        <is>
          <t>25.99</t>
        </is>
      </c>
      <c r="L1615" t="n">
        <v>13.99</v>
      </c>
      <c r="M1615" s="1" t="inlineStr">
        <is>
          <t>-46.17%</t>
        </is>
      </c>
      <c r="N1615" s="3" t="n">
        <v>-46.17</v>
      </c>
      <c r="O1615" t="n">
        <v>4.5</v>
      </c>
      <c r="P1615" t="n">
        <v>800</v>
      </c>
      <c r="R1615" t="inlineStr">
        <is>
          <t>OutOfStock</t>
        </is>
      </c>
      <c r="S1615" t="inlineStr">
        <is>
          <t>25.99</t>
        </is>
      </c>
      <c r="T1615" t="inlineStr">
        <is>
          <t>4181150761012</t>
        </is>
      </c>
    </row>
    <row r="1616" hidden="1" ht="15.75" customHeight="1">
      <c r="A1616" s="2">
        <f>HYPERLINK("https://www.shelhealth.com/products/tide-antibacterial-fabric-spray-22-fl-oz", "https://www.shelhealth.com/products/tide-antibacterial-fabric-spray-22-fl-oz")</f>
        <v/>
      </c>
      <c r="B1616" s="2">
        <f>HYPERLINK("https://www.shelhealth.com/products/tide-antibacterial-fabric-spray-22-fl-oz", "https://www.shelhealth.com/products/tide-antibacterial-fabric-spray-22-fl-oz")</f>
        <v/>
      </c>
      <c r="C1616" t="inlineStr">
        <is>
          <t>Tide Antibacterial Fabric Spray, 22 fl Oz.</t>
        </is>
      </c>
      <c r="D1616" t="inlineStr">
        <is>
          <t>Tide Antibacterial Fabric Spray, 22 Fl Oz (Pack of 1)</t>
        </is>
      </c>
      <c r="E1616" s="2">
        <f>HYPERLINK("https://www.amazon.com/Tide-Antibacterial-Fabric-Spray-22/dp/B07KFYK2RM/ref=sr_1_2?keywords=Tide+Antibacterial+Fabric+Spray%2C+22+fl+Oz.&amp;qid=1695170417&amp;sr=8-2", "https://www.amazon.com/Tide-Antibacterial-Fabric-Spray-22/dp/B07KFYK2RM/ref=sr_1_2?keywords=Tide+Antibacterial+Fabric+Spray%2C+22+fl+Oz.&amp;qid=1695170417&amp;sr=8-2")</f>
        <v/>
      </c>
      <c r="F1616" t="inlineStr">
        <is>
          <t>B07KFYK2RM</t>
        </is>
      </c>
      <c r="G1616">
        <f>_xludf.IMAGE("https://www.shelhealth.com/cdn/shop/products/tide-antibacterial-fabric-spray-22-fl-oz-shelhealth-199.jpg?v=1663373337&amp;width=1946")</f>
        <v/>
      </c>
      <c r="H1616">
        <f>_xludf.IMAGE("https://m.media-amazon.com/images/I/61dWG2rFxSL._AC_UL320_.jpg")</f>
        <v/>
      </c>
      <c r="K1616" t="inlineStr">
        <is>
          <t>11.99</t>
        </is>
      </c>
      <c r="L1616" t="n">
        <v>6.44</v>
      </c>
      <c r="M1616" s="1" t="inlineStr">
        <is>
          <t>-46.29%</t>
        </is>
      </c>
      <c r="N1616" s="3" t="n">
        <v>-46.29</v>
      </c>
      <c r="O1616" t="n">
        <v>4.6</v>
      </c>
      <c r="P1616" t="n">
        <v>1006</v>
      </c>
      <c r="R1616" t="inlineStr">
        <is>
          <t>OutOfStock</t>
        </is>
      </c>
      <c r="S1616" t="inlineStr">
        <is>
          <t>11.99</t>
        </is>
      </c>
      <c r="T1616" t="inlineStr">
        <is>
          <t>4706379038809</t>
        </is>
      </c>
    </row>
    <row r="1617" hidden="1" ht="15.75" customHeight="1">
      <c r="A1617" s="2">
        <f>HYPERLINK("https://www.shelhealth.com/products/3m-post-it-notes-4-in-x-6-in-1000-notes", "https://www.shelhealth.com/products/3m-post-it-notes-4-in-x-6-in-1000-notes")</f>
        <v/>
      </c>
      <c r="B1617" s="2">
        <f>HYPERLINK("https://www.shelhealth.com/products/3m-post-it-notes-4-in-x-6-in-1000-notes", "https://www.shelhealth.com/products/3m-post-it-notes-4-in-x-6-in-1000-notes")</f>
        <v/>
      </c>
      <c r="C1617" t="inlineStr">
        <is>
          <t>3M Post-It Notes 4 in. x 6 in. (1000 Notes)</t>
        </is>
      </c>
      <c r="D1617" t="inlineStr">
        <is>
          <t>Post-it Super Sticky Notes, 4x6 in, 3 Pads, 2x the Sticking Power, Energy Boost Collection, Bright Colors, Recyclable (660-3SSUC)</t>
        </is>
      </c>
      <c r="E1617" s="2">
        <f>HYPERLINK("https://www.amazon.com/Post-Sticking-Janeiro-Collection-660-3SSUC/dp/B000OC9PZK/ref=sr_1_3?keywords=3M+Post-It+Notes+4+in.+x+6+in.+%281000+Notes%29&amp;qid=1695170548&amp;sr=8-3", "https://www.amazon.com/Post-Sticking-Janeiro-Collection-660-3SSUC/dp/B000OC9PZK/ref=sr_1_3?keywords=3M+Post-It+Notes+4+in.+x+6+in.+%281000+Notes%29&amp;qid=1695170548&amp;sr=8-3")</f>
        <v/>
      </c>
      <c r="F1617" t="inlineStr">
        <is>
          <t>B000OC9PZK</t>
        </is>
      </c>
      <c r="G1617">
        <f>_xludf.IMAGE("https://www.shelhealth.com/cdn/shop/products/3m-post-it-notes-4-in-x-6-1000-shelhealth-914.jpg?v=1663372769&amp;width=1946")</f>
        <v/>
      </c>
      <c r="H1617">
        <f>_xludf.IMAGE("https://m.media-amazon.com/images/I/71UVAVOQaqL._AC_UL320_.jpg")</f>
        <v/>
      </c>
      <c r="K1617" t="inlineStr">
        <is>
          <t>27.99</t>
        </is>
      </c>
      <c r="L1617" t="n">
        <v>15.01</v>
      </c>
      <c r="M1617" s="1" t="inlineStr">
        <is>
          <t>-46.37%</t>
        </is>
      </c>
      <c r="N1617" s="3" t="n">
        <v>-46.37</v>
      </c>
      <c r="O1617" t="n">
        <v>4.8</v>
      </c>
      <c r="P1617" t="n">
        <v>234</v>
      </c>
      <c r="R1617" t="inlineStr">
        <is>
          <t>InStock</t>
        </is>
      </c>
      <c r="S1617" t="inlineStr">
        <is>
          <t>27.99</t>
        </is>
      </c>
      <c r="T1617" t="inlineStr">
        <is>
          <t>4696976883801</t>
        </is>
      </c>
    </row>
    <row r="1618" hidden="1" ht="15.75" customHeight="1">
      <c r="A1618" s="2">
        <f>HYPERLINK("https://www.shelhealth.com/products/swiffer-sweeper-dry-mop-pad-refills-for-floor-mopping-and-cleaning-all-purpose-floor-cleaning-product-lavender-vanilla-and-comfort-scent-86-count", "https://www.shelhealth.com/products/swiffer-sweeper-dry-mop-pad-refills-for-floor-mopping-and-cleaning-all-purpose-floor-cleaning-product-lavender-vanilla-and-comfort-scent-86-count")</f>
        <v/>
      </c>
      <c r="B1618" s="2">
        <f>HYPERLINK("https://www.shelhealth.com/products/swiffer-sweeper-dry-mop-pad-refills-for-floor-mopping-and-cleaning-all-purpose-floor-cleaning-product-lavender-vanilla-and-comfort-scent-86-count", "https://www.shelhealth.com/products/swiffer-sweeper-dry-mop-pad-refills-for-floor-mopping-and-cleaning-all-purpose-floor-cleaning-product-lavender-vanilla-and-comfort-scent-86-count")</f>
        <v/>
      </c>
      <c r="C1618" t="inlineStr">
        <is>
          <t>Swiffer Sweeper Dry Mop Pad Refills for Floor Mopping and Cleaning, All Purpose Floor Cleaning Product, Lavender Vanilla and Comfort Scent, 86 Count</t>
        </is>
      </c>
      <c r="D1618" t="inlineStr">
        <is>
          <t>Swiffer Sweeper Dry Mop Refills for Floor Mopping and Cleaning, All Purpose Floor Cleaning Product, Unscented, 52 Count (Packaging May Vary)</t>
        </is>
      </c>
      <c r="E1618" s="2" t="n"/>
      <c r="F1618" t="inlineStr">
        <is>
          <t>B07622VSV3</t>
        </is>
      </c>
      <c r="G1618">
        <f>_xludf.IMAGE("https://www.shelhealth.com/cdn/shop/products/swiffer-sweeper-dry-mop-pad-refills-for-floor-mopping-and-cleaning-all-purpose-product-lavender-vanilla-comfort-scent-86-count-shelhealth-301.jpg?v=1663343450&amp;width=1946")</f>
        <v/>
      </c>
      <c r="H1618">
        <f>_xludf.IMAGE("https://m.media-amazon.com/images/I/71hbSnM1oXL._AC_UL320_.jpg")</f>
        <v/>
      </c>
      <c r="K1618" t="inlineStr">
        <is>
          <t>26.99</t>
        </is>
      </c>
      <c r="L1618" t="n">
        <v>14.44</v>
      </c>
      <c r="M1618" s="1" t="inlineStr">
        <is>
          <t>-46.50%</t>
        </is>
      </c>
      <c r="N1618" s="3" t="n">
        <v>-46.5</v>
      </c>
      <c r="O1618" t="n">
        <v>4.8</v>
      </c>
      <c r="P1618" t="n">
        <v>35915</v>
      </c>
      <c r="R1618" t="inlineStr">
        <is>
          <t>InStock</t>
        </is>
      </c>
      <c r="S1618" t="inlineStr">
        <is>
          <t>26.99</t>
        </is>
      </c>
      <c r="T1618" t="inlineStr">
        <is>
          <t>3820361711668</t>
        </is>
      </c>
    </row>
    <row r="1619" hidden="1" ht="15.75" customHeight="1">
      <c r="A1619" s="2">
        <f>HYPERLINK("https://www.shelhealth.com/products/ultra-downy-clean-breeze-liquid-fabric-conditioner-170-fl-oz", "https://www.shelhealth.com/products/ultra-downy-clean-breeze-liquid-fabric-conditioner-170-fl-oz")</f>
        <v/>
      </c>
      <c r="B1619" s="2">
        <f>HYPERLINK("https://www.shelhealth.com/products/ultra-downy-clean-breeze-liquid-fabric-conditioner-170-fl-oz", "https://www.shelhealth.com/products/ultra-downy-clean-breeze-liquid-fabric-conditioner-170-fl-oz")</f>
        <v/>
      </c>
      <c r="C1619" t="inlineStr">
        <is>
          <t>Ultra Downy Clean Breeze Liquid Fabric Conditioner, 170 fl. oz.</t>
        </is>
      </c>
      <c r="D1619" t="inlineStr">
        <is>
          <t>Downy Clean Breeze Liquid Fabric Conditioner (Fabric Softener), 164 Fl Oz, 190 Loads</t>
        </is>
      </c>
      <c r="E1619" s="2">
        <f>HYPERLINK("https://www.amazon.com/Downy-Breeze-Liquid-Conditioner-Softener/dp/B0BCCCPK2V/ref=sr_1_3?keywords=Ultra+Downy+Clean+Breeze+Liquid+Fabric+Conditioner%2C+170+fl.+oz.&amp;qid=1695170437&amp;sr=8-3", "https://www.amazon.com/Downy-Breeze-Liquid-Conditioner-Softener/dp/B0BCCCPK2V/ref=sr_1_3?keywords=Ultra+Downy+Clean+Breeze+Liquid+Fabric+Conditioner%2C+170+fl.+oz.&amp;qid=1695170437&amp;sr=8-3")</f>
        <v/>
      </c>
      <c r="F1619" t="inlineStr">
        <is>
          <t>B0BCCCPK2V</t>
        </is>
      </c>
      <c r="G1619">
        <f>_xludf.IMAGE("https://www.shelhealth.com/cdn/shop/products/ultra-downy-clean-breeze-liquid-fabric-conditioner-170-fl-oz-shelhealth-353.jpg?v=1663356574&amp;width=1946")</f>
        <v/>
      </c>
      <c r="H1619">
        <f>_xludf.IMAGE("https://m.media-amazon.com/images/I/71Uikb1IzFL._AC_UL320_.jpg")</f>
        <v/>
      </c>
      <c r="K1619" t="inlineStr">
        <is>
          <t>27.99</t>
        </is>
      </c>
      <c r="L1619" t="n">
        <v>14.97</v>
      </c>
      <c r="M1619" s="1" t="inlineStr">
        <is>
          <t>-46.52%</t>
        </is>
      </c>
      <c r="N1619" s="3" t="n">
        <v>-46.52</v>
      </c>
      <c r="O1619" t="n">
        <v>4.8</v>
      </c>
      <c r="P1619" t="n">
        <v>39582</v>
      </c>
      <c r="R1619" t="inlineStr">
        <is>
          <t>InStock</t>
        </is>
      </c>
      <c r="S1619" t="inlineStr">
        <is>
          <t>27.99</t>
        </is>
      </c>
      <c r="T1619" t="inlineStr">
        <is>
          <t>4178996854836</t>
        </is>
      </c>
    </row>
    <row r="1620" hidden="1" ht="15.75" customHeight="1">
      <c r="A1620" s="2">
        <f>HYPERLINK("https://www.shelhealth.com/products/mistolin-lavender-all-purpose-cleaner-128-fl-oz", "https://www.shelhealth.com/products/mistolin-lavender-all-purpose-cleaner-128-fl-oz")</f>
        <v/>
      </c>
      <c r="B1620" s="2">
        <f>HYPERLINK("https://www.shelhealth.com/products/mistolin-lavender-all-purpose-cleaner-128-fl-oz", "https://www.shelhealth.com/products/mistolin-lavender-all-purpose-cleaner-128-fl-oz")</f>
        <v/>
      </c>
      <c r="C1620" t="inlineStr">
        <is>
          <t>Mistolin Lavender All Purpose Cleaner, 128 fl. oz.</t>
        </is>
      </c>
      <c r="D1620" t="inlineStr">
        <is>
          <t>Mistolin Lavender, All Purpose Cleaner, 128 Fl Oz, 1 gallon, Longer Lasting Multi Purpose Cleaner, Best Cleaner for Floors, Bathrooms &amp; Kitchen Appliances</t>
        </is>
      </c>
      <c r="E1620" s="2">
        <f>HYPERLINK("https://www.amazon.com/Mistolins-Lasting-Purpose-Cleaner-Lavender/dp/B008G03YBS/ref=sr_1_1?keywords=Mistolin+Lavender+All+Purpose+Cleaner%2C+128+fl.+oz.&amp;qid=1695170395&amp;sr=8-1", "https://www.amazon.com/Mistolins-Lasting-Purpose-Cleaner-Lavender/dp/B008G03YBS/ref=sr_1_1?keywords=Mistolin+Lavender+All+Purpose+Cleaner%2C+128+fl.+oz.&amp;qid=1695170395&amp;sr=8-1")</f>
        <v/>
      </c>
      <c r="F1620" t="inlineStr">
        <is>
          <t>B008G03YBS</t>
        </is>
      </c>
      <c r="G1620">
        <f>_xludf.IMAGE("https://www.shelhealth.com/cdn/shop/products/mistolin-lavender-all-purpose-cleaner-128-fl-oz-shelhealth-121.jpg?v=1663355220&amp;width=1946")</f>
        <v/>
      </c>
      <c r="H1620">
        <f>_xludf.IMAGE("https://m.media-amazon.com/images/I/81IMMJxV7lL._AC_UL320_.jpg")</f>
        <v/>
      </c>
      <c r="K1620" t="inlineStr">
        <is>
          <t>27.99</t>
        </is>
      </c>
      <c r="L1620" t="n">
        <v>14.96</v>
      </c>
      <c r="M1620" s="1" t="inlineStr">
        <is>
          <t>-46.55%</t>
        </is>
      </c>
      <c r="N1620" s="3" t="n">
        <v>-46.55</v>
      </c>
      <c r="O1620" t="n">
        <v>4.8</v>
      </c>
      <c r="P1620" t="n">
        <v>1415</v>
      </c>
      <c r="R1620" t="inlineStr">
        <is>
          <t>OutOfStock</t>
        </is>
      </c>
      <c r="S1620" t="inlineStr">
        <is>
          <t>27.99</t>
        </is>
      </c>
      <c r="T1620" t="inlineStr">
        <is>
          <t>4169749135412</t>
        </is>
      </c>
    </row>
    <row r="1621" hidden="1" ht="15.75" customHeight="1">
      <c r="A1621" s="2">
        <f>HYPERLINK("https://www.shelhealth.com/products/granite-stone-diamond-tiple-layer-non-stick-10-inches-fry-pan", "https://www.shelhealth.com/products/granite-stone-diamond-tiple-layer-non-stick-10-inches-fry-pan")</f>
        <v/>
      </c>
      <c r="B1621" s="2">
        <f>HYPERLINK("https://www.shelhealth.com/products/granite-stone-diamond-tiple-layer-non-stick-10-inches-fry-pan", "https://www.shelhealth.com/products/granite-stone-diamond-tiple-layer-non-stick-10-inches-fry-pan")</f>
        <v/>
      </c>
      <c r="C1621" t="inlineStr">
        <is>
          <t>Granite Stone Diamond Tiple Layer Non-Stick 10 Inches Fry Pan</t>
        </is>
      </c>
      <c r="D1621" t="inlineStr">
        <is>
          <t>Granitestone 10 Inch Non Stick Frying Pan Nonstick Pan with Mineral/Diamond Coating for Long Lasting Nonstick Frying Pan Skillet for Cooking with Stay Cool Handles, Oven/Dishwasher Safe, Non Toxic</t>
        </is>
      </c>
      <c r="E1621" s="2">
        <f>HYPERLINK("https://www.amazon.com/Granite-Nonstick-Stainless-Dishwasher-Original/dp/B07FKTN2FV/ref=sr_1_1?keywords=Granite+Stone+Diamond+Tiple+Layer+Non-Stick+10+Inches+Fry+Pan&amp;qid=1695170410&amp;sr=8-1", "https://www.amazon.com/Granite-Nonstick-Stainless-Dishwasher-Original/dp/B07FKTN2FV/ref=sr_1_1?keywords=Granite+Stone+Diamond+Tiple+Layer+Non-Stick+10+Inches+Fry+Pan&amp;qid=1695170410&amp;sr=8-1")</f>
        <v/>
      </c>
      <c r="F1621" t="inlineStr">
        <is>
          <t>B07FKTN2FV</t>
        </is>
      </c>
      <c r="G1621">
        <f>_xludf.IMAGE("https://www.shelhealth.com/cdn/shop/products/granite-stone-diamond-tiple-layer-non-stick-10-inches-fry-pan-shelhealth-991.jpg?v=1663357276&amp;width=1946")</f>
        <v/>
      </c>
      <c r="H1621">
        <f>_xludf.IMAGE("https://m.media-amazon.com/images/I/81h-8oWLKiL._AC_UL320_.jpg")</f>
        <v/>
      </c>
      <c r="K1621" t="inlineStr">
        <is>
          <t>32.99</t>
        </is>
      </c>
      <c r="L1621" t="n">
        <v>17.49</v>
      </c>
      <c r="M1621" s="1" t="inlineStr">
        <is>
          <t>-46.98%</t>
        </is>
      </c>
      <c r="N1621" s="3" t="n">
        <v>-46.98</v>
      </c>
      <c r="O1621" t="n">
        <v>4.4</v>
      </c>
      <c r="P1621" t="n">
        <v>9891</v>
      </c>
      <c r="R1621" t="inlineStr">
        <is>
          <t>OutOfStock</t>
        </is>
      </c>
      <c r="S1621" t="inlineStr">
        <is>
          <t>32.99</t>
        </is>
      </c>
      <c r="T1621" t="inlineStr">
        <is>
          <t>4181101019188</t>
        </is>
      </c>
    </row>
    <row r="1622" hidden="1" ht="15.75" customHeight="1">
      <c r="A1622" s="2">
        <f>HYPERLINK("https://www.shelhealth.com/products/895454002058-better-life-simply-floored-natural-floor-cleaner-citrus-mint-32-oz", "https://www.shelhealth.com/products/895454002058-better-life-simply-floored-natural-floor-cleaner-citrus-mint-32-oz")</f>
        <v/>
      </c>
      <c r="B1622" s="2">
        <f>HYPERLINK("https://www.shelhealth.com/products/895454002058-better-life-simply-floored-natural-floor-cleaner-citrus-mint-32-oz", "https://www.shelhealth.com/products/895454002058-better-life-simply-floored-natural-floor-cleaner-citrus-mint-32-oz")</f>
        <v/>
      </c>
      <c r="C1622" t="inlineStr">
        <is>
          <t>Better Life Simply Floored! Natural Floor Cleaner Citrus Mint, 32 Oz (Case of 3)</t>
        </is>
      </c>
      <c r="D1622" t="inlineStr">
        <is>
          <t>Better Life Simply Floored! Natural Floor Cleaner Citrus Mint -- 32 fl oz</t>
        </is>
      </c>
      <c r="E1622" s="2">
        <f>HYPERLINK("https://www.amazon.com/Better-Life-Floored-Natural-Cleaner/dp/B00B7UX7NO/ref=sr_1_1?keywords=Better+Life+Simply+Floored%21+Natural+Floor+Cleaner+Citrus+Mint%2C+32+Oz+%28Case+of+3%29&amp;qid=1695170479&amp;sr=8-1", "https://www.amazon.com/Better-Life-Floored-Natural-Cleaner/dp/B00B7UX7NO/ref=sr_1_1?keywords=Better+Life+Simply+Floored%21+Natural+Floor+Cleaner+Citrus+Mint%2C+32+Oz+%28Case+of+3%29&amp;qid=1695170479&amp;sr=8-1")</f>
        <v/>
      </c>
      <c r="F1622" t="inlineStr">
        <is>
          <t>B00B7UX7NO</t>
        </is>
      </c>
      <c r="G1622">
        <f>_xludf.IMAGE("https://www.shelhealth.com/cdn/shop/files/better-life-simply-floored-natural-floor-cleaner-citrus-mint-32-oz-case-of-3-home-products-shelhealth-370.jpg?v=1686484846&amp;width=1946")</f>
        <v/>
      </c>
      <c r="H1622">
        <f>_xludf.IMAGE("https://m.media-amazon.com/images/I/71VrAX6FF3L._AC_UL320_.jpg")</f>
        <v/>
      </c>
      <c r="K1622" t="inlineStr">
        <is>
          <t>27.99</t>
        </is>
      </c>
      <c r="L1622" t="n">
        <v>14.69</v>
      </c>
      <c r="M1622" s="1" t="inlineStr">
        <is>
          <t>-47.52%</t>
        </is>
      </c>
      <c r="N1622" s="3" t="n">
        <v>-47.52</v>
      </c>
      <c r="O1622" t="n">
        <v>4.5</v>
      </c>
      <c r="P1622" t="n">
        <v>236</v>
      </c>
      <c r="R1622" t="inlineStr">
        <is>
          <t>InStock</t>
        </is>
      </c>
      <c r="S1622" t="inlineStr">
        <is>
          <t>27.99</t>
        </is>
      </c>
      <c r="T1622" t="inlineStr">
        <is>
          <t>7241505341628</t>
        </is>
      </c>
    </row>
    <row r="1623" hidden="1" ht="15.75" customHeight="1">
      <c r="A1623" s="2">
        <f>HYPERLINK("https://www.shelhealth.com/products/downy-infusions-lavender-serenity-in-wash-scent-booster-beads-30-3-oz", "https://www.shelhealth.com/products/downy-infusions-lavender-serenity-in-wash-scent-booster-beads-30-3-oz")</f>
        <v/>
      </c>
      <c r="B1623" s="2">
        <f>HYPERLINK("https://www.shelhealth.com/products/downy-infusions-lavender-serenity-in-wash-scent-booster-beads-30-3-oz", "https://www.shelhealth.com/products/downy-infusions-lavender-serenity-in-wash-scent-booster-beads-30-3-oz")</f>
        <v/>
      </c>
      <c r="C1623" t="inlineStr">
        <is>
          <t>Downy Infusions Lavender Serenity In-Wash Scent Booster Beads, 30.3 oz.</t>
        </is>
      </c>
      <c r="D1623" t="inlineStr">
        <is>
          <t>Downy Infusions In-Wash Scent Booster Beads, Calm, Lavender and Vanilla Bean, 14.8 oz</t>
        </is>
      </c>
      <c r="E1623" s="2">
        <f>HYPERLINK("https://www.amazon.com/Downy-Infusions-Booster-Lavender-Serenity/dp/B07D8QGD7B/ref=sr_1_7?keywords=Downy+Infusions+Lavender+Serenity+In-Wash+Scent+Booster+Beads%2C+30.3+oz.&amp;qid=1695170420&amp;sr=8-7", "https://www.amazon.com/Downy-Infusions-Booster-Lavender-Serenity/dp/B07D8QGD7B/ref=sr_1_7?keywords=Downy+Infusions+Lavender+Serenity+In-Wash+Scent+Booster+Beads%2C+30.3+oz.&amp;qid=1695170420&amp;sr=8-7")</f>
        <v/>
      </c>
      <c r="F1623" t="inlineStr">
        <is>
          <t>B07D8QGD7B</t>
        </is>
      </c>
      <c r="G1623">
        <f>_xludf.IMAGE("https://www.shelhealth.com/cdn/shop/products/downy-infusions-lavender-serenity-in-wash-scent-booster-beads-30-3-oz-shelhealth-716.jpg?v=1663356594&amp;width=1946")</f>
        <v/>
      </c>
      <c r="H1623">
        <f>_xludf.IMAGE("https://m.media-amazon.com/images/I/61QyvWHSzPL._AC_UL320_.jpg")</f>
        <v/>
      </c>
      <c r="K1623" t="inlineStr">
        <is>
          <t>22.99</t>
        </is>
      </c>
      <c r="L1623" t="n">
        <v>11.99</v>
      </c>
      <c r="M1623" s="1" t="inlineStr">
        <is>
          <t>-47.85%</t>
        </is>
      </c>
      <c r="N1623" s="3" t="n">
        <v>-47.85</v>
      </c>
      <c r="O1623" t="n">
        <v>4.8</v>
      </c>
      <c r="P1623" t="n">
        <v>1923</v>
      </c>
      <c r="R1623" t="inlineStr">
        <is>
          <t>InStock</t>
        </is>
      </c>
      <c r="S1623" t="inlineStr">
        <is>
          <t>22.99</t>
        </is>
      </c>
      <c r="T1623" t="inlineStr">
        <is>
          <t>4179003375668</t>
        </is>
      </c>
    </row>
    <row r="1624" hidden="1" ht="15.75" customHeight="1">
      <c r="A1624" s="2">
        <f>HYPERLINK("https://www.shelhealth.com/products/mr-clean-magic-eraser-variety-pack-11-pads", "https://www.shelhealth.com/products/mr-clean-magic-eraser-variety-pack-11-pads")</f>
        <v/>
      </c>
      <c r="B1624" s="2">
        <f>HYPERLINK("https://www.shelhealth.com/products/mr-clean-magic-eraser-variety-pack-11-pads", "https://www.shelhealth.com/products/mr-clean-magic-eraser-variety-pack-11-pads")</f>
        <v/>
      </c>
      <c r="C1624" t="inlineStr">
        <is>
          <t>Mr. Clean Magic Eraser Variety Pack, 11 Pads</t>
        </is>
      </c>
      <c r="D1624" t="inlineStr">
        <is>
          <t>Mr Clean Magic Eraser Variety Pack Assortment Cleaning Pads, 6 count</t>
        </is>
      </c>
      <c r="E1624" s="2">
        <f>HYPERLINK("https://www.amazon.com/Mr-Clean-Eraser-Variety-Scouring/dp/B0946QLH9J/ref=sr_1_4?keywords=Mr.+Clean+Magic+Eraser+Variety+Pack%2C+11+Pads&amp;qid=1695170568&amp;sr=8-4", "https://www.amazon.com/Mr-Clean-Eraser-Variety-Scouring/dp/B0946QLH9J/ref=sr_1_4?keywords=Mr.+Clean+Magic+Eraser+Variety+Pack%2C+11+Pads&amp;qid=1695170568&amp;sr=8-4")</f>
        <v/>
      </c>
      <c r="F1624" t="inlineStr">
        <is>
          <t>B0946QLH9J</t>
        </is>
      </c>
      <c r="G1624">
        <f>_xludf.IMAGE("https://www.shelhealth.com/cdn/shop/products/mr-clean-magic-eraser-variety-pack-11-pads-shelhealth-109.jpg?v=1663342926&amp;width=1946")</f>
        <v/>
      </c>
      <c r="H1624">
        <f>_xludf.IMAGE("https://m.media-amazon.com/images/I/81LxHYtHOLS._AC_UL320_.jpg")</f>
        <v/>
      </c>
      <c r="K1624" t="inlineStr">
        <is>
          <t>16.99</t>
        </is>
      </c>
      <c r="L1624" t="n">
        <v>8.84</v>
      </c>
      <c r="M1624" s="1" t="inlineStr">
        <is>
          <t>-47.97%</t>
        </is>
      </c>
      <c r="N1624" s="3" t="n">
        <v>-47.97</v>
      </c>
      <c r="O1624" t="n">
        <v>4.6</v>
      </c>
      <c r="P1624" t="n">
        <v>2</v>
      </c>
      <c r="R1624" t="inlineStr">
        <is>
          <t>InStock</t>
        </is>
      </c>
      <c r="S1624" t="inlineStr">
        <is>
          <t>16.99</t>
        </is>
      </c>
      <c r="T1624" t="inlineStr">
        <is>
          <t>3818795204660</t>
        </is>
      </c>
    </row>
    <row r="1625" hidden="1" ht="15.75" customHeight="1">
      <c r="A1625" s="2">
        <f>HYPERLINK("https://www.shelhealth.com/products/armor-all-disinfectant-spray-32-oz-bottle-2-pk", "https://www.shelhealth.com/products/armor-all-disinfectant-spray-32-oz-bottle-2-pk")</f>
        <v/>
      </c>
      <c r="B1625" s="2">
        <f>HYPERLINK("https://www.shelhealth.com/products/armor-all-disinfectant-spray-32-oz-bottle-2-pk", "https://www.shelhealth.com/products/armor-all-disinfectant-spray-32-oz-bottle-2-pk")</f>
        <v/>
      </c>
      <c r="C1625" t="inlineStr">
        <is>
          <t>Armor All Disinfectant Spray 32 oz. Bottle, 2 pk.</t>
        </is>
      </c>
      <c r="D1625" t="inlineStr">
        <is>
          <t>Armor All Disinfectant Spray, Sanitizing and Cleaning Spray for Disinfecting and Deodorizing, Trigger Spray, 32 fl. oz. 2 Packs</t>
        </is>
      </c>
      <c r="E1625" s="2">
        <f>HYPERLINK("https://www.amazon.com/Disinfectant-Sanitizing-Cleaning-Disinfecting-Deodorizing/dp/B09SHZRSK7/ref=sr_1_1?keywords=Armor+All+Disinfectant+Spray+32+oz.+Bottle%2C+2+pk.&amp;qid=1695170420&amp;sr=8-1", "https://www.amazon.com/Disinfectant-Sanitizing-Cleaning-Disinfecting-Deodorizing/dp/B09SHZRSK7/ref=sr_1_1?keywords=Armor+All+Disinfectant+Spray+32+oz.+Bottle%2C+2+pk.&amp;qid=1695170420&amp;sr=8-1")</f>
        <v/>
      </c>
      <c r="F1625" t="inlineStr">
        <is>
          <t>B09SHZRSK7</t>
        </is>
      </c>
      <c r="G1625">
        <f>_xludf.IMAGE("https://www.shelhealth.com/cdn/shop/products/armor-all-disinfectant-spray-32-oz-bottle-2-pk-shelhealth-998.jpg?v=1663658238&amp;width=1946")</f>
        <v/>
      </c>
      <c r="H1625">
        <f>_xludf.IMAGE("https://m.media-amazon.com/images/I/51y9JmXtDoL._AC_UL320_.jpg")</f>
        <v/>
      </c>
      <c r="K1625" t="inlineStr">
        <is>
          <t>24.99</t>
        </is>
      </c>
      <c r="L1625" t="n">
        <v>12.99</v>
      </c>
      <c r="M1625" s="1" t="inlineStr">
        <is>
          <t>-48.02%</t>
        </is>
      </c>
      <c r="N1625" s="3" t="n">
        <v>-48.02</v>
      </c>
      <c r="O1625" t="n">
        <v>4.4</v>
      </c>
      <c r="P1625" t="n">
        <v>41</v>
      </c>
      <c r="R1625" t="inlineStr">
        <is>
          <t>InStock</t>
        </is>
      </c>
      <c r="S1625" t="inlineStr">
        <is>
          <t>24.99</t>
        </is>
      </c>
      <c r="T1625" t="inlineStr">
        <is>
          <t>6297254953148</t>
        </is>
      </c>
    </row>
    <row r="1626" hidden="1" ht="15.75" customHeight="1">
      <c r="A1626" s="2">
        <f>HYPERLINK("https://www.shelhealth.com/products/blue-wilderness-trail-treats-grain-free-biscuits-turkey-recipe-2-x-24-oz", "https://www.shelhealth.com/products/blue-wilderness-trail-treats-grain-free-biscuits-turkey-recipe-2-x-24-oz")</f>
        <v/>
      </c>
      <c r="B1626" s="2">
        <f>HYPERLINK("https://www.shelhealth.com/products/blue-wilderness-trail-treats-grain-free-biscuits-turkey-recipe-2-x-24-oz", "https://www.shelhealth.com/products/blue-wilderness-trail-treats-grain-free-biscuits-turkey-recipe-2-x-24-oz")</f>
        <v/>
      </c>
      <c r="C1626" t="inlineStr">
        <is>
          <t>Blue Wilderness Trail Treats Grain-Free Biscuits Turkey Recipe, 2 x 24 oz.</t>
        </is>
      </c>
      <c r="D1626" t="inlineStr">
        <is>
          <t>Blue Buffalo Wilderness Trail Treats High Protein Grain Free Crunchy Dog Treats Biscuits, Turkey Recipe 24-oz Bag</t>
        </is>
      </c>
      <c r="E1626" s="2">
        <f>HYPERLINK("https://www.amazon.com/Blue-Buffalo-Wilderness-Biscuits-Treats/dp/B018LH5FD0/ref=sr_1_1?keywords=Blue+Wilderness+Trail+Treats+Grain-Free+Biscuits+Turkey+Recipe%2C+2+x+24+oz.&amp;qid=1695170534&amp;sr=8-1", "https://www.amazon.com/Blue-Buffalo-Wilderness-Biscuits-Treats/dp/B018LH5FD0/ref=sr_1_1?keywords=Blue+Wilderness+Trail+Treats+Grain-Free+Biscuits+Turkey+Recipe%2C+2+x+24+oz.&amp;qid=1695170534&amp;sr=8-1")</f>
        <v/>
      </c>
      <c r="F1626" t="inlineStr">
        <is>
          <t>B018LH5FD0</t>
        </is>
      </c>
      <c r="G1626">
        <f>_xludf.IMAGE("https://www.shelhealth.com/cdn/shop/products/blue-wilderness-trail-treats-grain-free-biscuits-turkey-recipe-2-x-24-oz-shelhealth-358.jpg?v=1663885585&amp;width=1946")</f>
        <v/>
      </c>
      <c r="H1626">
        <f>_xludf.IMAGE("https://m.media-amazon.com/images/I/81Qb68yM8TL._AC_UL320_.jpg")</f>
        <v/>
      </c>
      <c r="K1626" t="inlineStr">
        <is>
          <t>26.99</t>
        </is>
      </c>
      <c r="L1626" t="n">
        <v>13.98</v>
      </c>
      <c r="M1626" s="1" t="inlineStr">
        <is>
          <t>-48.20%</t>
        </is>
      </c>
      <c r="N1626" s="3" t="n">
        <v>-48.2</v>
      </c>
      <c r="O1626" t="n">
        <v>4.7</v>
      </c>
      <c r="P1626" t="n">
        <v>12975</v>
      </c>
      <c r="R1626" t="inlineStr">
        <is>
          <t>InStock</t>
        </is>
      </c>
      <c r="S1626" t="inlineStr">
        <is>
          <t>26.99</t>
        </is>
      </c>
      <c r="T1626" t="inlineStr">
        <is>
          <t>7861978792168</t>
        </is>
      </c>
    </row>
    <row r="1627" hidden="1" ht="15.75" customHeight="1">
      <c r="A1627" s="2">
        <f>HYPERLINK("https://www.shelhealth.com/products/639713990904-evolution-salt-lamp-salt-white-himalayan-6-lb", "https://www.shelhealth.com/products/639713990904-evolution-salt-lamp-salt-white-himalayan-6-lb")</f>
        <v/>
      </c>
      <c r="B1627" s="2">
        <f>HYPERLINK("https://www.shelhealth.com/products/639713990904-evolution-salt-lamp-salt-white-himalayan-6-lb", "https://www.shelhealth.com/products/639713990904-evolution-salt-lamp-salt-white-himalayan-6-lb")</f>
        <v/>
      </c>
      <c r="C1627" t="inlineStr">
        <is>
          <t>EVOLUTION SALT Lamp Salt White Himalayan, 6 lb</t>
        </is>
      </c>
      <c r="D1627" t="inlineStr">
        <is>
          <t>Evolution Salt - Fire Bowl Himalayan Salt Lamp 6" 6-7 lbs</t>
        </is>
      </c>
      <c r="E1627" s="2">
        <f>HYPERLINK("https://www.amazon.com/Evolution-Salt-Fire-Bowl-Himalayan/dp/B009Y804R8/ref=sr_1_1?keywords=EVOLUTION+SALT+Lamp+Salt+White+Himalayan%2C+6+lb&amp;qid=1695170551&amp;sr=8-1", "https://www.amazon.com/Evolution-Salt-Fire-Bowl-Himalayan/dp/B009Y804R8/ref=sr_1_1?keywords=EVOLUTION+SALT+Lamp+Salt+White+Himalayan%2C+6+lb&amp;qid=1695170551&amp;sr=8-1")</f>
        <v/>
      </c>
      <c r="F1627" t="inlineStr">
        <is>
          <t>B009Y804R8</t>
        </is>
      </c>
      <c r="G1627">
        <f>_xludf.IMAGE("https://www.shelhealth.com/cdn/shop/files/evolution-salt-lamp-white-himalayan-6-lb-home-products-shelhealth-763.jpg?v=1686211501&amp;width=1946")</f>
        <v/>
      </c>
      <c r="H1627">
        <f>_xludf.IMAGE("https://m.media-amazon.com/images/I/713UwVX-zmL._AC_UL320_.jpg")</f>
        <v/>
      </c>
      <c r="K1627" t="inlineStr">
        <is>
          <t>54.99</t>
        </is>
      </c>
      <c r="L1627" t="n">
        <v>28.47</v>
      </c>
      <c r="M1627" s="1" t="inlineStr">
        <is>
          <t>-48.23%</t>
        </is>
      </c>
      <c r="N1627" s="3" t="n">
        <v>-48.23</v>
      </c>
      <c r="O1627" t="n">
        <v>3.7</v>
      </c>
      <c r="P1627" t="n">
        <v>6</v>
      </c>
      <c r="R1627" t="inlineStr">
        <is>
          <t>OutOfStock</t>
        </is>
      </c>
      <c r="S1627" t="inlineStr">
        <is>
          <t>54.99</t>
        </is>
      </c>
      <c r="T1627" t="inlineStr">
        <is>
          <t>7574079668456</t>
        </is>
      </c>
    </row>
    <row r="1628" hidden="1" ht="15.75" customHeight="1">
      <c r="A1628" s="2">
        <f>HYPERLINK("https://www.shelhealth.com/products/febreze-air-freshener-hawaiian-aloha-8-8-oz", "https://www.shelhealth.com/products/febreze-air-freshener-hawaiian-aloha-8-8-oz")</f>
        <v/>
      </c>
      <c r="B1628" s="2">
        <f>HYPERLINK("https://www.shelhealth.com/products/febreze-air-freshener-hawaiian-aloha-8-8-oz", "https://www.shelhealth.com/products/febreze-air-freshener-hawaiian-aloha-8-8-oz")</f>
        <v/>
      </c>
      <c r="C1628" t="inlineStr">
        <is>
          <t>Febreze AIR Freshener Hawaiian Aloha, 8.8 oz (Case of 5)</t>
        </is>
      </c>
      <c r="D1628" t="inlineStr">
        <is>
          <t>Febreze Air Effects Odor-Eliminating Air Freshener Linen &amp; Sky, Hawaiian Aloha, Ocean, Heavy Duty Kitchen Odor Eliminator Fresh Lemon, 8.8 oz. Aerosol Can, Pack of 4</t>
        </is>
      </c>
      <c r="E1628" s="2">
        <f>HYPERLINK("https://www.amazon.com/Febreze-Odor-Eliminating-Freshener-Eliminator-8-8/dp/B0C4VRBG4H/ref=sr_1_6?keywords=Febreze+AIR+Freshener+Hawaiian+Aloha%2C+8.8+oz+%28Case+of+5%29&amp;qid=1695170548&amp;sr=8-6", "https://www.amazon.com/Febreze-Odor-Eliminating-Freshener-Eliminator-8-8/dp/B0C4VRBG4H/ref=sr_1_6?keywords=Febreze+AIR+Freshener+Hawaiian+Aloha%2C+8.8+oz+%28Case+of+5%29&amp;qid=1695170548&amp;sr=8-6")</f>
        <v/>
      </c>
      <c r="F1628" t="inlineStr">
        <is>
          <t>B0C4VRBG4H</t>
        </is>
      </c>
      <c r="G1628">
        <f>_xludf.IMAGE("https://www.shelhealth.com/cdn/shop/products/febreze-air-freshener-hawaiian-aloha-8-oz-case-of-5-shelhealth-297.jpg?v=1675329832&amp;width=1946")</f>
        <v/>
      </c>
      <c r="H1628">
        <f>_xludf.IMAGE("https://m.media-amazon.com/images/I/71giN1Ly6IL._AC_UL320_.jpg")</f>
        <v/>
      </c>
      <c r="K1628" t="inlineStr">
        <is>
          <t>34.99</t>
        </is>
      </c>
      <c r="L1628" t="n">
        <v>18</v>
      </c>
      <c r="M1628" s="1" t="inlineStr">
        <is>
          <t>-48.56%</t>
        </is>
      </c>
      <c r="N1628" s="3" t="n">
        <v>-48.56</v>
      </c>
      <c r="O1628" t="n">
        <v>4.5</v>
      </c>
      <c r="P1628" t="n">
        <v>2</v>
      </c>
      <c r="R1628" t="inlineStr">
        <is>
          <t>InStock</t>
        </is>
      </c>
      <c r="S1628" t="inlineStr">
        <is>
          <t>34.99</t>
        </is>
      </c>
      <c r="T1628" t="inlineStr">
        <is>
          <t>4458272784473</t>
        </is>
      </c>
    </row>
    <row r="1629" hidden="1" ht="15.75" customHeight="1">
      <c r="A1629" s="2">
        <f>HYPERLINK("https://www.shelhealth.com/products/tide-pods-plus-downy-he-turbo-liquid-detergent-pacs-april-fresh-80-ct", "https://www.shelhealth.com/products/tide-pods-plus-downy-he-turbo-liquid-detergent-pacs-april-fresh-80-ct")</f>
        <v/>
      </c>
      <c r="B1629" s="2">
        <f>HYPERLINK("https://www.shelhealth.com/products/tide-pods-plus-downy-he-turbo-liquid-detergent-pacs-april-fresh-80-ct", "https://www.shelhealth.com/products/tide-pods-plus-downy-he-turbo-liquid-detergent-pacs-april-fresh-80-ct")</f>
        <v/>
      </c>
      <c r="C1629" t="inlineStr">
        <is>
          <t>Tide PODS Plus Downy HE Turbo Liquid Detergent Pacs, April Fresh, 80 ct.</t>
        </is>
      </c>
      <c r="D1629" t="inlineStr">
        <is>
          <t>Tide Pods Plus Downy He Turbo Laundry Detergent Pacs, April Fresh, 54 Count</t>
        </is>
      </c>
      <c r="E1629" s="2">
        <f>HYPERLINK("https://www.amazon.com/Tide-Downy-Turbo-Laundry-Detergent/dp/B06XWC6HN3/ref=sr_1_1?keywords=Tide+PODS+Plus+Downy+HE+Turbo+Liquid+Detergent+Pacs%2C+April+Fresh%2C+80+ct.&amp;qid=1695170557&amp;sr=8-1", "https://www.amazon.com/Tide-Downy-Turbo-Laundry-Detergent/dp/B06XWC6HN3/ref=sr_1_1?keywords=Tide+PODS+Plus+Downy+HE+Turbo+Liquid+Detergent+Pacs%2C+April+Fresh%2C+80+ct.&amp;qid=1695170557&amp;sr=8-1")</f>
        <v/>
      </c>
      <c r="F1629" t="inlineStr">
        <is>
          <t>B06XWC6HN3</t>
        </is>
      </c>
      <c r="G1629">
        <f>_xludf.IMAGE("https://www.shelhealth.com/cdn/shop/products/tide-pods-plus-downy-he-turbo-liquid-detergent-pacs-april-fresh-80-ct-shelhealth-728.jpg?v=1663356698&amp;width=1946")</f>
        <v/>
      </c>
      <c r="H1629">
        <f>_xludf.IMAGE("https://m.media-amazon.com/images/I/81fY1TYmYBL._AC_UL320_.jpg")</f>
        <v/>
      </c>
      <c r="K1629" t="inlineStr">
        <is>
          <t>38.99</t>
        </is>
      </c>
      <c r="L1629" t="n">
        <v>20</v>
      </c>
      <c r="M1629" s="1" t="inlineStr">
        <is>
          <t>-48.70%</t>
        </is>
      </c>
      <c r="N1629" s="3" t="n">
        <v>-48.7</v>
      </c>
      <c r="O1629" t="n">
        <v>4.7</v>
      </c>
      <c r="P1629" t="n">
        <v>668</v>
      </c>
      <c r="R1629" t="inlineStr">
        <is>
          <t>InStock</t>
        </is>
      </c>
      <c r="S1629" t="inlineStr">
        <is>
          <t>38.99</t>
        </is>
      </c>
      <c r="T1629" t="inlineStr">
        <is>
          <t>4179057770548</t>
        </is>
      </c>
    </row>
    <row r="1630" hidden="1" ht="15.75" customHeight="1">
      <c r="A1630" s="2">
        <f>HYPERLINK("https://www.shelhealth.com/products/lysol-lemon-all-purpose-cleaner-32-oz-spray-bottle-with-144-oz-refill", "https://www.shelhealth.com/products/lysol-lemon-all-purpose-cleaner-32-oz-spray-bottle-with-144-oz-refill")</f>
        <v/>
      </c>
      <c r="B1630" s="2">
        <f>HYPERLINK("https://www.shelhealth.com/products/lysol-lemon-all-purpose-cleaner-32-oz-spray-bottle-with-144-oz-refill", "https://www.shelhealth.com/products/lysol-lemon-all-purpose-cleaner-32-oz-spray-bottle-with-144-oz-refill")</f>
        <v/>
      </c>
      <c r="C1630" t="inlineStr">
        <is>
          <t>Lysol Lemon All Purpose Cleaner, 32 oz. Spray Bottle with 144 oz. Refill</t>
        </is>
      </c>
      <c r="D1630" t="inlineStr">
        <is>
          <t>Bundle Boss All-Purpose Cleaner, Sanitizing and Disinfecting Spray, To Clean and Deodorize, Lemon Breeze, 32oz (Pack of 2) Microfiber Cleaning Cloths (Pack of 4) Compatible with Lysol</t>
        </is>
      </c>
      <c r="E1630" s="2">
        <f>HYPERLINK("https://www.amazon.com/Bundle-Boss-All-Purpose-Sanitizing-Disinfecting/dp/B0C94W6ZWX/ref=sr_1_7?keywords=Lysol+Lemon+All+Purpose+Cleaner%2C+32+oz.+Spray+Bottle+with+144+oz.+Refill&amp;qid=1695170388&amp;sr=8-7", "https://www.amazon.com/Bundle-Boss-All-Purpose-Sanitizing-Disinfecting/dp/B0C94W6ZWX/ref=sr_1_7?keywords=Lysol+Lemon+All+Purpose+Cleaner%2C+32+oz.+Spray+Bottle+with+144+oz.+Refill&amp;qid=1695170388&amp;sr=8-7")</f>
        <v/>
      </c>
      <c r="F1630" t="inlineStr">
        <is>
          <t>B0C94W6ZWX</t>
        </is>
      </c>
      <c r="G1630">
        <f>_xludf.IMAGE("https://www.shelhealth.com/cdn/shop/products/lysol-lemon-all-purpose-cleaner-32-oz-spray-bottle-with-144-refill-shelhealth-929.jpg?v=1663355070&amp;width=1946")</f>
        <v/>
      </c>
      <c r="H1630">
        <f>_xludf.IMAGE("https://m.media-amazon.com/images/I/71+KMeAA7hL._AC_UL320_.jpg")</f>
        <v/>
      </c>
      <c r="K1630" t="inlineStr">
        <is>
          <t>38.99</t>
        </is>
      </c>
      <c r="L1630" t="n">
        <v>19.99</v>
      </c>
      <c r="M1630" s="1" t="inlineStr">
        <is>
          <t>-48.73%</t>
        </is>
      </c>
      <c r="N1630" s="3" t="n">
        <v>-48.73</v>
      </c>
      <c r="O1630" t="n">
        <v>5</v>
      </c>
      <c r="P1630" t="n">
        <v>1</v>
      </c>
      <c r="R1630" t="inlineStr">
        <is>
          <t>InStock</t>
        </is>
      </c>
      <c r="S1630" t="inlineStr">
        <is>
          <t>38.99</t>
        </is>
      </c>
      <c r="T1630" t="inlineStr">
        <is>
          <t>4169644572724</t>
        </is>
      </c>
    </row>
    <row r="1631" hidden="1" ht="15.75" customHeight="1">
      <c r="A1631" s="2">
        <f>HYPERLINK("https://www.shelhealth.com/products/duracell-coppertop-aa-batteries-28-ct", "https://www.shelhealth.com/products/duracell-coppertop-aa-batteries-28-ct")</f>
        <v/>
      </c>
      <c r="B1631" s="2">
        <f>HYPERLINK("https://www.shelhealth.com/products/duracell-coppertop-aa-batteries-28-ct", "https://www.shelhealth.com/products/duracell-coppertop-aa-batteries-28-ct")</f>
        <v/>
      </c>
      <c r="C1631" t="inlineStr">
        <is>
          <t>Duracell CopperTop AA Batteries, 28 ct.</t>
        </is>
      </c>
      <c r="D1631" t="inlineStr">
        <is>
          <t>Duracell Coppertop AAA Batteries, 28 Count Pack Triple A Battery with Power Boost Ingredients, Long-lasting Power Alkaline AAA Battery for Household and Office Devices (Ecommerce Packaging)</t>
        </is>
      </c>
      <c r="E1631" s="2">
        <f>HYPERLINK("https://www.amazon.com/Duracell-Coppertop-Batteries-Ingredients-Long-lasting/dp/B0B2KWHKYT/ref=sr_1_8?keywords=Duracell+CopperTop+AA+Batteries%2C+28+ct.&amp;qid=1695170436&amp;sr=8-8", "https://www.amazon.com/Duracell-Coppertop-Batteries-Ingredients-Long-lasting/dp/B0B2KWHKYT/ref=sr_1_8?keywords=Duracell+CopperTop+AA+Batteries%2C+28+ct.&amp;qid=1695170436&amp;sr=8-8")</f>
        <v/>
      </c>
      <c r="F1631" t="inlineStr">
        <is>
          <t>B0B2KWHKYT</t>
        </is>
      </c>
      <c r="G1631">
        <f>_xludf.IMAGE("https://www.shelhealth.com/cdn/shop/files/duracell-coppertop-aa-batteries-28-ct-emergency-preparednessbatteries-shelhealth-165.jpg?v=1686284024&amp;width=1946")</f>
        <v/>
      </c>
      <c r="H1631">
        <f>_xludf.IMAGE("https://m.media-amazon.com/images/I/61cC1Y9pV-L._AC_UL320_.jpg")</f>
        <v/>
      </c>
      <c r="K1631" t="inlineStr">
        <is>
          <t>40.99</t>
        </is>
      </c>
      <c r="L1631" t="n">
        <v>20.85</v>
      </c>
      <c r="M1631" s="1" t="inlineStr">
        <is>
          <t>-49.13%</t>
        </is>
      </c>
      <c r="N1631" s="3" t="n">
        <v>-49.13</v>
      </c>
      <c r="O1631" t="n">
        <v>4.8</v>
      </c>
      <c r="P1631" t="n">
        <v>63972</v>
      </c>
      <c r="R1631" t="inlineStr">
        <is>
          <t>InStock</t>
        </is>
      </c>
      <c r="S1631" t="inlineStr">
        <is>
          <t>40.99</t>
        </is>
      </c>
      <c r="T1631" t="inlineStr">
        <is>
          <t>4169769812020</t>
        </is>
      </c>
    </row>
    <row r="1632" hidden="1" ht="15.75" customHeight="1">
      <c r="A1632" s="2">
        <f>HYPERLINK("https://www.shelhealth.com/products/duracell-coppertop-aa-batteries-28-ct", "https://www.shelhealth.com/products/duracell-coppertop-aa-batteries-28-ct")</f>
        <v/>
      </c>
      <c r="B1632" s="2">
        <f>HYPERLINK("https://www.shelhealth.com/products/duracell-coppertop-aa-batteries-28-ct", "https://www.shelhealth.com/products/duracell-coppertop-aa-batteries-28-ct")</f>
        <v/>
      </c>
      <c r="C1632" t="inlineStr">
        <is>
          <t>Duracell CopperTop AA Batteries, 28 ct.</t>
        </is>
      </c>
      <c r="D1632" t="inlineStr">
        <is>
          <t>Duracell Coppertop AAA Batteries, 28 Count Pack Triple A Battery with Long-Lasting Power for Household and Office Devices (Ecommerce Packaging)</t>
        </is>
      </c>
      <c r="E1632" s="2">
        <f>HYPERLINK("https://www.amazon.com/Duracell-CopperTop-Alkaline-Batteries-Household/dp/B09FVWFK42/ref=sr_1_7?keywords=Duracell+CopperTop+AA+Batteries%2C+28+ct.&amp;qid=1695170436&amp;sr=8-7", "https://www.amazon.com/Duracell-CopperTop-Alkaline-Batteries-Household/dp/B09FVWFK42/ref=sr_1_7?keywords=Duracell+CopperTop+AA+Batteries%2C+28+ct.&amp;qid=1695170436&amp;sr=8-7")</f>
        <v/>
      </c>
      <c r="F1632" t="inlineStr">
        <is>
          <t>B09FVWFK42</t>
        </is>
      </c>
      <c r="G1632">
        <f>_xludf.IMAGE("https://www.shelhealth.com/cdn/shop/files/duracell-coppertop-aa-batteries-28-ct-emergency-preparednessbatteries-shelhealth-165.jpg?v=1686284024&amp;width=1946")</f>
        <v/>
      </c>
      <c r="H1632">
        <f>_xludf.IMAGE("https://m.media-amazon.com/images/I/81-fNeqnR8L._AC_UL320_.jpg")</f>
        <v/>
      </c>
      <c r="K1632" t="inlineStr">
        <is>
          <t>40.99</t>
        </is>
      </c>
      <c r="L1632" t="n">
        <v>20.85</v>
      </c>
      <c r="M1632" s="1" t="inlineStr">
        <is>
          <t>-49.13%</t>
        </is>
      </c>
      <c r="N1632" s="3" t="n">
        <v>-49.13</v>
      </c>
      <c r="O1632" t="n">
        <v>4.8</v>
      </c>
      <c r="P1632" t="n">
        <v>7935</v>
      </c>
      <c r="R1632" t="inlineStr">
        <is>
          <t>InStock</t>
        </is>
      </c>
      <c r="S1632" t="inlineStr">
        <is>
          <t>40.99</t>
        </is>
      </c>
      <c r="T1632" t="inlineStr">
        <is>
          <t>4169769812020</t>
        </is>
      </c>
    </row>
    <row r="1633" hidden="1" ht="15.75" customHeight="1">
      <c r="A1633" s="2">
        <f>HYPERLINK("https://www.shelhealth.com/products/cascade-platinum-actionpacs-dishwasher-detergent-92-ct", "https://www.shelhealth.com/products/cascade-platinum-actionpacs-dishwasher-detergent-92-ct")</f>
        <v/>
      </c>
      <c r="B1633" s="2">
        <f>HYPERLINK("https://www.shelhealth.com/products/cascade-platinum-actionpacs-dishwasher-detergent-92-ct", "https://www.shelhealth.com/products/cascade-platinum-actionpacs-dishwasher-detergent-92-ct")</f>
        <v/>
      </c>
      <c r="C1633" t="inlineStr">
        <is>
          <t>Cascade Platinum ActionPacs Dishwasher Detergent, 92 ct.</t>
        </is>
      </c>
      <c r="D1633" t="inlineStr">
        <is>
          <t>Cascade Platinum ActionPacs Dishwasher Detergent Fresh Scent, 18 ct</t>
        </is>
      </c>
      <c r="E1633" s="2">
        <f>HYPERLINK("https://www.amazon.com/Cascade-Platinum-ActionPacs-Dishwasher-Detergent/dp/B01MYZP91Z/ref=sr_1_4?keywords=Cascade+Platinum+ActionPacs+Dishwasher+Detergent%2C+92+ct.&amp;qid=1695170383&amp;sr=8-4", "https://www.amazon.com/Cascade-Platinum-ActionPacs-Dishwasher-Detergent/dp/B01MYZP91Z/ref=sr_1_4?keywords=Cascade+Platinum+ActionPacs+Dishwasher+Detergent%2C+92+ct.&amp;qid=1695170383&amp;sr=8-4")</f>
        <v/>
      </c>
      <c r="F1633" t="inlineStr">
        <is>
          <t>B01MYZP91Z</t>
        </is>
      </c>
      <c r="G1633">
        <f>_xludf.IMAGE("https://www.shelhealth.com/cdn/shop/products/cascade-platinum-actionpacs-dishwasher-detergent-92-ct-shelhealth-877.jpg?v=1675325870&amp;width=1946")</f>
        <v/>
      </c>
      <c r="H1633">
        <f>_xludf.IMAGE("https://m.media-amazon.com/images/I/71xkmMwQ6jL._AC_UL320_.jpg")</f>
        <v/>
      </c>
      <c r="K1633" t="inlineStr">
        <is>
          <t>39.99</t>
        </is>
      </c>
      <c r="L1633" t="n">
        <v>20.25</v>
      </c>
      <c r="M1633" s="1" t="inlineStr">
        <is>
          <t>-49.36%</t>
        </is>
      </c>
      <c r="N1633" s="3" t="n">
        <v>-49.36</v>
      </c>
      <c r="O1633" t="n">
        <v>4.8</v>
      </c>
      <c r="P1633" t="n">
        <v>273</v>
      </c>
      <c r="R1633" t="inlineStr">
        <is>
          <t>OutOfStock</t>
        </is>
      </c>
      <c r="S1633" t="inlineStr">
        <is>
          <t>39.99</t>
        </is>
      </c>
      <c r="T1633" t="inlineStr">
        <is>
          <t>4169905143860</t>
        </is>
      </c>
    </row>
    <row r="1634" hidden="1" ht="15.75" customHeight="1">
      <c r="A1634" s="2">
        <f>HYPERLINK("https://www.shelhealth.com/products/scotch-brite-non-scratch-scrub-sponges-21-sponges-total", "https://www.shelhealth.com/products/scotch-brite-non-scratch-scrub-sponges-21-sponges-total")</f>
        <v/>
      </c>
      <c r="B1634" s="2">
        <f>HYPERLINK("https://www.shelhealth.com/products/scotch-brite-non-scratch-scrub-sponges-21-sponges-total", "https://www.shelhealth.com/products/scotch-brite-non-scratch-scrub-sponges-21-sponges-total")</f>
        <v/>
      </c>
      <c r="C1634" t="inlineStr">
        <is>
          <t>Scotch-Brite Non-Scratch Scrub Sponges, 21 Sponges Total</t>
        </is>
      </c>
      <c r="D1634" t="inlineStr">
        <is>
          <t>Scotch-Brite Non-Scratch Scrub Sponges, 6 Scrub Sponges - 1 Pack</t>
        </is>
      </c>
      <c r="E1634" s="2">
        <f>HYPERLINK("https://www.amazon.com/Scotch-Brite-Non-Scratch-Scrub-Sponges-Pack/dp/B08NXLHF8N/ref=sr_1_6?keywords=Scotch-Brite+Non-Scratch+Scrub+Sponges%2C+21+Sponges+Total&amp;qid=1695170382&amp;sr=8-6", "https://www.amazon.com/Scotch-Brite-Non-Scratch-Scrub-Sponges-Pack/dp/B08NXLHF8N/ref=sr_1_6?keywords=Scotch-Brite+Non-Scratch+Scrub+Sponges%2C+21+Sponges+Total&amp;qid=1695170382&amp;sr=8-6")</f>
        <v/>
      </c>
      <c r="F1634" t="inlineStr">
        <is>
          <t>B08NXLHF8N</t>
        </is>
      </c>
      <c r="G1634">
        <f>_xludf.IMAGE("https://www.shelhealth.com/cdn/shop/products/scotch-brite-non-scratch-scrub-sponges-21-total-shelhealth-257.jpg?v=1663343405&amp;width=1946")</f>
        <v/>
      </c>
      <c r="H1634">
        <f>_xludf.IMAGE("https://m.media-amazon.com/images/I/81qgnNJHZvL._AC_UL320_.jpg")</f>
        <v/>
      </c>
      <c r="K1634" t="inlineStr">
        <is>
          <t>21.99</t>
        </is>
      </c>
      <c r="L1634" t="n">
        <v>11.13</v>
      </c>
      <c r="M1634" s="1" t="inlineStr">
        <is>
          <t>-49.39%</t>
        </is>
      </c>
      <c r="N1634" s="3" t="n">
        <v>-49.39</v>
      </c>
      <c r="O1634" t="n">
        <v>4.7</v>
      </c>
      <c r="P1634" t="n">
        <v>8</v>
      </c>
      <c r="R1634" t="inlineStr">
        <is>
          <t>InStock</t>
        </is>
      </c>
      <c r="S1634" t="inlineStr">
        <is>
          <t>21.99</t>
        </is>
      </c>
      <c r="T1634" t="inlineStr">
        <is>
          <t>3820350996532</t>
        </is>
      </c>
    </row>
    <row r="1635" hidden="1" ht="15.75" customHeight="1">
      <c r="A1635" s="2">
        <f>HYPERLINK("https://www.shelhealth.com/products/tide-pods-plus-febreze-odor-defense-laundry-detergent-pacs-active-fresh-scent-80-ct", "https://www.shelhealth.com/products/tide-pods-plus-febreze-odor-defense-laundry-detergent-pacs-active-fresh-scent-80-ct")</f>
        <v/>
      </c>
      <c r="B1635" s="2">
        <f>HYPERLINK("https://www.shelhealth.com/products/tide-pods-plus-febreze-odor-defense-laundry-detergent-pacs-active-fresh-scent-80-ct", "https://www.shelhealth.com/products/tide-pods-plus-febreze-odor-defense-laundry-detergent-pacs-active-fresh-scent-80-ct")</f>
        <v/>
      </c>
      <c r="C1635" t="inlineStr">
        <is>
          <t>Tide PODS Plus Febreze Odor Defense Laundry Detergent Pacs, Active Fresh Scent, 80 ct.</t>
        </is>
      </c>
      <c r="D1635" t="inlineStr">
        <is>
          <t>Tide Pods Plus Febreze Odor Defense Laundry Detergent Pacs, Active Fresh, 23 oz, 23 Count</t>
        </is>
      </c>
      <c r="E1635" s="2">
        <f>HYPERLINK("https://www.amazon.com/Tide-Febreze-Defense-Laundry-Detergent/dp/B0716NPP1M/ref=sr_1_3?keywords=Tide+PODS+Plus+Febreze+Odor+Defense+Laundry+Detergent+Pacs%2C+Active+Fresh+Scent%2C+80+ct.&amp;qid=1695170573&amp;sr=8-3", "https://www.amazon.com/Tide-Febreze-Defense-Laundry-Detergent/dp/B0716NPP1M/ref=sr_1_3?keywords=Tide+PODS+Plus+Febreze+Odor+Defense+Laundry+Detergent+Pacs%2C+Active+Fresh+Scent%2C+80+ct.&amp;qid=1695170573&amp;sr=8-3")</f>
        <v/>
      </c>
      <c r="F1635" t="inlineStr">
        <is>
          <t>B0716NPP1M</t>
        </is>
      </c>
      <c r="G1635">
        <f>_xludf.IMAGE("https://www.shelhealth.com/cdn/shop/products/tide-pods-plus-febreze-odor-defense-laundry-detergent-pacs-active-fresh-scent-80-ct-shelhealth-182.jpg?v=1663356691&amp;width=1946")</f>
        <v/>
      </c>
      <c r="H1635">
        <f>_xludf.IMAGE("https://m.media-amazon.com/images/I/81aQsmtRa5L._AC_UL320_.jpg")</f>
        <v/>
      </c>
      <c r="K1635" t="inlineStr">
        <is>
          <t>38.99</t>
        </is>
      </c>
      <c r="L1635" t="n">
        <v>19.66</v>
      </c>
      <c r="M1635" s="1" t="inlineStr">
        <is>
          <t>-49.58%</t>
        </is>
      </c>
      <c r="N1635" s="3" t="n">
        <v>-49.58</v>
      </c>
      <c r="O1635" t="n">
        <v>4.7</v>
      </c>
      <c r="P1635" t="n">
        <v>13</v>
      </c>
      <c r="R1635" t="inlineStr">
        <is>
          <t>InStock</t>
        </is>
      </c>
      <c r="S1635" t="inlineStr">
        <is>
          <t>38.99</t>
        </is>
      </c>
      <c r="T1635" t="inlineStr">
        <is>
          <t>4179051905076</t>
        </is>
      </c>
    </row>
    <row r="1636" hidden="1" ht="15.75" customHeight="1">
      <c r="A1636" s="2">
        <f>HYPERLINK("https://www.shelhealth.com/products/downy-unstopables-fresh-in-wash-scent-booster-beads-30-3-oz", "https://www.shelhealth.com/products/downy-unstopables-fresh-in-wash-scent-booster-beads-30-3-oz")</f>
        <v/>
      </c>
      <c r="B1636" s="2">
        <f>HYPERLINK("https://www.shelhealth.com/products/downy-unstopables-fresh-in-wash-scent-booster-beads-30-3-oz", "https://www.shelhealth.com/products/downy-unstopables-fresh-in-wash-scent-booster-beads-30-3-oz")</f>
        <v/>
      </c>
      <c r="C1636" t="inlineStr">
        <is>
          <t>Downy Unstopables Fresh In-Wash Scent Booster Beads, 30.3 oz.</t>
        </is>
      </c>
      <c r="D1636" t="inlineStr">
        <is>
          <t>Downy Unstopables In-Wash Scent Booster Beads, SPRING, 10 oz</t>
        </is>
      </c>
      <c r="E1636" s="2">
        <f>HYPERLINK("https://www.amazon.com/Downy-Unstopables-wash-Booster-Spring/dp/B07BHXTW8N/ref=sr_1_6?keywords=Downy+Unstopables+Fresh+In-Wash+Scent+Booster+Beads%2C+30.3+oz.&amp;qid=1695170442&amp;sr=8-6", "https://www.amazon.com/Downy-Unstopables-wash-Booster-Spring/dp/B07BHXTW8N/ref=sr_1_6?keywords=Downy+Unstopables+Fresh+In-Wash+Scent+Booster+Beads%2C+30.3+oz.&amp;qid=1695170442&amp;sr=8-6")</f>
        <v/>
      </c>
      <c r="F1636" t="inlineStr">
        <is>
          <t>B07BHXTW8N</t>
        </is>
      </c>
      <c r="G1636">
        <f>_xludf.IMAGE("https://www.shelhealth.com/cdn/shop/products/downy-unstopables-fresh-in-wash-scent-booster-beads-30-3-oz-shelhealth-770.jpg?v=1663356562&amp;width=1946")</f>
        <v/>
      </c>
      <c r="H1636">
        <f>_xludf.IMAGE("https://m.media-amazon.com/images/I/816PWqbabAL._AC_UL320_.jpg")</f>
        <v/>
      </c>
      <c r="K1636" t="inlineStr">
        <is>
          <t>23.99</t>
        </is>
      </c>
      <c r="L1636" t="n">
        <v>12</v>
      </c>
      <c r="M1636" s="1" t="inlineStr">
        <is>
          <t>-49.98%</t>
        </is>
      </c>
      <c r="N1636" s="3" t="n">
        <v>-49.98</v>
      </c>
      <c r="O1636" t="n">
        <v>4.6</v>
      </c>
      <c r="P1636" t="n">
        <v>31</v>
      </c>
      <c r="R1636" t="inlineStr">
        <is>
          <t>OutOfStock</t>
        </is>
      </c>
      <c r="S1636" t="inlineStr">
        <is>
          <t>23.99</t>
        </is>
      </c>
      <c r="T1636" t="inlineStr">
        <is>
          <t>4178984206388</t>
        </is>
      </c>
    </row>
    <row r="1637" hidden="1" ht="15.75" customHeight="1">
      <c r="A1637" s="2">
        <f>HYPERLINK("https://www.shelhealth.com/products/duracell-hearing-aid-312-battery-32-ct", "https://www.shelhealth.com/products/duracell-hearing-aid-312-battery-32-ct")</f>
        <v/>
      </c>
      <c r="B1637" s="2">
        <f>HYPERLINK("https://www.shelhealth.com/products/duracell-hearing-aid-312-battery-32-ct", "https://www.shelhealth.com/products/duracell-hearing-aid-312-battery-32-ct")</f>
        <v/>
      </c>
      <c r="C1637" t="inlineStr">
        <is>
          <t>Duracell Hearing Aid 312 Battery, 32 ct.</t>
        </is>
      </c>
      <c r="D1637" t="inlineStr">
        <is>
          <t>Duracell Hearing Aid Batteries Brown Size 312, 32 Count Pack, 312A Size Hearing Aid Battery with Long-Lasting Power, Extra-Long EasyTab Install for Hearing Aid Devices</t>
        </is>
      </c>
      <c r="E1637" s="2">
        <f>HYPERLINK("https://www.amazon.com/Duracell-Hearing-Batteries-Long-Lasting-Extra-Long/dp/B0C3GGCS95/ref=sr_1_3?keywords=Duracell+Hearing+Aid+312+Battery%2C+32+ct.&amp;qid=1695170558&amp;sr=8-3", "https://www.amazon.com/Duracell-Hearing-Batteries-Long-Lasting-Extra-Long/dp/B0C3GGCS95/ref=sr_1_3?keywords=Duracell+Hearing+Aid+312+Battery%2C+32+ct.&amp;qid=1695170558&amp;sr=8-3")</f>
        <v/>
      </c>
      <c r="F1637" t="inlineStr">
        <is>
          <t>B0C3GGCS95</t>
        </is>
      </c>
      <c r="G1637">
        <f>_xludf.IMAGE("https://www.shelhealth.com/cdn/shop/files/duracell-hearing-aid-312-battery-32-ct-emergency-preparednessbatteries-shelhealth-471.jpg?v=1686284003&amp;width=1946")</f>
        <v/>
      </c>
      <c r="H1637">
        <f>_xludf.IMAGE("https://m.media-amazon.com/images/I/71T11krfscL._AC_UL320_.jpg")</f>
        <v/>
      </c>
      <c r="K1637" t="inlineStr">
        <is>
          <t>32.99</t>
        </is>
      </c>
      <c r="L1637" t="n">
        <v>16.49</v>
      </c>
      <c r="M1637" s="1" t="inlineStr">
        <is>
          <t>-50.02%</t>
        </is>
      </c>
      <c r="N1637" s="3" t="n">
        <v>-50.02</v>
      </c>
      <c r="O1637" t="n">
        <v>5</v>
      </c>
      <c r="P1637" t="n">
        <v>4</v>
      </c>
      <c r="R1637" t="inlineStr">
        <is>
          <t>InStock</t>
        </is>
      </c>
      <c r="S1637" t="inlineStr">
        <is>
          <t>32.99</t>
        </is>
      </c>
      <c r="T1637" t="inlineStr">
        <is>
          <t>4169896263732</t>
        </is>
      </c>
    </row>
    <row r="1638" hidden="1" ht="15.75" customHeight="1">
      <c r="A1638" s="2">
        <f>HYPERLINK("https://www.shelhealth.com/products/bask-clear-vinyl-disposable-gloves-100-gloves", "https://www.shelhealth.com/products/bask-clear-vinyl-disposable-gloves-100-gloves")</f>
        <v/>
      </c>
      <c r="B1638" s="2">
        <f>HYPERLINK("https://www.shelhealth.com/products/bask-clear-vinyl-disposable-gloves-100-gloves", "https://www.shelhealth.com/products/bask-clear-vinyl-disposable-gloves-100-gloves")</f>
        <v/>
      </c>
      <c r="C1638" t="inlineStr">
        <is>
          <t>Bask Clear Vinyl Disposable Gloves, 100 Gloves</t>
        </is>
      </c>
      <c r="D1638" t="inlineStr">
        <is>
          <t>Mr Clean Disposable, Latex Free, Beaded Cuff Gloves, 100 Count Disp. Vinyl 100ct, One Size, Clear, Piece</t>
        </is>
      </c>
      <c r="E1638" s="2">
        <f>HYPERLINK("https://www.amazon.com/Mr-Clean-243065-Disposable-Powdered/dp/B015GUILVI/ref=sr_1_2?keywords=Bask+Clear+Vinyl+Disposable+Gloves%2C+100+Gloves&amp;qid=1695170549&amp;sr=8-2", "https://www.amazon.com/Mr-Clean-243065-Disposable-Powdered/dp/B015GUILVI/ref=sr_1_2?keywords=Bask+Clear+Vinyl+Disposable+Gloves%2C+100+Gloves&amp;qid=1695170549&amp;sr=8-2")</f>
        <v/>
      </c>
      <c r="F1638" t="inlineStr">
        <is>
          <t>B015GUILVI</t>
        </is>
      </c>
      <c r="G1638">
        <f>_xludf.IMAGE("https://www.shelhealth.com/cdn/shop/products/bask-clear-vinyl-disposable-gloves-100-shelhealth-783.jpg?v=1663374232&amp;width=1946")</f>
        <v/>
      </c>
      <c r="H1638">
        <f>_xludf.IMAGE("https://m.media-amazon.com/images/I/71IEDhhNnlL._AC_UL320_.jpg")</f>
        <v/>
      </c>
      <c r="K1638" t="inlineStr">
        <is>
          <t>21.99</t>
        </is>
      </c>
      <c r="L1638" t="n">
        <v>10.99</v>
      </c>
      <c r="M1638" s="1" t="inlineStr">
        <is>
          <t>-50.02%</t>
        </is>
      </c>
      <c r="N1638" s="3" t="n">
        <v>-50.02</v>
      </c>
      <c r="O1638" t="n">
        <v>4.3</v>
      </c>
      <c r="P1638" t="n">
        <v>199</v>
      </c>
      <c r="R1638" t="inlineStr">
        <is>
          <t>InStock</t>
        </is>
      </c>
      <c r="S1638" t="inlineStr">
        <is>
          <t>21.99</t>
        </is>
      </c>
      <c r="T1638" t="inlineStr">
        <is>
          <t>4713271525465</t>
        </is>
      </c>
    </row>
    <row r="1639" hidden="1" ht="15.75" customHeight="1">
      <c r="A1639" s="2">
        <f>HYPERLINK("https://www.shelhealth.com/products/titanfine-disposable-vinyl-gloves-s-m-100-ct", "https://www.shelhealth.com/products/titanfine-disposable-vinyl-gloves-s-m-100-ct")</f>
        <v/>
      </c>
      <c r="B1639" s="2">
        <f>HYPERLINK("https://www.shelhealth.com/products/titanfine-disposable-vinyl-gloves-s-m-100-ct", "https://www.shelhealth.com/products/titanfine-disposable-vinyl-gloves-s-m-100-ct")</f>
        <v/>
      </c>
      <c r="C1639" t="inlineStr">
        <is>
          <t>Titanfine Disposable Vinyl Gloves S/M - 100 ct.</t>
        </is>
      </c>
      <c r="D1639" t="inlineStr">
        <is>
          <t>Disposable Gloves Medium, Nitrile and Vinyl Blend Material Gloves, Latex Free, 4 Mil,100 Pc. - Food Grade Gloves for Cleaning, Food Prep,Hair Dye, Tattoo, Black</t>
        </is>
      </c>
      <c r="E1639" s="2">
        <f>HYPERLINK("https://www.amazon.com/Coyacool-Disposable-Gloves-Nitrile-Material/dp/B0BGHK17ZM/ref=sr_1_8?keywords=Titanfine+Disposable+Vinyl+Gloves+S%2FM+-+100+ct.&amp;qid=1695170540&amp;sr=8-8", "https://www.amazon.com/Coyacool-Disposable-Gloves-Nitrile-Material/dp/B0BGHK17ZM/ref=sr_1_8?keywords=Titanfine+Disposable+Vinyl+Gloves+S%2FM+-+100+ct.&amp;qid=1695170540&amp;sr=8-8")</f>
        <v/>
      </c>
      <c r="F1639" t="inlineStr">
        <is>
          <t>B0BGHK17ZM</t>
        </is>
      </c>
      <c r="G1639">
        <f>_xludf.IMAGE("https://www.shelhealth.com/cdn/shop/products/titanfine-disposable-vinyl-gloves-sm-100-ct-shelhealth-149.jpg?v=1663373866&amp;width=1946")</f>
        <v/>
      </c>
      <c r="H1639">
        <f>_xludf.IMAGE("https://m.media-amazon.com/images/I/51qqr+KoLAL._AC_UL320_.jpg")</f>
        <v/>
      </c>
      <c r="K1639" t="inlineStr">
        <is>
          <t>19.99</t>
        </is>
      </c>
      <c r="L1639" t="n">
        <v>9.99</v>
      </c>
      <c r="M1639" s="1" t="inlineStr">
        <is>
          <t>-50.03%</t>
        </is>
      </c>
      <c r="N1639" s="3" t="n">
        <v>-50.03</v>
      </c>
      <c r="O1639" t="n">
        <v>4.4</v>
      </c>
      <c r="P1639" t="n">
        <v>48</v>
      </c>
      <c r="R1639" t="inlineStr">
        <is>
          <t>OutOfStock</t>
        </is>
      </c>
      <c r="S1639" t="inlineStr">
        <is>
          <t>19.99</t>
        </is>
      </c>
      <c r="T1639" t="inlineStr">
        <is>
          <t>4711260291161</t>
        </is>
      </c>
    </row>
    <row r="1640" hidden="1" ht="15.75" customHeight="1">
      <c r="A1640" s="2">
        <f>HYPERLINK("https://www.shelhealth.com/products/titanfine-disposable-vinyl-gloves-l-xl-100-ct", "https://www.shelhealth.com/products/titanfine-disposable-vinyl-gloves-l-xl-100-ct")</f>
        <v/>
      </c>
      <c r="B1640" s="2">
        <f>HYPERLINK("https://www.shelhealth.com/products/titanfine-disposable-vinyl-gloves-l-xl-100-ct", "https://www.shelhealth.com/products/titanfine-disposable-vinyl-gloves-l-xl-100-ct")</f>
        <v/>
      </c>
      <c r="C1640" t="inlineStr">
        <is>
          <t>Titanfine Disposable Vinyl Gloves L/XL - 100 ct.</t>
        </is>
      </c>
      <c r="D1640" t="inlineStr">
        <is>
          <t>Safe Health Clear Vinyl Exam Gloves, S M L XL, 100-Count | 3 Mil | Medical-Disposable | Powder-Free Latex-Free | Nursing-Office-Law Enforcement-Kitchen-Pet Care-Cleaning-Daily Use, Puncture-Resistant</t>
        </is>
      </c>
      <c r="E1640" s="2">
        <f>HYPERLINK("https://www.amazon.com/Medical-Disposable-Nursing-Office-Law-Enforcement-Kitchen-Pet-Care-Cleaning-Daily-Puncture-Resistant/dp/B08ZHK5RZL/ref=sr_1_2?keywords=Titanfine+Disposable+Vinyl+Gloves+L%2FXL+-+100+ct.&amp;qid=1695170546&amp;sr=8-2", "https://www.amazon.com/Medical-Disposable-Nursing-Office-Law-Enforcement-Kitchen-Pet-Care-Cleaning-Daily-Puncture-Resistant/dp/B08ZHK5RZL/ref=sr_1_2?keywords=Titanfine+Disposable+Vinyl+Gloves+L%2FXL+-+100+ct.&amp;qid=1695170546&amp;sr=8-2")</f>
        <v/>
      </c>
      <c r="F1640" t="inlineStr">
        <is>
          <t>B08ZHK5RZL</t>
        </is>
      </c>
      <c r="G1640">
        <f>_xludf.IMAGE("https://www.shelhealth.com/cdn/shop/products/titanfine-disposable-vinyl-gloves-lxl-100-ct-shelhealth-224.jpg?v=1663373873&amp;width=1946")</f>
        <v/>
      </c>
      <c r="H1640">
        <f>_xludf.IMAGE("https://m.media-amazon.com/images/I/61YqDVapMDL._AC_UL320_.jpg")</f>
        <v/>
      </c>
      <c r="K1640" t="inlineStr">
        <is>
          <t>19.99</t>
        </is>
      </c>
      <c r="L1640" t="n">
        <v>9.99</v>
      </c>
      <c r="M1640" s="1" t="inlineStr">
        <is>
          <t>-50.03%</t>
        </is>
      </c>
      <c r="N1640" s="3" t="n">
        <v>-50.03</v>
      </c>
      <c r="O1640" t="n">
        <v>4.2</v>
      </c>
      <c r="P1640" t="n">
        <v>19</v>
      </c>
      <c r="R1640" t="inlineStr">
        <is>
          <t>OutOfStock</t>
        </is>
      </c>
      <c r="S1640" t="inlineStr">
        <is>
          <t>19.99</t>
        </is>
      </c>
      <c r="T1640" t="inlineStr">
        <is>
          <t>4711261077593</t>
        </is>
      </c>
    </row>
    <row r="1641" hidden="1" ht="15.75" customHeight="1">
      <c r="A1641" s="2">
        <f>HYPERLINK("https://www.shelhealth.com/products/downy-free-and-gentle-ultra-concentrated-liquid-fabric-conditioner-138-oz", "https://www.shelhealth.com/products/downy-free-and-gentle-ultra-concentrated-liquid-fabric-conditioner-138-oz")</f>
        <v/>
      </c>
      <c r="B1641" s="2">
        <f>HYPERLINK("https://www.shelhealth.com/products/downy-free-and-gentle-ultra-concentrated-liquid-fabric-conditioner-138-oz", "https://www.shelhealth.com/products/downy-free-and-gentle-ultra-concentrated-liquid-fabric-conditioner-138-oz")</f>
        <v/>
      </c>
      <c r="C1641" t="inlineStr">
        <is>
          <t>Downy Free and Gentle Ultra Concentrated Liquid Fabric Conditioner, 138 oz.</t>
        </is>
      </c>
      <c r="D1641" t="inlineStr">
        <is>
          <t>Downy Ultra Liquid Fabric Conditioner, Free &amp; Gentle , 34 Fl oz (Pack of 2)</t>
        </is>
      </c>
      <c r="E1641" s="2">
        <f>HYPERLINK("https://www.amazon.com/Downy-Liquid-Fabric-Conditioner-Gentle/dp/B09LKFBCCK/ref=sr_1_8?keywords=Downy+Free+and+Gentle+Ultra+Concentrated+Liquid+Fabric+Conditioner%2C+138+oz.&amp;qid=1695170394&amp;sr=8-8", "https://www.amazon.com/Downy-Liquid-Fabric-Conditioner-Gentle/dp/B09LKFBCCK/ref=sr_1_8?keywords=Downy+Free+and+Gentle+Ultra+Concentrated+Liquid+Fabric+Conditioner%2C+138+oz.&amp;qid=1695170394&amp;sr=8-8")</f>
        <v/>
      </c>
      <c r="F1641" t="inlineStr">
        <is>
          <t>B09LKFBCCK</t>
        </is>
      </c>
      <c r="G1641">
        <f>_xludf.IMAGE("https://www.shelhealth.com/cdn/shop/products/downy-free-and-gentle-ultra-concentrated-liquid-fabric-conditioner-138-oz-shelhealth-424.jpg?v=1663357120&amp;width=1946")</f>
        <v/>
      </c>
      <c r="H1641">
        <f>_xludf.IMAGE("https://m.media-amazon.com/images/I/31ebw5HWLGL._AC_UL320_.jpg")</f>
        <v/>
      </c>
      <c r="K1641" t="inlineStr">
        <is>
          <t>27.99</t>
        </is>
      </c>
      <c r="L1641" t="n">
        <v>13.98</v>
      </c>
      <c r="M1641" s="1" t="inlineStr">
        <is>
          <t>-50.05%</t>
        </is>
      </c>
      <c r="N1641" s="3" t="n">
        <v>-50.05</v>
      </c>
      <c r="O1641" t="n">
        <v>4.6</v>
      </c>
      <c r="P1641" t="n">
        <v>651</v>
      </c>
      <c r="R1641" t="inlineStr">
        <is>
          <t>InStock</t>
        </is>
      </c>
      <c r="S1641" t="inlineStr">
        <is>
          <t>27.99</t>
        </is>
      </c>
      <c r="T1641" t="inlineStr">
        <is>
          <t>4179200376884</t>
        </is>
      </c>
    </row>
    <row r="1642" hidden="1" ht="15.75" customHeight="1">
      <c r="A1642" s="2">
        <f>HYPERLINK("https://www.shelhealth.com/products/oxi-clean-laundry-stain-remover-2-pk-31-fl-oz", "https://www.shelhealth.com/products/oxi-clean-laundry-stain-remover-2-pk-31-fl-oz")</f>
        <v/>
      </c>
      <c r="B1642" s="2">
        <f>HYPERLINK("https://www.shelhealth.com/products/oxi-clean-laundry-stain-remover-2-pk-31-fl-oz", "https://www.shelhealth.com/products/oxi-clean-laundry-stain-remover-2-pk-31-fl-oz")</f>
        <v/>
      </c>
      <c r="C1642" t="inlineStr">
        <is>
          <t>Oxi Clean Laundry Stain Remover, 2 pk./31 fl. oz.</t>
        </is>
      </c>
      <c r="D1642" t="inlineStr">
        <is>
          <t>OxiClean MaxForce Laundry Stain Remover Spray, 12 Fl. oz.</t>
        </is>
      </c>
      <c r="E1642" s="2">
        <f>HYPERLINK("https://www.amazon.com/OxiClean-Force-Power-Laundry-Remover/dp/B0BNMN3QVM/ref=sr_1_1?keywords=Oxi+Clean+Laundry+Stain+Remover%2C+2+pk.%2F31+fl.+oz.&amp;qid=1695170390&amp;sr=8-1", "https://www.amazon.com/OxiClean-Force-Power-Laundry-Remover/dp/B0BNMN3QVM/ref=sr_1_1?keywords=Oxi+Clean+Laundry+Stain+Remover%2C+2+pk.%2F31+fl.+oz.&amp;qid=1695170390&amp;sr=8-1")</f>
        <v/>
      </c>
      <c r="F1642" t="inlineStr">
        <is>
          <t>B0BNMN3QVM</t>
        </is>
      </c>
      <c r="G1642">
        <f>_xludf.IMAGE("https://www.shelhealth.com/cdn/shop/products/oxi-clean-laundry-stain-remover-2-pk-31-fl-oz-shelhealth-823.jpg?v=1663357059&amp;width=1946")</f>
        <v/>
      </c>
      <c r="H1642">
        <f>_xludf.IMAGE("https://m.media-amazon.com/images/I/51ujlUa1BKL._AC_UL320_.jpg")</f>
        <v/>
      </c>
      <c r="K1642" t="inlineStr">
        <is>
          <t>19.99</t>
        </is>
      </c>
      <c r="L1642" t="n">
        <v>9.98</v>
      </c>
      <c r="M1642" s="1" t="inlineStr">
        <is>
          <t>-50.08%</t>
        </is>
      </c>
      <c r="N1642" s="3" t="n">
        <v>-50.08</v>
      </c>
      <c r="O1642" t="n">
        <v>4</v>
      </c>
      <c r="P1642" t="n">
        <v>147</v>
      </c>
      <c r="R1642" t="inlineStr">
        <is>
          <t>OutOfStock</t>
        </is>
      </c>
      <c r="S1642" t="inlineStr">
        <is>
          <t>19.99</t>
        </is>
      </c>
      <c r="T1642" t="inlineStr">
        <is>
          <t>4179138969652</t>
        </is>
      </c>
    </row>
    <row r="1643" hidden="1" ht="15.75" customHeight="1">
      <c r="A1643" s="2">
        <f>HYPERLINK("https://www.shelhealth.com/products/cascade-platinum-actionpacs-dishwasher-detergent-92-ct", "https://www.shelhealth.com/products/cascade-platinum-actionpacs-dishwasher-detergent-92-ct")</f>
        <v/>
      </c>
      <c r="B1643" s="2">
        <f>HYPERLINK("https://www.shelhealth.com/products/cascade-platinum-actionpacs-dishwasher-detergent-92-ct", "https://www.shelhealth.com/products/cascade-platinum-actionpacs-dishwasher-detergent-92-ct")</f>
        <v/>
      </c>
      <c r="C1643" t="inlineStr">
        <is>
          <t>Cascade Platinum ActionPacs Dishwasher Detergent, 92 ct.</t>
        </is>
      </c>
      <c r="D1643" t="inlineStr">
        <is>
          <t>Cascade Dishwasher Pods, Actionpacs Dishwasher Detergent, Original Fresh, 105 Count</t>
        </is>
      </c>
      <c r="E1643" s="2">
        <f>HYPERLINK("https://www.amazon.com/Cascade-Dishwasher-Actionpacs-Detergent-Original/dp/B08QVLGBBT/ref=sr_1_10?keywords=Cascade+Platinum+ActionPacs+Dishwasher+Detergent%2C+92+ct.&amp;qid=1695170383&amp;sr=8-10", "https://www.amazon.com/Cascade-Dishwasher-Actionpacs-Detergent-Original/dp/B08QVLGBBT/ref=sr_1_10?keywords=Cascade+Platinum+ActionPacs+Dishwasher+Detergent%2C+92+ct.&amp;qid=1695170383&amp;sr=8-10")</f>
        <v/>
      </c>
      <c r="F1643" t="inlineStr">
        <is>
          <t>B08QVLGBBT</t>
        </is>
      </c>
      <c r="G1643">
        <f>_xludf.IMAGE("https://www.shelhealth.com/cdn/shop/products/cascade-platinum-actionpacs-dishwasher-detergent-92-ct-shelhealth-877.jpg?v=1675325870&amp;width=1946")</f>
        <v/>
      </c>
      <c r="H1643">
        <f>_xludf.IMAGE("https://m.media-amazon.com/images/I/71sPewy+OyL._AC_UL320_.jpg")</f>
        <v/>
      </c>
      <c r="K1643" t="inlineStr">
        <is>
          <t>39.99</t>
        </is>
      </c>
      <c r="L1643" t="n">
        <v>19.94</v>
      </c>
      <c r="M1643" s="1" t="inlineStr">
        <is>
          <t>-50.14%</t>
        </is>
      </c>
      <c r="N1643" s="3" t="n">
        <v>-50.14</v>
      </c>
      <c r="O1643" t="n">
        <v>4.7</v>
      </c>
      <c r="P1643" t="n">
        <v>1737</v>
      </c>
      <c r="R1643" t="inlineStr">
        <is>
          <t>OutOfStock</t>
        </is>
      </c>
      <c r="S1643" t="inlineStr">
        <is>
          <t>39.99</t>
        </is>
      </c>
      <c r="T1643" t="inlineStr">
        <is>
          <t>4169905143860</t>
        </is>
      </c>
    </row>
    <row r="1644" hidden="1" ht="15.75" customHeight="1">
      <c r="A1644" s="2">
        <f>HYPERLINK("https://www.shelhealth.com/products/cascade-platinum-actionpacs-dishwasher-detergent-92-ct", "https://www.shelhealth.com/products/cascade-platinum-actionpacs-dishwasher-detergent-92-ct")</f>
        <v/>
      </c>
      <c r="B1644" s="2">
        <f>HYPERLINK("https://www.shelhealth.com/products/cascade-platinum-actionpacs-dishwasher-detergent-92-ct", "https://www.shelhealth.com/products/cascade-platinum-actionpacs-dishwasher-detergent-92-ct")</f>
        <v/>
      </c>
      <c r="C1644" t="inlineStr">
        <is>
          <t>Cascade Platinum ActionPacs Dishwasher Detergent, 92 ct.</t>
        </is>
      </c>
      <c r="D1644" t="inlineStr">
        <is>
          <t>Cascade Platinum Dishwasher Pods, Detergent, Soap Pods, Actionpacs with Dishwasher Cleaner and Deodorizer Action, Fresh, 62 Count</t>
        </is>
      </c>
      <c r="E1644" s="2">
        <f>HYPERLINK("https://www.amazon.com/Cascade-ActionPacs-Dishwasher-Detergent-Packaging/dp/B01NGTV4J5/ref=sr_1_3?keywords=Cascade+Platinum+ActionPacs+Dishwasher+Detergent%2C+92+ct.&amp;qid=1695170383&amp;sr=8-3", "https://www.amazon.com/Cascade-ActionPacs-Dishwasher-Detergent-Packaging/dp/B01NGTV4J5/ref=sr_1_3?keywords=Cascade+Platinum+ActionPacs+Dishwasher+Detergent%2C+92+ct.&amp;qid=1695170383&amp;sr=8-3")</f>
        <v/>
      </c>
      <c r="F1644" t="inlineStr">
        <is>
          <t>B01NGTV4J5</t>
        </is>
      </c>
      <c r="G1644">
        <f>_xludf.IMAGE("https://www.shelhealth.com/cdn/shop/products/cascade-platinum-actionpacs-dishwasher-detergent-92-ct-shelhealth-877.jpg?v=1675325870&amp;width=1946")</f>
        <v/>
      </c>
      <c r="H1644">
        <f>_xludf.IMAGE("https://m.media-amazon.com/images/I/71-268JmbAL._AC_UL320_.jpg")</f>
        <v/>
      </c>
      <c r="K1644" t="inlineStr">
        <is>
          <t>39.99</t>
        </is>
      </c>
      <c r="L1644" t="n">
        <v>19.94</v>
      </c>
      <c r="M1644" s="1" t="inlineStr">
        <is>
          <t>-50.14%</t>
        </is>
      </c>
      <c r="N1644" s="3" t="n">
        <v>-50.14</v>
      </c>
      <c r="O1644" t="n">
        <v>4.8</v>
      </c>
      <c r="P1644" t="n">
        <v>58851</v>
      </c>
      <c r="R1644" t="inlineStr">
        <is>
          <t>OutOfStock</t>
        </is>
      </c>
      <c r="S1644" t="inlineStr">
        <is>
          <t>39.99</t>
        </is>
      </c>
      <c r="T1644" t="inlineStr">
        <is>
          <t>4169905143860</t>
        </is>
      </c>
    </row>
    <row r="1645" hidden="1" ht="15.75" customHeight="1">
      <c r="A1645" s="2">
        <f>HYPERLINK("https://www.shelhealth.com/products/cascade-platinum-actionpacs-dishwasher-detergent-92-ct", "https://www.shelhealth.com/products/cascade-platinum-actionpacs-dishwasher-detergent-92-ct")</f>
        <v/>
      </c>
      <c r="B1645" s="2">
        <f>HYPERLINK("https://www.shelhealth.com/products/cascade-platinum-actionpacs-dishwasher-detergent-92-ct", "https://www.shelhealth.com/products/cascade-platinum-actionpacs-dishwasher-detergent-92-ct")</f>
        <v/>
      </c>
      <c r="C1645" t="inlineStr">
        <is>
          <t>Cascade Platinum ActionPacs Dishwasher Detergent, 92 ct.</t>
        </is>
      </c>
      <c r="D1645" t="inlineStr">
        <is>
          <t>Cascade Free &amp; Clear ActionPacs, Dishwasher Detergent, Lemon Essence, 62 Count</t>
        </is>
      </c>
      <c r="E1645" s="2">
        <f>HYPERLINK("https://www.amazon.com/Cascade-Actionpacs-Dishwasher-Detergent-Essence/dp/B08VPYMJ43/ref=sr_1_8?keywords=Cascade+Platinum+ActionPacs+Dishwasher+Detergent%2C+92+ct.&amp;qid=1695170383&amp;sr=8-8", "https://www.amazon.com/Cascade-Actionpacs-Dishwasher-Detergent-Essence/dp/B08VPYMJ43/ref=sr_1_8?keywords=Cascade+Platinum+ActionPacs+Dishwasher+Detergent%2C+92+ct.&amp;qid=1695170383&amp;sr=8-8")</f>
        <v/>
      </c>
      <c r="F1645" t="inlineStr">
        <is>
          <t>B08VPYMJ43</t>
        </is>
      </c>
      <c r="G1645">
        <f>_xludf.IMAGE("https://www.shelhealth.com/cdn/shop/products/cascade-platinum-actionpacs-dishwasher-detergent-92-ct-shelhealth-877.jpg?v=1675325870&amp;width=1946")</f>
        <v/>
      </c>
      <c r="H1645">
        <f>_xludf.IMAGE("https://m.media-amazon.com/images/I/71Vv5Xp7JBL._AC_UL320_.jpg")</f>
        <v/>
      </c>
      <c r="K1645" t="inlineStr">
        <is>
          <t>39.99</t>
        </is>
      </c>
      <c r="L1645" t="n">
        <v>19.94</v>
      </c>
      <c r="M1645" s="1" t="inlineStr">
        <is>
          <t>-50.14%</t>
        </is>
      </c>
      <c r="N1645" s="3" t="n">
        <v>-50.14</v>
      </c>
      <c r="O1645" t="n">
        <v>4.6</v>
      </c>
      <c r="P1645" t="n">
        <v>1134</v>
      </c>
      <c r="R1645" t="inlineStr">
        <is>
          <t>OutOfStock</t>
        </is>
      </c>
      <c r="S1645" t="inlineStr">
        <is>
          <t>39.99</t>
        </is>
      </c>
      <c r="T1645" t="inlineStr">
        <is>
          <t>4169905143860</t>
        </is>
      </c>
    </row>
    <row r="1646" hidden="1" ht="15.75" customHeight="1">
      <c r="A1646" s="2">
        <f>HYPERLINK("https://www.shelhealth.com/products/cascade-platinum-actionpacs-dishwasher-detergent-92-ct", "https://www.shelhealth.com/products/cascade-platinum-actionpacs-dishwasher-detergent-92-ct")</f>
        <v/>
      </c>
      <c r="B1646" s="2">
        <f>HYPERLINK("https://www.shelhealth.com/products/cascade-platinum-actionpacs-dishwasher-detergent-92-ct", "https://www.shelhealth.com/products/cascade-platinum-actionpacs-dishwasher-detergent-92-ct")</f>
        <v/>
      </c>
      <c r="C1646" t="inlineStr">
        <is>
          <t>Cascade Platinum ActionPacs Dishwasher Detergent, 92 ct.</t>
        </is>
      </c>
      <c r="D1646" t="inlineStr">
        <is>
          <t>Cascade Platinum Dishwasher Soap Pods, Actionpacs + Oxi with Dishwasher Cleaner and Deodorizer Action, Fresh, 62 Count of Dish Detergent Pods</t>
        </is>
      </c>
      <c r="E1646" s="2">
        <f>HYPERLINK("https://www.amazon.com/Cascade-Dishwasher-Actionpacs-Deodorizer-Detergent/dp/B08QVJBYMK/ref=sr_1_7?keywords=Cascade+Platinum+ActionPacs+Dishwasher+Detergent%2C+92+ct.&amp;qid=1695170383&amp;sr=8-7", "https://www.amazon.com/Cascade-Dishwasher-Actionpacs-Deodorizer-Detergent/dp/B08QVJBYMK/ref=sr_1_7?keywords=Cascade+Platinum+ActionPacs+Dishwasher+Detergent%2C+92+ct.&amp;qid=1695170383&amp;sr=8-7")</f>
        <v/>
      </c>
      <c r="F1646" t="inlineStr">
        <is>
          <t>B08QVJBYMK</t>
        </is>
      </c>
      <c r="G1646">
        <f>_xludf.IMAGE("https://www.shelhealth.com/cdn/shop/products/cascade-platinum-actionpacs-dishwasher-detergent-92-ct-shelhealth-877.jpg?v=1675325870&amp;width=1946")</f>
        <v/>
      </c>
      <c r="H1646">
        <f>_xludf.IMAGE("https://m.media-amazon.com/images/I/71UICKynE6L._AC_UL320_.jpg")</f>
        <v/>
      </c>
      <c r="K1646" t="inlineStr">
        <is>
          <t>39.99</t>
        </is>
      </c>
      <c r="L1646" t="n">
        <v>19.94</v>
      </c>
      <c r="M1646" s="1" t="inlineStr">
        <is>
          <t>-50.14%</t>
        </is>
      </c>
      <c r="N1646" s="3" t="n">
        <v>-50.14</v>
      </c>
      <c r="O1646" t="n">
        <v>4.8</v>
      </c>
      <c r="P1646" t="n">
        <v>15507</v>
      </c>
      <c r="R1646" t="inlineStr">
        <is>
          <t>OutOfStock</t>
        </is>
      </c>
      <c r="S1646" t="inlineStr">
        <is>
          <t>39.99</t>
        </is>
      </c>
      <c r="T1646" t="inlineStr">
        <is>
          <t>4169905143860</t>
        </is>
      </c>
    </row>
    <row r="1647" hidden="1" ht="15.75" customHeight="1">
      <c r="A1647" s="2">
        <f>HYPERLINK("https://www.shelhealth.com/products/cascade-platinum-actionpacs-dishwasher-detergent-92-ct", "https://www.shelhealth.com/products/cascade-platinum-actionpacs-dishwasher-detergent-92-ct")</f>
        <v/>
      </c>
      <c r="B1647" s="2">
        <f>HYPERLINK("https://www.shelhealth.com/products/cascade-platinum-actionpacs-dishwasher-detergent-92-ct", "https://www.shelhealth.com/products/cascade-platinum-actionpacs-dishwasher-detergent-92-ct")</f>
        <v/>
      </c>
      <c r="C1647" t="inlineStr">
        <is>
          <t>Cascade Platinum ActionPacs Dishwasher Detergent, 92 ct.</t>
        </is>
      </c>
      <c r="D1647" t="inlineStr">
        <is>
          <t>Cascade Platinum Dishwasher Pods, Dishwasher Detergent, Dishwasher Pod, Dishwasher Soap Pod, Actionpacs Dish Washing Pod, Lemon, 62 Count Dishwasher Detergent Pods</t>
        </is>
      </c>
      <c r="E1647" s="2">
        <f>HYPERLINK("https://www.amazon.com/Cascade-Platinum-ActionPacs-Dishwasher-Detergent/dp/B086ZJTVS5/ref=sr_1_1?keywords=Cascade+Platinum+ActionPacs+Dishwasher+Detergent%2C+92+ct.&amp;qid=1695170383&amp;sr=8-1", "https://www.amazon.com/Cascade-Platinum-ActionPacs-Dishwasher-Detergent/dp/B086ZJTVS5/ref=sr_1_1?keywords=Cascade+Platinum+ActionPacs+Dishwasher+Detergent%2C+92+ct.&amp;qid=1695170383&amp;sr=8-1")</f>
        <v/>
      </c>
      <c r="F1647" t="inlineStr">
        <is>
          <t>B086ZJTVS5</t>
        </is>
      </c>
      <c r="G1647">
        <f>_xludf.IMAGE("https://www.shelhealth.com/cdn/shop/products/cascade-platinum-actionpacs-dishwasher-detergent-92-ct-shelhealth-877.jpg?v=1675325870&amp;width=1946")</f>
        <v/>
      </c>
      <c r="H1647">
        <f>_xludf.IMAGE("https://m.media-amazon.com/images/I/814o8a13uvL._AC_UL320_.jpg")</f>
        <v/>
      </c>
      <c r="K1647" t="inlineStr">
        <is>
          <t>39.99</t>
        </is>
      </c>
      <c r="L1647" t="n">
        <v>19.94</v>
      </c>
      <c r="M1647" s="1" t="inlineStr">
        <is>
          <t>-50.14%</t>
        </is>
      </c>
      <c r="N1647" s="3" t="n">
        <v>-50.14</v>
      </c>
      <c r="O1647" t="n">
        <v>4.8</v>
      </c>
      <c r="P1647" t="n">
        <v>25835</v>
      </c>
      <c r="R1647" t="inlineStr">
        <is>
          <t>OutOfStock</t>
        </is>
      </c>
      <c r="S1647" t="inlineStr">
        <is>
          <t>39.99</t>
        </is>
      </c>
      <c r="T1647" t="inlineStr">
        <is>
          <t>4169905143860</t>
        </is>
      </c>
    </row>
    <row r="1648" hidden="1" ht="15.75" customHeight="1">
      <c r="A1648" s="2">
        <f>HYPERLINK("https://www.shelhealth.com/products/duracell-hearing-aid-312-battery-32-ct", "https://www.shelhealth.com/products/duracell-hearing-aid-312-battery-32-ct")</f>
        <v/>
      </c>
      <c r="B1648" s="2">
        <f>HYPERLINK("https://www.shelhealth.com/products/duracell-hearing-aid-312-battery-32-ct", "https://www.shelhealth.com/products/duracell-hearing-aid-312-battery-32-ct")</f>
        <v/>
      </c>
      <c r="C1648" t="inlineStr">
        <is>
          <t>Duracell Hearing Aid 312 Battery, 32 ct.</t>
        </is>
      </c>
      <c r="D1648" t="inlineStr">
        <is>
          <t>Duracell Hearing Aid Size 312 Batteries, 32 Count</t>
        </is>
      </c>
      <c r="E1648" s="2">
        <f>HYPERLINK("https://www.amazon.com/Duracell-Hearing-Size-Batteries-Count/dp/B01KUAXLPA/ref=sr_1_1?keywords=Duracell+Hearing+Aid+312+Battery%2C+32+ct.&amp;qid=1695170558&amp;sr=8-1", "https://www.amazon.com/Duracell-Hearing-Size-Batteries-Count/dp/B01KUAXLPA/ref=sr_1_1?keywords=Duracell+Hearing+Aid+312+Battery%2C+32+ct.&amp;qid=1695170558&amp;sr=8-1")</f>
        <v/>
      </c>
      <c r="F1648" t="inlineStr">
        <is>
          <t>B01KUAXLPA</t>
        </is>
      </c>
      <c r="G1648">
        <f>_xludf.IMAGE("https://www.shelhealth.com/cdn/shop/files/duracell-hearing-aid-312-battery-32-ct-emergency-preparednessbatteries-shelhealth-471.jpg?v=1686284003&amp;width=1946")</f>
        <v/>
      </c>
      <c r="H1648">
        <f>_xludf.IMAGE("https://m.media-amazon.com/images/I/71TeTn5liuL._AC_UL320_.jpg")</f>
        <v/>
      </c>
      <c r="K1648" t="inlineStr">
        <is>
          <t>32.99</t>
        </is>
      </c>
      <c r="L1648" t="n">
        <v>16.44</v>
      </c>
      <c r="M1648" s="1" t="inlineStr">
        <is>
          <t>-50.17%</t>
        </is>
      </c>
      <c r="N1648" s="3" t="n">
        <v>-50.17</v>
      </c>
      <c r="O1648" t="n">
        <v>4.6</v>
      </c>
      <c r="P1648" t="n">
        <v>834</v>
      </c>
      <c r="R1648" t="inlineStr">
        <is>
          <t>InStock</t>
        </is>
      </c>
      <c r="S1648" t="inlineStr">
        <is>
          <t>32.99</t>
        </is>
      </c>
      <c r="T1648" t="inlineStr">
        <is>
          <t>4169896263732</t>
        </is>
      </c>
    </row>
    <row r="1649" hidden="1" ht="15.75" customHeight="1">
      <c r="A1649" s="2">
        <f>HYPERLINK("https://www.shelhealth.com/products/scrubbing-bubbles-fresh-citrus-toilet-cleaning-stamps-and-gel", "https://www.shelhealth.com/products/scrubbing-bubbles-fresh-citrus-toilet-cleaning-stamps-and-gel")</f>
        <v/>
      </c>
      <c r="B1649" s="2">
        <f>HYPERLINK("https://www.shelhealth.com/products/scrubbing-bubbles-fresh-citrus-toilet-cleaning-stamps-and-gel", "https://www.shelhealth.com/products/scrubbing-bubbles-fresh-citrus-toilet-cleaning-stamps-and-gel")</f>
        <v/>
      </c>
      <c r="C1649" t="inlineStr">
        <is>
          <t>Scrubbing Bubbles Fresh Citrus Toilet Cleaning Stamps and Gel</t>
        </is>
      </c>
      <c r="D1649" t="inlineStr">
        <is>
          <t>Scrubbing Bubbles Fresh Gel Toilet Cleaning Stamp, Rainshower, Dispenser with 6 Gel Stamps, 1.34 oz (Pack of 2)</t>
        </is>
      </c>
      <c r="E1649" s="2">
        <f>HYPERLINK("https://www.amazon.com/Scrubbing-Bubbles-Cleaning-Starter-Rainshower/dp/B06XDJC6H3/ref=sr_1_3?keywords=Scrubbing+Bubbles+Fresh+Citrus+Toilet+Cleaning+Stamps+and+Gel&amp;qid=1695170544&amp;sr=8-3", "https://www.amazon.com/Scrubbing-Bubbles-Cleaning-Starter-Rainshower/dp/B06XDJC6H3/ref=sr_1_3?keywords=Scrubbing+Bubbles+Fresh+Citrus+Toilet+Cleaning+Stamps+and+Gel&amp;qid=1695170544&amp;sr=8-3")</f>
        <v/>
      </c>
      <c r="F1649" t="inlineStr">
        <is>
          <t>B06XDJC6H3</t>
        </is>
      </c>
      <c r="G1649">
        <f>_xludf.IMAGE("https://www.shelhealth.com/cdn/shop/products/scrubbing-bubbles-fresh-citrus-toilet-cleaning-stamps-and-gel-shelhealth-822.jpg?v=1663369145&amp;width=1946")</f>
        <v/>
      </c>
      <c r="H1649">
        <f>_xludf.IMAGE("https://m.media-amazon.com/images/I/610nXkk5ZJL._AC_UL320_.jpg")</f>
        <v/>
      </c>
      <c r="K1649" t="inlineStr">
        <is>
          <t>17.99</t>
        </is>
      </c>
      <c r="L1649" t="n">
        <v>8.960000000000001</v>
      </c>
      <c r="M1649" s="1" t="inlineStr">
        <is>
          <t>-50.19%</t>
        </is>
      </c>
      <c r="N1649" s="3" t="n">
        <v>-50.19</v>
      </c>
      <c r="O1649" t="n">
        <v>4.4</v>
      </c>
      <c r="P1649" t="n">
        <v>36655</v>
      </c>
      <c r="R1649" t="inlineStr">
        <is>
          <t>OutOfStock</t>
        </is>
      </c>
      <c r="S1649" t="inlineStr">
        <is>
          <t>17.99</t>
        </is>
      </c>
      <c r="T1649" t="inlineStr">
        <is>
          <t>4613432508505</t>
        </is>
      </c>
    </row>
    <row r="1650" hidden="1" ht="15.75" customHeight="1">
      <c r="A1650" s="2">
        <f>HYPERLINK("https://www.shelhealth.com/products/downy-unstopables-in-wash-scent-booster-beads-fresh-30-3-oz", "https://www.shelhealth.com/products/downy-unstopables-in-wash-scent-booster-beads-fresh-30-3-oz")</f>
        <v/>
      </c>
      <c r="B1650" s="2">
        <f>HYPERLINK("https://www.shelhealth.com/products/downy-unstopables-in-wash-scent-booster-beads-fresh-30-3-oz", "https://www.shelhealth.com/products/downy-unstopables-in-wash-scent-booster-beads-fresh-30-3-oz")</f>
        <v/>
      </c>
      <c r="C1650" t="inlineStr">
        <is>
          <t>Downy Unstopables in-Wash Scent Booster Beads, Fresh (30.3 oz.)</t>
        </is>
      </c>
      <c r="D1650" t="inlineStr">
        <is>
          <t>Downy Unstopable In-Wash Scent Booster Beads, FRESH, 13.4 oz</t>
        </is>
      </c>
      <c r="E1650" s="2">
        <f>HYPERLINK("https://www.amazon.com/Downy-Unstopable-Wash-Scent-Booster/dp/B0CCGJJ26Y/ref=sr_1_10?keywords=Downy+Unstopables+in-Wash+Scent+Booster+Beads%2C+Fresh+%2830.3+oz.%29&amp;qid=1695170384&amp;sr=8-10", "https://www.amazon.com/Downy-Unstopable-Wash-Scent-Booster/dp/B0CCGJJ26Y/ref=sr_1_10?keywords=Downy+Unstopables+in-Wash+Scent+Booster+Beads%2C+Fresh+%2830.3+oz.%29&amp;qid=1695170384&amp;sr=8-10")</f>
        <v/>
      </c>
      <c r="F1650" t="inlineStr">
        <is>
          <t>B0CCGJJ26Y</t>
        </is>
      </c>
      <c r="G1650">
        <f>_xludf.IMAGE("https://www.shelhealth.com/cdn/shop/products/downy-unstopables-in-wash-scent-booster-beads-fresh-30-3-oz-shelhealth-182.jpg?v=1663343197&amp;width=1946")</f>
        <v/>
      </c>
      <c r="H1650">
        <f>_xludf.IMAGE("https://m.media-amazon.com/images/I/713CnEsXqwL._AC_UL320_.jpg")</f>
        <v/>
      </c>
      <c r="K1650" t="inlineStr">
        <is>
          <t>21.99</t>
        </is>
      </c>
      <c r="L1650" t="n">
        <v>10.94</v>
      </c>
      <c r="M1650" s="1" t="inlineStr">
        <is>
          <t>-50.25%</t>
        </is>
      </c>
      <c r="N1650" s="3" t="n">
        <v>-50.25</v>
      </c>
      <c r="O1650" t="n">
        <v>4.8</v>
      </c>
      <c r="P1650" t="n">
        <v>13171</v>
      </c>
      <c r="R1650" t="inlineStr">
        <is>
          <t>InStock</t>
        </is>
      </c>
      <c r="S1650" t="inlineStr">
        <is>
          <t>21.99</t>
        </is>
      </c>
      <c r="T1650" t="inlineStr">
        <is>
          <t>3819605065780</t>
        </is>
      </c>
    </row>
    <row r="1651" hidden="1" ht="15.75" customHeight="1">
      <c r="A1651" s="2">
        <f>HYPERLINK("https://www.shelhealth.com/products/swiffer-sweeper-wet-cloth-refill-64-count", "https://www.shelhealth.com/products/swiffer-sweeper-wet-cloth-refill-64-count")</f>
        <v/>
      </c>
      <c r="B1651" s="2">
        <f>HYPERLINK("https://www.shelhealth.com/products/swiffer-sweeper-wet-cloth-refill-64-count", "https://www.shelhealth.com/products/swiffer-sweeper-wet-cloth-refill-64-count")</f>
        <v/>
      </c>
      <c r="C1651" t="inlineStr">
        <is>
          <t>Swiffer Sweeper Wet Cloth Refill, 64 Count</t>
        </is>
      </c>
      <c r="D1651" t="inlineStr">
        <is>
          <t>Wet Mopping Pad Refills for Swiffer Sweeper Wet Pads,Wet Sweepping Cloths,30 Count</t>
        </is>
      </c>
      <c r="E1651" s="2">
        <f>HYPERLINK("https://www.amazon.com/Disposable-Mopping-Refills-Swiffer-Sweeper/dp/B093KKM2BL/ref=sr_1_3?keywords=Swiffer+Sweeper+Wet+Cloth+Refill%2C+64+Count&amp;qid=1695170382&amp;sr=8-3", "https://www.amazon.com/Disposable-Mopping-Refills-Swiffer-Sweeper/dp/B093KKM2BL/ref=sr_1_3?keywords=Swiffer+Sweeper+Wet+Cloth+Refill%2C+64+Count&amp;qid=1695170382&amp;sr=8-3")</f>
        <v/>
      </c>
      <c r="F1651" t="inlineStr">
        <is>
          <t>B093KKM2BL</t>
        </is>
      </c>
      <c r="G1651">
        <f>_xludf.IMAGE("https://www.shelhealth.com/cdn/shop/products/swiffer-sweeper-wet-cloth-refill-64-count-shelhealth-364.jpg?v=1663342907&amp;width=1946")</f>
        <v/>
      </c>
      <c r="H1651">
        <f>_xludf.IMAGE("https://m.media-amazon.com/images/I/71TtBIT0A4L._AC_UL320_.jpg")</f>
        <v/>
      </c>
      <c r="K1651" t="inlineStr">
        <is>
          <t>30.99</t>
        </is>
      </c>
      <c r="L1651" t="n">
        <v>15.29</v>
      </c>
      <c r="M1651" s="1" t="inlineStr">
        <is>
          <t>-50.66%</t>
        </is>
      </c>
      <c r="N1651" s="3" t="n">
        <v>-50.66</v>
      </c>
      <c r="O1651" t="n">
        <v>3.6</v>
      </c>
      <c r="P1651" t="n">
        <v>338</v>
      </c>
      <c r="R1651" t="inlineStr">
        <is>
          <t>InStock</t>
        </is>
      </c>
      <c r="S1651" t="inlineStr">
        <is>
          <t>30.99</t>
        </is>
      </c>
      <c r="T1651" t="inlineStr">
        <is>
          <t>3818793271348</t>
        </is>
      </c>
    </row>
    <row r="1652" hidden="1" ht="15.75" customHeight="1">
      <c r="A1652" s="2">
        <f>HYPERLINK("https://www.shelhealth.com/products/3m-post-it-notes-3-in-x-3-in-1000-notes", "https://www.shelhealth.com/products/3m-post-it-notes-3-in-x-3-in-1000-notes")</f>
        <v/>
      </c>
      <c r="B1652" s="2">
        <f>HYPERLINK("https://www.shelhealth.com/products/3m-post-it-notes-3-in-x-3-in-1000-notes", "https://www.shelhealth.com/products/3m-post-it-notes-3-in-x-3-in-1000-notes")</f>
        <v/>
      </c>
      <c r="C1652" t="inlineStr">
        <is>
          <t>3M Post-It Notes 3 in. x 3 in. (1000 Notes)</t>
        </is>
      </c>
      <c r="D1652" t="inlineStr">
        <is>
          <t>Post-it Super Sticky Notes, 3x3 in, 2x the Sticking Power, Assorted Bright Colors, Recyclable (pack of 12)</t>
        </is>
      </c>
      <c r="E1652" s="2">
        <f>HYPERLINK("https://www.amazon.com/Post-Sticking-Janeiro-Collection-654-12SSUC/dp/B000IJDEII/ref=sr_1_5?keywords=3M+Post-It+Notes+3+in.+x+3+in.+%281000+Notes%29&amp;qid=1695170543&amp;sr=8-5", "https://www.amazon.com/Post-Sticking-Janeiro-Collection-654-12SSUC/dp/B000IJDEII/ref=sr_1_5?keywords=3M+Post-It+Notes+3+in.+x+3+in.+%281000+Notes%29&amp;qid=1695170543&amp;sr=8-5")</f>
        <v/>
      </c>
      <c r="F1652" t="inlineStr">
        <is>
          <t>B000IJDEII</t>
        </is>
      </c>
      <c r="G1652">
        <f>_xludf.IMAGE("https://www.shelhealth.com/cdn/shop/products/3m-post-it-notes-3-in-x-1000-shelhealth-901.jpg?v=1663372777&amp;width=1946")</f>
        <v/>
      </c>
      <c r="H1652">
        <f>_xludf.IMAGE("https://m.media-amazon.com/images/I/61LJCww4V4L._AC_UL320_.jpg")</f>
        <v/>
      </c>
      <c r="K1652" t="inlineStr">
        <is>
          <t>27.99</t>
        </is>
      </c>
      <c r="L1652" t="n">
        <v>13.79</v>
      </c>
      <c r="M1652" s="1" t="inlineStr">
        <is>
          <t>-50.73%</t>
        </is>
      </c>
      <c r="N1652" s="3" t="n">
        <v>-50.73</v>
      </c>
      <c r="O1652" t="n">
        <v>4.7</v>
      </c>
      <c r="P1652" t="n">
        <v>322</v>
      </c>
      <c r="R1652" t="inlineStr">
        <is>
          <t>InStock</t>
        </is>
      </c>
      <c r="S1652" t="inlineStr">
        <is>
          <t>27.99</t>
        </is>
      </c>
      <c r="T1652" t="inlineStr">
        <is>
          <t>4696977703001</t>
        </is>
      </c>
    </row>
    <row r="1653" hidden="1" ht="15.75" customHeight="1">
      <c r="A1653" s="2">
        <f>HYPERLINK("https://www.shelhealth.com/products/downy-fresh-protect-with-febreze-april-fresh-in-wash-odor-defense-beads-30-3-oz", "https://www.shelhealth.com/products/downy-fresh-protect-with-febreze-april-fresh-in-wash-odor-defense-beads-30-3-oz")</f>
        <v/>
      </c>
      <c r="B1653" s="2">
        <f>HYPERLINK("https://www.shelhealth.com/products/downy-fresh-protect-with-febreze-april-fresh-in-wash-odor-defense-beads-30-3-oz", "https://www.shelhealth.com/products/downy-fresh-protect-with-febreze-april-fresh-in-wash-odor-defense-beads-30-3-oz")</f>
        <v/>
      </c>
      <c r="C1653" t="inlineStr">
        <is>
          <t>Downy Fresh Protect With Febreze April Fresh In-Wash Odor Defense Beads, 30.3 oz.</t>
        </is>
      </c>
      <c r="D1653" t="inlineStr">
        <is>
          <t>Downy Fresh Protect April Fresh with Febreze Odor Defense In-Wash Scent Beads, 21 Loads 10 oz</t>
        </is>
      </c>
      <c r="E1653" s="2">
        <f>HYPERLINK("https://www.amazon.com/Downy-Fresh-Protect-Febreze-Defense/dp/B0851K1P2K/ref=sr_1_1?keywords=Downy+Fresh+Protect+With+Febreze+April+Fresh+In-Wash+Odor+Defense+Beads%2C+30.3+oz.&amp;qid=1695170433&amp;sr=8-1", "https://www.amazon.com/Downy-Fresh-Protect-Febreze-Defense/dp/B0851K1P2K/ref=sr_1_1?keywords=Downy+Fresh+Protect+With+Febreze+April+Fresh+In-Wash+Odor+Defense+Beads%2C+30.3+oz.&amp;qid=1695170433&amp;sr=8-1")</f>
        <v/>
      </c>
      <c r="F1653" t="inlineStr">
        <is>
          <t>B0851K1P2K</t>
        </is>
      </c>
      <c r="G1653">
        <f>_xludf.IMAGE("https://www.shelhealth.com/cdn/shop/products/downy-fresh-protect-with-febreze-april-in-wash-odor-defense-beads-30-3-oz-shelhealth-371.jpg?v=1663356602&amp;width=1946")</f>
        <v/>
      </c>
      <c r="H1653">
        <f>_xludf.IMAGE("https://m.media-amazon.com/images/I/710-dgw9cRL._AC_UL320_.jpg")</f>
        <v/>
      </c>
      <c r="K1653" t="inlineStr">
        <is>
          <t>23.99</t>
        </is>
      </c>
      <c r="L1653" t="n">
        <v>11.8</v>
      </c>
      <c r="M1653" s="1" t="inlineStr">
        <is>
          <t>-50.81%</t>
        </is>
      </c>
      <c r="N1653" s="3" t="n">
        <v>-50.81</v>
      </c>
      <c r="O1653" t="n">
        <v>4.7</v>
      </c>
      <c r="P1653" t="n">
        <v>341</v>
      </c>
      <c r="R1653" t="inlineStr">
        <is>
          <t>InStock</t>
        </is>
      </c>
      <c r="S1653" t="inlineStr">
        <is>
          <t>23.99</t>
        </is>
      </c>
      <c r="T1653" t="inlineStr">
        <is>
          <t>4179005046836</t>
        </is>
      </c>
    </row>
    <row r="1654" hidden="1" ht="15.75" customHeight="1">
      <c r="A1654" s="2">
        <f>HYPERLINK("https://www.shelhealth.com/products/cascade-platinum-actionpacs-dishwasher-detergent-92-ct", "https://www.shelhealth.com/products/cascade-platinum-actionpacs-dishwasher-detergent-92-ct")</f>
        <v/>
      </c>
      <c r="B1654" s="2">
        <f>HYPERLINK("https://www.shelhealth.com/products/cascade-platinum-actionpacs-dishwasher-detergent-92-ct", "https://www.shelhealth.com/products/cascade-platinum-actionpacs-dishwasher-detergent-92-ct")</f>
        <v/>
      </c>
      <c r="C1654" t="inlineStr">
        <is>
          <t>Cascade Platinum ActionPacs Dishwasher Detergent, 92 ct.</t>
        </is>
      </c>
      <c r="D1654" t="inlineStr">
        <is>
          <t>Cascade Platinum Plus ActionPacs Dishwasher Detergent Pods, Fresh, 62 Count</t>
        </is>
      </c>
      <c r="E1654" s="2">
        <f>HYPERLINK("https://www.amazon.com/Cascade-Platinum-ActionPacs-Dishwasher-Detergent/dp/B0BS5H2VNB/ref=sr_1_6?keywords=Cascade+Platinum+ActionPacs+Dishwasher+Detergent%2C+92+ct.&amp;qid=1695170383&amp;sr=8-6", "https://www.amazon.com/Cascade-Platinum-ActionPacs-Dishwasher-Detergent/dp/B0BS5H2VNB/ref=sr_1_6?keywords=Cascade+Platinum+ActionPacs+Dishwasher+Detergent%2C+92+ct.&amp;qid=1695170383&amp;sr=8-6")</f>
        <v/>
      </c>
      <c r="F1654" t="inlineStr">
        <is>
          <t>B0BS5H2VNB</t>
        </is>
      </c>
      <c r="G1654">
        <f>_xludf.IMAGE("https://www.shelhealth.com/cdn/shop/products/cascade-platinum-actionpacs-dishwasher-detergent-92-ct-shelhealth-877.jpg?v=1675325870&amp;width=1946")</f>
        <v/>
      </c>
      <c r="H1654">
        <f>_xludf.IMAGE("https://m.media-amazon.com/images/I/71dXvNsz7+L._AC_UL320_.jpg")</f>
        <v/>
      </c>
      <c r="K1654" t="inlineStr">
        <is>
          <t>39.99</t>
        </is>
      </c>
      <c r="L1654" t="n">
        <v>19.13</v>
      </c>
      <c r="M1654" s="1" t="inlineStr">
        <is>
          <t>-52.16%</t>
        </is>
      </c>
      <c r="N1654" s="3" t="n">
        <v>-52.16</v>
      </c>
      <c r="O1654" t="n">
        <v>4.8</v>
      </c>
      <c r="P1654" t="n">
        <v>9813</v>
      </c>
      <c r="R1654" t="inlineStr">
        <is>
          <t>OutOfStock</t>
        </is>
      </c>
      <c r="S1654" t="inlineStr">
        <is>
          <t>39.99</t>
        </is>
      </c>
      <c r="T1654" t="inlineStr">
        <is>
          <t>4169905143860</t>
        </is>
      </c>
    </row>
    <row r="1655" hidden="1" ht="15.75" customHeight="1">
      <c r="A1655" s="2">
        <f>HYPERLINK("https://www.shelhealth.com/products/febreze-air-freshener-hawaiian-aloha-8-8-oz", "https://www.shelhealth.com/products/febreze-air-freshener-hawaiian-aloha-8-8-oz")</f>
        <v/>
      </c>
      <c r="B1655" s="2">
        <f>HYPERLINK("https://www.shelhealth.com/products/febreze-air-freshener-hawaiian-aloha-8-8-oz", "https://www.shelhealth.com/products/febreze-air-freshener-hawaiian-aloha-8-8-oz")</f>
        <v/>
      </c>
      <c r="C1655" t="inlineStr">
        <is>
          <t>Febreze AIR Freshener Hawaiian Aloha, 8.8 oz (Case of 5)</t>
        </is>
      </c>
      <c r="D1655" t="inlineStr">
        <is>
          <t>Febreze Air Freshener and Odor Fighter Spray, Hawaiian Aloha Scent, 8.8 Oz (Pack of 6)</t>
        </is>
      </c>
      <c r="E1655" s="2">
        <f>HYPERLINK("https://www.amazon.com/Febreze-Effects-Freshener-Hawaiian-Aloha/dp/B010OVWKVQ/ref=sr_1_2?keywords=Febreze+AIR+Freshener+Hawaiian+Aloha%2C+8.8+oz+%28Case+of+5%29&amp;qid=1695170548&amp;sr=8-2", "https://www.amazon.com/Febreze-Effects-Freshener-Hawaiian-Aloha/dp/B010OVWKVQ/ref=sr_1_2?keywords=Febreze+AIR+Freshener+Hawaiian+Aloha%2C+8.8+oz+%28Case+of+5%29&amp;qid=1695170548&amp;sr=8-2")</f>
        <v/>
      </c>
      <c r="F1655" t="inlineStr">
        <is>
          <t>B010OVWKVQ</t>
        </is>
      </c>
      <c r="G1655">
        <f>_xludf.IMAGE("https://www.shelhealth.com/cdn/shop/products/febreze-air-freshener-hawaiian-aloha-8-oz-case-of-5-shelhealth-297.jpg?v=1675329832&amp;width=1946")</f>
        <v/>
      </c>
      <c r="H1655">
        <f>_xludf.IMAGE("https://m.media-amazon.com/images/I/713lIZtxdpL._AC_UL320_.jpg")</f>
        <v/>
      </c>
      <c r="K1655" t="inlineStr">
        <is>
          <t>34.99</t>
        </is>
      </c>
      <c r="L1655" t="n">
        <v>16.71</v>
      </c>
      <c r="M1655" s="1" t="inlineStr">
        <is>
          <t>-52.24%</t>
        </is>
      </c>
      <c r="N1655" s="3" t="n">
        <v>-52.24</v>
      </c>
      <c r="O1655" t="n">
        <v>4.7</v>
      </c>
      <c r="P1655" t="n">
        <v>50142</v>
      </c>
      <c r="R1655" t="inlineStr">
        <is>
          <t>InStock</t>
        </is>
      </c>
      <c r="S1655" t="inlineStr">
        <is>
          <t>34.99</t>
        </is>
      </c>
      <c r="T1655" t="inlineStr">
        <is>
          <t>4458272784473</t>
        </is>
      </c>
    </row>
    <row r="1656" hidden="1" ht="15.75" customHeight="1">
      <c r="A1656" s="2">
        <f>HYPERLINK("https://www.shelhealth.com/products/639713990904-evolution-salt-lamp-salt-white-himalayan-6-lb", "https://www.shelhealth.com/products/639713990904-evolution-salt-lamp-salt-white-himalayan-6-lb")</f>
        <v/>
      </c>
      <c r="B1656" s="2">
        <f>HYPERLINK("https://www.shelhealth.com/products/639713990904-evolution-salt-lamp-salt-white-himalayan-6-lb", "https://www.shelhealth.com/products/639713990904-evolution-salt-lamp-salt-white-himalayan-6-lb")</f>
        <v/>
      </c>
      <c r="C1656" t="inlineStr">
        <is>
          <t>EVOLUTION SALT Lamp Salt White Himalayan, 6 lb</t>
        </is>
      </c>
      <c r="D1656" t="inlineStr">
        <is>
          <t>Omonic White Himalayan Salt Lamp Night Light Lights Crystal Hand Carved Hymalain Rock Table Lamps(5-8 lbs,6.5-10"),Thailand Rubberplatinum Base, Dimmable Touch Switch Control (3 Bulbs Included)</t>
        </is>
      </c>
      <c r="E1656" s="2">
        <f>HYPERLINK("https://www.amazon.com/Himalayan-Hymalain-Thailand-Rubberwood-Dimmable/dp/B07DWPXNL5/ref=sr_1_4?keywords=EVOLUTION+SALT+Lamp+Salt+White+Himalayan%2C+6+lb&amp;qid=1695170551&amp;sr=8-4", "https://www.amazon.com/Himalayan-Hymalain-Thailand-Rubberwood-Dimmable/dp/B07DWPXNL5/ref=sr_1_4?keywords=EVOLUTION+SALT+Lamp+Salt+White+Himalayan%2C+6+lb&amp;qid=1695170551&amp;sr=8-4")</f>
        <v/>
      </c>
      <c r="F1656" t="inlineStr">
        <is>
          <t>B07DWPXNL5</t>
        </is>
      </c>
      <c r="G1656">
        <f>_xludf.IMAGE("https://www.shelhealth.com/cdn/shop/files/evolution-salt-lamp-white-himalayan-6-lb-home-products-shelhealth-763.jpg?v=1686211501&amp;width=1946")</f>
        <v/>
      </c>
      <c r="H1656">
        <f>_xludf.IMAGE("https://m.media-amazon.com/images/I/71sujhmR-BL._AC_UL320_.jpg")</f>
        <v/>
      </c>
      <c r="K1656" t="inlineStr">
        <is>
          <t>54.99</t>
        </is>
      </c>
      <c r="L1656" t="n">
        <v>25.99</v>
      </c>
      <c r="M1656" s="1" t="inlineStr">
        <is>
          <t>-52.74%</t>
        </is>
      </c>
      <c r="N1656" s="3" t="n">
        <v>-52.74</v>
      </c>
      <c r="O1656" t="n">
        <v>4.4</v>
      </c>
      <c r="P1656" t="n">
        <v>285</v>
      </c>
      <c r="R1656" t="inlineStr">
        <is>
          <t>OutOfStock</t>
        </is>
      </c>
      <c r="S1656" t="inlineStr">
        <is>
          <t>54.99</t>
        </is>
      </c>
      <c r="T1656" t="inlineStr">
        <is>
          <t>7574079668456</t>
        </is>
      </c>
    </row>
    <row r="1657" hidden="1" ht="15.75" customHeight="1">
      <c r="A1657" s="2">
        <f>HYPERLINK("https://www.shelhealth.com/products/717256000776-bio-kleen-natural-dish-liquid-citrus-and-aloe-5-ga", "https://www.shelhealth.com/products/717256000776-bio-kleen-natural-dish-liquid-citrus-and-aloe-5-ga")</f>
        <v/>
      </c>
      <c r="B1657" s="2">
        <f>HYPERLINK("https://www.shelhealth.com/products/717256000776-bio-kleen-natural-dish-liquid-citrus-and-aloe-5-ga", "https://www.shelhealth.com/products/717256000776-bio-kleen-natural-dish-liquid-citrus-and-aloe-5-ga")</f>
        <v/>
      </c>
      <c r="C1657" t="inlineStr">
        <is>
          <t>BIO KLEEN Natural Dish Liquid Citrus and Aloe, 5 ga</t>
        </is>
      </c>
      <c r="D1657" t="inlineStr">
        <is>
          <t>Biokleen Dish Liquid - Natural - Free and Clear - 25 Oz - Case of 6</t>
        </is>
      </c>
      <c r="E1657" s="2">
        <f>HYPERLINK("https://www.amazon.com/Biokleen-Dish-Liquid-Natural-Clear/dp/B01N36HORT/ref=sr_1_6?keywords=BIO+KLEEN+Natural+Dish+Liquid+Citrus+and+Aloe%2C+5+ga&amp;qid=1695170467&amp;sr=8-6", "https://www.amazon.com/Biokleen-Dish-Liquid-Natural-Clear/dp/B01N36HORT/ref=sr_1_6?keywords=BIO+KLEEN+Natural+Dish+Liquid+Citrus+and+Aloe%2C+5+ga&amp;qid=1695170467&amp;sr=8-6")</f>
        <v/>
      </c>
      <c r="F1657" t="inlineStr">
        <is>
          <t>B01N36HORT</t>
        </is>
      </c>
      <c r="G1657">
        <f>_xludf.IMAGE("https://www.shelhealth.com/cdn/shop/files/bio-kleen-natural-dish-liquid-citrus-and-aloe-5-ga-home-products-shelhealth-386.jpg?v=1686140510&amp;width=1946")</f>
        <v/>
      </c>
      <c r="H1657">
        <f>_xludf.IMAGE("https://m.media-amazon.com/images/I/51E-KRvfm1S._AC_UL320_.jpg")</f>
        <v/>
      </c>
      <c r="K1657" t="inlineStr">
        <is>
          <t>94.99</t>
        </is>
      </c>
      <c r="L1657" t="n">
        <v>44.85</v>
      </c>
      <c r="M1657" s="1" t="inlineStr">
        <is>
          <t>-52.78%</t>
        </is>
      </c>
      <c r="N1657" s="3" t="n">
        <v>-52.78</v>
      </c>
      <c r="O1657" t="n">
        <v>5</v>
      </c>
      <c r="P1657" t="n">
        <v>3</v>
      </c>
      <c r="R1657" t="inlineStr">
        <is>
          <t>OutOfStock</t>
        </is>
      </c>
      <c r="S1657" t="inlineStr">
        <is>
          <t>94.99</t>
        </is>
      </c>
      <c r="T1657" t="inlineStr">
        <is>
          <t>7573984575720</t>
        </is>
      </c>
    </row>
    <row r="1658" hidden="1" ht="15.75" customHeight="1">
      <c r="A1658" s="2">
        <f>HYPERLINK("https://www.shelhealth.com/products/scrubbing-bubbles-bathroom-grime-fighter-3-pk-32-oz", "https://www.shelhealth.com/products/scrubbing-bubbles-bathroom-grime-fighter-3-pk-32-oz")</f>
        <v/>
      </c>
      <c r="B1658" s="2">
        <f>HYPERLINK("https://www.shelhealth.com/products/scrubbing-bubbles-bathroom-grime-fighter-3-pk-32-oz", "https://www.shelhealth.com/products/scrubbing-bubbles-bathroom-grime-fighter-3-pk-32-oz")</f>
        <v/>
      </c>
      <c r="C1658" t="inlineStr">
        <is>
          <t>Scrubbing Bubbles Bathroom Grime Fighter, 3 pk./32 oz.</t>
        </is>
      </c>
      <c r="D1658" t="inlineStr">
        <is>
          <t>Scrubbing Bubbles Disinfectant Bathroom Grime Fighter Spray, Citrus, 32 fl oz (Pack of 2)</t>
        </is>
      </c>
      <c r="E1658" s="2">
        <f>HYPERLINK("https://www.amazon.com/Scrubbing-Bubbles-Disinfectant-Bathroom-Fighter/dp/B0C1GMVDXF/ref=sr_1_1?keywords=Scrubbing+Bubbles+Bathroom+Grime+Fighter%2C+3+pk.%2F32+oz.&amp;qid=1695170396&amp;sr=8-1", "https://www.amazon.com/Scrubbing-Bubbles-Disinfectant-Bathroom-Fighter/dp/B0C1GMVDXF/ref=sr_1_1?keywords=Scrubbing+Bubbles+Bathroom+Grime+Fighter%2C+3+pk.%2F32+oz.&amp;qid=1695170396&amp;sr=8-1")</f>
        <v/>
      </c>
      <c r="F1658" t="inlineStr">
        <is>
          <t>B0C1GMVDXF</t>
        </is>
      </c>
      <c r="G1658">
        <f>_xludf.IMAGE("https://www.shelhealth.com/cdn/shop/products/scrubbing-bubbles-bathroom-grime-fighter-3-pk-32-oz-shelhealth-327.jpg?v=1663369412&amp;width=1946")</f>
        <v/>
      </c>
      <c r="H1658">
        <f>_xludf.IMAGE("https://m.media-amazon.com/images/I/51Rw0dZQ8sL._AC_UL320_.jpg")</f>
        <v/>
      </c>
      <c r="K1658" t="inlineStr">
        <is>
          <t>16.99</t>
        </is>
      </c>
      <c r="L1658" t="n">
        <v>7.98</v>
      </c>
      <c r="M1658" s="1" t="inlineStr">
        <is>
          <t>-53.03%</t>
        </is>
      </c>
      <c r="N1658" s="3" t="n">
        <v>-53.03</v>
      </c>
      <c r="O1658" t="n">
        <v>4.7</v>
      </c>
      <c r="P1658" t="n">
        <v>1555</v>
      </c>
      <c r="R1658" t="inlineStr">
        <is>
          <t>InStock</t>
        </is>
      </c>
      <c r="S1658" t="inlineStr">
        <is>
          <t>16.99</t>
        </is>
      </c>
      <c r="T1658" t="inlineStr">
        <is>
          <t>4619084791897</t>
        </is>
      </c>
    </row>
    <row r="1659" hidden="1" ht="15.75" customHeight="1">
      <c r="A1659" s="2">
        <f>HYPERLINK("https://www.shelhealth.com/products/dawn-platinum-powerwash-fresh-scent-value-pack", "https://www.shelhealth.com/products/dawn-platinum-powerwash-fresh-scent-value-pack")</f>
        <v/>
      </c>
      <c r="B1659" s="2">
        <f>HYPERLINK("https://www.shelhealth.com/products/dawn-platinum-powerwash-fresh-scent-value-pack", "https://www.shelhealth.com/products/dawn-platinum-powerwash-fresh-scent-value-pack")</f>
        <v/>
      </c>
      <c r="C1659" t="inlineStr">
        <is>
          <t>Dawn Platinum Powerwash Fresh Scent Value Pack</t>
        </is>
      </c>
      <c r="D1659" t="inlineStr">
        <is>
          <t>Dawn Powerwash Spray Starter Kit, Platinum Dish Soap, Fresh Scent, 1 Starter Kit + 1 Dawn Powerwash Refill, 16 fl oz each (Pack of 2)</t>
        </is>
      </c>
      <c r="E1659" s="2">
        <f>HYPERLINK("https://www.amazon.com/Dawn-Platinum-Powerwash-Starter-Bundle/dp/B082DLGV3F/ref=sr_1_7?keywords=Dawn+Platinum+Powerwash+Fresh+Scent+Value+Pack&amp;qid=1695170385&amp;sr=8-7", "https://www.amazon.com/Dawn-Platinum-Powerwash-Starter-Bundle/dp/B082DLGV3F/ref=sr_1_7?keywords=Dawn+Platinum+Powerwash+Fresh+Scent+Value+Pack&amp;qid=1695170385&amp;sr=8-7")</f>
        <v/>
      </c>
      <c r="F1659" t="inlineStr">
        <is>
          <t>B082DLGV3F</t>
        </is>
      </c>
      <c r="G1659">
        <f>_xludf.IMAGE("https://www.shelhealth.com/cdn/shop/files/dawn-platinum-powerwash-fresh-scent-value-pack-grocery-household-petcleaning-goods-shelhealth-997.jpg?v=1686283881&amp;width=1946")</f>
        <v/>
      </c>
      <c r="H1659">
        <f>_xludf.IMAGE("https://m.media-amazon.com/images/I/713P8YfqPrL._AC_UL320_.jpg")</f>
        <v/>
      </c>
      <c r="K1659" t="inlineStr">
        <is>
          <t>17.99</t>
        </is>
      </c>
      <c r="L1659" t="n">
        <v>8.44</v>
      </c>
      <c r="M1659" s="1" t="inlineStr">
        <is>
          <t>-53.09%</t>
        </is>
      </c>
      <c r="N1659" s="3" t="n">
        <v>-53.09</v>
      </c>
      <c r="O1659" t="n">
        <v>4.7</v>
      </c>
      <c r="P1659" t="n">
        <v>37323</v>
      </c>
      <c r="R1659" t="inlineStr">
        <is>
          <t>InStock</t>
        </is>
      </c>
      <c r="S1659" t="inlineStr">
        <is>
          <t>17.99</t>
        </is>
      </c>
      <c r="T1659" t="inlineStr">
        <is>
          <t>4618808819801</t>
        </is>
      </c>
    </row>
    <row r="1660" hidden="1" ht="15.75" customHeight="1">
      <c r="A1660" s="2">
        <f>HYPERLINK("https://www.shelhealth.com/products/rabbit-electric-corkscrew-with-cutter", "https://www.shelhealth.com/products/rabbit-electric-corkscrew-with-cutter")</f>
        <v/>
      </c>
      <c r="B1660" s="2">
        <f>HYPERLINK("https://www.shelhealth.com/products/rabbit-electric-corkscrew-with-cutter", "https://www.shelhealth.com/products/rabbit-electric-corkscrew-with-cutter")</f>
        <v/>
      </c>
      <c r="C1660" t="inlineStr">
        <is>
          <t>Rabbit Electric Corkscrew with Cutter</t>
        </is>
      </c>
      <c r="D1660" t="inlineStr">
        <is>
          <t>COKUNST Electric Wine Opener, Type-C Charging Wine Corkscrew Bottle Opener With Foil Cutter, Automatic Rechargeable Wine Openers With LED Light For Home Party Restaurant Wedding Gifts</t>
        </is>
      </c>
      <c r="E1660" s="2">
        <f>HYPERLINK("https://www.amazon.com/Corkscrew-COKUNST-Automatic-Rechargeable-Restaurant/dp/B096M2Q98V/ref=sr_1_9?keywords=Rabbit+Electric+Corkscrew+with+Cutter&amp;qid=1695170554&amp;sr=8-9", "https://www.amazon.com/Corkscrew-COKUNST-Automatic-Rechargeable-Restaurant/dp/B096M2Q98V/ref=sr_1_9?keywords=Rabbit+Electric+Corkscrew+with+Cutter&amp;qid=1695170554&amp;sr=8-9")</f>
        <v/>
      </c>
      <c r="F1660" t="inlineStr">
        <is>
          <t>B096M2Q98V</t>
        </is>
      </c>
      <c r="G1660">
        <f>_xludf.IMAGE("https://www.shelhealth.com/cdn/shop/products/rabbit-electric-corkscrew-with-cutter-shelhealth-844.jpg?v=1663356971&amp;width=1946")</f>
        <v/>
      </c>
      <c r="H1660">
        <f>_xludf.IMAGE("https://m.media-amazon.com/images/I/61lUWe5F8LS._AC_UY218_.jpg")</f>
        <v/>
      </c>
      <c r="K1660" t="inlineStr">
        <is>
          <t>31.99</t>
        </is>
      </c>
      <c r="L1660" t="n">
        <v>14.99</v>
      </c>
      <c r="M1660" s="1" t="inlineStr">
        <is>
          <t>-53.14%</t>
        </is>
      </c>
      <c r="N1660" s="3" t="n">
        <v>-53.14</v>
      </c>
      <c r="O1660" t="n">
        <v>4.6</v>
      </c>
      <c r="P1660" t="n">
        <v>995</v>
      </c>
      <c r="R1660" t="inlineStr">
        <is>
          <t>OutOfStock</t>
        </is>
      </c>
      <c r="S1660" t="inlineStr">
        <is>
          <t>31.99</t>
        </is>
      </c>
      <c r="T1660" t="inlineStr">
        <is>
          <t>4179121078324</t>
        </is>
      </c>
    </row>
    <row r="1661" hidden="1" ht="15.75" customHeight="1">
      <c r="A1661" s="2">
        <f>HYPERLINK("https://www.shelhealth.com/products/swiffer-wetjet-multi-purpose-open-window-fresh-scent-floor-cleaner-solution-refill-3-pk-1-25l", "https://www.shelhealth.com/products/swiffer-wetjet-multi-purpose-open-window-fresh-scent-floor-cleaner-solution-refill-3-pk-1-25l")</f>
        <v/>
      </c>
      <c r="B1661" s="2">
        <f>HYPERLINK("https://www.shelhealth.com/products/swiffer-wetjet-multi-purpose-open-window-fresh-scent-floor-cleaner-solution-refill-3-pk-1-25l", "https://www.shelhealth.com/products/swiffer-wetjet-multi-purpose-open-window-fresh-scent-floor-cleaner-solution-refill-3-pk-1-25l")</f>
        <v/>
      </c>
      <c r="C1661" t="inlineStr">
        <is>
          <t>Swiffer WetJet Multi-Purpose Open Window Fresh Scent Floor Cleaner Solution Refill, 3 pk./1.25L</t>
        </is>
      </c>
      <c r="D1661" t="inlineStr">
        <is>
          <t>Swiffer WetJet Multi-purpose Floor Cleaner Solution Refill Open Window Fresh Scent 1.25L</t>
        </is>
      </c>
      <c r="E1661" s="2">
        <f>HYPERLINK("https://www.amazon.com/Swiffer-WetJet-Multi-Purpose-Cleaner-Solution/dp/B00HZ6WJ06/ref=sr_1_1?keywords=Swiffer+WetJet+Multi-Purpose+Open+Window+Fresh+Scent+Floor+Cleaner+Solution+Refill%2C+3+pk.%2F1.25L&amp;qid=1695170391&amp;sr=8-1", "https://www.amazon.com/Swiffer-WetJet-Multi-Purpose-Cleaner-Solution/dp/B00HZ6WJ06/ref=sr_1_1?keywords=Swiffer+WetJet+Multi-Purpose+Open+Window+Fresh+Scent+Floor+Cleaner+Solution+Refill%2C+3+pk.%2F1.25L&amp;qid=1695170391&amp;sr=8-1")</f>
        <v/>
      </c>
      <c r="F1661" t="inlineStr">
        <is>
          <t>B00HZ6WJ06</t>
        </is>
      </c>
      <c r="G1661">
        <f>_xludf.IMAGE("https://www.shelhealth.com/cdn/shop/products/swiffer-wetjet-multi-purpose-open-window-fresh-scent-floor-cleaner-solution-refill-3-pk-1-25l-shelhealth-238.jpg?v=1663355207&amp;width=1946")</f>
        <v/>
      </c>
      <c r="H1661">
        <f>_xludf.IMAGE("https://m.media-amazon.com/images/I/81nFy1ajF5L._AC_UL320_.jpg")</f>
        <v/>
      </c>
      <c r="K1661" t="inlineStr">
        <is>
          <t>30.99</t>
        </is>
      </c>
      <c r="L1661" t="n">
        <v>14.45</v>
      </c>
      <c r="M1661" s="1" t="inlineStr">
        <is>
          <t>-53.37%</t>
        </is>
      </c>
      <c r="N1661" s="3" t="n">
        <v>-53.37</v>
      </c>
      <c r="O1661" t="n">
        <v>4.8</v>
      </c>
      <c r="P1661" t="n">
        <v>42463</v>
      </c>
      <c r="R1661" t="inlineStr">
        <is>
          <t>InStock</t>
        </is>
      </c>
      <c r="S1661" t="inlineStr">
        <is>
          <t>30.99</t>
        </is>
      </c>
      <c r="T1661" t="inlineStr">
        <is>
          <t>4169743859764</t>
        </is>
      </c>
    </row>
    <row r="1662" hidden="1" ht="15.75" customHeight="1">
      <c r="A1662" s="2">
        <f>HYPERLINK("https://www.shelhealth.com/products/ultra-downy-april-fresh-liquid-fabric-conditioner-170-fl-oz", "https://www.shelhealth.com/products/ultra-downy-april-fresh-liquid-fabric-conditioner-170-fl-oz")</f>
        <v/>
      </c>
      <c r="B1662" s="2">
        <f>HYPERLINK("https://www.shelhealth.com/products/ultra-downy-april-fresh-liquid-fabric-conditioner-170-fl-oz", "https://www.shelhealth.com/products/ultra-downy-april-fresh-liquid-fabric-conditioner-170-fl-oz")</f>
        <v/>
      </c>
      <c r="C1662" t="inlineStr">
        <is>
          <t>Ultra Downy April Fresh Liquid Fabric Conditioner, 170 fl. oz.</t>
        </is>
      </c>
      <c r="D1662" t="inlineStr">
        <is>
          <t>Downy April Fresh Liquid Fabric Conditioner (Fabric Softener), 164 fl oz, 190 loads</t>
        </is>
      </c>
      <c r="E1662" s="2">
        <f>HYPERLINK("https://www.amazon.com/Downy-Liquid-Fabric-Conditioner-Softener/dp/B0BBXQV4B5/ref=sr_1_2?keywords=Ultra+Downy+April+Fresh+Liquid+Fabric+Conditioner%2C+170+fl.+oz.&amp;qid=1695170558&amp;sr=8-2", "https://www.amazon.com/Downy-Liquid-Fabric-Conditioner-Softener/dp/B0BBXQV4B5/ref=sr_1_2?keywords=Ultra+Downy+April+Fresh+Liquid+Fabric+Conditioner%2C+170+fl.+oz.&amp;qid=1695170558&amp;sr=8-2")</f>
        <v/>
      </c>
      <c r="F1662" t="inlineStr">
        <is>
          <t>B0BBXQV4B5</t>
        </is>
      </c>
      <c r="G1662">
        <f>_xludf.IMAGE("https://www.shelhealth.com/cdn/shop/products/ultra-downy-april-fresh-liquid-fabric-conditioner-170-fl-oz-shelhealth-264.jpg?v=1663356583&amp;width=1946")</f>
        <v/>
      </c>
      <c r="H1662">
        <f>_xludf.IMAGE("https://m.media-amazon.com/images/I/81jx6EGWiXL._AC_UL320_.jpg")</f>
        <v/>
      </c>
      <c r="K1662" t="inlineStr">
        <is>
          <t>27.99</t>
        </is>
      </c>
      <c r="L1662" t="n">
        <v>12.99</v>
      </c>
      <c r="M1662" s="1" t="inlineStr">
        <is>
          <t>-53.59%</t>
        </is>
      </c>
      <c r="N1662" s="3" t="n">
        <v>-53.59</v>
      </c>
      <c r="O1662" t="n">
        <v>4.8</v>
      </c>
      <c r="P1662" t="n">
        <v>17257</v>
      </c>
      <c r="R1662" t="inlineStr">
        <is>
          <t>InStock</t>
        </is>
      </c>
      <c r="S1662" t="inlineStr">
        <is>
          <t>27.99</t>
        </is>
      </c>
      <c r="T1662" t="inlineStr">
        <is>
          <t>4179002916916</t>
        </is>
      </c>
    </row>
    <row r="1663" hidden="1" ht="15.75" customHeight="1">
      <c r="A1663" s="2">
        <f>HYPERLINK("https://www.shelhealth.com/products/downy-free-gentle-liquid-fabric-conditioner-170-fl-oz", "https://www.shelhealth.com/products/downy-free-gentle-liquid-fabric-conditioner-170-fl-oz")</f>
        <v/>
      </c>
      <c r="B1663" s="2">
        <f>HYPERLINK("https://www.shelhealth.com/products/downy-free-gentle-liquid-fabric-conditioner-170-fl-oz", "https://www.shelhealth.com/products/downy-free-gentle-liquid-fabric-conditioner-170-fl-oz")</f>
        <v/>
      </c>
      <c r="C1663" t="inlineStr">
        <is>
          <t>Downy Free &amp; Gentle Liquid Fabric Conditioner, 170 fl. oz.</t>
        </is>
      </c>
      <c r="D1663" t="inlineStr">
        <is>
          <t>Downy Free &amp; Gentle Laundry Fabric Conditioner (Fabric Softner), 164 Fl Oz, 190 Loads</t>
        </is>
      </c>
      <c r="E1663" s="2">
        <f>HYPERLINK("https://www.amazon.com/Downy-Gentle-Laundry-Conditioner-Softner/dp/B0BCC9ZYGZ/ref=sr_1_1?keywords=Downy+Free&amp;qid=1695170429&amp;sr=8-1", "https://www.amazon.com/Downy-Gentle-Laundry-Conditioner-Softner/dp/B0BCC9ZYGZ/ref=sr_1_1?keywords=Downy+Free&amp;qid=1695170429&amp;sr=8-1")</f>
        <v/>
      </c>
      <c r="F1663" t="inlineStr">
        <is>
          <t>B0BCC9ZYGZ</t>
        </is>
      </c>
      <c r="G1663">
        <f>_xludf.IMAGE("https://www.shelhealth.com/cdn/shop/products/downy-free-gentle-liquid-fabric-conditioner-170-fl-oz-shelhealth-915.jpg?v=1663356555&amp;width=1946")</f>
        <v/>
      </c>
      <c r="H1663">
        <f>_xludf.IMAGE("https://m.media-amazon.com/images/I/61jl1Ho8iqL._AC_UL320_.jpg")</f>
        <v/>
      </c>
      <c r="K1663" t="inlineStr">
        <is>
          <t>27.99</t>
        </is>
      </c>
      <c r="L1663" t="n">
        <v>12.99</v>
      </c>
      <c r="M1663" s="1" t="inlineStr">
        <is>
          <t>-53.59%</t>
        </is>
      </c>
      <c r="N1663" s="3" t="n">
        <v>-53.59</v>
      </c>
      <c r="O1663" t="n">
        <v>4.8</v>
      </c>
      <c r="P1663" t="n">
        <v>1107</v>
      </c>
      <c r="R1663" t="inlineStr">
        <is>
          <t>OutOfStock</t>
        </is>
      </c>
      <c r="S1663" t="inlineStr">
        <is>
          <t>27.99</t>
        </is>
      </c>
      <c r="T1663" t="inlineStr">
        <is>
          <t>4178978439220</t>
        </is>
      </c>
    </row>
    <row r="1664" hidden="1" ht="15.75" customHeight="1">
      <c r="A1664" s="2">
        <f>HYPERLINK("https://www.shelhealth.com/products/duracell-hearing-aid-10-battery-32-ct", "https://www.shelhealth.com/products/duracell-hearing-aid-10-battery-32-ct")</f>
        <v/>
      </c>
      <c r="B1664" s="2">
        <f>HYPERLINK("https://www.shelhealth.com/products/duracell-hearing-aid-10-battery-32-ct", "https://www.shelhealth.com/products/duracell-hearing-aid-10-battery-32-ct")</f>
        <v/>
      </c>
      <c r="C1664" t="inlineStr">
        <is>
          <t>Duracell Hearing Aid 10 Battery, 32 ct.</t>
        </is>
      </c>
      <c r="D1664" t="inlineStr">
        <is>
          <t>32pk Duracell Size 10 Mercury Free Zinc Air Hearing Aid Battery DA10B32ZM</t>
        </is>
      </c>
      <c r="E1664" s="2">
        <f>HYPERLINK("https://www.amazon.com/Duracell-Mercury-Hearing-Battery-DA10B32ZM/dp/B082XK5QJ8/ref=sr_1_2?keywords=Duracell+Hearing+Aid+10+Battery%2C+32+ct.&amp;qid=1695170558&amp;sr=8-2", "https://www.amazon.com/Duracell-Mercury-Hearing-Battery-DA10B32ZM/dp/B082XK5QJ8/ref=sr_1_2?keywords=Duracell+Hearing+Aid+10+Battery%2C+32+ct.&amp;qid=1695170558&amp;sr=8-2")</f>
        <v/>
      </c>
      <c r="F1664" t="inlineStr">
        <is>
          <t>B082XK5QJ8</t>
        </is>
      </c>
      <c r="G1664">
        <f>_xludf.IMAGE("https://www.shelhealth.com/cdn/shop/files/duracell-hearing-aid-10-battery-32-ct-emergency-preparednessbatteries-shelhealth-441.jpg?v=1686283993&amp;width=1946")</f>
        <v/>
      </c>
      <c r="H1664">
        <f>_xludf.IMAGE("https://m.media-amazon.com/images/I/71TCEKhHwjL._AC_UL320_.jpg")</f>
        <v/>
      </c>
      <c r="K1664" t="inlineStr">
        <is>
          <t>32.99</t>
        </is>
      </c>
      <c r="L1664" t="n">
        <v>15.3</v>
      </c>
      <c r="M1664" s="1" t="inlineStr">
        <is>
          <t>-53.62%</t>
        </is>
      </c>
      <c r="N1664" s="3" t="n">
        <v>-53.62</v>
      </c>
      <c r="O1664" t="n">
        <v>4.7</v>
      </c>
      <c r="P1664" t="n">
        <v>264</v>
      </c>
      <c r="R1664" t="inlineStr">
        <is>
          <t>InStock</t>
        </is>
      </c>
      <c r="S1664" t="inlineStr">
        <is>
          <t>32.99</t>
        </is>
      </c>
      <c r="T1664" t="inlineStr">
        <is>
          <t>4171244798004</t>
        </is>
      </c>
    </row>
    <row r="1665" hidden="1" ht="15.75" customHeight="1">
      <c r="A1665" s="2">
        <f>HYPERLINK("https://www.shelhealth.com/products/tide-simply-oxi-liquid-laundry-detergent-refreshing-breeze-31-fl-oz", "https://www.shelhealth.com/products/tide-simply-oxi-liquid-laundry-detergent-refreshing-breeze-31-fl-oz")</f>
        <v/>
      </c>
      <c r="B1665" s="2">
        <f>HYPERLINK("https://www.shelhealth.com/products/tide-simply-oxi-liquid-laundry-detergent-refreshing-breeze-31-fl-oz", "https://www.shelhealth.com/products/tide-simply-oxi-liquid-laundry-detergent-refreshing-breeze-31-fl-oz")</f>
        <v/>
      </c>
      <c r="C1665" t="inlineStr">
        <is>
          <t>Tide Simply +Oxi Liquid Laundry Detergent, Refreshing Breeze, 31 fl oz (Case of 5)</t>
        </is>
      </c>
      <c r="D1665" t="inlineStr">
        <is>
          <t>Tide Simply + Oxi Liquid Laundry Detergent, Refreshing Breeze, 6 loads, 10 fl oz, Pack of 12</t>
        </is>
      </c>
      <c r="E1665" s="2">
        <f>HYPERLINK("https://www.amazon.com/Tide-Simply-Laundry-Detergent-Refreshing/dp/B0B78BR8VB/ref=sr_1_2?keywords=Tide+Simply+Oxi+Liquid+Laundry+Detergent%2C+Refreshing+Breeze%2C+31+fl+oz+%28Case+of+5%29&amp;qid=1695170406&amp;sr=8-2", "https://www.amazon.com/Tide-Simply-Laundry-Detergent-Refreshing/dp/B0B78BR8VB/ref=sr_1_2?keywords=Tide+Simply+Oxi+Liquid+Laundry+Detergent%2C+Refreshing+Breeze%2C+31+fl+oz+%28Case+of+5%29&amp;qid=1695170406&amp;sr=8-2")</f>
        <v/>
      </c>
      <c r="F1665" t="inlineStr">
        <is>
          <t>B0B78BR8VB</t>
        </is>
      </c>
      <c r="G1665">
        <f>_xludf.IMAGE("https://www.shelhealth.com/cdn/shop/products/tide-simply-oxi-liquid-laundry-detergent-refreshing-breeze-31-fl-oz-case-of-5-shelhealth-261.jpg?v=1675329883&amp;width=1946")</f>
        <v/>
      </c>
      <c r="H1665">
        <f>_xludf.IMAGE("https://m.media-amazon.com/images/I/71ES+eiTh+L._AC_UL320_.jpg")</f>
        <v/>
      </c>
      <c r="K1665" t="inlineStr">
        <is>
          <t>39.99</t>
        </is>
      </c>
      <c r="L1665" t="n">
        <v>18.47</v>
      </c>
      <c r="M1665" s="1" t="inlineStr">
        <is>
          <t>-53.81%</t>
        </is>
      </c>
      <c r="N1665" s="3" t="n">
        <v>-53.81</v>
      </c>
      <c r="O1665" t="n">
        <v>3.7</v>
      </c>
      <c r="P1665" t="n">
        <v>5</v>
      </c>
      <c r="R1665" t="inlineStr">
        <is>
          <t>InStock</t>
        </is>
      </c>
      <c r="S1665" t="inlineStr">
        <is>
          <t>39.99</t>
        </is>
      </c>
      <c r="T1665" t="inlineStr">
        <is>
          <t>4459688820825</t>
        </is>
      </c>
    </row>
    <row r="1666" hidden="1" ht="15.75" customHeight="1">
      <c r="A1666" s="2">
        <f>HYPERLINK("https://www.shelhealth.com/products/bask-clear-vinyl-disposable-gloves-100-gloves", "https://www.shelhealth.com/products/bask-clear-vinyl-disposable-gloves-100-gloves")</f>
        <v/>
      </c>
      <c r="B1666" s="2">
        <f>HYPERLINK("https://www.shelhealth.com/products/bask-clear-vinyl-disposable-gloves-100-gloves", "https://www.shelhealth.com/products/bask-clear-vinyl-disposable-gloves-100-gloves")</f>
        <v/>
      </c>
      <c r="C1666" t="inlineStr">
        <is>
          <t>Bask Clear Vinyl Disposable Gloves, 100 Gloves</t>
        </is>
      </c>
      <c r="D1666" t="inlineStr">
        <is>
          <t>Amozife Disposable Vinyl Gloves, 100 Pack Powder &amp; Latex Free Non Sterile Exam Gloves for Medical, Cooking &amp; Food Prep</t>
        </is>
      </c>
      <c r="E1666" s="2">
        <f>HYPERLINK("https://www.amazon.com/Amozife-Disposable-100-Count-X-Large-Non-Sterile/dp/B0BC14D9P1/ref=sr_1_10?keywords=Bask+Clear+Vinyl+Disposable+Gloves%2C+100+Gloves&amp;qid=1695170549&amp;sr=8-10", "https://www.amazon.com/Amozife-Disposable-100-Count-X-Large-Non-Sterile/dp/B0BC14D9P1/ref=sr_1_10?keywords=Bask+Clear+Vinyl+Disposable+Gloves%2C+100+Gloves&amp;qid=1695170549&amp;sr=8-10")</f>
        <v/>
      </c>
      <c r="F1666" t="inlineStr">
        <is>
          <t>B0BC14D9P1</t>
        </is>
      </c>
      <c r="G1666">
        <f>_xludf.IMAGE("https://www.shelhealth.com/cdn/shop/products/bask-clear-vinyl-disposable-gloves-100-shelhealth-783.jpg?v=1663374232&amp;width=1946")</f>
        <v/>
      </c>
      <c r="H1666">
        <f>_xludf.IMAGE("https://m.media-amazon.com/images/I/61zL8Oy17qL._AC_UL320_.jpg")</f>
        <v/>
      </c>
      <c r="K1666" t="inlineStr">
        <is>
          <t>21.99</t>
        </is>
      </c>
      <c r="L1666" t="n">
        <v>9.99</v>
      </c>
      <c r="M1666" s="1" t="inlineStr">
        <is>
          <t>-54.57%</t>
        </is>
      </c>
      <c r="N1666" s="3" t="n">
        <v>-54.57</v>
      </c>
      <c r="O1666" t="n">
        <v>4.3</v>
      </c>
      <c r="P1666" t="n">
        <v>37</v>
      </c>
      <c r="R1666" t="inlineStr">
        <is>
          <t>InStock</t>
        </is>
      </c>
      <c r="S1666" t="inlineStr">
        <is>
          <t>21.99</t>
        </is>
      </c>
      <c r="T1666" t="inlineStr">
        <is>
          <t>4713271525465</t>
        </is>
      </c>
    </row>
    <row r="1667" hidden="1" ht="15.75" customHeight="1">
      <c r="A1667" s="2">
        <f>HYPERLINK("https://www.shelhealth.com/products/47834060039-sushi-chef-kit-bamboo-paddle-n-mat-1-ea", "https://www.shelhealth.com/products/47834060039-sushi-chef-kit-bamboo-paddle-n-mat-1-ea")</f>
        <v/>
      </c>
      <c r="B1667" s="2">
        <f>HYPERLINK("https://www.shelhealth.com/products/47834060039-sushi-chef-kit-bamboo-paddle-n-mat-1-ea", "https://www.shelhealth.com/products/47834060039-sushi-chef-kit-bamboo-paddle-n-mat-1-ea")</f>
        <v/>
      </c>
      <c r="C1667" t="inlineStr">
        <is>
          <t>SUSHI CHEF Kit Bamboo Paddle N Mat, 1 ea (Case of 4)</t>
        </is>
      </c>
      <c r="D1667" t="inlineStr">
        <is>
          <t>Sushi Making Kit, Delamu Bamboo Sushi Mat, Including 2 Sushi Rolling Mats, 5 Pairs of Chopsticks, 1 Paddle, 1 Spreader, 1 Beginner Guide PDF, Roll On, Beginner Sushi Kit</t>
        </is>
      </c>
      <c r="E1667" s="2">
        <f>HYPERLINK("https://www.amazon.com/Delamu-Including-Chopsticks-Spreader-Beginner/dp/B0728F12KD/ref=sr_1_1?keywords=SUSHI+CHEF+Kit+Bamboo+Paddle+N+Mat%2C+1+ea+%28Case+of+4%29&amp;qid=1695170528&amp;sr=8-1", "https://www.amazon.com/Delamu-Including-Chopsticks-Spreader-Beginner/dp/B0728F12KD/ref=sr_1_1?keywords=SUSHI+CHEF+Kit+Bamboo+Paddle+N+Mat%2C+1+ea+%28Case+of+4%29&amp;qid=1695170528&amp;sr=8-1")</f>
        <v/>
      </c>
      <c r="F1667" t="inlineStr">
        <is>
          <t>B0728F12KD</t>
        </is>
      </c>
      <c r="G1667">
        <f>_xludf.IMAGE("https://www.shelhealth.com/cdn/shop/files/sushi-chef-kit-bamboo-paddle-n-mat-1-ea-case-of-4-home-products-shelhealth-140.jpg?v=1686226663&amp;width=1946")</f>
        <v/>
      </c>
      <c r="H1667">
        <f>_xludf.IMAGE("https://m.media-amazon.com/images/I/817CyR+VVwL._AC_UL320_.jpg")</f>
        <v/>
      </c>
      <c r="K1667" t="inlineStr">
        <is>
          <t>21.99</t>
        </is>
      </c>
      <c r="L1667" t="n">
        <v>9.99</v>
      </c>
      <c r="M1667" s="1" t="inlineStr">
        <is>
          <t>-54.57%</t>
        </is>
      </c>
      <c r="N1667" s="3" t="n">
        <v>-54.57</v>
      </c>
      <c r="O1667" t="n">
        <v>4.7</v>
      </c>
      <c r="P1667" t="n">
        <v>13746</v>
      </c>
      <c r="R1667" t="inlineStr">
        <is>
          <t>OutOfStock</t>
        </is>
      </c>
      <c r="S1667" t="inlineStr">
        <is>
          <t>21.99</t>
        </is>
      </c>
      <c r="T1667" t="inlineStr">
        <is>
          <t>7574325821672</t>
        </is>
      </c>
    </row>
    <row r="1668" hidden="1" ht="15.75" customHeight="1">
      <c r="A1668" s="2">
        <f>HYPERLINK("https://www.shelhealth.com/products/3m-post-it-notes-4-in-x-6-in-1000-notes", "https://www.shelhealth.com/products/3m-post-it-notes-4-in-x-6-in-1000-notes")</f>
        <v/>
      </c>
      <c r="B1668" s="2">
        <f>HYPERLINK("https://www.shelhealth.com/products/3m-post-it-notes-4-in-x-6-in-1000-notes", "https://www.shelhealth.com/products/3m-post-it-notes-4-in-x-6-in-1000-notes")</f>
        <v/>
      </c>
      <c r="C1668" t="inlineStr">
        <is>
          <t>3M Post-It Notes 4 in. x 6 in. (1000 Notes)</t>
        </is>
      </c>
      <c r="D1668" t="inlineStr">
        <is>
          <t>Post-it Super Sticky Notes, 4x6 in, 5 Pads, 2x the Sticking Power, Canary Yellow, Recyclable (660-5SSCY)</t>
        </is>
      </c>
      <c r="E1668" s="2">
        <f>HYPERLINK("https://www.amazon.com/Post-Sticky-Sticking-Canary-660-5SSCY/dp/B0002DOEOS/ref=sr_1_9?keywords=3M+Post-It+Notes+4+in.+x+6+in.+%281000+Notes%29&amp;qid=1695170548&amp;sr=8-9", "https://www.amazon.com/Post-Sticky-Sticking-Canary-660-5SSCY/dp/B0002DOEOS/ref=sr_1_9?keywords=3M+Post-It+Notes+4+in.+x+6+in.+%281000+Notes%29&amp;qid=1695170548&amp;sr=8-9")</f>
        <v/>
      </c>
      <c r="F1668" t="inlineStr">
        <is>
          <t>B0002DOEOS</t>
        </is>
      </c>
      <c r="G1668">
        <f>_xludf.IMAGE("https://www.shelhealth.com/cdn/shop/products/3m-post-it-notes-4-in-x-6-1000-shelhealth-914.jpg?v=1663372769&amp;width=1946")</f>
        <v/>
      </c>
      <c r="H1668">
        <f>_xludf.IMAGE("https://m.media-amazon.com/images/I/71OnNpXqoNL._AC_UL320_.jpg")</f>
        <v/>
      </c>
      <c r="K1668" t="inlineStr">
        <is>
          <t>27.99</t>
        </is>
      </c>
      <c r="L1668" t="n">
        <v>12.68</v>
      </c>
      <c r="M1668" s="1" t="inlineStr">
        <is>
          <t>-54.70%</t>
        </is>
      </c>
      <c r="N1668" s="3" t="n">
        <v>-54.7</v>
      </c>
      <c r="O1668" t="n">
        <v>4.8</v>
      </c>
      <c r="P1668" t="n">
        <v>3806</v>
      </c>
      <c r="R1668" t="inlineStr">
        <is>
          <t>InStock</t>
        </is>
      </c>
      <c r="S1668" t="inlineStr">
        <is>
          <t>27.99</t>
        </is>
      </c>
      <c r="T1668" t="inlineStr">
        <is>
          <t>4696976883801</t>
        </is>
      </c>
    </row>
    <row r="1669" hidden="1" ht="15.75" customHeight="1">
      <c r="A1669" s="2">
        <f>HYPERLINK("https://www.shelhealth.com/products/3m-post-it-notes-4-in-x-6-in-1000-notes", "https://www.shelhealth.com/products/3m-post-it-notes-4-in-x-6-in-1000-notes")</f>
        <v/>
      </c>
      <c r="B1669" s="2">
        <f>HYPERLINK("https://www.shelhealth.com/products/3m-post-it-notes-4-in-x-6-in-1000-notes", "https://www.shelhealth.com/products/3m-post-it-notes-4-in-x-6-in-1000-notes")</f>
        <v/>
      </c>
      <c r="C1669" t="inlineStr">
        <is>
          <t>3M Post-It Notes 4 in. x 6 in. (1000 Notes)</t>
        </is>
      </c>
      <c r="D1669" t="inlineStr">
        <is>
          <t>Post-it 100% Recycled Paper Super Sticky Notes, 2X The Sticking Power, 4x6 in, 4 Pads, 45 Sheets/Pad, Oasis Collection (4621R-4SST)</t>
        </is>
      </c>
      <c r="E1669" s="2">
        <f>HYPERLINK("https://www.amazon.com/Post-Recycled-Sticking-Collection-4621R-4SST/dp/B0BPJSM54H/ref=sr_1_10?keywords=3M+Post-It+Notes+4+in.+x+6+in.+%281000+Notes%29&amp;qid=1695170548&amp;sr=8-10", "https://www.amazon.com/Post-Recycled-Sticking-Collection-4621R-4SST/dp/B0BPJSM54H/ref=sr_1_10?keywords=3M+Post-It+Notes+4+in.+x+6+in.+%281000+Notes%29&amp;qid=1695170548&amp;sr=8-10")</f>
        <v/>
      </c>
      <c r="F1669" t="inlineStr">
        <is>
          <t>B0BPJSM54H</t>
        </is>
      </c>
      <c r="G1669">
        <f>_xludf.IMAGE("https://www.shelhealth.com/cdn/shop/products/3m-post-it-notes-4-in-x-6-1000-shelhealth-914.jpg?v=1663372769&amp;width=1946")</f>
        <v/>
      </c>
      <c r="H1669">
        <f>_xludf.IMAGE("https://m.media-amazon.com/images/I/61ihTHoSxxL._AC_UL320_.jpg")</f>
        <v/>
      </c>
      <c r="K1669" t="inlineStr">
        <is>
          <t>27.99</t>
        </is>
      </c>
      <c r="L1669" t="n">
        <v>12.59</v>
      </c>
      <c r="M1669" s="1" t="inlineStr">
        <is>
          <t>-55.02%</t>
        </is>
      </c>
      <c r="N1669" s="3" t="n">
        <v>-55.02</v>
      </c>
      <c r="O1669" t="n">
        <v>4.9</v>
      </c>
      <c r="P1669" t="n">
        <v>42</v>
      </c>
      <c r="R1669" t="inlineStr">
        <is>
          <t>InStock</t>
        </is>
      </c>
      <c r="S1669" t="inlineStr">
        <is>
          <t>27.99</t>
        </is>
      </c>
      <c r="T1669" t="inlineStr">
        <is>
          <t>4696976883801</t>
        </is>
      </c>
    </row>
    <row r="1670" hidden="1" ht="15.75" customHeight="1">
      <c r="A1670" s="2">
        <f>HYPERLINK("https://www.shelhealth.com/products/titanfine-disposable-vinyl-gloves-s-m-100-ct", "https://www.shelhealth.com/products/titanfine-disposable-vinyl-gloves-s-m-100-ct")</f>
        <v/>
      </c>
      <c r="B1670" s="2">
        <f>HYPERLINK("https://www.shelhealth.com/products/titanfine-disposable-vinyl-gloves-s-m-100-ct", "https://www.shelhealth.com/products/titanfine-disposable-vinyl-gloves-s-m-100-ct")</f>
        <v/>
      </c>
      <c r="C1670" t="inlineStr">
        <is>
          <t>Titanfine Disposable Vinyl Gloves S/M - 100 ct.</t>
        </is>
      </c>
      <c r="D1670" t="inlineStr">
        <is>
          <t>Disposable Vinyl Gloves Small, Non Latex Powder Free 100 Count Clear</t>
        </is>
      </c>
      <c r="E1670" s="2">
        <f>HYPERLINK("https://www.amazon.com/Care-Plus-Disposable-Gloves-Allergy/dp/B01N9ETH27/ref=sr_1_7?keywords=Titanfine+Disposable+Vinyl+Gloves+S%2FM+-+100+ct.&amp;qid=1695170540&amp;sr=8-7", "https://www.amazon.com/Care-Plus-Disposable-Gloves-Allergy/dp/B01N9ETH27/ref=sr_1_7?keywords=Titanfine+Disposable+Vinyl+Gloves+S%2FM+-+100+ct.&amp;qid=1695170540&amp;sr=8-7")</f>
        <v/>
      </c>
      <c r="F1670" t="inlineStr">
        <is>
          <t>B01N9ETH27</t>
        </is>
      </c>
      <c r="G1670">
        <f>_xludf.IMAGE("https://www.shelhealth.com/cdn/shop/products/titanfine-disposable-vinyl-gloves-sm-100-ct-shelhealth-149.jpg?v=1663373866&amp;width=1946")</f>
        <v/>
      </c>
      <c r="H1670">
        <f>_xludf.IMAGE("https://m.media-amazon.com/images/I/71iI0IQpp1L._AC_UL320_.jpg")</f>
        <v/>
      </c>
      <c r="K1670" t="inlineStr">
        <is>
          <t>19.99</t>
        </is>
      </c>
      <c r="L1670" t="n">
        <v>8.99</v>
      </c>
      <c r="M1670" s="1" t="inlineStr">
        <is>
          <t>-55.03%</t>
        </is>
      </c>
      <c r="N1670" s="3" t="n">
        <v>-55.03</v>
      </c>
      <c r="O1670" t="n">
        <v>4.5</v>
      </c>
      <c r="P1670" t="n">
        <v>47906</v>
      </c>
      <c r="R1670" t="inlineStr">
        <is>
          <t>OutOfStock</t>
        </is>
      </c>
      <c r="S1670" t="inlineStr">
        <is>
          <t>19.99</t>
        </is>
      </c>
      <c r="T1670" t="inlineStr">
        <is>
          <t>4711260291161</t>
        </is>
      </c>
    </row>
    <row r="1671" hidden="1" ht="15.75" customHeight="1">
      <c r="A1671" s="2">
        <f>HYPERLINK("https://www.shelhealth.com/products/titanfine-disposable-vinyl-gloves-s-m-100-ct", "https://www.shelhealth.com/products/titanfine-disposable-vinyl-gloves-s-m-100-ct")</f>
        <v/>
      </c>
      <c r="B1671" s="2">
        <f>HYPERLINK("https://www.shelhealth.com/products/titanfine-disposable-vinyl-gloves-s-m-100-ct", "https://www.shelhealth.com/products/titanfine-disposable-vinyl-gloves-s-m-100-ct")</f>
        <v/>
      </c>
      <c r="C1671" t="inlineStr">
        <is>
          <t>Titanfine Disposable Vinyl Gloves S/M - 100 ct.</t>
        </is>
      </c>
      <c r="D1671" t="inlineStr">
        <is>
          <t>Disposable Heavy Duty Vinyl Gloves Latex Free Powder Free, BPA Free Food Safe Grade Disposable Glove, Medium M, 100 Count</t>
        </is>
      </c>
      <c r="E1671" s="2">
        <f>HYPERLINK("https://www.amazon.com/Synthetic-Gloves-Medium-Powder-Strong/dp/B00FGEEWZY/ref=sr_1_1?keywords=Titanfine+Disposable+Vinyl+Gloves+S%2FM+-+100+ct.&amp;qid=1695170540&amp;sr=8-1", "https://www.amazon.com/Synthetic-Gloves-Medium-Powder-Strong/dp/B00FGEEWZY/ref=sr_1_1?keywords=Titanfine+Disposable+Vinyl+Gloves+S%2FM+-+100+ct.&amp;qid=1695170540&amp;sr=8-1")</f>
        <v/>
      </c>
      <c r="F1671" t="inlineStr">
        <is>
          <t>B00FGEEWZY</t>
        </is>
      </c>
      <c r="G1671">
        <f>_xludf.IMAGE("https://www.shelhealth.com/cdn/shop/products/titanfine-disposable-vinyl-gloves-sm-100-ct-shelhealth-149.jpg?v=1663373866&amp;width=1946")</f>
        <v/>
      </c>
      <c r="H1671">
        <f>_xludf.IMAGE("https://m.media-amazon.com/images/I/81OeTVNDbYL._AC_UL320_.jpg")</f>
        <v/>
      </c>
      <c r="K1671" t="inlineStr">
        <is>
          <t>19.99</t>
        </is>
      </c>
      <c r="L1671" t="n">
        <v>8.99</v>
      </c>
      <c r="M1671" s="1" t="inlineStr">
        <is>
          <t>-55.03%</t>
        </is>
      </c>
      <c r="N1671" s="3" t="n">
        <v>-55.03</v>
      </c>
      <c r="O1671" t="n">
        <v>4.5</v>
      </c>
      <c r="P1671" t="n">
        <v>6318</v>
      </c>
      <c r="R1671" t="inlineStr">
        <is>
          <t>OutOfStock</t>
        </is>
      </c>
      <c r="S1671" t="inlineStr">
        <is>
          <t>19.99</t>
        </is>
      </c>
      <c r="T1671" t="inlineStr">
        <is>
          <t>4711260291161</t>
        </is>
      </c>
    </row>
    <row r="1672" hidden="1" ht="15.75" customHeight="1">
      <c r="A1672" s="2">
        <f>HYPERLINK("https://www.shelhealth.com/products/titanfine-disposable-vinyl-gloves-s-m-100-ct", "https://www.shelhealth.com/products/titanfine-disposable-vinyl-gloves-s-m-100-ct")</f>
        <v/>
      </c>
      <c r="B1672" s="2">
        <f>HYPERLINK("https://www.shelhealth.com/products/titanfine-disposable-vinyl-gloves-s-m-100-ct", "https://www.shelhealth.com/products/titanfine-disposable-vinyl-gloves-s-m-100-ct")</f>
        <v/>
      </c>
      <c r="C1672" t="inlineStr">
        <is>
          <t>Titanfine Disposable Vinyl Gloves S/M - 100 ct.</t>
        </is>
      </c>
      <c r="D1672" t="inlineStr">
        <is>
          <t>Clear Vinyl Exam Gloves 100 Pack, Latex Free, Powder Free, 4 mil Thick Disposable Vinyl Gloves, Food Safe Gloves</t>
        </is>
      </c>
      <c r="E1672" s="2">
        <f>HYPERLINK("https://www.amazon.com/Gloves-Powder-Disposable-Synthetic-Handling/dp/B0BZYGBX52/ref=sr_1_5?keywords=Titanfine+Disposable+Vinyl+Gloves+S%2FM+-+100+ct.&amp;qid=1695170540&amp;sr=8-5", "https://www.amazon.com/Gloves-Powder-Disposable-Synthetic-Handling/dp/B0BZYGBX52/ref=sr_1_5?keywords=Titanfine+Disposable+Vinyl+Gloves+S%2FM+-+100+ct.&amp;qid=1695170540&amp;sr=8-5")</f>
        <v/>
      </c>
      <c r="F1672" t="inlineStr">
        <is>
          <t>B0BZYGBX52</t>
        </is>
      </c>
      <c r="G1672">
        <f>_xludf.IMAGE("https://www.shelhealth.com/cdn/shop/products/titanfine-disposable-vinyl-gloves-sm-100-ct-shelhealth-149.jpg?v=1663373866&amp;width=1946")</f>
        <v/>
      </c>
      <c r="H1672">
        <f>_xludf.IMAGE("https://m.media-amazon.com/images/I/61KJiwNHdjL._AC_UL320_.jpg")</f>
        <v/>
      </c>
      <c r="K1672" t="inlineStr">
        <is>
          <t>19.99</t>
        </is>
      </c>
      <c r="L1672" t="n">
        <v>8.99</v>
      </c>
      <c r="M1672" s="1" t="inlineStr">
        <is>
          <t>-55.03%</t>
        </is>
      </c>
      <c r="N1672" s="3" t="n">
        <v>-55.03</v>
      </c>
      <c r="O1672" t="n">
        <v>4.6</v>
      </c>
      <c r="P1672" t="n">
        <v>7</v>
      </c>
      <c r="R1672" t="inlineStr">
        <is>
          <t>OutOfStock</t>
        </is>
      </c>
      <c r="S1672" t="inlineStr">
        <is>
          <t>19.99</t>
        </is>
      </c>
      <c r="T1672" t="inlineStr">
        <is>
          <t>4711260291161</t>
        </is>
      </c>
    </row>
    <row r="1673" hidden="1" ht="15.75" customHeight="1">
      <c r="A1673" s="2">
        <f>HYPERLINK("https://www.shelhealth.com/products/titanfine-disposable-vinyl-gloves-s-m-100-ct", "https://www.shelhealth.com/products/titanfine-disposable-vinyl-gloves-s-m-100-ct")</f>
        <v/>
      </c>
      <c r="B1673" s="2">
        <f>HYPERLINK("https://www.shelhealth.com/products/titanfine-disposable-vinyl-gloves-s-m-100-ct", "https://www.shelhealth.com/products/titanfine-disposable-vinyl-gloves-s-m-100-ct")</f>
        <v/>
      </c>
      <c r="C1673" t="inlineStr">
        <is>
          <t>Titanfine Disposable Vinyl Gloves S/M - 100 ct.</t>
        </is>
      </c>
      <c r="D1673" t="inlineStr">
        <is>
          <t>EDI Disposable Vinyl Gloves (Clear) - Powder-Free, Latex-Free (100, Medium)</t>
        </is>
      </c>
      <c r="E1673" s="2">
        <f>HYPERLINK("https://www.amazon.com/EDI-Disposable-Industrial-Allergy-Cleaning/dp/B01K5OTOOS/ref=sr_1_6?keywords=Titanfine+Disposable+Vinyl+Gloves+S%2FM+-+100+ct.&amp;qid=1695170540&amp;sr=8-6", "https://www.amazon.com/EDI-Disposable-Industrial-Allergy-Cleaning/dp/B01K5OTOOS/ref=sr_1_6?keywords=Titanfine+Disposable+Vinyl+Gloves+S%2FM+-+100+ct.&amp;qid=1695170540&amp;sr=8-6")</f>
        <v/>
      </c>
      <c r="F1673" t="inlineStr">
        <is>
          <t>B01K5OTOOS</t>
        </is>
      </c>
      <c r="G1673">
        <f>_xludf.IMAGE("https://www.shelhealth.com/cdn/shop/products/titanfine-disposable-vinyl-gloves-sm-100-ct-shelhealth-149.jpg?v=1663373866&amp;width=1946")</f>
        <v/>
      </c>
      <c r="H1673">
        <f>_xludf.IMAGE("https://m.media-amazon.com/images/I/71ChAboJ4bL._AC_UL320_.jpg")</f>
        <v/>
      </c>
      <c r="K1673" t="inlineStr">
        <is>
          <t>19.99</t>
        </is>
      </c>
      <c r="L1673" t="n">
        <v>8.99</v>
      </c>
      <c r="M1673" s="1" t="inlineStr">
        <is>
          <t>-55.03%</t>
        </is>
      </c>
      <c r="N1673" s="3" t="n">
        <v>-55.03</v>
      </c>
      <c r="O1673" t="n">
        <v>4.5</v>
      </c>
      <c r="P1673" t="n">
        <v>10389</v>
      </c>
      <c r="R1673" t="inlineStr">
        <is>
          <t>OutOfStock</t>
        </is>
      </c>
      <c r="S1673" t="inlineStr">
        <is>
          <t>19.99</t>
        </is>
      </c>
      <c r="T1673" t="inlineStr">
        <is>
          <t>4711260291161</t>
        </is>
      </c>
    </row>
    <row r="1674" hidden="1" ht="15.75" customHeight="1">
      <c r="A1674" s="2">
        <f>HYPERLINK("https://www.shelhealth.com/products/lysol-disinfectant-spray-4-ct-19-oz", "https://www.shelhealth.com/products/lysol-disinfectant-spray-4-ct-19-oz")</f>
        <v/>
      </c>
      <c r="B1674" s="2">
        <f>HYPERLINK("https://www.shelhealth.com/products/lysol-disinfectant-spray-4-ct-19-oz", "https://www.shelhealth.com/products/lysol-disinfectant-spray-4-ct-19-oz")</f>
        <v/>
      </c>
      <c r="C1674" t="inlineStr">
        <is>
          <t>Lysol Disinfectant Spray, 4 ct./19 oz.</t>
        </is>
      </c>
      <c r="D1674" t="inlineStr">
        <is>
          <t>Lysol Disinfectant Spray, Sanitizing And Antibacterial Spray, For Disinfecting And Deodorizing, Early Morning Breeze, 19 Fl Oz (Pack Of 2), Packaging May Vary</t>
        </is>
      </c>
      <c r="E1674" s="2">
        <f>HYPERLINK("https://www.amazon.com/Lysol-Disinfectant-Antibacterial-Disinfecting-Deodorizing/dp/B09BDJ8W73/ref=sr_1_7?keywords=Lysol+Disinfectant+Spray%2C+4+ct.%2F19+oz.&amp;qid=1695170396&amp;sr=8-7", "https://www.amazon.com/Lysol-Disinfectant-Antibacterial-Disinfecting-Deodorizing/dp/B09BDJ8W73/ref=sr_1_7?keywords=Lysol+Disinfectant+Spray%2C+4+ct.%2F19+oz.&amp;qid=1695170396&amp;sr=8-7")</f>
        <v/>
      </c>
      <c r="F1674" t="inlineStr">
        <is>
          <t>B09BDJ8W73</t>
        </is>
      </c>
      <c r="G1674">
        <f>_xludf.IMAGE("https://www.shelhealth.com/cdn/shop/products/lysol-disinfectant-spray-4-ct-19-oz-shelhealth-997.jpg?v=1663355321&amp;width=1946")</f>
        <v/>
      </c>
      <c r="H1674">
        <f>_xludf.IMAGE("https://m.media-amazon.com/images/I/81E0mtCPbOL._AC_UL320_.jpg")</f>
        <v/>
      </c>
      <c r="K1674" t="inlineStr">
        <is>
          <t>29.99</t>
        </is>
      </c>
      <c r="L1674" t="n">
        <v>13.47</v>
      </c>
      <c r="M1674" s="1" t="inlineStr">
        <is>
          <t>-55.09%</t>
        </is>
      </c>
      <c r="N1674" s="3" t="n">
        <v>-55.09</v>
      </c>
      <c r="O1674" t="n">
        <v>4.8</v>
      </c>
      <c r="P1674" t="n">
        <v>5689</v>
      </c>
      <c r="R1674" t="inlineStr">
        <is>
          <t>OutOfStock</t>
        </is>
      </c>
      <c r="S1674" t="inlineStr">
        <is>
          <t>29.99</t>
        </is>
      </c>
      <c r="T1674" t="inlineStr">
        <is>
          <t>4169806643252</t>
        </is>
      </c>
    </row>
    <row r="1675" hidden="1" ht="15.75" customHeight="1">
      <c r="A1675" s="2">
        <f>HYPERLINK("https://www.shelhealth.com/products/lysol-disinfectant-spray-4-ct-19-oz", "https://www.shelhealth.com/products/lysol-disinfectant-spray-4-ct-19-oz")</f>
        <v/>
      </c>
      <c r="B1675" s="2">
        <f>HYPERLINK("https://www.shelhealth.com/products/lysol-disinfectant-spray-4-ct-19-oz", "https://www.shelhealth.com/products/lysol-disinfectant-spray-4-ct-19-oz")</f>
        <v/>
      </c>
      <c r="C1675" t="inlineStr">
        <is>
          <t>Lysol Disinfectant Spray, 4 ct./19 oz.</t>
        </is>
      </c>
      <c r="D1675" t="inlineStr">
        <is>
          <t>Lysol Disinfectant Spray, Sanitizing and Antibacterial Spray, For Disinfecting and Deodorizing, Crisp Linen, 19 Fl. Oz (Pack of 2)</t>
        </is>
      </c>
      <c r="E1675" s="2">
        <f>HYPERLINK("https://www.amazon.com/Lysol-Disinfectant-Antibacterial-Disinfecting-Deodorizing/dp/B01DCG0GPC/ref=sr_1_4?keywords=Lysol+Disinfectant+Spray%2C+4+ct.%2F19+oz.&amp;qid=1695170396&amp;sr=8-4", "https://www.amazon.com/Lysol-Disinfectant-Antibacterial-Disinfecting-Deodorizing/dp/B01DCG0GPC/ref=sr_1_4?keywords=Lysol+Disinfectant+Spray%2C+4+ct.%2F19+oz.&amp;qid=1695170396&amp;sr=8-4")</f>
        <v/>
      </c>
      <c r="F1675" t="inlineStr">
        <is>
          <t>B01DCG0GPC</t>
        </is>
      </c>
      <c r="G1675">
        <f>_xludf.IMAGE("https://www.shelhealth.com/cdn/shop/products/lysol-disinfectant-spray-4-ct-19-oz-shelhealth-997.jpg?v=1663355321&amp;width=1946")</f>
        <v/>
      </c>
      <c r="H1675">
        <f>_xludf.IMAGE("https://m.media-amazon.com/images/I/81mwYVpDplL._AC_UL320_.jpg")</f>
        <v/>
      </c>
      <c r="K1675" t="inlineStr">
        <is>
          <t>29.99</t>
        </is>
      </c>
      <c r="L1675" t="n">
        <v>13.47</v>
      </c>
      <c r="M1675" s="1" t="inlineStr">
        <is>
          <t>-55.09%</t>
        </is>
      </c>
      <c r="N1675" s="3" t="n">
        <v>-55.09</v>
      </c>
      <c r="O1675" t="n">
        <v>4.8</v>
      </c>
      <c r="P1675" t="n">
        <v>58586</v>
      </c>
      <c r="R1675" t="inlineStr">
        <is>
          <t>OutOfStock</t>
        </is>
      </c>
      <c r="S1675" t="inlineStr">
        <is>
          <t>29.99</t>
        </is>
      </c>
      <c r="T1675" t="inlineStr">
        <is>
          <t>4169806643252</t>
        </is>
      </c>
    </row>
    <row r="1676" hidden="1" ht="15.75" customHeight="1">
      <c r="A1676" s="2">
        <f>HYPERLINK("https://www.shelhealth.com/products/lysol-disinfectant-spray-4-ct-19-oz", "https://www.shelhealth.com/products/lysol-disinfectant-spray-4-ct-19-oz")</f>
        <v/>
      </c>
      <c r="B1676" s="2">
        <f>HYPERLINK("https://www.shelhealth.com/products/lysol-disinfectant-spray-4-ct-19-oz", "https://www.shelhealth.com/products/lysol-disinfectant-spray-4-ct-19-oz")</f>
        <v/>
      </c>
      <c r="C1676" t="inlineStr">
        <is>
          <t>Lysol Disinfectant Spray, 4 ct./19 oz.</t>
        </is>
      </c>
      <c r="D1676" t="inlineStr">
        <is>
          <t>Lysol Disinfectant Spray, Sanitizing and Antibacterial Spray, For Disinfecting and Deodorizing, Lemon Breeze, 19 Fl Oz (Pack of 2), Packaging May Vary</t>
        </is>
      </c>
      <c r="E1676" s="2">
        <f>HYPERLINK("https://www.amazon.com/Lysol-Disinfectant-Antibacterial-Disinfecting-Deodorizing/dp/B09CLRQ4D1/ref=sr_1_3?keywords=Lysol+Disinfectant+Spray%2C+4+ct.%2F19+oz.&amp;qid=1695170396&amp;sr=8-3", "https://www.amazon.com/Lysol-Disinfectant-Antibacterial-Disinfecting-Deodorizing/dp/B09CLRQ4D1/ref=sr_1_3?keywords=Lysol+Disinfectant+Spray%2C+4+ct.%2F19+oz.&amp;qid=1695170396&amp;sr=8-3")</f>
        <v/>
      </c>
      <c r="F1676" t="inlineStr">
        <is>
          <t>B09CLRQ4D1</t>
        </is>
      </c>
      <c r="G1676">
        <f>_xludf.IMAGE("https://www.shelhealth.com/cdn/shop/products/lysol-disinfectant-spray-4-ct-19-oz-shelhealth-997.jpg?v=1663355321&amp;width=1946")</f>
        <v/>
      </c>
      <c r="H1676">
        <f>_xludf.IMAGE("https://m.media-amazon.com/images/I/8140561cmRL._AC_UL320_.jpg")</f>
        <v/>
      </c>
      <c r="K1676" t="inlineStr">
        <is>
          <t>29.99</t>
        </is>
      </c>
      <c r="L1676" t="n">
        <v>13.47</v>
      </c>
      <c r="M1676" s="1" t="inlineStr">
        <is>
          <t>-55.09%</t>
        </is>
      </c>
      <c r="N1676" s="3" t="n">
        <v>-55.09</v>
      </c>
      <c r="O1676" t="n">
        <v>4.8</v>
      </c>
      <c r="P1676" t="n">
        <v>5773</v>
      </c>
      <c r="R1676" t="inlineStr">
        <is>
          <t>OutOfStock</t>
        </is>
      </c>
      <c r="S1676" t="inlineStr">
        <is>
          <t>29.99</t>
        </is>
      </c>
      <c r="T1676" t="inlineStr">
        <is>
          <t>4169806643252</t>
        </is>
      </c>
    </row>
    <row r="1677" hidden="1" ht="15.75" customHeight="1">
      <c r="A1677" s="2">
        <f>HYPERLINK("https://www.shelhealth.com/products/duracell-hearing-aid-10-battery-32-ct", "https://www.shelhealth.com/products/duracell-hearing-aid-10-battery-32-ct")</f>
        <v/>
      </c>
      <c r="B1677" s="2">
        <f>HYPERLINK("https://www.shelhealth.com/products/duracell-hearing-aid-10-battery-32-ct", "https://www.shelhealth.com/products/duracell-hearing-aid-10-battery-32-ct")</f>
        <v/>
      </c>
      <c r="C1677" t="inlineStr">
        <is>
          <t>Duracell Hearing Aid 10 Battery, 32 ct.</t>
        </is>
      </c>
      <c r="D1677" t="inlineStr">
        <is>
          <t>Duracell Hearing Aid Batteries Yellow Size 10, 32 Count Pack, 10A Size Hearing Aid Battery with Long-Lasting Power, Extra-Long EasyTab Install for Hearing Aid Devices</t>
        </is>
      </c>
      <c r="E1677" s="2">
        <f>HYPERLINK("https://www.amazon.com/Duracell-Hearing-Batteries-Long-Lasting-Extra-Long/dp/B0BSB4W7N3/ref=sr_1_1?keywords=Duracell+Hearing+Aid+10+Battery%2C+32+ct.&amp;qid=1695170558&amp;sr=8-1", "https://www.amazon.com/Duracell-Hearing-Batteries-Long-Lasting-Extra-Long/dp/B0BSB4W7N3/ref=sr_1_1?keywords=Duracell+Hearing+Aid+10+Battery%2C+32+ct.&amp;qid=1695170558&amp;sr=8-1")</f>
        <v/>
      </c>
      <c r="F1677" t="inlineStr">
        <is>
          <t>B0BSB4W7N3</t>
        </is>
      </c>
      <c r="G1677">
        <f>_xludf.IMAGE("https://www.shelhealth.com/cdn/shop/files/duracell-hearing-aid-10-battery-32-ct-emergency-preparednessbatteries-shelhealth-441.jpg?v=1686283993&amp;width=1946")</f>
        <v/>
      </c>
      <c r="H1677">
        <f>_xludf.IMAGE("https://m.media-amazon.com/images/I/71+C6Jv70JL._AC_UL320_.jpg")</f>
        <v/>
      </c>
      <c r="K1677" t="inlineStr">
        <is>
          <t>32.99</t>
        </is>
      </c>
      <c r="L1677" t="n">
        <v>14.79</v>
      </c>
      <c r="M1677" s="1" t="inlineStr">
        <is>
          <t>-55.17%</t>
        </is>
      </c>
      <c r="N1677" s="3" t="n">
        <v>-55.17</v>
      </c>
      <c r="O1677" t="n">
        <v>5</v>
      </c>
      <c r="P1677" t="n">
        <v>2</v>
      </c>
      <c r="R1677" t="inlineStr">
        <is>
          <t>InStock</t>
        </is>
      </c>
      <c r="S1677" t="inlineStr">
        <is>
          <t>32.99</t>
        </is>
      </c>
      <c r="T1677" t="inlineStr">
        <is>
          <t>4171244798004</t>
        </is>
      </c>
    </row>
    <row r="1678" hidden="1" ht="15.75" customHeight="1">
      <c r="A1678" s="2">
        <f>HYPERLINK("https://www.shelhealth.com/products/palmolive-ultra-antibacterial-dish-liquid-102-fl-oz", "https://www.shelhealth.com/products/palmolive-ultra-antibacterial-dish-liquid-102-fl-oz")</f>
        <v/>
      </c>
      <c r="B1678" s="2">
        <f>HYPERLINK("https://www.shelhealth.com/products/palmolive-ultra-antibacterial-dish-liquid-102-fl-oz", "https://www.shelhealth.com/products/palmolive-ultra-antibacterial-dish-liquid-102-fl-oz")</f>
        <v/>
      </c>
      <c r="C1678" t="inlineStr">
        <is>
          <t>Palmolive Ultra Antibacterial Dish Liquid, 102 fl. oz.</t>
        </is>
      </c>
      <c r="D1678" t="inlineStr">
        <is>
          <t>Palmolive Ultra Antibacterial Orange Dish Washing Liquid, 10 oz-2 pack</t>
        </is>
      </c>
      <c r="E1678" s="2">
        <f>HYPERLINK("https://www.amazon.com/Palmolive-Antibacterial-Orange-Washing-Liquid/dp/B00IRM6KAC/ref=sr_1_8?keywords=Palmolive+Ultra+Antibacterial+Dish+Liquid%2C+102+fl.+oz.&amp;qid=1695170423&amp;sr=8-8", "https://www.amazon.com/Palmolive-Antibacterial-Orange-Washing-Liquid/dp/B00IRM6KAC/ref=sr_1_8?keywords=Palmolive+Ultra+Antibacterial+Dish+Liquid%2C+102+fl.+oz.&amp;qid=1695170423&amp;sr=8-8")</f>
        <v/>
      </c>
      <c r="F1678" t="inlineStr">
        <is>
          <t>B00IRM6KAC</t>
        </is>
      </c>
      <c r="G1678">
        <f>_xludf.IMAGE("https://www.shelhealth.com/cdn/shop/products/palmolive-ultra-antibacterial-dish-liquid-102-fl-oz-shelhealth-618.jpg?v=1663370285&amp;width=1946")</f>
        <v/>
      </c>
      <c r="H1678">
        <f>_xludf.IMAGE("https://m.media-amazon.com/images/I/81yGQzJQ7eL._AC_UL320_.jpg")</f>
        <v/>
      </c>
      <c r="K1678" t="inlineStr">
        <is>
          <t>17.99</t>
        </is>
      </c>
      <c r="L1678" t="n">
        <v>7.99</v>
      </c>
      <c r="M1678" s="1" t="inlineStr">
        <is>
          <t>-55.59%</t>
        </is>
      </c>
      <c r="N1678" s="3" t="n">
        <v>-55.59</v>
      </c>
      <c r="O1678" t="n">
        <v>4.5</v>
      </c>
      <c r="P1678" t="n">
        <v>208</v>
      </c>
      <c r="R1678" t="inlineStr">
        <is>
          <t>InStock</t>
        </is>
      </c>
      <c r="S1678" t="inlineStr">
        <is>
          <t>17.99</t>
        </is>
      </c>
      <c r="T1678" t="inlineStr">
        <is>
          <t>4664131813465</t>
        </is>
      </c>
    </row>
    <row r="1679" hidden="1" ht="15.75" customHeight="1">
      <c r="A1679" s="2">
        <f>HYPERLINK("https://www.shelhealth.com/products/swiffer-sweeper-wet-cloth-refill-64-count", "https://www.shelhealth.com/products/swiffer-sweeper-wet-cloth-refill-64-count")</f>
        <v/>
      </c>
      <c r="B1679" s="2">
        <f>HYPERLINK("https://www.shelhealth.com/products/swiffer-sweeper-wet-cloth-refill-64-count", "https://www.shelhealth.com/products/swiffer-sweeper-wet-cloth-refill-64-count")</f>
        <v/>
      </c>
      <c r="C1679" t="inlineStr">
        <is>
          <t>Swiffer Sweeper Wet Cloth Refill, 64 Count</t>
        </is>
      </c>
      <c r="D1679" t="inlineStr">
        <is>
          <t>Swiffer Sweeper Wet Mopping Cloth Multi Surface Refills, Febreze Lavender Scent, 36 count</t>
        </is>
      </c>
      <c r="E1679" s="2">
        <f>HYPERLINK("https://www.amazon.com/Swiffer-Sweeper-Refills-Cleaning-Lavender/dp/B012CFJFOW/ref=sr_1_6?keywords=Swiffer+Sweeper+Wet+Cloth+Refill%2C+64+Count&amp;qid=1695170382&amp;sr=8-6", "https://www.amazon.com/Swiffer-Sweeper-Refills-Cleaning-Lavender/dp/B012CFJFOW/ref=sr_1_6?keywords=Swiffer+Sweeper+Wet+Cloth+Refill%2C+64+Count&amp;qid=1695170382&amp;sr=8-6")</f>
        <v/>
      </c>
      <c r="F1679" t="inlineStr">
        <is>
          <t>B012CFJFOW</t>
        </is>
      </c>
      <c r="G1679">
        <f>_xludf.IMAGE("https://www.shelhealth.com/cdn/shop/products/swiffer-sweeper-wet-cloth-refill-64-count-shelhealth-364.jpg?v=1663342907&amp;width=1946")</f>
        <v/>
      </c>
      <c r="H1679">
        <f>_xludf.IMAGE("https://m.media-amazon.com/images/I/81HmCjRmgBL._AC_UL320_.jpg")</f>
        <v/>
      </c>
      <c r="K1679" t="inlineStr">
        <is>
          <t>30.99</t>
        </is>
      </c>
      <c r="L1679" t="n">
        <v>13.73</v>
      </c>
      <c r="M1679" s="1" t="inlineStr">
        <is>
          <t>-55.70%</t>
        </is>
      </c>
      <c r="N1679" s="3" t="n">
        <v>-55.7</v>
      </c>
      <c r="O1679" t="n">
        <v>4.8</v>
      </c>
      <c r="P1679" t="n">
        <v>59645</v>
      </c>
      <c r="R1679" t="inlineStr">
        <is>
          <t>InStock</t>
        </is>
      </c>
      <c r="S1679" t="inlineStr">
        <is>
          <t>30.99</t>
        </is>
      </c>
      <c r="T1679" t="inlineStr">
        <is>
          <t>3818793271348</t>
        </is>
      </c>
    </row>
    <row r="1680" hidden="1" ht="15.75" customHeight="1">
      <c r="A1680" s="2">
        <f>HYPERLINK("https://www.shelhealth.com/products/all-oxi-liquid-laundry-detergent-with-stain-removers-225-oz", "https://www.shelhealth.com/products/all-oxi-liquid-laundry-detergent-with-stain-removers-225-oz")</f>
        <v/>
      </c>
      <c r="B1680" s="2">
        <f>HYPERLINK("https://www.shelhealth.com/products/all-oxi-liquid-laundry-detergent-with-stain-removers-225-oz", "https://www.shelhealth.com/products/all-oxi-liquid-laundry-detergent-with-stain-removers-225-oz")</f>
        <v/>
      </c>
      <c r="C1680" t="inlineStr">
        <is>
          <t>all Oxi Liquid Laundry Detergent with Stain Removers, 225 oz.</t>
        </is>
      </c>
      <c r="D1680" t="inlineStr">
        <is>
          <t>all Liquid Laundry Detergent with OXI Stain Removers and Whiteners, Free Clear, 46.5 Fluid Ounces, 26 Loads</t>
        </is>
      </c>
      <c r="E1680" s="2">
        <f>HYPERLINK("https://www.amazon.com/Liquid-Laundry-Detergent-Removers-Whiteners/dp/B00VHJX9WE/ref=sr_1_9?keywords=all+Oxi+Liquid+Laundry+Detergent+with+Stain+Removers%2C+225+oz.&amp;qid=1695170443&amp;sr=8-9", "https://www.amazon.com/Liquid-Laundry-Detergent-Removers-Whiteners/dp/B00VHJX9WE/ref=sr_1_9?keywords=all+Oxi+Liquid+Laundry+Detergent+with+Stain+Removers%2C+225+oz.&amp;qid=1695170443&amp;sr=8-9")</f>
        <v/>
      </c>
      <c r="F1680" t="inlineStr">
        <is>
          <t>B00VHJX9WE</t>
        </is>
      </c>
      <c r="G1680">
        <f>_xludf.IMAGE("https://www.shelhealth.com/cdn/shop/products/all-oxi-liquid-laundry-detergent-with-stain-removers-225-oz-shelhealth-899.jpg?v=1663357007&amp;width=1946")</f>
        <v/>
      </c>
      <c r="H1680">
        <f>_xludf.IMAGE("https://m.media-amazon.com/images/I/61o5zm0e7nL._AC_UL320_.jpg")</f>
        <v/>
      </c>
      <c r="K1680" t="inlineStr">
        <is>
          <t>41.99</t>
        </is>
      </c>
      <c r="L1680" t="n">
        <v>18.5</v>
      </c>
      <c r="M1680" s="1" t="inlineStr">
        <is>
          <t>-55.94%</t>
        </is>
      </c>
      <c r="N1680" s="3" t="n">
        <v>-55.94</v>
      </c>
      <c r="O1680" t="n">
        <v>4.6</v>
      </c>
      <c r="P1680" t="n">
        <v>779</v>
      </c>
      <c r="R1680" t="inlineStr">
        <is>
          <t>InStock</t>
        </is>
      </c>
      <c r="S1680" t="inlineStr">
        <is>
          <t>41.99</t>
        </is>
      </c>
      <c r="T1680" t="inlineStr">
        <is>
          <t>4179131531316</t>
        </is>
      </c>
    </row>
    <row r="1681" hidden="1" ht="15.75" customHeight="1">
      <c r="A1681" s="2">
        <f>HYPERLINK("https://www.shelhealth.com/products/microban-24-hour-disinfectant-sanitizing-spray-3-ct", "https://www.shelhealth.com/products/microban-24-hour-disinfectant-sanitizing-spray-3-ct")</f>
        <v/>
      </c>
      <c r="B1681" s="2">
        <f>HYPERLINK("https://www.shelhealth.com/products/microban-24-hour-disinfectant-sanitizing-spray-3-ct", "https://www.shelhealth.com/products/microban-24-hour-disinfectant-sanitizing-spray-3-ct")</f>
        <v/>
      </c>
      <c r="C1681" t="inlineStr">
        <is>
          <t>Microban 24 Hour Disinfectant Sanitizing Spray, 3 ct.</t>
        </is>
      </c>
      <c r="D1681" t="inlineStr">
        <is>
          <t>Microban Disinfectant Spray, 24 Hour Sanitizing and Antibacterial Sanitizing Spray, Citrus Scent, 2 Count (15oz Each) (Packaging May Vary)</t>
        </is>
      </c>
      <c r="E1681" s="2">
        <f>HYPERLINK("https://www.amazon.com/Microban-Disinfectant-Sanitizing-Spray-Citrus/dp/B085S97MWM/ref=sr_1_3?keywords=Microban+24+Hour+Disinfectant+Sanitizing+Spray%2C+3+ct.&amp;qid=1695170401&amp;sr=8-3", "https://www.amazon.com/Microban-Disinfectant-Sanitizing-Spray-Citrus/dp/B085S97MWM/ref=sr_1_3?keywords=Microban+24+Hour+Disinfectant+Sanitizing+Spray%2C+3+ct.&amp;qid=1695170401&amp;sr=8-3")</f>
        <v/>
      </c>
      <c r="F1681" t="inlineStr">
        <is>
          <t>B085S97MWM</t>
        </is>
      </c>
      <c r="G1681">
        <f>_xludf.IMAGE("https://www.shelhealth.com/cdn/shop/products/microban-24-hour-disinfectant-sanitizing-spray-3-ct-shelhealth-863.jpg?v=1663372971&amp;width=1946")</f>
        <v/>
      </c>
      <c r="H1681">
        <f>_xludf.IMAGE("https://m.media-amazon.com/images/I/71oCwQoIoNL._AC_UL320_.jpg")</f>
        <v/>
      </c>
      <c r="K1681" t="inlineStr">
        <is>
          <t>27.99</t>
        </is>
      </c>
      <c r="L1681" t="n">
        <v>12.25</v>
      </c>
      <c r="M1681" s="1" t="inlineStr">
        <is>
          <t>-56.23%</t>
        </is>
      </c>
      <c r="N1681" s="3" t="n">
        <v>-56.23</v>
      </c>
      <c r="O1681" t="n">
        <v>4.7</v>
      </c>
      <c r="P1681" t="n">
        <v>35983</v>
      </c>
      <c r="R1681" t="inlineStr">
        <is>
          <t>InStock</t>
        </is>
      </c>
      <c r="S1681" t="inlineStr">
        <is>
          <t>27.99</t>
        </is>
      </c>
      <c r="T1681" t="inlineStr">
        <is>
          <t>4697907855449</t>
        </is>
      </c>
    </row>
    <row r="1682" hidden="1" ht="15.75" customHeight="1">
      <c r="A1682" s="2">
        <f>HYPERLINK("https://www.shelhealth.com/products/gain-fireworks-in-wash-scent-booster-beads-30-3-oz", "https://www.shelhealth.com/products/gain-fireworks-in-wash-scent-booster-beads-30-3-oz")</f>
        <v/>
      </c>
      <c r="B1682" s="2">
        <f>HYPERLINK("https://www.shelhealth.com/products/gain-fireworks-in-wash-scent-booster-beads-30-3-oz", "https://www.shelhealth.com/products/gain-fireworks-in-wash-scent-booster-beads-30-3-oz")</f>
        <v/>
      </c>
      <c r="C1682" t="inlineStr">
        <is>
          <t>Gain Fireworks In-Wash Scent Booster Beads, 30.3 oz.</t>
        </is>
      </c>
      <c r="D1682" t="inlineStr">
        <is>
          <t>Gain Fireworks In-Wash Scent Booster Beads, Original, 12.2 oz</t>
        </is>
      </c>
      <c r="E1682" s="2">
        <f>HYPERLINK("https://www.amazon.com/Gain-Fireworks-Wash-Booster-Original/dp/B0CCK2MP67/ref=sr_1_1?keywords=Gain+Fireworks+In-Wash+Scent+Booster+Beads%2C+30.3+oz.&amp;qid=1695170556&amp;sr=8-1", "https://www.amazon.com/Gain-Fireworks-Wash-Booster-Original/dp/B0CCK2MP67/ref=sr_1_1?keywords=Gain+Fireworks+In-Wash+Scent+Booster+Beads%2C+30.3+oz.&amp;qid=1695170556&amp;sr=8-1")</f>
        <v/>
      </c>
      <c r="F1682" t="inlineStr">
        <is>
          <t>B0CCK2MP67</t>
        </is>
      </c>
      <c r="G1682">
        <f>_xludf.IMAGE("https://www.shelhealth.com/cdn/shop/products/gain-fireworks-in-wash-scent-booster-beads-30-3-oz-shelhealth-634.jpg?v=1663356812&amp;width=1946")</f>
        <v/>
      </c>
      <c r="H1682">
        <f>_xludf.IMAGE("https://m.media-amazon.com/images/I/71Naro4CiyL._AC_UL320_.jpg")</f>
        <v/>
      </c>
      <c r="K1682" t="inlineStr">
        <is>
          <t>23.99</t>
        </is>
      </c>
      <c r="L1682" t="n">
        <v>10.49</v>
      </c>
      <c r="M1682" s="1" t="inlineStr">
        <is>
          <t>-56.27%</t>
        </is>
      </c>
      <c r="N1682" s="3" t="n">
        <v>-56.27</v>
      </c>
      <c r="O1682" t="n">
        <v>4.8</v>
      </c>
      <c r="P1682" t="n">
        <v>1877</v>
      </c>
      <c r="R1682" t="inlineStr">
        <is>
          <t>InStock</t>
        </is>
      </c>
      <c r="S1682" t="inlineStr">
        <is>
          <t>23.99</t>
        </is>
      </c>
      <c r="T1682" t="inlineStr">
        <is>
          <t>4179087622196</t>
        </is>
      </c>
    </row>
    <row r="1683" hidden="1" ht="15.75" customHeight="1">
      <c r="A1683" s="2">
        <f>HYPERLINK("https://www.shelhealth.com/products/all-oxi-liquid-laundry-detergent-with-stain-removers-225-oz", "https://www.shelhealth.com/products/all-oxi-liquid-laundry-detergent-with-stain-removers-225-oz")</f>
        <v/>
      </c>
      <c r="B1683" s="2">
        <f>HYPERLINK("https://www.shelhealth.com/products/all-oxi-liquid-laundry-detergent-with-stain-removers-225-oz", "https://www.shelhealth.com/products/all-oxi-liquid-laundry-detergent-with-stain-removers-225-oz")</f>
        <v/>
      </c>
      <c r="C1683" t="inlineStr">
        <is>
          <t>all Oxi Liquid Laundry Detergent with Stain Removers, 225 oz.</t>
        </is>
      </c>
      <c r="D1683" t="inlineStr">
        <is>
          <t>all Laundry Detergent Liquid, Fights Tough Stains with OXI Power, High Efficiency Compatible, 2X Concentrated, 90 Loads</t>
        </is>
      </c>
      <c r="E1683" s="2">
        <f>HYPERLINK("https://www.amazon.com/all-Liquid-Laundry-Detergent-Concentrated/dp/B084HDH22W/ref=sr_1_5?keywords=all+Oxi+Liquid+Laundry+Detergent+with+Stain+Removers%2C+225+oz.&amp;qid=1695170443&amp;rdc=1&amp;sr=8-5", "https://www.amazon.com/all-Liquid-Laundry-Detergent-Concentrated/dp/B084HDH22W/ref=sr_1_5?keywords=all+Oxi+Liquid+Laundry+Detergent+with+Stain+Removers%2C+225+oz.&amp;qid=1695170443&amp;rdc=1&amp;sr=8-5")</f>
        <v/>
      </c>
      <c r="F1683" t="inlineStr">
        <is>
          <t>B084HDH22W</t>
        </is>
      </c>
      <c r="G1683">
        <f>_xludf.IMAGE("https://www.shelhealth.com/cdn/shop/products/all-oxi-liquid-laundry-detergent-with-stain-removers-225-oz-shelhealth-899.jpg?v=1663357007&amp;width=1946")</f>
        <v/>
      </c>
      <c r="H1683">
        <f>_xludf.IMAGE("https://m.media-amazon.com/images/I/61THbqNJBFS._AC_UL320_.jpg")</f>
        <v/>
      </c>
      <c r="K1683" t="inlineStr">
        <is>
          <t>41.99</t>
        </is>
      </c>
      <c r="L1683" t="n">
        <v>17.99</v>
      </c>
      <c r="M1683" s="1" t="inlineStr">
        <is>
          <t>-57.16%</t>
        </is>
      </c>
      <c r="N1683" s="3" t="n">
        <v>-57.16</v>
      </c>
      <c r="O1683" t="n">
        <v>4.7</v>
      </c>
      <c r="P1683" t="n">
        <v>1084</v>
      </c>
      <c r="R1683" t="inlineStr">
        <is>
          <t>InStock</t>
        </is>
      </c>
      <c r="S1683" t="inlineStr">
        <is>
          <t>41.99</t>
        </is>
      </c>
      <c r="T1683" t="inlineStr">
        <is>
          <t>4179131531316</t>
        </is>
      </c>
    </row>
    <row r="1684" hidden="1" ht="15.75" customHeight="1">
      <c r="A1684" s="2">
        <f>HYPERLINK("https://www.shelhealth.com/products/3m-post-it-notes-4-in-x-6-in-1000-notes", "https://www.shelhealth.com/products/3m-post-it-notes-4-in-x-6-in-1000-notes")</f>
        <v/>
      </c>
      <c r="B1684" s="2">
        <f>HYPERLINK("https://www.shelhealth.com/products/3m-post-it-notes-4-in-x-6-in-1000-notes", "https://www.shelhealth.com/products/3m-post-it-notes-4-in-x-6-in-1000-notes")</f>
        <v/>
      </c>
      <c r="C1684" t="inlineStr">
        <is>
          <t>3M Post-It Notes 4 in. x 6 in. (1000 Notes)</t>
        </is>
      </c>
      <c r="D1684" t="inlineStr">
        <is>
          <t>Post-it Super Sticky Notes, 6x4 in, 8 Pads, 2x the Sticking Power,Energy Boost Collection, Bright Colors (Orange, Pink, Blue, Green), Recyclable (6445-SSP)</t>
        </is>
      </c>
      <c r="E1684" s="2">
        <f>HYPERLINK("https://www.amazon.com/Post-Sticking-Janeiro-Collection-6445-SSP/dp/B000E7D7HC/ref=sr_1_8?keywords=3M+Post-It+Notes+4+in.+x+6+in.+%281000+Notes%29&amp;qid=1695170548&amp;sr=8-8", "https://www.amazon.com/Post-Sticking-Janeiro-Collection-6445-SSP/dp/B000E7D7HC/ref=sr_1_8?keywords=3M+Post-It+Notes+4+in.+x+6+in.+%281000+Notes%29&amp;qid=1695170548&amp;sr=8-8")</f>
        <v/>
      </c>
      <c r="F1684" t="inlineStr">
        <is>
          <t>B000E7D7HC</t>
        </is>
      </c>
      <c r="G1684">
        <f>_xludf.IMAGE("https://www.shelhealth.com/cdn/shop/products/3m-post-it-notes-4-in-x-6-1000-shelhealth-914.jpg?v=1663372769&amp;width=1946")</f>
        <v/>
      </c>
      <c r="H1684">
        <f>_xludf.IMAGE("https://m.media-amazon.com/images/I/61QbYXCk1PL._AC_UL320_.jpg")</f>
        <v/>
      </c>
      <c r="K1684" t="inlineStr">
        <is>
          <t>27.99</t>
        </is>
      </c>
      <c r="L1684" t="n">
        <v>11.96</v>
      </c>
      <c r="M1684" s="1" t="inlineStr">
        <is>
          <t>-57.27%</t>
        </is>
      </c>
      <c r="N1684" s="3" t="n">
        <v>-57.27</v>
      </c>
      <c r="O1684" t="n">
        <v>4.7</v>
      </c>
      <c r="P1684" t="n">
        <v>483</v>
      </c>
      <c r="R1684" t="inlineStr">
        <is>
          <t>InStock</t>
        </is>
      </c>
      <c r="S1684" t="inlineStr">
        <is>
          <t>27.99</t>
        </is>
      </c>
      <c r="T1684" t="inlineStr">
        <is>
          <t>4696976883801</t>
        </is>
      </c>
    </row>
    <row r="1685" hidden="1" ht="15.75" customHeight="1">
      <c r="A1685" s="2">
        <f>HYPERLINK("https://www.shelhealth.com/products/gain-fireworks-in-wash-scent-booster-beads-30-3-oz", "https://www.shelhealth.com/products/gain-fireworks-in-wash-scent-booster-beads-30-3-oz")</f>
        <v/>
      </c>
      <c r="B1685" s="2">
        <f>HYPERLINK("https://www.shelhealth.com/products/gain-fireworks-in-wash-scent-booster-beads-30-3-oz", "https://www.shelhealth.com/products/gain-fireworks-in-wash-scent-booster-beads-30-3-oz")</f>
        <v/>
      </c>
      <c r="C1685" t="inlineStr">
        <is>
          <t>Gain Fireworks In-Wash Scent Booster Beads, 30.3 oz.</t>
        </is>
      </c>
      <c r="D1685" t="inlineStr">
        <is>
          <t>Gain Fireworks in-Wash Scent Booster Beads, Original, 14.8 Ounce</t>
        </is>
      </c>
      <c r="E1685" s="2">
        <f>HYPERLINK("https://www.amazon.com/Gain-Fireworks-Wash-Booster-Original/dp/B07D8LWZ6X/ref=sr_1_6?keywords=Gain+Fireworks+In-Wash+Scent+Booster+Beads%2C+30.3+oz.&amp;qid=1695170556&amp;sr=8-6", "https://www.amazon.com/Gain-Fireworks-Wash-Booster-Original/dp/B07D8LWZ6X/ref=sr_1_6?keywords=Gain+Fireworks+In-Wash+Scent+Booster+Beads%2C+30.3+oz.&amp;qid=1695170556&amp;sr=8-6")</f>
        <v/>
      </c>
      <c r="F1685" t="inlineStr">
        <is>
          <t>B07D8LWZ6X</t>
        </is>
      </c>
      <c r="G1685">
        <f>_xludf.IMAGE("https://www.shelhealth.com/cdn/shop/products/gain-fireworks-in-wash-scent-booster-beads-30-3-oz-shelhealth-634.jpg?v=1663356812&amp;width=1946")</f>
        <v/>
      </c>
      <c r="H1685">
        <f>_xludf.IMAGE("https://m.media-amazon.com/images/I/81keEd-uS-L._AC_UL320_.jpg")</f>
        <v/>
      </c>
      <c r="K1685" t="inlineStr">
        <is>
          <t>23.99</t>
        </is>
      </c>
      <c r="L1685" t="n">
        <v>10.08</v>
      </c>
      <c r="M1685" s="1" t="inlineStr">
        <is>
          <t>-57.98%</t>
        </is>
      </c>
      <c r="N1685" s="3" t="n">
        <v>-57.98</v>
      </c>
      <c r="O1685" t="n">
        <v>4.8</v>
      </c>
      <c r="P1685" t="n">
        <v>1189</v>
      </c>
      <c r="R1685" t="inlineStr">
        <is>
          <t>InStock</t>
        </is>
      </c>
      <c r="S1685" t="inlineStr">
        <is>
          <t>23.99</t>
        </is>
      </c>
      <c r="T1685" t="inlineStr">
        <is>
          <t>4179087622196</t>
        </is>
      </c>
    </row>
    <row r="1686" hidden="1" ht="15.75" customHeight="1">
      <c r="A1686" s="2">
        <f>HYPERLINK("https://www.shelhealth.com/products/gain-fireworks-in-wash-scent-booster-beads-30-3-oz", "https://www.shelhealth.com/products/gain-fireworks-in-wash-scent-booster-beads-30-3-oz")</f>
        <v/>
      </c>
      <c r="B1686" s="2">
        <f>HYPERLINK("https://www.shelhealth.com/products/gain-fireworks-in-wash-scent-booster-beads-30-3-oz", "https://www.shelhealth.com/products/gain-fireworks-in-wash-scent-booster-beads-30-3-oz")</f>
        <v/>
      </c>
      <c r="C1686" t="inlineStr">
        <is>
          <t>Gain Fireworks In-Wash Scent Booster Beads, 30.3 oz.</t>
        </is>
      </c>
      <c r="D1686" t="inlineStr">
        <is>
          <t>Gain Fireworks In-Wash Scent Booster Beads, Moonlight Breeze, 12.2 oz</t>
        </is>
      </c>
      <c r="E1686" s="2">
        <f>HYPERLINK("https://www.amazon.com/Gain-Fireworks-Booster-Moonlight-Breeze/dp/B0CCK487M6/ref=sr_1_2?keywords=Gain+Fireworks+In-Wash+Scent+Booster+Beads%2C+30.3+oz.&amp;qid=1695170556&amp;sr=8-2", "https://www.amazon.com/Gain-Fireworks-Booster-Moonlight-Breeze/dp/B0CCK487M6/ref=sr_1_2?keywords=Gain+Fireworks+In-Wash+Scent+Booster+Beads%2C+30.3+oz.&amp;qid=1695170556&amp;sr=8-2")</f>
        <v/>
      </c>
      <c r="F1686" t="inlineStr">
        <is>
          <t>B0CCK487M6</t>
        </is>
      </c>
      <c r="G1686">
        <f>_xludf.IMAGE("https://www.shelhealth.com/cdn/shop/products/gain-fireworks-in-wash-scent-booster-beads-30-3-oz-shelhealth-634.jpg?v=1663356812&amp;width=1946")</f>
        <v/>
      </c>
      <c r="H1686">
        <f>_xludf.IMAGE("https://m.media-amazon.com/images/I/71gtfumWEKL._AC_UL320_.jpg")</f>
        <v/>
      </c>
      <c r="K1686" t="inlineStr">
        <is>
          <t>23.99</t>
        </is>
      </c>
      <c r="L1686" t="n">
        <v>9.94</v>
      </c>
      <c r="M1686" s="1" t="inlineStr">
        <is>
          <t>-58.57%</t>
        </is>
      </c>
      <c r="N1686" s="3" t="n">
        <v>-58.57</v>
      </c>
      <c r="O1686" t="n">
        <v>5</v>
      </c>
      <c r="P1686" t="n">
        <v>1</v>
      </c>
      <c r="R1686" t="inlineStr">
        <is>
          <t>InStock</t>
        </is>
      </c>
      <c r="S1686" t="inlineStr">
        <is>
          <t>23.99</t>
        </is>
      </c>
      <c r="T1686" t="inlineStr">
        <is>
          <t>4179087622196</t>
        </is>
      </c>
    </row>
    <row r="1687" hidden="1" ht="15.75" customHeight="1">
      <c r="A1687" s="2">
        <f>HYPERLINK("https://www.shelhealth.com/products/3m-post-it-notes-4-in-x-6-in-1000-notes", "https://www.shelhealth.com/products/3m-post-it-notes-4-in-x-6-in-1000-notes")</f>
        <v/>
      </c>
      <c r="B1687" s="2">
        <f>HYPERLINK("https://www.shelhealth.com/products/3m-post-it-notes-4-in-x-6-in-1000-notes", "https://www.shelhealth.com/products/3m-post-it-notes-4-in-x-6-in-1000-notes")</f>
        <v/>
      </c>
      <c r="C1687" t="inlineStr">
        <is>
          <t>3M Post-It Notes 4 in. x 6 in. (1000 Notes)</t>
        </is>
      </c>
      <c r="D1687" t="inlineStr">
        <is>
          <t>Post-it Dispenser Pop-up Notes, 4x6 in, 5 Pads, Canary Yellow, Clean Removal, Recyclable</t>
        </is>
      </c>
      <c r="E1687" s="2">
        <f>HYPERLINK("https://www.amazon.com/Post-Americas-Favorite-Removal-Recyclable/dp/B00006JNNW/ref=sr_1_6?keywords=3M+Post-It+Notes+4+in.+x+6+in.+%281000+Notes%29&amp;qid=1695170548&amp;sr=8-6", "https://www.amazon.com/Post-Americas-Favorite-Removal-Recyclable/dp/B00006JNNW/ref=sr_1_6?keywords=3M+Post-It+Notes+4+in.+x+6+in.+%281000+Notes%29&amp;qid=1695170548&amp;sr=8-6")</f>
        <v/>
      </c>
      <c r="F1687" t="inlineStr">
        <is>
          <t>B00006JNNW</t>
        </is>
      </c>
      <c r="G1687">
        <f>_xludf.IMAGE("https://www.shelhealth.com/cdn/shop/products/3m-post-it-notes-4-in-x-6-1000-shelhealth-914.jpg?v=1663372769&amp;width=1946")</f>
        <v/>
      </c>
      <c r="H1687">
        <f>_xludf.IMAGE("https://m.media-amazon.com/images/I/71yhqbEZtcL._AC_UL320_.jpg")</f>
        <v/>
      </c>
      <c r="K1687" t="inlineStr">
        <is>
          <t>27.99</t>
        </is>
      </c>
      <c r="L1687" t="n">
        <v>11.48</v>
      </c>
      <c r="M1687" s="1" t="inlineStr">
        <is>
          <t>-58.99%</t>
        </is>
      </c>
      <c r="N1687" s="3" t="n">
        <v>-58.99</v>
      </c>
      <c r="O1687" t="n">
        <v>4.8</v>
      </c>
      <c r="P1687" t="n">
        <v>580</v>
      </c>
      <c r="R1687" t="inlineStr">
        <is>
          <t>InStock</t>
        </is>
      </c>
      <c r="S1687" t="inlineStr">
        <is>
          <t>27.99</t>
        </is>
      </c>
      <c r="T1687" t="inlineStr">
        <is>
          <t>4696976883801</t>
        </is>
      </c>
    </row>
    <row r="1688" hidden="1" ht="15.75" customHeight="1">
      <c r="A1688" s="2">
        <f>HYPERLINK("https://www.shelhealth.com/products/berkley-jensen-42-gal-3mil-heavy-duty-contractor-and-industrial-use-bags-32-ct", "https://www.shelhealth.com/products/berkley-jensen-42-gal-3mil-heavy-duty-contractor-and-industrial-use-bags-32-ct")</f>
        <v/>
      </c>
      <c r="B1688" s="2">
        <f>HYPERLINK("https://www.shelhealth.com/products/berkley-jensen-42-gal-3mil-heavy-duty-contractor-and-industrial-use-bags-32-ct", "https://www.shelhealth.com/products/berkley-jensen-42-gal-3mil-heavy-duty-contractor-and-industrial-use-bags-32-ct")</f>
        <v/>
      </c>
      <c r="C1688" t="inlineStr">
        <is>
          <t>Berkley Jensen 42-Gal. 3mil Heavy Duty Contractor and Industrial Use Bags, 32 ct.</t>
        </is>
      </c>
      <c r="D1688" t="inlineStr">
        <is>
          <t>Ultrasac Contractor Bags 42 Gallon (20 PACK/w FLAP TIES), 32.75 x 44.5-3 MIL Thick Large Black Heavy Duty Industrial Garbage Trashbags for Professional Construction and Commercial use</t>
        </is>
      </c>
      <c r="E1688" s="2">
        <f>HYPERLINK("https://www.amazon.com/Aluf-Plastics-Ultrasac-Professional-Contractor/dp/B00DH4IT7C/ref=sr_1_6?keywords=Berkley+Jensen+42-Gal.+3mil+Heavy+Duty+Contractor+and+Industrial+Use+Bags%2C+32+ct.&amp;qid=1695170565&amp;sr=8-6", "https://www.amazon.com/Aluf-Plastics-Ultrasac-Professional-Contractor/dp/B00DH4IT7C/ref=sr_1_6?keywords=Berkley+Jensen+42-Gal.+3mil+Heavy+Duty+Contractor+and+Industrial+Use+Bags%2C+32+ct.&amp;qid=1695170565&amp;sr=8-6")</f>
        <v/>
      </c>
      <c r="F1688" t="inlineStr">
        <is>
          <t>B00DH4IT7C</t>
        </is>
      </c>
      <c r="G1688">
        <f>_xludf.IMAGE("https://www.shelhealth.com/cdn/shop/products/berkley-jensen-42-gal-3mil-heavy-duty-contractor-and-industrial-use-bags-32-ct-shelhealth-684.jpg?v=1663354867&amp;width=1946")</f>
        <v/>
      </c>
      <c r="H1688">
        <f>_xludf.IMAGE("https://m.media-amazon.com/images/I/61L-1EebPeS._AC_UL320_.jpg")</f>
        <v/>
      </c>
      <c r="K1688" t="inlineStr">
        <is>
          <t>38.99</t>
        </is>
      </c>
      <c r="L1688" t="n">
        <v>15.97</v>
      </c>
      <c r="M1688" s="1" t="inlineStr">
        <is>
          <t>-59.04%</t>
        </is>
      </c>
      <c r="N1688" s="3" t="n">
        <v>-59.04</v>
      </c>
      <c r="O1688" t="n">
        <v>4.6</v>
      </c>
      <c r="P1688" t="n">
        <v>6177</v>
      </c>
      <c r="R1688" t="inlineStr">
        <is>
          <t>InStock</t>
        </is>
      </c>
      <c r="S1688" t="inlineStr">
        <is>
          <t>38.99</t>
        </is>
      </c>
      <c r="T1688" t="inlineStr">
        <is>
          <t>4169495380020</t>
        </is>
      </c>
    </row>
    <row r="1689" hidden="1" ht="15.75" customHeight="1">
      <c r="A1689" s="2">
        <f>HYPERLINK("https://www.shelhealth.com/products/bask-clear-vinyl-disposable-gloves-100-gloves", "https://www.shelhealth.com/products/bask-clear-vinyl-disposable-gloves-100-gloves")</f>
        <v/>
      </c>
      <c r="B1689" s="2">
        <f>HYPERLINK("https://www.shelhealth.com/products/bask-clear-vinyl-disposable-gloves-100-gloves", "https://www.shelhealth.com/products/bask-clear-vinyl-disposable-gloves-100-gloves")</f>
        <v/>
      </c>
      <c r="C1689" t="inlineStr">
        <is>
          <t>Bask Clear Vinyl Disposable Gloves, 100 Gloves</t>
        </is>
      </c>
      <c r="D1689" t="inlineStr">
        <is>
          <t>EDI Disposable Vinyl Gloves (Clear) - Powder-Free, Latex-Free (100, Medium)</t>
        </is>
      </c>
      <c r="E1689" s="2">
        <f>HYPERLINK("https://www.amazon.com/EDI-Disposable-Industrial-Allergy-Cleaning/dp/B01K5OTOOS/ref=sr_1_8?keywords=Bask+Clear+Vinyl+Disposable+Gloves%2C+100+Gloves&amp;qid=1695170549&amp;sr=8-8", "https://www.amazon.com/EDI-Disposable-Industrial-Allergy-Cleaning/dp/B01K5OTOOS/ref=sr_1_8?keywords=Bask+Clear+Vinyl+Disposable+Gloves%2C+100+Gloves&amp;qid=1695170549&amp;sr=8-8")</f>
        <v/>
      </c>
      <c r="F1689" t="inlineStr">
        <is>
          <t>B01K5OTOOS</t>
        </is>
      </c>
      <c r="G1689">
        <f>_xludf.IMAGE("https://www.shelhealth.com/cdn/shop/products/bask-clear-vinyl-disposable-gloves-100-shelhealth-783.jpg?v=1663374232&amp;width=1946")</f>
        <v/>
      </c>
      <c r="H1689">
        <f>_xludf.IMAGE("https://m.media-amazon.com/images/I/71ChAboJ4bL._AC_UL320_.jpg")</f>
        <v/>
      </c>
      <c r="K1689" t="inlineStr">
        <is>
          <t>21.99</t>
        </is>
      </c>
      <c r="L1689" t="n">
        <v>8.99</v>
      </c>
      <c r="M1689" s="1" t="inlineStr">
        <is>
          <t>-59.12%</t>
        </is>
      </c>
      <c r="N1689" s="3" t="n">
        <v>-59.12</v>
      </c>
      <c r="O1689" t="n">
        <v>4.5</v>
      </c>
      <c r="P1689" t="n">
        <v>10389</v>
      </c>
      <c r="R1689" t="inlineStr">
        <is>
          <t>InStock</t>
        </is>
      </c>
      <c r="S1689" t="inlineStr">
        <is>
          <t>21.99</t>
        </is>
      </c>
      <c r="T1689" t="inlineStr">
        <is>
          <t>4713271525465</t>
        </is>
      </c>
    </row>
    <row r="1690" hidden="1" ht="15.75" customHeight="1">
      <c r="A1690" s="2">
        <f>HYPERLINK("https://www.shelhealth.com/products/lysol-disinfectant-spray-early-morning-breeze-19-oz-pack-of-4", "https://www.shelhealth.com/products/lysol-disinfectant-spray-early-morning-breeze-19-oz-pack-of-4")</f>
        <v/>
      </c>
      <c r="B1690" s="2">
        <f>HYPERLINK("https://www.shelhealth.com/products/lysol-disinfectant-spray-early-morning-breeze-19-oz-pack-of-4", "https://www.shelhealth.com/products/lysol-disinfectant-spray-early-morning-breeze-19-oz-pack-of-4")</f>
        <v/>
      </c>
      <c r="C1690" t="inlineStr">
        <is>
          <t>Lysol Disinfectant Spray, Early Morning Breeze, 19 oz (Pack of 4)</t>
        </is>
      </c>
      <c r="D1690" t="inlineStr">
        <is>
          <t>Lysol Disinfectant Spray, Sanitizing And Antibacterial Spray, For Disinfecting And Deodorizing, Early Morning Breeze, 19 Fl Oz (Pack Of 2), Packaging May Vary</t>
        </is>
      </c>
      <c r="E1690" s="2">
        <f>HYPERLINK("https://www.amazon.com/Lysol-Disinfectant-Antibacterial-Disinfecting-Deodorizing/dp/B09BDJ8W73/ref=sr_1_10?keywords=Lysol+Disinfectant+Spray%2C+Early+Morning+Breeze%2C+19+oz+%28Pack+of+4%29&amp;qid=1695170428&amp;sr=8-10", "https://www.amazon.com/Lysol-Disinfectant-Antibacterial-Disinfecting-Deodorizing/dp/B09BDJ8W73/ref=sr_1_10?keywords=Lysol+Disinfectant+Spray%2C+Early+Morning+Breeze%2C+19+oz+%28Pack+of+4%29&amp;qid=1695170428&amp;sr=8-10")</f>
        <v/>
      </c>
      <c r="F1690" t="inlineStr">
        <is>
          <t>B09BDJ8W73</t>
        </is>
      </c>
      <c r="G1690">
        <f>_xludf.IMAGE("https://www.shelhealth.com/cdn/shop/products/lysol-disinfectant-spray-early-morning-breeze-19-oz-pack-of-4-shelhealth-765.jpg?v=1663343263&amp;width=1946")</f>
        <v/>
      </c>
      <c r="H1690">
        <f>_xludf.IMAGE("https://m.media-amazon.com/images/I/81E0mtCPbOL._AC_UL320_.jpg")</f>
        <v/>
      </c>
      <c r="K1690" t="inlineStr">
        <is>
          <t>32.99</t>
        </is>
      </c>
      <c r="L1690" t="n">
        <v>13.47</v>
      </c>
      <c r="M1690" s="1" t="inlineStr">
        <is>
          <t>-59.17%</t>
        </is>
      </c>
      <c r="N1690" s="3" t="n">
        <v>-59.17</v>
      </c>
      <c r="O1690" t="n">
        <v>4.8</v>
      </c>
      <c r="P1690" t="n">
        <v>5689</v>
      </c>
      <c r="R1690" t="inlineStr">
        <is>
          <t>OutOfStock</t>
        </is>
      </c>
      <c r="S1690" t="inlineStr">
        <is>
          <t>32.99</t>
        </is>
      </c>
      <c r="T1690" t="inlineStr">
        <is>
          <t>3819980390452</t>
        </is>
      </c>
    </row>
    <row r="1691" hidden="1" ht="15.75" customHeight="1">
      <c r="A1691" s="2">
        <f>HYPERLINK("https://www.shelhealth.com/products/3m-post-it-notes-4-in-x-6-in-1000-notes", "https://www.shelhealth.com/products/3m-post-it-notes-4-in-x-6-in-1000-notes")</f>
        <v/>
      </c>
      <c r="B1691" s="2">
        <f>HYPERLINK("https://www.shelhealth.com/products/3m-post-it-notes-4-in-x-6-in-1000-notes", "https://www.shelhealth.com/products/3m-post-it-notes-4-in-x-6-in-1000-notes")</f>
        <v/>
      </c>
      <c r="C1691" t="inlineStr">
        <is>
          <t>3M Post-It Notes 4 in. x 6 in. (1000 Notes)</t>
        </is>
      </c>
      <c r="D1691" t="inlineStr">
        <is>
          <t>Post-it Super Sticky Notes, 4x6 in, 3 Pads, 2x the Sticking Power, Canary Yellow, Recyclable (660-5SSCY)</t>
        </is>
      </c>
      <c r="E1691" s="2">
        <f>HYPERLINK("https://www.amazon.com/Post-Sticky-Sticking-Canary-660-3SSCY/dp/B0087Z7DZ0/ref=sr_1_1?keywords=3M+Post-It+Notes+4+in.+x+6+in.+%281000+Notes%29&amp;qid=1695170548&amp;sr=8-1", "https://www.amazon.com/Post-Sticky-Sticking-Canary-660-3SSCY/dp/B0087Z7DZ0/ref=sr_1_1?keywords=3M+Post-It+Notes+4+in.+x+6+in.+%281000+Notes%29&amp;qid=1695170548&amp;sr=8-1")</f>
        <v/>
      </c>
      <c r="F1691" t="inlineStr">
        <is>
          <t>B0087Z7DZ0</t>
        </is>
      </c>
      <c r="G1691">
        <f>_xludf.IMAGE("https://www.shelhealth.com/cdn/shop/products/3m-post-it-notes-4-in-x-6-1000-shelhealth-914.jpg?v=1663372769&amp;width=1946")</f>
        <v/>
      </c>
      <c r="H1691">
        <f>_xludf.IMAGE("https://m.media-amazon.com/images/I/61ILss1yHUL._AC_UL320_.jpg")</f>
        <v/>
      </c>
      <c r="K1691" t="inlineStr">
        <is>
          <t>27.99</t>
        </is>
      </c>
      <c r="L1691" t="n">
        <v>11.41</v>
      </c>
      <c r="M1691" s="1" t="inlineStr">
        <is>
          <t>-59.24%</t>
        </is>
      </c>
      <c r="N1691" s="3" t="n">
        <v>-59.24</v>
      </c>
      <c r="O1691" t="n">
        <v>4.6</v>
      </c>
      <c r="P1691" t="n">
        <v>206</v>
      </c>
      <c r="R1691" t="inlineStr">
        <is>
          <t>InStock</t>
        </is>
      </c>
      <c r="S1691" t="inlineStr">
        <is>
          <t>27.99</t>
        </is>
      </c>
      <c r="T1691" t="inlineStr">
        <is>
          <t>4696976883801</t>
        </is>
      </c>
    </row>
    <row r="1692" hidden="1" ht="15.75" customHeight="1">
      <c r="A1692" s="2">
        <f>HYPERLINK("https://www.shelhealth.com/products/rid-x-septic-tank-system-treatment-5-ct", "https://www.shelhealth.com/products/rid-x-septic-tank-system-treatment-5-ct")</f>
        <v/>
      </c>
      <c r="B1692" s="2">
        <f>HYPERLINK("https://www.shelhealth.com/products/rid-x-septic-tank-system-treatment-5-ct", "https://www.shelhealth.com/products/rid-x-septic-tank-system-treatment-5-ct")</f>
        <v/>
      </c>
      <c r="C1692" t="inlineStr">
        <is>
          <t>Rid-X Septic Tank System Treatment, 5 ct.</t>
        </is>
      </c>
      <c r="D1692" t="inlineStr">
        <is>
          <t>Rid-X Septic Tank System Treatment, 3.2 Ounce</t>
        </is>
      </c>
      <c r="E1692" s="2">
        <f>HYPERLINK("https://www.amazon.com/Rid-X-Septic-System-Treatment-Ounce/dp/B00PRUZYAY/ref=sr_1_4?keywords=Rid-X+Septic+Tank+System+Treatment%2C+5+ct.&amp;qid=1695170434&amp;sr=8-4", "https://www.amazon.com/Rid-X-Septic-System-Treatment-Ounce/dp/B00PRUZYAY/ref=sr_1_4?keywords=Rid-X+Septic+Tank+System+Treatment%2C+5+ct.&amp;qid=1695170434&amp;sr=8-4")</f>
        <v/>
      </c>
      <c r="F1692" t="inlineStr">
        <is>
          <t>B00PRUZYAY</t>
        </is>
      </c>
      <c r="G1692">
        <f>_xludf.IMAGE("https://www.shelhealth.com/cdn/shop/products/rid-x-septic-tank-system-treatment-5-ct-shelhealth-784.jpg?v=1663355313&amp;width=1946")</f>
        <v/>
      </c>
      <c r="H1692">
        <f>_xludf.IMAGE("https://m.media-amazon.com/images/I/81x7oxPtC1S._AC_UL320_.jpg")</f>
        <v/>
      </c>
      <c r="K1692" t="inlineStr">
        <is>
          <t>25.99</t>
        </is>
      </c>
      <c r="L1692" t="n">
        <v>10.53</v>
      </c>
      <c r="M1692" s="1" t="inlineStr">
        <is>
          <t>-59.48%</t>
        </is>
      </c>
      <c r="N1692" s="3" t="n">
        <v>-59.48</v>
      </c>
      <c r="O1692" t="n">
        <v>4.7</v>
      </c>
      <c r="P1692" t="n">
        <v>14609</v>
      </c>
      <c r="R1692" t="inlineStr">
        <is>
          <t>InStock</t>
        </is>
      </c>
      <c r="S1692" t="inlineStr">
        <is>
          <t>25.99</t>
        </is>
      </c>
      <c r="T1692" t="inlineStr">
        <is>
          <t>4169801531444</t>
        </is>
      </c>
    </row>
    <row r="1693" hidden="1" ht="15.75" customHeight="1">
      <c r="A1693" s="2">
        <f>HYPERLINK("https://www.shelhealth.com/products/arm-and-hammer-disinfecting-wipes-440-count", "https://www.shelhealth.com/products/arm-and-hammer-disinfecting-wipes-440-count")</f>
        <v/>
      </c>
      <c r="B1693" s="2">
        <f>HYPERLINK("https://www.shelhealth.com/products/arm-and-hammer-disinfecting-wipes-440-count", "https://www.shelhealth.com/products/arm-and-hammer-disinfecting-wipes-440-count")</f>
        <v/>
      </c>
      <c r="C1693" t="inlineStr">
        <is>
          <t>Arm And Hammer Disinfecting Wipes, 440 Count</t>
        </is>
      </c>
      <c r="D1693" t="inlineStr">
        <is>
          <t>Arm &amp; Hammer Essentials Disinfecting Wipes, Lemon Orchard 2-Pack, 110 Count, 220 Wipes, Volcano</t>
        </is>
      </c>
      <c r="E1693" s="2">
        <f>HYPERLINK("https://www.amazon.com/Arm-Hammer-Essentials-Disinfecting-Orchard/dp/B09YTJ5TWN/ref=sr_1_3?keywords=Arm+And+Hammer+Disinfecting+Wipes%2C+440+Count&amp;qid=1695170425&amp;sr=8-3", "https://www.amazon.com/Arm-Hammer-Essentials-Disinfecting-Orchard/dp/B09YTJ5TWN/ref=sr_1_3?keywords=Arm+And+Hammer+Disinfecting+Wipes%2C+440+Count&amp;qid=1695170425&amp;sr=8-3")</f>
        <v/>
      </c>
      <c r="F1693" t="inlineStr">
        <is>
          <t>B09YTJ5TWN</t>
        </is>
      </c>
      <c r="G1693">
        <f>_xludf.IMAGE("https://www.shelhealth.com/cdn/shop/products/arm-and-hammer-disinfecting-wipes-440-count-shelhealth-250.jpg?v=1663658291&amp;width=1946")</f>
        <v/>
      </c>
      <c r="H1693">
        <f>_xludf.IMAGE("https://m.media-amazon.com/images/I/81Q5UoE07HL._AC_UL320_.jpg")</f>
        <v/>
      </c>
      <c r="K1693" t="inlineStr">
        <is>
          <t>34.99</t>
        </is>
      </c>
      <c r="L1693" t="n">
        <v>14.12</v>
      </c>
      <c r="M1693" s="1" t="inlineStr">
        <is>
          <t>-59.65%</t>
        </is>
      </c>
      <c r="N1693" s="3" t="n">
        <v>-59.65</v>
      </c>
      <c r="O1693" t="n">
        <v>4.7</v>
      </c>
      <c r="P1693" t="n">
        <v>85</v>
      </c>
      <c r="R1693" t="inlineStr">
        <is>
          <t>OutOfStock</t>
        </is>
      </c>
      <c r="S1693" t="inlineStr">
        <is>
          <t>34.99</t>
        </is>
      </c>
      <c r="T1693" t="inlineStr">
        <is>
          <t>6297326911676</t>
        </is>
      </c>
    </row>
    <row r="1694" hidden="1" ht="15.75" customHeight="1">
      <c r="A1694" s="2">
        <f>HYPERLINK("https://www.shelhealth.com/products/pur-faucet-filtration-system", "https://www.shelhealth.com/products/pur-faucet-filtration-system")</f>
        <v/>
      </c>
      <c r="B1694" s="2">
        <f>HYPERLINK("https://www.shelhealth.com/products/pur-faucet-filtration-system", "https://www.shelhealth.com/products/pur-faucet-filtration-system")</f>
        <v/>
      </c>
      <c r="C1694" t="inlineStr">
        <is>
          <t>Pur Faucet Filtration System</t>
        </is>
      </c>
      <c r="D1694" t="inlineStr">
        <is>
          <t>PUR PLUS Water Filtration System, White – Horizontal Faucet Mount for Crisp, Refreshing Water, PFM150W</t>
        </is>
      </c>
      <c r="E1694" s="2">
        <f>HYPERLINK("https://www.amazon.com/PUR-PFM150W-Filtration-System-Horizontal/dp/B01LRA6VKO/ref=sr_1_4?keywords=Pur+Faucet+Filtration+System&amp;qid=1695170549&amp;sr=8-4", "https://www.amazon.com/PUR-PFM150W-Filtration-System-Horizontal/dp/B01LRA6VKO/ref=sr_1_4?keywords=Pur+Faucet+Filtration+System&amp;qid=1695170549&amp;sr=8-4")</f>
        <v/>
      </c>
      <c r="F1694" t="inlineStr">
        <is>
          <t>B01LRA6VKO</t>
        </is>
      </c>
      <c r="G1694">
        <f>_xludf.IMAGE("https://www.shelhealth.com/cdn/shop/products/pur-faucet-filtration-system-shelhealth-810.jpg?v=1663357419&amp;width=1946")</f>
        <v/>
      </c>
      <c r="H1694">
        <f>_xludf.IMAGE("https://m.media-amazon.com/images/I/41TeV83KYgL._AC_UL320_.jpg")</f>
        <v/>
      </c>
      <c r="K1694" t="inlineStr">
        <is>
          <t>71.99</t>
        </is>
      </c>
      <c r="L1694" t="n">
        <v>28.99</v>
      </c>
      <c r="M1694" s="1" t="inlineStr">
        <is>
          <t>-59.73%</t>
        </is>
      </c>
      <c r="N1694" s="3" t="n">
        <v>-59.73</v>
      </c>
      <c r="O1694" t="n">
        <v>4.3</v>
      </c>
      <c r="P1694" t="n">
        <v>6409</v>
      </c>
      <c r="R1694" t="inlineStr">
        <is>
          <t>InStock</t>
        </is>
      </c>
      <c r="S1694" t="inlineStr">
        <is>
          <t>71.99</t>
        </is>
      </c>
      <c r="T1694" t="inlineStr">
        <is>
          <t>4181272002612</t>
        </is>
      </c>
    </row>
    <row r="1695" hidden="1" ht="15.75" customHeight="1">
      <c r="A1695" s="2">
        <f>HYPERLINK("https://www.shelhealth.com/products/842094177288-pinky-up-tea-infuser-ball-ss-1-8-in", "https://www.shelhealth.com/products/842094177288-pinky-up-tea-infuser-ball-ss-1-8-in")</f>
        <v/>
      </c>
      <c r="B1695" s="2">
        <f>HYPERLINK("https://www.shelhealth.com/products/842094177288-pinky-up-tea-infuser-ball-ss-1-8-in", "https://www.shelhealth.com/products/842094177288-pinky-up-tea-infuser-ball-ss-1-8-in")</f>
        <v/>
      </c>
      <c r="C1695" t="inlineStr">
        <is>
          <t>Pinky Up Tea Infuser Ball Ss, 1.8 In (Case of 4)</t>
        </is>
      </c>
      <c r="D1695" t="inlineStr">
        <is>
          <t>Pinky Up Small Tea Ball Loose Leaf Tea Infusers with Chain Hook - Stainless Steel Tea Infuser With Clamp Closure 1.8inch Diameter Set of 1</t>
        </is>
      </c>
      <c r="E1695" s="2">
        <f>HYPERLINK("https://www.amazon.com/Pinky-Up-7728-Stainless-Infuser/dp/B07FNB67SQ/ref=sr_1_1?keywords=Pinky+Up+Tea+Infuser+Ball+Ss%2C+1.8+In+%28Case+of+4%29&amp;qid=1695170498&amp;sr=8-1", "https://www.amazon.com/Pinky-Up-7728-Stainless-Infuser/dp/B07FNB67SQ/ref=sr_1_1?keywords=Pinky+Up+Tea+Infuser+Ball+Ss%2C+1.8+In+%28Case+of+4%29&amp;qid=1695170498&amp;sr=8-1")</f>
        <v/>
      </c>
      <c r="F1695" t="inlineStr">
        <is>
          <t>B07FNB67SQ</t>
        </is>
      </c>
      <c r="G1695">
        <f>_xludf.IMAGE("https://www.shelhealth.com/cdn/shop/files/pinky-up-tea-infuser-ball-ss-1-8-in-case-of-4-home-products-shelhealth-234.jpg?v=1693360747&amp;width=1946")</f>
        <v/>
      </c>
      <c r="H1695">
        <f>_xludf.IMAGE("https://m.media-amazon.com/images/I/71F4wmMqn4S._AC_UL320_.jpg")</f>
        <v/>
      </c>
      <c r="K1695" t="inlineStr">
        <is>
          <t>23.99</t>
        </is>
      </c>
      <c r="L1695" t="n">
        <v>9.56</v>
      </c>
      <c r="M1695" s="1" t="inlineStr">
        <is>
          <t>-60.15%</t>
        </is>
      </c>
      <c r="N1695" s="3" t="n">
        <v>-60.15</v>
      </c>
      <c r="O1695" t="n">
        <v>4.5</v>
      </c>
      <c r="P1695" t="n">
        <v>596</v>
      </c>
      <c r="R1695" t="inlineStr">
        <is>
          <t>OutOfStock</t>
        </is>
      </c>
      <c r="S1695" t="inlineStr">
        <is>
          <t>23.99</t>
        </is>
      </c>
      <c r="T1695" t="inlineStr">
        <is>
          <t>7241922085052</t>
        </is>
      </c>
    </row>
    <row r="1696" hidden="1" ht="15.75" customHeight="1">
      <c r="A1696" s="2">
        <f>HYPERLINK("https://www.shelhealth.com/products/glad-30-gal-black-drawstring-plastic-trash-bags-90-ct-black", "https://www.shelhealth.com/products/glad-30-gal-black-drawstring-plastic-trash-bags-90-ct-black")</f>
        <v/>
      </c>
      <c r="B1696" s="2">
        <f>HYPERLINK("https://www.shelhealth.com/products/glad-30-gal-black-drawstring-plastic-trash-bags-90-ct-black", "https://www.shelhealth.com/products/glad-30-gal-black-drawstring-plastic-trash-bags-90-ct-black")</f>
        <v/>
      </c>
      <c r="C1696" t="inlineStr">
        <is>
          <t>Glad 30-gal. Black Drawstring Plastic Trash Bags, 90 ct. - Black</t>
        </is>
      </c>
      <c r="D1696" t="inlineStr">
        <is>
          <t>Glad Large Drawstring Trash Bags, ForceFlex 30 Gallon Black Trash Bags, 50 Count</t>
        </is>
      </c>
      <c r="E1696" s="2">
        <f>HYPERLINK("https://www.amazon.com/Glad-ForceFlexPlus-Drawstring-Large-Trash/dp/B00AQIULD2/ref=sr_1_4?keywords=Glad+30-gal.+Black+Drawstring+Plastic+Trash+Bags%2C+90+ct.+-+Black&amp;qid=1695170565&amp;sr=8-4", "https://www.amazon.com/Glad-ForceFlexPlus-Drawstring-Large-Trash/dp/B00AQIULD2/ref=sr_1_4?keywords=Glad+30-gal.+Black+Drawstring+Plastic+Trash+Bags%2C+90+ct.+-+Black&amp;qid=1695170565&amp;sr=8-4")</f>
        <v/>
      </c>
      <c r="F1696" t="inlineStr">
        <is>
          <t>B00AQIULD2</t>
        </is>
      </c>
      <c r="G1696">
        <f>_xludf.IMAGE("https://www.shelhealth.com/cdn/shop/products/glad-30-gal-black-drawstring-plastic-trash-bags-90-ct-shelhealth-411.jpg?v=1663354941&amp;width=1946")</f>
        <v/>
      </c>
      <c r="H1696">
        <f>_xludf.IMAGE("https://m.media-amazon.com/images/I/91b+eQKJgqL._AC_UL320_.jpg")</f>
        <v/>
      </c>
      <c r="K1696" t="inlineStr">
        <is>
          <t>38.99</t>
        </is>
      </c>
      <c r="L1696" t="n">
        <v>15.49</v>
      </c>
      <c r="M1696" s="1" t="inlineStr">
        <is>
          <t>-60.27%</t>
        </is>
      </c>
      <c r="N1696" s="3" t="n">
        <v>-60.27</v>
      </c>
      <c r="O1696" t="n">
        <v>4.7</v>
      </c>
      <c r="P1696" t="n">
        <v>17837</v>
      </c>
      <c r="R1696" t="inlineStr">
        <is>
          <t>InStock</t>
        </is>
      </c>
      <c r="S1696" t="inlineStr">
        <is>
          <t>38.99</t>
        </is>
      </c>
      <c r="T1696" t="inlineStr">
        <is>
          <t>4169522544692</t>
        </is>
      </c>
    </row>
    <row r="1697" hidden="1" ht="15.75" customHeight="1">
      <c r="A1697" s="2">
        <f>HYPERLINK("https://www.shelhealth.com/products/arm-and-hammer-disinfecting-wipes-440-count", "https://www.shelhealth.com/products/arm-and-hammer-disinfecting-wipes-440-count")</f>
        <v/>
      </c>
      <c r="B1697" s="2">
        <f>HYPERLINK("https://www.shelhealth.com/products/arm-and-hammer-disinfecting-wipes-440-count", "https://www.shelhealth.com/products/arm-and-hammer-disinfecting-wipes-440-count")</f>
        <v/>
      </c>
      <c r="C1697" t="inlineStr">
        <is>
          <t>Arm And Hammer Disinfecting Wipes, 440 Count</t>
        </is>
      </c>
      <c r="D1697" t="inlineStr">
        <is>
          <t>Arm &amp; Hammer Essentials Disinfecting Wipes, Renewing Rain Scent, 3 Pack, 80 Count, 240 Wipes, Volcano</t>
        </is>
      </c>
      <c r="E1697" s="2">
        <f>HYPERLINK("https://www.amazon.com/Hammer-Essentials-Disinfecting-Renewing-Volcano/dp/B08LW521SG/ref=sr_1_4?keywords=Arm+And+Hammer+Disinfecting+Wipes%2C+440+Count&amp;qid=1695170425&amp;sr=8-4", "https://www.amazon.com/Hammer-Essentials-Disinfecting-Renewing-Volcano/dp/B08LW521SG/ref=sr_1_4?keywords=Arm+And+Hammer+Disinfecting+Wipes%2C+440+Count&amp;qid=1695170425&amp;sr=8-4")</f>
        <v/>
      </c>
      <c r="F1697" t="inlineStr">
        <is>
          <t>B08LW521SG</t>
        </is>
      </c>
      <c r="G1697">
        <f>_xludf.IMAGE("https://www.shelhealth.com/cdn/shop/products/arm-and-hammer-disinfecting-wipes-440-count-shelhealth-250.jpg?v=1663658291&amp;width=1946")</f>
        <v/>
      </c>
      <c r="H1697">
        <f>_xludf.IMAGE("https://m.media-amazon.com/images/I/81hsPLoQiSL._AC_UL320_.jpg")</f>
        <v/>
      </c>
      <c r="K1697" t="inlineStr">
        <is>
          <t>34.99</t>
        </is>
      </c>
      <c r="L1697" t="n">
        <v>13.88</v>
      </c>
      <c r="M1697" s="1" t="inlineStr">
        <is>
          <t>-60.33%</t>
        </is>
      </c>
      <c r="N1697" s="3" t="n">
        <v>-60.33</v>
      </c>
      <c r="O1697" t="n">
        <v>4.7</v>
      </c>
      <c r="P1697" t="n">
        <v>741</v>
      </c>
      <c r="R1697" t="inlineStr">
        <is>
          <t>OutOfStock</t>
        </is>
      </c>
      <c r="S1697" t="inlineStr">
        <is>
          <t>34.99</t>
        </is>
      </c>
      <c r="T1697" t="inlineStr">
        <is>
          <t>6297326911676</t>
        </is>
      </c>
    </row>
    <row r="1698" hidden="1" ht="15.75" customHeight="1">
      <c r="A1698" s="2">
        <f>HYPERLINK("https://www.shelhealth.com/products/gain-ultra-concentrated-liquid-fabric-softener-138-fl-oz", "https://www.shelhealth.com/products/gain-ultra-concentrated-liquid-fabric-softener-138-fl-oz")</f>
        <v/>
      </c>
      <c r="B1698" s="2">
        <f>HYPERLINK("https://www.shelhealth.com/products/gain-ultra-concentrated-liquid-fabric-softener-138-fl-oz", "https://www.shelhealth.com/products/gain-ultra-concentrated-liquid-fabric-softener-138-fl-oz")</f>
        <v/>
      </c>
      <c r="C1698" t="inlineStr">
        <is>
          <t>Gain Ultra Concentrated Liquid Fabric Softener, 138 fl. oz.</t>
        </is>
      </c>
      <c r="D1698" t="inlineStr">
        <is>
          <t>Gain Eco-Box Liquid Fabric Softener, Original Scent, 105 Fl Oz, 180 Loads, Ultra Concentrated</t>
        </is>
      </c>
      <c r="E1698" s="2">
        <f>HYPERLINK("https://www.amazon.com/Gain-Laundry-Liquid-Softener-Original/dp/B08NGBMV2B/ref=sr_1_2?keywords=Gain+Ultra+Concentrated+Liquid+Fabric+Softener%2C+138+fl.+oz.&amp;qid=1695170537&amp;sr=8-2", "https://www.amazon.com/Gain-Laundry-Liquid-Softener-Original/dp/B08NGBMV2B/ref=sr_1_2?keywords=Gain+Ultra+Concentrated+Liquid+Fabric+Softener%2C+138+fl.+oz.&amp;qid=1695170537&amp;sr=8-2")</f>
        <v/>
      </c>
      <c r="F1698" t="inlineStr">
        <is>
          <t>B08NGBMV2B</t>
        </is>
      </c>
      <c r="G1698">
        <f>_xludf.IMAGE("https://www.shelhealth.com/cdn/shop/products/gain-ultra-concentrated-liquid-fabric-softener-138-fl-oz-shelhealth-243.jpg?v=1663356850&amp;width=1946")</f>
        <v/>
      </c>
      <c r="H1698">
        <f>_xludf.IMAGE("https://m.media-amazon.com/images/I/7160OfWTN2L._AC_UL320_.jpg")</f>
        <v/>
      </c>
      <c r="K1698" t="inlineStr">
        <is>
          <t>32.99</t>
        </is>
      </c>
      <c r="L1698" t="n">
        <v>12.97</v>
      </c>
      <c r="M1698" s="1" t="inlineStr">
        <is>
          <t>-60.69%</t>
        </is>
      </c>
      <c r="N1698" s="3" t="n">
        <v>-60.69</v>
      </c>
      <c r="O1698" t="n">
        <v>4.8</v>
      </c>
      <c r="P1698" t="n">
        <v>62174</v>
      </c>
      <c r="R1698" t="inlineStr">
        <is>
          <t>InStock</t>
        </is>
      </c>
      <c r="S1698" t="inlineStr">
        <is>
          <t>32.99</t>
        </is>
      </c>
      <c r="T1698" t="inlineStr">
        <is>
          <t>4179091128372</t>
        </is>
      </c>
    </row>
    <row r="1699" hidden="1" ht="15.75" customHeight="1">
      <c r="A1699" s="2">
        <f>HYPERLINK("https://www.shelhealth.com/products/ultra-downy-april-fresh-liquid-fabric-conditioner-170-fl-oz", "https://www.shelhealth.com/products/ultra-downy-april-fresh-liquid-fabric-conditioner-170-fl-oz")</f>
        <v/>
      </c>
      <c r="B1699" s="2">
        <f>HYPERLINK("https://www.shelhealth.com/products/ultra-downy-april-fresh-liquid-fabric-conditioner-170-fl-oz", "https://www.shelhealth.com/products/ultra-downy-april-fresh-liquid-fabric-conditioner-170-fl-oz")</f>
        <v/>
      </c>
      <c r="C1699" t="inlineStr">
        <is>
          <t>Ultra Downy April Fresh Liquid Fabric Conditioner, 170 fl. oz.</t>
        </is>
      </c>
      <c r="D1699" t="inlineStr">
        <is>
          <t>Downy Ultra Laundry Liquid Fabric Softener (Fabric Conditioner), April Fresh, 111 fl oz, 150 Loads</t>
        </is>
      </c>
      <c r="E1699" s="2">
        <f>HYPERLINK("https://www.amazon.com/Downy-Laundry-Liquid-Softener-Conditioner/dp/B0CCK41736/ref=sr_1_3?keywords=Ultra+Downy+April+Fresh+Liquid+Fabric+Conditioner%2C+170+fl.+oz.&amp;qid=1695170558&amp;sr=8-3", "https://www.amazon.com/Downy-Laundry-Liquid-Softener-Conditioner/dp/B0CCK41736/ref=sr_1_3?keywords=Ultra+Downy+April+Fresh+Liquid+Fabric+Conditioner%2C+170+fl.+oz.&amp;qid=1695170558&amp;sr=8-3")</f>
        <v/>
      </c>
      <c r="F1699" t="inlineStr">
        <is>
          <t>B0CCK41736</t>
        </is>
      </c>
      <c r="G1699">
        <f>_xludf.IMAGE("https://www.shelhealth.com/cdn/shop/products/ultra-downy-april-fresh-liquid-fabric-conditioner-170-fl-oz-shelhealth-264.jpg?v=1663356583&amp;width=1946")</f>
        <v/>
      </c>
      <c r="H1699">
        <f>_xludf.IMAGE("https://m.media-amazon.com/images/I/71hf18n1ILL._AC_UL320_.jpg")</f>
        <v/>
      </c>
      <c r="K1699" t="inlineStr">
        <is>
          <t>27.99</t>
        </is>
      </c>
      <c r="L1699" t="n">
        <v>10.99</v>
      </c>
      <c r="M1699" s="1" t="inlineStr">
        <is>
          <t>-60.74%</t>
        </is>
      </c>
      <c r="N1699" s="3" t="n">
        <v>-60.74</v>
      </c>
      <c r="O1699" t="n">
        <v>4.8</v>
      </c>
      <c r="P1699" t="n">
        <v>17601</v>
      </c>
      <c r="R1699" t="inlineStr">
        <is>
          <t>InStock</t>
        </is>
      </c>
      <c r="S1699" t="inlineStr">
        <is>
          <t>27.99</t>
        </is>
      </c>
      <c r="T1699" t="inlineStr">
        <is>
          <t>4179002916916</t>
        </is>
      </c>
    </row>
    <row r="1700" hidden="1" ht="15.75" customHeight="1">
      <c r="A1700" s="2">
        <f>HYPERLINK("https://www.shelhealth.com/products/pur-maxion-replacement-pitcher-filter-4-pk", "https://www.shelhealth.com/products/pur-maxion-replacement-pitcher-filter-4-pk")</f>
        <v/>
      </c>
      <c r="B1700" s="2">
        <f>HYPERLINK("https://www.shelhealth.com/products/pur-maxion-replacement-pitcher-filter-4-pk", "https://www.shelhealth.com/products/pur-maxion-replacement-pitcher-filter-4-pk")</f>
        <v/>
      </c>
      <c r="C1700" t="inlineStr">
        <is>
          <t>PUR MAXION Replacement Pitcher Filter, 5 pk.</t>
        </is>
      </c>
      <c r="D1700" t="inlineStr">
        <is>
          <t>AQUA CREST NSF Certified Filter, Replacement for Pur®, Pur® Plus Pitcher Water Filter, CRF950Z, PPF951K™, PPF900Z™, DS1811Z, PPT711, PPT111, CR-1100C and All Pur® Pitchers and Dispensers, 4 Packs</t>
        </is>
      </c>
      <c r="E1700" s="2">
        <f>HYPERLINK("https://www.amazon.com/AQUA-CREST-AQK-CF10A-Certified-Replacement/dp/B01ETCLVF2/ref=sr_1_5?keywords=PUR+MAXION+Replacement+Pitcher+Filter%2C+5+pk.&amp;qid=1695170396&amp;sr=8-5", "https://www.amazon.com/AQUA-CREST-AQK-CF10A-Certified-Replacement/dp/B01ETCLVF2/ref=sr_1_5?keywords=PUR+MAXION+Replacement+Pitcher+Filter%2C+5+pk.&amp;qid=1695170396&amp;sr=8-5")</f>
        <v/>
      </c>
      <c r="F1700" t="inlineStr">
        <is>
          <t>B01ETCLVF2</t>
        </is>
      </c>
      <c r="G1700">
        <f>_xludf.IMAGE("https://www.shelhealth.com/cdn/shop/products/pur-maxion-replacement-pitcher-filter-5-pk-shelhealth-737.jpg?v=1663356666&amp;width=1946")</f>
        <v/>
      </c>
      <c r="H1700">
        <f>_xludf.IMAGE("https://m.media-amazon.com/images/I/71kAauf6r0L._AC_UL320_.jpg")</f>
        <v/>
      </c>
      <c r="K1700" t="inlineStr">
        <is>
          <t>54.99</t>
        </is>
      </c>
      <c r="L1700" t="n">
        <v>21.59</v>
      </c>
      <c r="M1700" s="1" t="inlineStr">
        <is>
          <t>-60.74%</t>
        </is>
      </c>
      <c r="N1700" s="3" t="n">
        <v>-60.74</v>
      </c>
      <c r="O1700" t="n">
        <v>4.5</v>
      </c>
      <c r="P1700" t="n">
        <v>10695</v>
      </c>
      <c r="R1700" t="inlineStr">
        <is>
          <t>OutOfStock</t>
        </is>
      </c>
      <c r="S1700" t="inlineStr">
        <is>
          <t>54.99</t>
        </is>
      </c>
      <c r="T1700" t="inlineStr">
        <is>
          <t>4179041746996</t>
        </is>
      </c>
    </row>
    <row r="1701" hidden="1" ht="15.75" customHeight="1">
      <c r="A1701" s="2">
        <f>HYPERLINK("https://www.shelhealth.com/products/ultra-downy-clean-breeze-liquid-fabric-conditioner-170-fl-oz", "https://www.shelhealth.com/products/ultra-downy-clean-breeze-liquid-fabric-conditioner-170-fl-oz")</f>
        <v/>
      </c>
      <c r="B1701" s="2">
        <f>HYPERLINK("https://www.shelhealth.com/products/ultra-downy-clean-breeze-liquid-fabric-conditioner-170-fl-oz", "https://www.shelhealth.com/products/ultra-downy-clean-breeze-liquid-fabric-conditioner-170-fl-oz")</f>
        <v/>
      </c>
      <c r="C1701" t="inlineStr">
        <is>
          <t>Ultra Downy Clean Breeze Liquid Fabric Conditioner, 170 fl. oz.</t>
        </is>
      </c>
      <c r="D1701" t="inlineStr">
        <is>
          <t>Downy Ultra Laundry Liquid Fabric Softener (Fabric Conditioner), Clean Breeze, 111 fl oz, 150 Loads</t>
        </is>
      </c>
      <c r="E1701" s="2">
        <f>HYPERLINK("https://www.amazon.com/Downy-Laundry-Liquid-Softener-Conditioner/dp/B0CCK22M83/ref=sr_1_4?keywords=Ultra+Downy+Clean+Breeze+Liquid+Fabric+Conditioner%2C+170+fl.+oz.&amp;qid=1695170437&amp;sr=8-4", "https://www.amazon.com/Downy-Laundry-Liquid-Softener-Conditioner/dp/B0CCK22M83/ref=sr_1_4?keywords=Ultra+Downy+Clean+Breeze+Liquid+Fabric+Conditioner%2C+170+fl.+oz.&amp;qid=1695170437&amp;sr=8-4")</f>
        <v/>
      </c>
      <c r="F1701" t="inlineStr">
        <is>
          <t>B0CCK22M83</t>
        </is>
      </c>
      <c r="G1701">
        <f>_xludf.IMAGE("https://www.shelhealth.com/cdn/shop/products/ultra-downy-clean-breeze-liquid-fabric-conditioner-170-fl-oz-shelhealth-353.jpg?v=1663356574&amp;width=1946")</f>
        <v/>
      </c>
      <c r="H1701">
        <f>_xludf.IMAGE("https://m.media-amazon.com/images/I/713grmW1gpL._AC_UL320_.jpg")</f>
        <v/>
      </c>
      <c r="K1701" t="inlineStr">
        <is>
          <t>27.99</t>
        </is>
      </c>
      <c r="L1701" t="n">
        <v>10.97</v>
      </c>
      <c r="M1701" s="1" t="inlineStr">
        <is>
          <t>-60.81%</t>
        </is>
      </c>
      <c r="N1701" s="3" t="n">
        <v>-60.81</v>
      </c>
      <c r="O1701" t="n">
        <v>4.8</v>
      </c>
      <c r="P1701" t="n">
        <v>2102</v>
      </c>
      <c r="R1701" t="inlineStr">
        <is>
          <t>InStock</t>
        </is>
      </c>
      <c r="S1701" t="inlineStr">
        <is>
          <t>27.99</t>
        </is>
      </c>
      <c r="T1701" t="inlineStr">
        <is>
          <t>4178996854836</t>
        </is>
      </c>
    </row>
    <row r="1702" hidden="1" ht="15.75" customHeight="1">
      <c r="A1702" s="2">
        <f>HYPERLINK("https://www.shelhealth.com/products/downy-free-gentle-liquid-fabric-conditioner-170-fl-oz", "https://www.shelhealth.com/products/downy-free-gentle-liquid-fabric-conditioner-170-fl-oz")</f>
        <v/>
      </c>
      <c r="B1702" s="2">
        <f>HYPERLINK("https://www.shelhealth.com/products/downy-free-gentle-liquid-fabric-conditioner-170-fl-oz", "https://www.shelhealth.com/products/downy-free-gentle-liquid-fabric-conditioner-170-fl-oz")</f>
        <v/>
      </c>
      <c r="C1702" t="inlineStr">
        <is>
          <t>Downy Free &amp; Gentle Liquid Fabric Conditioner, 170 fl. oz.</t>
        </is>
      </c>
      <c r="D1702" t="inlineStr">
        <is>
          <t>Downy Ultra Liquid Fabric Conditioner (Fabric Softener), Free &amp; Gentle, 150 Loads 111 fl oz</t>
        </is>
      </c>
      <c r="E1702" s="2">
        <f>HYPERLINK("https://www.amazon.com/Downy-Liquid-Fabric-Conditioner-Softener/dp/B0CCK54KCF/ref=sr_1_10?keywords=Downy+Free&amp;qid=1695170429&amp;sr=8-10", "https://www.amazon.com/Downy-Liquid-Fabric-Conditioner-Softener/dp/B0CCK54KCF/ref=sr_1_10?keywords=Downy+Free&amp;qid=1695170429&amp;sr=8-10")</f>
        <v/>
      </c>
      <c r="F1702" t="inlineStr">
        <is>
          <t>B0CCK54KCF</t>
        </is>
      </c>
      <c r="G1702">
        <f>_xludf.IMAGE("https://www.shelhealth.com/cdn/shop/products/downy-free-gentle-liquid-fabric-conditioner-170-fl-oz-shelhealth-915.jpg?v=1663356555&amp;width=1946")</f>
        <v/>
      </c>
      <c r="H1702">
        <f>_xludf.IMAGE("https://m.media-amazon.com/images/I/71fWlqC0IBL._AC_UL320_.jpg")</f>
        <v/>
      </c>
      <c r="K1702" t="inlineStr">
        <is>
          <t>27.99</t>
        </is>
      </c>
      <c r="L1702" t="n">
        <v>10.97</v>
      </c>
      <c r="M1702" s="1" t="inlineStr">
        <is>
          <t>-60.81%</t>
        </is>
      </c>
      <c r="N1702" s="3" t="n">
        <v>-60.81</v>
      </c>
      <c r="O1702" t="n">
        <v>4.8</v>
      </c>
      <c r="P1702" t="n">
        <v>4402</v>
      </c>
      <c r="R1702" t="inlineStr">
        <is>
          <t>OutOfStock</t>
        </is>
      </c>
      <c r="S1702" t="inlineStr">
        <is>
          <t>27.99</t>
        </is>
      </c>
      <c r="T1702" t="inlineStr">
        <is>
          <t>4178978439220</t>
        </is>
      </c>
    </row>
    <row r="1703" hidden="1" ht="15.75" customHeight="1">
      <c r="A1703" s="2">
        <f>HYPERLINK("https://www.shelhealth.com/products/tide-original-scent-he-turbo-clean-liquid-laundry-detergent-100-fl-oz", "https://www.shelhealth.com/products/tide-original-scent-he-turbo-clean-liquid-laundry-detergent-100-fl-oz")</f>
        <v/>
      </c>
      <c r="B1703" s="2">
        <f>HYPERLINK("https://www.shelhealth.com/products/tide-original-scent-he-turbo-clean-liquid-laundry-detergent-100-fl-oz", "https://www.shelhealth.com/products/tide-original-scent-he-turbo-clean-liquid-laundry-detergent-100-fl-oz")</f>
        <v/>
      </c>
      <c r="C1703" t="inlineStr">
        <is>
          <t>Tide Original Scent HE Turbo Clean Liquid Laundry Detergent, 100 fl oz</t>
        </is>
      </c>
      <c r="D1703" t="inlineStr">
        <is>
          <t>Tide Plus Febreze Freshness Botanical Rain HE Turbo Clean Liquid Laundry Detergent, 69 fl oz, 44 loads</t>
        </is>
      </c>
      <c r="E1703" s="2">
        <f>HYPERLINK("https://www.amazon.com/Tide-Febreze-Freshness-Botanical-Detergent/dp/B06Y58QM94/ref=sr_1_9?keywords=Tide+Original+Scent+HE+Turbo+Clean+Liquid+Laundry+Detergent%2C+100+fl+oz&amp;qid=1695170429&amp;sr=8-9", "https://www.amazon.com/Tide-Febreze-Freshness-Botanical-Detergent/dp/B06Y58QM94/ref=sr_1_9?keywords=Tide+Original+Scent+HE+Turbo+Clean+Liquid+Laundry+Detergent%2C+100+fl+oz&amp;qid=1695170429&amp;sr=8-9")</f>
        <v/>
      </c>
      <c r="F1703" t="inlineStr">
        <is>
          <t>B06Y58QM94</t>
        </is>
      </c>
      <c r="G1703">
        <f>_xludf.IMAGE("https://www.shelhealth.com/cdn/shop/products/tide-original-scent-he-turbo-clean-liquid-laundry-detergent-100-fl-oz-shelhealth-674.jpg?v=1663363829&amp;width=1946")</f>
        <v/>
      </c>
      <c r="H1703">
        <f>_xludf.IMAGE("https://m.media-amazon.com/images/I/91n23yMJu0L._AC_UL320_.jpg")</f>
        <v/>
      </c>
      <c r="K1703" t="inlineStr">
        <is>
          <t>25.99</t>
        </is>
      </c>
      <c r="L1703" t="n">
        <v>9.99</v>
      </c>
      <c r="M1703" s="1" t="inlineStr">
        <is>
          <t>-61.56%</t>
        </is>
      </c>
      <c r="N1703" s="3" t="n">
        <v>-61.56</v>
      </c>
      <c r="O1703" t="n">
        <v>4.6</v>
      </c>
      <c r="P1703" t="n">
        <v>58</v>
      </c>
      <c r="R1703" t="inlineStr">
        <is>
          <t>InStock</t>
        </is>
      </c>
      <c r="S1703" t="inlineStr">
        <is>
          <t>25.99</t>
        </is>
      </c>
      <c r="T1703" t="inlineStr">
        <is>
          <t>4458485252185</t>
        </is>
      </c>
    </row>
    <row r="1704" hidden="1" ht="15.75" customHeight="1">
      <c r="A1704" s="2">
        <f>HYPERLINK("https://www.shelhealth.com/products/rowenta-cord-reel-iron", "https://www.shelhealth.com/products/rowenta-cord-reel-iron")</f>
        <v/>
      </c>
      <c r="B1704" s="2">
        <f>HYPERLINK("https://www.shelhealth.com/products/rowenta-cord-reel-iron", "https://www.shelhealth.com/products/rowenta-cord-reel-iron")</f>
        <v/>
      </c>
      <c r="C1704" t="inlineStr">
        <is>
          <t>Rowenta Cord-Reel Iron</t>
        </is>
      </c>
      <c r="D1704" t="inlineStr">
        <is>
          <t>BLACK+DECKER Vitessa Advanced Steam Cord Reel Iron , ICR2020</t>
        </is>
      </c>
      <c r="E1704" s="2" t="n"/>
      <c r="F1704" t="inlineStr">
        <is>
          <t>B01D1P9V00</t>
        </is>
      </c>
      <c r="G1704">
        <f>_xludf.IMAGE("https://www.shelhealth.com/cdn/shop/products/rowenta-cord-reel-iron-shelhealth-653.jpg?v=1663357139&amp;width=1946")</f>
        <v/>
      </c>
      <c r="H1704">
        <f>_xludf.IMAGE("https://m.media-amazon.com/images/I/61ZLkwNlRiL._AC_UY218_.jpg")</f>
        <v/>
      </c>
      <c r="K1704" t="inlineStr">
        <is>
          <t>80.99</t>
        </is>
      </c>
      <c r="L1704" t="n">
        <v>30.99</v>
      </c>
      <c r="M1704" s="1" t="inlineStr">
        <is>
          <t>-61.74%</t>
        </is>
      </c>
      <c r="N1704" s="3" t="n">
        <v>-61.74</v>
      </c>
      <c r="O1704" t="n">
        <v>4.4</v>
      </c>
      <c r="P1704" t="n">
        <v>5817</v>
      </c>
      <c r="R1704" t="inlineStr">
        <is>
          <t>OutOfStock</t>
        </is>
      </c>
      <c r="S1704" t="inlineStr">
        <is>
          <t>80.99</t>
        </is>
      </c>
      <c r="T1704" t="inlineStr">
        <is>
          <t>4179228065844</t>
        </is>
      </c>
    </row>
    <row r="1705" hidden="1" ht="15.75" customHeight="1">
      <c r="A1705" s="2">
        <f>HYPERLINK("https://www.shelhealth.com/products/rowenta-cord-reel-iron", "https://www.shelhealth.com/products/rowenta-cord-reel-iron")</f>
        <v/>
      </c>
      <c r="B1705" s="2">
        <f>HYPERLINK("https://www.shelhealth.com/products/rowenta-cord-reel-iron", "https://www.shelhealth.com/products/rowenta-cord-reel-iron")</f>
        <v/>
      </c>
      <c r="C1705" t="inlineStr">
        <is>
          <t>Rowenta Cord-Reel Iron</t>
        </is>
      </c>
      <c r="D1705" t="inlineStr">
        <is>
          <t>BLACK+DECKER Vitessa Advanced Steam Cord Reel Iron , ICR2020</t>
        </is>
      </c>
      <c r="E1705" s="2">
        <f>HYPERLINK("https://www.amazon.com/BLACK-DECKER-Retractable-Soleplate-ICR2020/dp/B01D1P9V00/ref=sr_1_4?keywords=Rowenta+Cord-Reel+Iron&amp;qid=1695170555&amp;sr=8-4", "https://www.amazon.com/BLACK-DECKER-Retractable-Soleplate-ICR2020/dp/B01D1P9V00/ref=sr_1_4?keywords=Rowenta+Cord-Reel+Iron&amp;qid=1695170555&amp;sr=8-4")</f>
        <v/>
      </c>
      <c r="F1705" t="inlineStr">
        <is>
          <t>B01D1P9V00</t>
        </is>
      </c>
      <c r="G1705">
        <f>_xludf.IMAGE("https://www.shelhealth.com/cdn/shop/products/rowenta-cord-reel-iron-shelhealth-653.jpg?v=1663357139&amp;width=1946")</f>
        <v/>
      </c>
      <c r="H1705">
        <f>_xludf.IMAGE("https://m.media-amazon.com/images/I/61ZLkwNlRiL._AC_UY218_.jpg")</f>
        <v/>
      </c>
      <c r="K1705" t="inlineStr">
        <is>
          <t>80.99</t>
        </is>
      </c>
      <c r="L1705" t="n">
        <v>30.99</v>
      </c>
      <c r="M1705" s="1" t="inlineStr">
        <is>
          <t>-61.74%</t>
        </is>
      </c>
      <c r="N1705" s="3" t="n">
        <v>-61.74</v>
      </c>
      <c r="O1705" t="n">
        <v>4.4</v>
      </c>
      <c r="P1705" t="n">
        <v>5817</v>
      </c>
      <c r="R1705" t="inlineStr">
        <is>
          <t>OutOfStock</t>
        </is>
      </c>
      <c r="S1705" t="inlineStr">
        <is>
          <t>80.99</t>
        </is>
      </c>
      <c r="T1705" t="inlineStr">
        <is>
          <t>4179228065844</t>
        </is>
      </c>
    </row>
    <row r="1706" hidden="1" ht="15.75" customHeight="1">
      <c r="A1706" s="2">
        <f>HYPERLINK("https://www.shelhealth.com/products/3m-post-it-notes-3-in-x-3-in-1000-notes", "https://www.shelhealth.com/products/3m-post-it-notes-3-in-x-3-in-1000-notes")</f>
        <v/>
      </c>
      <c r="B1706" s="2">
        <f>HYPERLINK("https://www.shelhealth.com/products/3m-post-it-notes-3-in-x-3-in-1000-notes", "https://www.shelhealth.com/products/3m-post-it-notes-3-in-x-3-in-1000-notes")</f>
        <v/>
      </c>
      <c r="C1706" t="inlineStr">
        <is>
          <t>3M Post-It Notes 3 in. x 3 in. (1000 Notes)</t>
        </is>
      </c>
      <c r="D1706" t="inlineStr">
        <is>
          <t>Post-it Notes, 3 in x 3 in ,6 Pads, Canary Yellow, Lined, America's #1 Favorite Sticky Notes, Clean Removal, Recyclable</t>
        </is>
      </c>
      <c r="E1706" s="2">
        <f>HYPERLINK("https://www.amazon.com/Post-Americas-Favorite-Removal-Recyclable/dp/B00006JNN2/ref=sr_1_1?keywords=3M+Post-It+Notes+3+in.+x+3+in.+%281000+Notes%29&amp;qid=1695170543&amp;sr=8-1", "https://www.amazon.com/Post-Americas-Favorite-Removal-Recyclable/dp/B00006JNN2/ref=sr_1_1?keywords=3M+Post-It+Notes+3+in.+x+3+in.+%281000+Notes%29&amp;qid=1695170543&amp;sr=8-1")</f>
        <v/>
      </c>
      <c r="F1706" t="inlineStr">
        <is>
          <t>B00006JNN2</t>
        </is>
      </c>
      <c r="G1706">
        <f>_xludf.IMAGE("https://www.shelhealth.com/cdn/shop/products/3m-post-it-notes-3-in-x-1000-shelhealth-901.jpg?v=1663372777&amp;width=1946")</f>
        <v/>
      </c>
      <c r="H1706">
        <f>_xludf.IMAGE("https://m.media-amazon.com/images/I/71b3jEUG9rL._AC_UL320_.jpg")</f>
        <v/>
      </c>
      <c r="K1706" t="inlineStr">
        <is>
          <t>27.99</t>
        </is>
      </c>
      <c r="L1706" t="n">
        <v>10.67</v>
      </c>
      <c r="M1706" s="1" t="inlineStr">
        <is>
          <t>-61.88%</t>
        </is>
      </c>
      <c r="N1706" s="3" t="n">
        <v>-61.88</v>
      </c>
      <c r="O1706" t="n">
        <v>4.7</v>
      </c>
      <c r="P1706" t="n">
        <v>457</v>
      </c>
      <c r="R1706" t="inlineStr">
        <is>
          <t>InStock</t>
        </is>
      </c>
      <c r="S1706" t="inlineStr">
        <is>
          <t>27.99</t>
        </is>
      </c>
      <c r="T1706" t="inlineStr">
        <is>
          <t>4696977703001</t>
        </is>
      </c>
    </row>
    <row r="1707" hidden="1" ht="15.75" customHeight="1">
      <c r="A1707" s="2">
        <f>HYPERLINK("https://www.shelhealth.com/products/pur-faucet-mount-filter-5-pack", "https://www.shelhealth.com/products/pur-faucet-mount-filter-5-pack")</f>
        <v/>
      </c>
      <c r="B1707" s="2">
        <f>HYPERLINK("https://www.shelhealth.com/products/pur-faucet-mount-filter-5-pack", "https://www.shelhealth.com/products/pur-faucet-mount-filter-5-pack")</f>
        <v/>
      </c>
      <c r="C1707" t="inlineStr">
        <is>
          <t>Pur Faucet Mount Filter, 5 Pack</t>
        </is>
      </c>
      <c r="D1707" t="inlineStr">
        <is>
          <t>MARRIOTTO Filters Replacement for PUR® Water Filter Faucet, Replacement for RF9999® and RF-3375, Compatible with All Pur® Faucet Mount Filtration Systems, 3 Pack</t>
        </is>
      </c>
      <c r="E1707" s="2">
        <f>HYPERLINK("https://www.amazon.com/MARRIOTTO-Good-water-filter/dp/B09V7T5RDZ/ref=sr_1_8?keywords=Pur+Faucet+Mount+Filter%2C+5+Pack&amp;qid=1695170547&amp;sr=8-8", "https://www.amazon.com/MARRIOTTO-Good-water-filter/dp/B09V7T5RDZ/ref=sr_1_8?keywords=Pur+Faucet+Mount+Filter%2C+5+Pack&amp;qid=1695170547&amp;sr=8-8")</f>
        <v/>
      </c>
      <c r="F1707" t="inlineStr">
        <is>
          <t>B09V7T5RDZ</t>
        </is>
      </c>
      <c r="G1707">
        <f>_xludf.IMAGE("https://www.shelhealth.com/cdn/shop/products/pur-faucet-mount-filter-5-pack-shelhealth-833.jpg?v=1663357425&amp;width=1946")</f>
        <v/>
      </c>
      <c r="H1707">
        <f>_xludf.IMAGE("https://m.media-amazon.com/images/I/611h+ikqmUL._AC_UL320_.jpg")</f>
        <v/>
      </c>
      <c r="K1707" t="inlineStr">
        <is>
          <t>71.99</t>
        </is>
      </c>
      <c r="L1707" t="n">
        <v>26.99</v>
      </c>
      <c r="M1707" s="1" t="inlineStr">
        <is>
          <t>-62.51%</t>
        </is>
      </c>
      <c r="N1707" s="3" t="n">
        <v>-62.51</v>
      </c>
      <c r="O1707" t="n">
        <v>4.5</v>
      </c>
      <c r="P1707" t="n">
        <v>189</v>
      </c>
      <c r="R1707" t="inlineStr">
        <is>
          <t>OutOfStock</t>
        </is>
      </c>
      <c r="S1707" t="inlineStr">
        <is>
          <t>71.99</t>
        </is>
      </c>
      <c r="T1707" t="inlineStr">
        <is>
          <t>4181272756276</t>
        </is>
      </c>
    </row>
    <row r="1708" hidden="1" ht="15.75" customHeight="1">
      <c r="A1708" s="2">
        <f>HYPERLINK("https://www.shelhealth.com/products/all-free-clear-liquid-laundry-for-sensitive-skin-250-oz", "https://www.shelhealth.com/products/all-free-clear-liquid-laundry-for-sensitive-skin-250-oz")</f>
        <v/>
      </c>
      <c r="B1708" s="2">
        <f>HYPERLINK("https://www.shelhealth.com/products/all-free-clear-liquid-laundry-for-sensitive-skin-250-oz", "https://www.shelhealth.com/products/all-free-clear-liquid-laundry-for-sensitive-skin-250-oz")</f>
        <v/>
      </c>
      <c r="C1708" t="inlineStr">
        <is>
          <t>All Free Clear Liquid Laundry for Sensitive Skin, 250 oz.</t>
        </is>
      </c>
      <c r="D1708" t="inlineStr">
        <is>
          <t>all Liquid Laundry Detergent, Free Clear for Sensitive Skin with OXI, Unscented and Hypoallergenic, 2X Concentrated, 90 Loads</t>
        </is>
      </c>
      <c r="E1708" s="2">
        <f>HYPERLINK("https://www.amazon.com/all-Laundry-Detergent-Sensitive-Concentrated/dp/B084HDKP9B/ref=sr_1_2?keywords=All+Free+Clear+Liquid+Laundry+for+Sensitive+Skin%2C+250+oz.&amp;qid=1695170426&amp;rdc=1&amp;sr=8-2", "https://www.amazon.com/all-Laundry-Detergent-Sensitive-Concentrated/dp/B084HDKP9B/ref=sr_1_2?keywords=All+Free+Clear+Liquid+Laundry+for+Sensitive+Skin%2C+250+oz.&amp;qid=1695170426&amp;rdc=1&amp;sr=8-2")</f>
        <v/>
      </c>
      <c r="F1708" t="inlineStr">
        <is>
          <t>B084HDKP9B</t>
        </is>
      </c>
      <c r="G1708">
        <f>_xludf.IMAGE("https://www.shelhealth.com/cdn/shop/products/all-free-clear-liquid-laundry-for-sensitive-skin-250-oz-shelhealth-382.jpg?v=1663357027&amp;width=1946")</f>
        <v/>
      </c>
      <c r="H1708">
        <f>_xludf.IMAGE("https://m.media-amazon.com/images/I/61pQbK6XsdS._AC_UL320_.jpg")</f>
        <v/>
      </c>
      <c r="K1708" t="inlineStr">
        <is>
          <t>49.99</t>
        </is>
      </c>
      <c r="L1708" t="n">
        <v>18.56</v>
      </c>
      <c r="M1708" s="1" t="inlineStr">
        <is>
          <t>-62.87%</t>
        </is>
      </c>
      <c r="N1708" s="3" t="n">
        <v>-62.87</v>
      </c>
      <c r="O1708" t="n">
        <v>4.7</v>
      </c>
      <c r="P1708" t="n">
        <v>2191</v>
      </c>
      <c r="R1708" t="inlineStr">
        <is>
          <t>InStock</t>
        </is>
      </c>
      <c r="S1708" t="inlineStr">
        <is>
          <t>49.99</t>
        </is>
      </c>
      <c r="T1708" t="inlineStr">
        <is>
          <t>4179134414900</t>
        </is>
      </c>
    </row>
    <row r="1709" hidden="1" ht="15.75" customHeight="1">
      <c r="A1709" s="2">
        <f>HYPERLINK("https://www.shelhealth.com/products/all-free-clear-liquid-laundry-for-sensitive-skin-250-oz", "https://www.shelhealth.com/products/all-free-clear-liquid-laundry-for-sensitive-skin-250-oz")</f>
        <v/>
      </c>
      <c r="B1709" s="2">
        <f>HYPERLINK("https://www.shelhealth.com/products/all-free-clear-liquid-laundry-for-sensitive-skin-250-oz", "https://www.shelhealth.com/products/all-free-clear-liquid-laundry-for-sensitive-skin-250-oz")</f>
        <v/>
      </c>
      <c r="C1709" t="inlineStr">
        <is>
          <t>All Free Clear Liquid Laundry for Sensitive Skin, 250 oz.</t>
        </is>
      </c>
      <c r="D1709" t="inlineStr">
        <is>
          <t>all Laundry Detergent Liquid, Free Clear for Sensitive Skin, Odor Relief, Unscented and Hypoallergenic, 2X Concentrated, 90 Loads</t>
        </is>
      </c>
      <c r="E1709" s="2">
        <f>HYPERLINK("https://www.amazon.com/all-Detergent-Sensitive-Hypoallergenic-Concentrated/dp/B08ZHJNCFQ/ref=sr_1_8?keywords=All+Free+Clear+Liquid+Laundry+for+Sensitive+Skin%2C+250+oz.&amp;qid=1695170426&amp;rdc=1&amp;sr=8-8", "https://www.amazon.com/all-Detergent-Sensitive-Hypoallergenic-Concentrated/dp/B08ZHJNCFQ/ref=sr_1_8?keywords=All+Free+Clear+Liquid+Laundry+for+Sensitive+Skin%2C+250+oz.&amp;qid=1695170426&amp;rdc=1&amp;sr=8-8")</f>
        <v/>
      </c>
      <c r="F1709" t="inlineStr">
        <is>
          <t>B08ZHJNCFQ</t>
        </is>
      </c>
      <c r="G1709">
        <f>_xludf.IMAGE("https://www.shelhealth.com/cdn/shop/products/all-free-clear-liquid-laundry-for-sensitive-skin-250-oz-shelhealth-382.jpg?v=1663357027&amp;width=1946")</f>
        <v/>
      </c>
      <c r="H1709">
        <f>_xludf.IMAGE("https://m.media-amazon.com/images/I/61TevF+wnES._AC_UL320_.jpg")</f>
        <v/>
      </c>
      <c r="K1709" t="inlineStr">
        <is>
          <t>49.99</t>
        </is>
      </c>
      <c r="L1709" t="n">
        <v>18.28</v>
      </c>
      <c r="M1709" s="1" t="inlineStr">
        <is>
          <t>-63.43%</t>
        </is>
      </c>
      <c r="N1709" s="3" t="n">
        <v>-63.43</v>
      </c>
      <c r="O1709" t="n">
        <v>4.7</v>
      </c>
      <c r="P1709" t="n">
        <v>22522</v>
      </c>
      <c r="R1709" t="inlineStr">
        <is>
          <t>InStock</t>
        </is>
      </c>
      <c r="S1709" t="inlineStr">
        <is>
          <t>49.99</t>
        </is>
      </c>
      <c r="T1709" t="inlineStr">
        <is>
          <t>4179134414900</t>
        </is>
      </c>
    </row>
    <row r="1710" hidden="1" ht="15.75" customHeight="1">
      <c r="A1710" s="2">
        <f>HYPERLINK("https://www.shelhealth.com/products/808124701120-mrs-meyers-clean-day-laundry-detergent-honeysuckle-2x-64-oz", "https://www.shelhealth.com/products/808124701120-mrs-meyers-clean-day-laundry-detergent-honeysuckle-2x-64-oz")</f>
        <v/>
      </c>
      <c r="B1710" s="2">
        <f>HYPERLINK("https://www.shelhealth.com/products/808124701120-mrs-meyers-clean-day-laundry-detergent-honeysuckle-2x-64-oz", "https://www.shelhealth.com/products/808124701120-mrs-meyers-clean-day-laundry-detergent-honeysuckle-2x-64-oz")</f>
        <v/>
      </c>
      <c r="C1710" t="inlineStr">
        <is>
          <t>Mrs Meyers Clean Day Laundry Detergent Honeysuckle 2X, 64 Oz</t>
        </is>
      </c>
      <c r="D1710" t="inlineStr">
        <is>
          <t>MRS. MEYER'S CLEAN DAY Laundry Booster, Pair With Liquid Laundry Detergent Or Detergent Pods, Honeysuckle, 18 Oz</t>
        </is>
      </c>
      <c r="E1710" s="2">
        <f>HYPERLINK("https://www.amazon.com/Mrs-Meyers-Clean-Day-Honeysuckle/dp/B073LBYC2X/ref=sr_1_5?keywords=Mrs+Meyers+Clean+Day+Laundry+Detergent+Honeysuckle+2X%2C+64+Oz&amp;qid=1695170536&amp;sr=8-5", "https://www.amazon.com/Mrs-Meyers-Clean-Day-Honeysuckle/dp/B073LBYC2X/ref=sr_1_5?keywords=Mrs+Meyers+Clean+Day+Laundry+Detergent+Honeysuckle+2X%2C+64+Oz&amp;qid=1695170536&amp;sr=8-5")</f>
        <v/>
      </c>
      <c r="F1710" t="inlineStr">
        <is>
          <t>B073LBYC2X</t>
        </is>
      </c>
      <c r="G1710">
        <f>_xludf.IMAGE("https://www.shelhealth.com/cdn/shop/files/mrs-meyers-clean-day-laundry-detergent-honeysuckle-2x-64-oz-home-products-shelhealth-133.jpg?v=1686486311&amp;width=1946")</f>
        <v/>
      </c>
      <c r="H1710">
        <f>_xludf.IMAGE("https://m.media-amazon.com/images/I/617zSVRt6yL._AC_UL320_.jpg")</f>
        <v/>
      </c>
      <c r="K1710" t="inlineStr">
        <is>
          <t>25.99</t>
        </is>
      </c>
      <c r="L1710" t="n">
        <v>9.49</v>
      </c>
      <c r="M1710" s="1" t="inlineStr">
        <is>
          <t>-63.49%</t>
        </is>
      </c>
      <c r="N1710" s="3" t="n">
        <v>-63.49</v>
      </c>
      <c r="O1710" t="n">
        <v>4.4</v>
      </c>
      <c r="P1710" t="n">
        <v>7911</v>
      </c>
      <c r="R1710" t="inlineStr">
        <is>
          <t>InStock</t>
        </is>
      </c>
      <c r="S1710" t="inlineStr">
        <is>
          <t>25.99</t>
        </is>
      </c>
      <c r="T1710" t="inlineStr">
        <is>
          <t>7241832825020</t>
        </is>
      </c>
    </row>
    <row r="1711" hidden="1" ht="15.75" customHeight="1">
      <c r="A1711" s="2">
        <f>HYPERLINK("https://www.shelhealth.com/products/pur-maxion-replacement-pitcher-filter-4-pk", "https://www.shelhealth.com/products/pur-maxion-replacement-pitcher-filter-4-pk")</f>
        <v/>
      </c>
      <c r="B1711" s="2">
        <f>HYPERLINK("https://www.shelhealth.com/products/pur-maxion-replacement-pitcher-filter-4-pk", "https://www.shelhealth.com/products/pur-maxion-replacement-pitcher-filter-4-pk")</f>
        <v/>
      </c>
      <c r="C1711" t="inlineStr">
        <is>
          <t>PUR MAXION Replacement Pitcher Filter, 5 pk.</t>
        </is>
      </c>
      <c r="D1711" t="inlineStr">
        <is>
          <t>Overbest Replacement for Pur®, Pur® Plus Water Filter Pitchers and Dispensers, CRF950Z, PPF951K™, PPF900Z™ Water Filter, NSF Certified Pitcher Water Filter (4 Pack)</t>
        </is>
      </c>
      <c r="E1711" s="2">
        <f>HYPERLINK("https://www.amazon.com/Overbest-Replacement-Dispensers-PPF951KTM-PPF900ZTM/dp/B0C3M64LDM/ref=sr_1_2?keywords=PUR+MAXION+Replacement+Pitcher+Filter%2C+5+pk.&amp;qid=1695170396&amp;sr=8-2", "https://www.amazon.com/Overbest-Replacement-Dispensers-PPF951KTM-PPF900ZTM/dp/B0C3M64LDM/ref=sr_1_2?keywords=PUR+MAXION+Replacement+Pitcher+Filter%2C+5+pk.&amp;qid=1695170396&amp;sr=8-2")</f>
        <v/>
      </c>
      <c r="F1711" t="inlineStr">
        <is>
          <t>B0C3M64LDM</t>
        </is>
      </c>
      <c r="G1711">
        <f>_xludf.IMAGE("https://www.shelhealth.com/cdn/shop/products/pur-maxion-replacement-pitcher-filter-5-pk-shelhealth-737.jpg?v=1663356666&amp;width=1946")</f>
        <v/>
      </c>
      <c r="H1711">
        <f>_xludf.IMAGE("https://m.media-amazon.com/images/I/71BADH34-0L._AC_UL320_.jpg")</f>
        <v/>
      </c>
      <c r="K1711" t="inlineStr">
        <is>
          <t>54.99</t>
        </is>
      </c>
      <c r="L1711" t="n">
        <v>19.99</v>
      </c>
      <c r="M1711" s="1" t="inlineStr">
        <is>
          <t>-63.65%</t>
        </is>
      </c>
      <c r="N1711" s="3" t="n">
        <v>-63.65</v>
      </c>
      <c r="O1711" t="n">
        <v>5</v>
      </c>
      <c r="P1711" t="n">
        <v>2</v>
      </c>
      <c r="R1711" t="inlineStr">
        <is>
          <t>OutOfStock</t>
        </is>
      </c>
      <c r="S1711" t="inlineStr">
        <is>
          <t>54.99</t>
        </is>
      </c>
      <c r="T1711" t="inlineStr">
        <is>
          <t>4179041746996</t>
        </is>
      </c>
    </row>
    <row r="1712" hidden="1" ht="15.75" customHeight="1">
      <c r="A1712" s="2">
        <f>HYPERLINK("https://www.shelhealth.com/products/pur-maxion-replacement-pitcher-filter-4-pk", "https://www.shelhealth.com/products/pur-maxion-replacement-pitcher-filter-4-pk")</f>
        <v/>
      </c>
      <c r="B1712" s="2">
        <f>HYPERLINK("https://www.shelhealth.com/products/pur-maxion-replacement-pitcher-filter-4-pk", "https://www.shelhealth.com/products/pur-maxion-replacement-pitcher-filter-4-pk")</f>
        <v/>
      </c>
      <c r="C1712" t="inlineStr">
        <is>
          <t>PUR MAXION Replacement Pitcher Filter, 5 pk.</t>
        </is>
      </c>
      <c r="D1712" t="inlineStr">
        <is>
          <t>ICEPURE Pitcher Water Filter, Compatible with All PUR® Pitchers &amp; Dispensers Filtration Systems, Replacement for PUR CRF-950Z, PPF900Z, PPF951K, PPT700W, PPT711W, CR-1100C, CR1100CV, DS-1800Z (4 Pack)</t>
        </is>
      </c>
      <c r="E1712" s="2">
        <f>HYPERLINK("https://www.amazon.com/ICEPURE-Compatible-Dispensers-Filtration-Replacement/dp/B0C23L5F31/ref=sr_1_8?keywords=PUR+MAXION+Replacement+Pitcher+Filter%2C+5+pk.&amp;qid=1695170396&amp;sr=8-8", "https://www.amazon.com/ICEPURE-Compatible-Dispensers-Filtration-Replacement/dp/B0C23L5F31/ref=sr_1_8?keywords=PUR+MAXION+Replacement+Pitcher+Filter%2C+5+pk.&amp;qid=1695170396&amp;sr=8-8")</f>
        <v/>
      </c>
      <c r="F1712" t="inlineStr">
        <is>
          <t>B0C23L5F31</t>
        </is>
      </c>
      <c r="G1712">
        <f>_xludf.IMAGE("https://www.shelhealth.com/cdn/shop/products/pur-maxion-replacement-pitcher-filter-5-pk-shelhealth-737.jpg?v=1663356666&amp;width=1946")</f>
        <v/>
      </c>
      <c r="H1712">
        <f>_xludf.IMAGE("https://m.media-amazon.com/images/I/71coHYWJ5bL._AC_UL320_.jpg")</f>
        <v/>
      </c>
      <c r="K1712" t="inlineStr">
        <is>
          <t>54.99</t>
        </is>
      </c>
      <c r="L1712" t="n">
        <v>19.99</v>
      </c>
      <c r="M1712" s="1" t="inlineStr">
        <is>
          <t>-63.65%</t>
        </is>
      </c>
      <c r="N1712" s="3" t="n">
        <v>-63.65</v>
      </c>
      <c r="O1712" t="n">
        <v>4.6</v>
      </c>
      <c r="P1712" t="n">
        <v>20</v>
      </c>
      <c r="R1712" t="inlineStr">
        <is>
          <t>OutOfStock</t>
        </is>
      </c>
      <c r="S1712" t="inlineStr">
        <is>
          <t>54.99</t>
        </is>
      </c>
      <c r="T1712" t="inlineStr">
        <is>
          <t>4179041746996</t>
        </is>
      </c>
    </row>
    <row r="1713" hidden="1" ht="15.75" customHeight="1">
      <c r="A1713" s="2">
        <f>HYPERLINK("https://www.shelhealth.com/products/bask-clear-vinyl-disposable-gloves-100-gloves", "https://www.shelhealth.com/products/bask-clear-vinyl-disposable-gloves-100-gloves")</f>
        <v/>
      </c>
      <c r="B1713" s="2">
        <f>HYPERLINK("https://www.shelhealth.com/products/bask-clear-vinyl-disposable-gloves-100-gloves", "https://www.shelhealth.com/products/bask-clear-vinyl-disposable-gloves-100-gloves")</f>
        <v/>
      </c>
      <c r="C1713" t="inlineStr">
        <is>
          <t>Bask Clear Vinyl Disposable Gloves, 100 Gloves</t>
        </is>
      </c>
      <c r="D1713" t="inlineStr">
        <is>
          <t>JMU Clear Vinyl Exam Gloves 100 Pack, Latex Free, Powder Free, 4 mil Thick Disposable Vinyl Gloves, Food Safe Gloves</t>
        </is>
      </c>
      <c r="E1713" s="2">
        <f>HYPERLINK("https://www.amazon.com/JMU-Clear-Gloves-Powder-Disposable/dp/B0CF8NXGD9/ref=sr_1_9?keywords=Bask+Clear+Vinyl+Disposable+Gloves%2C+100+Gloves&amp;qid=1695170549&amp;sr=8-9", "https://www.amazon.com/JMU-Clear-Gloves-Powder-Disposable/dp/B0CF8NXGD9/ref=sr_1_9?keywords=Bask+Clear+Vinyl+Disposable+Gloves%2C+100+Gloves&amp;qid=1695170549&amp;sr=8-9")</f>
        <v/>
      </c>
      <c r="F1713" t="inlineStr">
        <is>
          <t>B0CF8NXGD9</t>
        </is>
      </c>
      <c r="G1713">
        <f>_xludf.IMAGE("https://www.shelhealth.com/cdn/shop/products/bask-clear-vinyl-disposable-gloves-100-shelhealth-783.jpg?v=1663374232&amp;width=1946")</f>
        <v/>
      </c>
      <c r="H1713">
        <f>_xludf.IMAGE("https://m.media-amazon.com/images/I/61KJiwNHdjL._AC_UL320_.jpg")</f>
        <v/>
      </c>
      <c r="K1713" t="inlineStr">
        <is>
          <t>21.99</t>
        </is>
      </c>
      <c r="L1713" t="n">
        <v>7.99</v>
      </c>
      <c r="M1713" s="1" t="inlineStr">
        <is>
          <t>-63.67%</t>
        </is>
      </c>
      <c r="N1713" s="3" t="n">
        <v>-63.67</v>
      </c>
      <c r="O1713" t="n">
        <v>4.6</v>
      </c>
      <c r="P1713" t="n">
        <v>7</v>
      </c>
      <c r="R1713" t="inlineStr">
        <is>
          <t>InStock</t>
        </is>
      </c>
      <c r="S1713" t="inlineStr">
        <is>
          <t>21.99</t>
        </is>
      </c>
      <c r="T1713" t="inlineStr">
        <is>
          <t>4713271525465</t>
        </is>
      </c>
    </row>
    <row r="1714" hidden="1" ht="15.75" customHeight="1">
      <c r="A1714" s="2">
        <f>HYPERLINK("https://www.shelhealth.com/products/47834060039-sushi-chef-kit-bamboo-paddle-n-mat-1-ea", "https://www.shelhealth.com/products/47834060039-sushi-chef-kit-bamboo-paddle-n-mat-1-ea")</f>
        <v/>
      </c>
      <c r="B1714" s="2">
        <f>HYPERLINK("https://www.shelhealth.com/products/47834060039-sushi-chef-kit-bamboo-paddle-n-mat-1-ea", "https://www.shelhealth.com/products/47834060039-sushi-chef-kit-bamboo-paddle-n-mat-1-ea")</f>
        <v/>
      </c>
      <c r="C1714" t="inlineStr">
        <is>
          <t>SUSHI CHEF Kit Bamboo Paddle N Mat, 1 ea (Case of 4)</t>
        </is>
      </c>
      <c r="D1714" t="inlineStr">
        <is>
          <t>porffitoy Sushi Bamboo Mat, Bamboo Roller for Sushi, Sushi Making Mat Kit, Including 2 Sushi Rolling Mats, 5 Pairs of Chopsticks, 1 Paddle, 1 Spreader</t>
        </is>
      </c>
      <c r="E1714" s="2">
        <f>HYPERLINK("https://www.amazon.com/porffitoy-Including-Rolling-Chopsticks-Spreader/dp/B0BYCHXWJ5/ref=sr_1_5?keywords=SUSHI+CHEF+Kit+Bamboo+Paddle+N+Mat%2C+1+ea+%28Case+of+4%29&amp;qid=1695170528&amp;sr=8-5", "https://www.amazon.com/porffitoy-Including-Rolling-Chopsticks-Spreader/dp/B0BYCHXWJ5/ref=sr_1_5?keywords=SUSHI+CHEF+Kit+Bamboo+Paddle+N+Mat%2C+1+ea+%28Case+of+4%29&amp;qid=1695170528&amp;sr=8-5")</f>
        <v/>
      </c>
      <c r="F1714" t="inlineStr">
        <is>
          <t>B0BYCHXWJ5</t>
        </is>
      </c>
      <c r="G1714">
        <f>_xludf.IMAGE("https://www.shelhealth.com/cdn/shop/files/sushi-chef-kit-bamboo-paddle-n-mat-1-ea-case-of-4-home-products-shelhealth-140.jpg?v=1686226663&amp;width=1946")</f>
        <v/>
      </c>
      <c r="H1714">
        <f>_xludf.IMAGE("https://m.media-amazon.com/images/I/816j6PthybL._AC_UL320_.jpg")</f>
        <v/>
      </c>
      <c r="K1714" t="inlineStr">
        <is>
          <t>21.99</t>
        </is>
      </c>
      <c r="L1714" t="n">
        <v>7.97</v>
      </c>
      <c r="M1714" s="1" t="inlineStr">
        <is>
          <t>-63.76%</t>
        </is>
      </c>
      <c r="N1714" s="3" t="n">
        <v>-63.76</v>
      </c>
      <c r="O1714" t="n">
        <v>5</v>
      </c>
      <c r="P1714" t="n">
        <v>1</v>
      </c>
      <c r="R1714" t="inlineStr">
        <is>
          <t>OutOfStock</t>
        </is>
      </c>
      <c r="S1714" t="inlineStr">
        <is>
          <t>21.99</t>
        </is>
      </c>
      <c r="T1714" t="inlineStr">
        <is>
          <t>7574325821672</t>
        </is>
      </c>
    </row>
    <row r="1715" hidden="1" ht="15.75" customHeight="1">
      <c r="A1715" s="2">
        <f>HYPERLINK("https://www.shelhealth.com/products/tide-free-gentle-liquid-laundry-detergent-150-fl-oz", "https://www.shelhealth.com/products/tide-free-gentle-liquid-laundry-detergent-150-fl-oz")</f>
        <v/>
      </c>
      <c r="B1715" s="2">
        <f>HYPERLINK("https://www.shelhealth.com/products/tide-free-gentle-liquid-laundry-detergent-150-fl-oz", "https://www.shelhealth.com/products/tide-free-gentle-liquid-laundry-detergent-150-fl-oz")</f>
        <v/>
      </c>
      <c r="C1715" t="inlineStr">
        <is>
          <t>Tide Free &amp; Gentle Liquid Laundry Detergent, 150 fl. oz.</t>
        </is>
      </c>
      <c r="D1715" t="inlineStr">
        <is>
          <t>Tide Free &amp; Gentle Laundry Detergent Liquid Soap, 80 Loads, 115 Fl Oz</t>
        </is>
      </c>
      <c r="E1715" s="2">
        <f>HYPERLINK("https://www.amazon.com/Tide-Gentle-Liquid-Laundry-Detergent/dp/B09TC9HCMS/ref=sr_1_1?keywords=Tide+Free&amp;qid=1695170414&amp;sr=8-1", "https://www.amazon.com/Tide-Gentle-Liquid-Laundry-Detergent/dp/B09TC9HCMS/ref=sr_1_1?keywords=Tide+Free&amp;qid=1695170414&amp;sr=8-1")</f>
        <v/>
      </c>
      <c r="F1715" t="inlineStr">
        <is>
          <t>B09TC9HCMS</t>
        </is>
      </c>
      <c r="G1715">
        <f>_xludf.IMAGE("https://www.shelhealth.com/cdn/shop/products/tide-free-gentle-liquid-laundry-detergent-150-fl-oz-shelhealth-871.jpg?v=1663356785&amp;width=1946")</f>
        <v/>
      </c>
      <c r="H1715">
        <f>_xludf.IMAGE("https://m.media-amazon.com/images/I/71-D3HY8KxL._AC_UL320_.jpg")</f>
        <v/>
      </c>
      <c r="K1715" t="inlineStr">
        <is>
          <t>43.99</t>
        </is>
      </c>
      <c r="L1715" t="n">
        <v>15.94</v>
      </c>
      <c r="M1715" s="1" t="inlineStr">
        <is>
          <t>-63.76%</t>
        </is>
      </c>
      <c r="N1715" s="3" t="n">
        <v>-63.76</v>
      </c>
      <c r="O1715" t="n">
        <v>4.7</v>
      </c>
      <c r="P1715" t="n">
        <v>491</v>
      </c>
      <c r="R1715" t="inlineStr">
        <is>
          <t>InStock</t>
        </is>
      </c>
      <c r="S1715" t="inlineStr">
        <is>
          <t>43.99</t>
        </is>
      </c>
      <c r="T1715" t="inlineStr">
        <is>
          <t>4179084935220</t>
        </is>
      </c>
    </row>
    <row r="1716" hidden="1" ht="15.75" customHeight="1">
      <c r="A1716" s="2">
        <f>HYPERLINK("https://www.shelhealth.com/products/pur-faucet-filtration-system", "https://www.shelhealth.com/products/pur-faucet-filtration-system")</f>
        <v/>
      </c>
      <c r="B1716" s="2">
        <f>HYPERLINK("https://www.shelhealth.com/products/pur-faucet-filtration-system", "https://www.shelhealth.com/products/pur-faucet-filtration-system")</f>
        <v/>
      </c>
      <c r="C1716" t="inlineStr">
        <is>
          <t>Pur Faucet Filtration System</t>
        </is>
      </c>
      <c r="D1716" t="inlineStr">
        <is>
          <t>PUR PLUS Mineral Core Faucet Mount Water Filter Replacement (2 Pack) – Compatible With All PUR Faucet Filtration Systems</t>
        </is>
      </c>
      <c r="E1716" s="2">
        <f>HYPERLINK("https://www.amazon.com/PUR-RF9999-Replacement-Filter-2-Pack/dp/B0009G6MLQ/ref=sr_1_5?keywords=Pur+Faucet+Filtration+System&amp;qid=1695170549&amp;sr=8-5", "https://www.amazon.com/PUR-RF9999-Replacement-Filter-2-Pack/dp/B0009G6MLQ/ref=sr_1_5?keywords=Pur+Faucet+Filtration+System&amp;qid=1695170549&amp;sr=8-5")</f>
        <v/>
      </c>
      <c r="F1716" t="inlineStr">
        <is>
          <t>B0009G6MLQ</t>
        </is>
      </c>
      <c r="G1716">
        <f>_xludf.IMAGE("https://www.shelhealth.com/cdn/shop/products/pur-faucet-filtration-system-shelhealth-810.jpg?v=1663357419&amp;width=1946")</f>
        <v/>
      </c>
      <c r="H1716">
        <f>_xludf.IMAGE("https://m.media-amazon.com/images/I/619mMZIe2cL._AC_UL320_.jpg")</f>
        <v/>
      </c>
      <c r="K1716" t="inlineStr">
        <is>
          <t>71.99</t>
        </is>
      </c>
      <c r="L1716" t="n">
        <v>25.99</v>
      </c>
      <c r="M1716" s="1" t="inlineStr">
        <is>
          <t>-63.90%</t>
        </is>
      </c>
      <c r="N1716" s="3" t="n">
        <v>-63.9</v>
      </c>
      <c r="O1716" t="n">
        <v>4.7</v>
      </c>
      <c r="P1716" t="n">
        <v>30830</v>
      </c>
      <c r="R1716" t="inlineStr">
        <is>
          <t>InStock</t>
        </is>
      </c>
      <c r="S1716" t="inlineStr">
        <is>
          <t>71.99</t>
        </is>
      </c>
      <c r="T1716" t="inlineStr">
        <is>
          <t>4181272002612</t>
        </is>
      </c>
    </row>
    <row r="1717" hidden="1" ht="15.75" customHeight="1">
      <c r="A1717" s="2">
        <f>HYPERLINK("https://www.shelhealth.com/products/oxi-clean-versatile-stain-remover-10-1-lbs", "https://www.shelhealth.com/products/oxi-clean-versatile-stain-remover-10-1-lbs")</f>
        <v/>
      </c>
      <c r="B1717" s="2">
        <f>HYPERLINK("https://www.shelhealth.com/products/oxi-clean-versatile-stain-remover-10-1-lbs", "https://www.shelhealth.com/products/oxi-clean-versatile-stain-remover-10-1-lbs")</f>
        <v/>
      </c>
      <c r="C1717" t="inlineStr">
        <is>
          <t>Oxi Clean Versatile Stain Remover, 10.1 lbs.</t>
        </is>
      </c>
      <c r="D1717" t="inlineStr">
        <is>
          <t>OxiClean Versatile Stain Remover, 7.22 Lbs</t>
        </is>
      </c>
      <c r="E1717" s="2">
        <f>HYPERLINK("https://www.amazon.com/OxiClean-Versatile-Stain-Remover-7-22/dp/B00YMSB3UM/ref=sr_1_5?keywords=Oxi+Clean+Versatile+Stain+Remover%2C+10.1+lbs.&amp;qid=1695170562&amp;sr=8-5", "https://www.amazon.com/OxiClean-Versatile-Stain-Remover-7-22/dp/B00YMSB3UM/ref=sr_1_5?keywords=Oxi+Clean+Versatile+Stain+Remover%2C+10.1+lbs.&amp;qid=1695170562&amp;sr=8-5")</f>
        <v/>
      </c>
      <c r="F1717" t="inlineStr">
        <is>
          <t>B00YMSB3UM</t>
        </is>
      </c>
      <c r="G1717">
        <f>_xludf.IMAGE("https://www.shelhealth.com/cdn/shop/products/oxi-clean-versatile-stain-remover-10-1-lbs-shelhealth-993.jpg?v=1663357047&amp;width=1946")</f>
        <v/>
      </c>
      <c r="H1717">
        <f>_xludf.IMAGE("https://m.media-amazon.com/images/I/71T-FBwgvAL._AC_UL320_.jpg")</f>
        <v/>
      </c>
      <c r="K1717" t="inlineStr">
        <is>
          <t>41.99</t>
        </is>
      </c>
      <c r="L1717" t="n">
        <v>14.98</v>
      </c>
      <c r="M1717" s="1" t="inlineStr">
        <is>
          <t>-64.32%</t>
        </is>
      </c>
      <c r="N1717" s="3" t="n">
        <v>-64.31999999999999</v>
      </c>
      <c r="O1717" t="n">
        <v>4.8</v>
      </c>
      <c r="P1717" t="n">
        <v>4877</v>
      </c>
      <c r="R1717" t="inlineStr">
        <is>
          <t>InStock</t>
        </is>
      </c>
      <c r="S1717" t="inlineStr">
        <is>
          <t>41.99</t>
        </is>
      </c>
      <c r="T1717" t="inlineStr">
        <is>
          <t>4179138674740</t>
        </is>
      </c>
    </row>
    <row r="1718" hidden="1" ht="15.75" customHeight="1">
      <c r="A1718" s="2">
        <f>HYPERLINK("https://www.shelhealth.com/products/downy-unstopables-in-wash-scent-booster-beads-fresh-30-3-oz", "https://www.shelhealth.com/products/downy-unstopables-in-wash-scent-booster-beads-fresh-30-3-oz")</f>
        <v/>
      </c>
      <c r="B1718" s="2">
        <f>HYPERLINK("https://www.shelhealth.com/products/downy-unstopables-in-wash-scent-booster-beads-fresh-30-3-oz", "https://www.shelhealth.com/products/downy-unstopables-in-wash-scent-booster-beads-fresh-30-3-oz")</f>
        <v/>
      </c>
      <c r="C1718" t="inlineStr">
        <is>
          <t>Downy Unstopables in-Wash Scent Booster Beads, Fresh (30.3 oz.)</t>
        </is>
      </c>
      <c r="D1718" t="inlineStr">
        <is>
          <t>Downy Unstopables in-wash Scent Booster Beads, Lush, 10.0 oz</t>
        </is>
      </c>
      <c r="E1718" s="2">
        <f>HYPERLINK("https://www.amazon.com/285g-Scent-Unstoppable-Wash-Freshener/dp/B07BR4FC85/ref=sr_1_2?keywords=Downy+Unstopables+in-Wash+Scent+Booster+Beads%2C+Fresh+%2830.3+oz.%29&amp;qid=1695170384&amp;sr=8-2", "https://www.amazon.com/285g-Scent-Unstoppable-Wash-Freshener/dp/B07BR4FC85/ref=sr_1_2?keywords=Downy+Unstopables+in-Wash+Scent+Booster+Beads%2C+Fresh+%2830.3+oz.%29&amp;qid=1695170384&amp;sr=8-2")</f>
        <v/>
      </c>
      <c r="F1718" t="inlineStr">
        <is>
          <t>B07BR4FC85</t>
        </is>
      </c>
      <c r="G1718">
        <f>_xludf.IMAGE("https://www.shelhealth.com/cdn/shop/products/downy-unstopables-in-wash-scent-booster-beads-fresh-30-3-oz-shelhealth-182.jpg?v=1663343197&amp;width=1946")</f>
        <v/>
      </c>
      <c r="H1718">
        <f>_xludf.IMAGE("https://m.media-amazon.com/images/I/61Uw75n9rmL._AC_UL320_.jpg")</f>
        <v/>
      </c>
      <c r="K1718" t="inlineStr">
        <is>
          <t>21.99</t>
        </is>
      </c>
      <c r="L1718" t="n">
        <v>7.74</v>
      </c>
      <c r="M1718" s="1" t="inlineStr">
        <is>
          <t>-64.80%</t>
        </is>
      </c>
      <c r="N1718" s="3" t="n">
        <v>-64.8</v>
      </c>
      <c r="O1718" t="n">
        <v>4.4</v>
      </c>
      <c r="P1718" t="n">
        <v>563</v>
      </c>
      <c r="R1718" t="inlineStr">
        <is>
          <t>InStock</t>
        </is>
      </c>
      <c r="S1718" t="inlineStr">
        <is>
          <t>21.99</t>
        </is>
      </c>
      <c r="T1718" t="inlineStr">
        <is>
          <t>3819605065780</t>
        </is>
      </c>
    </row>
    <row r="1719" hidden="1" ht="15.75" customHeight="1">
      <c r="A1719" s="2">
        <f>HYPERLINK("https://www.shelhealth.com/products/pur-faucet-filtration-system", "https://www.shelhealth.com/products/pur-faucet-filtration-system")</f>
        <v/>
      </c>
      <c r="B1719" s="2">
        <f>HYPERLINK("https://www.shelhealth.com/products/pur-faucet-filtration-system", "https://www.shelhealth.com/products/pur-faucet-filtration-system")</f>
        <v/>
      </c>
      <c r="C1719" t="inlineStr">
        <is>
          <t>Pur Faucet Filtration System</t>
        </is>
      </c>
      <c r="D1719" t="inlineStr">
        <is>
          <t>PUR PLUS Water Filtration System, Metallic Grey – Horizontal Faucet Mount for Crisp, Refreshing Water, PFM350V</t>
        </is>
      </c>
      <c r="E1719" s="2">
        <f>HYPERLINK("https://www.amazon.com/PUR-Faucet-Filtration-System-Metallic/dp/B07DDXJDVX/ref=sr_1_3?keywords=Pur+Faucet+Filtration+System&amp;qid=1695170549&amp;sr=8-3", "https://www.amazon.com/PUR-Faucet-Filtration-System-Metallic/dp/B07DDXJDVX/ref=sr_1_3?keywords=Pur+Faucet+Filtration+System&amp;qid=1695170549&amp;sr=8-3")</f>
        <v/>
      </c>
      <c r="F1719" t="inlineStr">
        <is>
          <t>B07DDXJDVX</t>
        </is>
      </c>
      <c r="G1719">
        <f>_xludf.IMAGE("https://www.shelhealth.com/cdn/shop/products/pur-faucet-filtration-system-shelhealth-810.jpg?v=1663357419&amp;width=1946")</f>
        <v/>
      </c>
      <c r="H1719">
        <f>_xludf.IMAGE("https://m.media-amazon.com/images/I/51iVv1965dL._AC_UL320_.jpg")</f>
        <v/>
      </c>
      <c r="K1719" t="inlineStr">
        <is>
          <t>71.99</t>
        </is>
      </c>
      <c r="L1719" t="n">
        <v>24.99</v>
      </c>
      <c r="M1719" s="1" t="inlineStr">
        <is>
          <t>-65.29%</t>
        </is>
      </c>
      <c r="N1719" s="3" t="n">
        <v>-65.29000000000001</v>
      </c>
      <c r="O1719" t="n">
        <v>4.4</v>
      </c>
      <c r="P1719" t="n">
        <v>13803</v>
      </c>
      <c r="R1719" t="inlineStr">
        <is>
          <t>InStock</t>
        </is>
      </c>
      <c r="S1719" t="inlineStr">
        <is>
          <t>71.99</t>
        </is>
      </c>
      <c r="T1719" t="inlineStr">
        <is>
          <t>4181272002612</t>
        </is>
      </c>
    </row>
    <row r="1720" hidden="1" ht="15.75" customHeight="1">
      <c r="A1720" s="2">
        <f>HYPERLINK("https://www.shelhealth.com/products/3m-post-it-notes-3-in-x-3-in-1000-notes", "https://www.shelhealth.com/products/3m-post-it-notes-3-in-x-3-in-1000-notes")</f>
        <v/>
      </c>
      <c r="B1720" s="2">
        <f>HYPERLINK("https://www.shelhealth.com/products/3m-post-it-notes-3-in-x-3-in-1000-notes", "https://www.shelhealth.com/products/3m-post-it-notes-3-in-x-3-in-1000-notes")</f>
        <v/>
      </c>
      <c r="C1720" t="inlineStr">
        <is>
          <t>3M Post-It Notes 3 in. x 3 in. (1000 Notes)</t>
        </is>
      </c>
      <c r="D1720" t="inlineStr">
        <is>
          <t>Post-it Super Sticky Notes, 3x3 in, 5 Pads, 90 Sheets/Pad, 450 Total Sheets, 2X The Sticking Power, Canary Yellow</t>
        </is>
      </c>
      <c r="E1720" s="2">
        <f>HYPERLINK("https://www.amazon.com/Post-Sticky-Sheets-Sticking-Canary/dp/B0BTTMJ7XB/ref=sr_1_3?keywords=3M+Post-It+Notes+3+in.+x+3+in.+%281000+Notes%29&amp;qid=1695170543&amp;sr=8-3", "https://www.amazon.com/Post-Sticky-Sheets-Sticking-Canary/dp/B0BTTMJ7XB/ref=sr_1_3?keywords=3M+Post-It+Notes+3+in.+x+3+in.+%281000+Notes%29&amp;qid=1695170543&amp;sr=8-3")</f>
        <v/>
      </c>
      <c r="F1720" t="inlineStr">
        <is>
          <t>B0BTTMJ7XB</t>
        </is>
      </c>
      <c r="G1720">
        <f>_xludf.IMAGE("https://www.shelhealth.com/cdn/shop/products/3m-post-it-notes-3-in-x-1000-shelhealth-901.jpg?v=1663372777&amp;width=1946")</f>
        <v/>
      </c>
      <c r="H1720">
        <f>_xludf.IMAGE("https://m.media-amazon.com/images/I/612DlSrshKL._AC_UL320_.jpg")</f>
        <v/>
      </c>
      <c r="K1720" t="inlineStr">
        <is>
          <t>27.99</t>
        </is>
      </c>
      <c r="L1720" t="n">
        <v>9.609999999999999</v>
      </c>
      <c r="M1720" s="1" t="inlineStr">
        <is>
          <t>-65.67%</t>
        </is>
      </c>
      <c r="N1720" s="3" t="n">
        <v>-65.67</v>
      </c>
      <c r="O1720" t="n">
        <v>5</v>
      </c>
      <c r="P1720" t="n">
        <v>2</v>
      </c>
      <c r="R1720" t="inlineStr">
        <is>
          <t>InStock</t>
        </is>
      </c>
      <c r="S1720" t="inlineStr">
        <is>
          <t>27.99</t>
        </is>
      </c>
      <c r="T1720" t="inlineStr">
        <is>
          <t>4696977703001</t>
        </is>
      </c>
    </row>
    <row r="1721" hidden="1" ht="15.75" customHeight="1">
      <c r="A1721" s="2">
        <f>HYPERLINK("https://www.shelhealth.com/products/3m-post-it-notes-3-in-x-3-in-1000-notes", "https://www.shelhealth.com/products/3m-post-it-notes-3-in-x-3-in-1000-notes")</f>
        <v/>
      </c>
      <c r="B1721" s="2">
        <f>HYPERLINK("https://www.shelhealth.com/products/3m-post-it-notes-3-in-x-3-in-1000-notes", "https://www.shelhealth.com/products/3m-post-it-notes-3-in-x-3-in-1000-notes")</f>
        <v/>
      </c>
      <c r="C1721" t="inlineStr">
        <is>
          <t>3M Post-It Notes 3 in. x 3 in. (1000 Notes)</t>
        </is>
      </c>
      <c r="D1721" t="inlineStr">
        <is>
          <t>Post-it Notes, 3x3 in, 6 Pads, America's #1 Favorite Sticky Notes, Poptimistic Collection, Bright Colors (Magenta, Pink, Blue, Green), Clean Removal, Recyclable (630-6AN)</t>
        </is>
      </c>
      <c r="E1721" s="2">
        <f>HYPERLINK("https://www.amazon.com/Post-Americas-Favorite-Collection-630-6AN/dp/B00007L64G/ref=sr_1_7?keywords=3M+Post-It+Notes+3+in.+x+3+in.+%281000+Notes%29&amp;qid=1695170543&amp;sr=8-7", "https://www.amazon.com/Post-Americas-Favorite-Collection-630-6AN/dp/B00007L64G/ref=sr_1_7?keywords=3M+Post-It+Notes+3+in.+x+3+in.+%281000+Notes%29&amp;qid=1695170543&amp;sr=8-7")</f>
        <v/>
      </c>
      <c r="F1721" t="inlineStr">
        <is>
          <t>B00007L64G</t>
        </is>
      </c>
      <c r="G1721">
        <f>_xludf.IMAGE("https://www.shelhealth.com/cdn/shop/products/3m-post-it-notes-3-in-x-1000-shelhealth-901.jpg?v=1663372777&amp;width=1946")</f>
        <v/>
      </c>
      <c r="H1721">
        <f>_xludf.IMAGE("https://m.media-amazon.com/images/I/71ipycUX8nL._AC_UL320_.jpg")</f>
        <v/>
      </c>
      <c r="K1721" t="inlineStr">
        <is>
          <t>27.99</t>
        </is>
      </c>
      <c r="L1721" t="n">
        <v>9.58</v>
      </c>
      <c r="M1721" s="1" t="inlineStr">
        <is>
          <t>-65.77%</t>
        </is>
      </c>
      <c r="N1721" s="3" t="n">
        <v>-65.77</v>
      </c>
      <c r="O1721" t="n">
        <v>4.6</v>
      </c>
      <c r="P1721" t="n">
        <v>282</v>
      </c>
      <c r="R1721" t="inlineStr">
        <is>
          <t>InStock</t>
        </is>
      </c>
      <c r="S1721" t="inlineStr">
        <is>
          <t>27.99</t>
        </is>
      </c>
      <c r="T1721" t="inlineStr">
        <is>
          <t>4696977703001</t>
        </is>
      </c>
    </row>
    <row r="1722" hidden="1" ht="15.75" customHeight="1">
      <c r="A1722" s="2">
        <f>HYPERLINK("https://www.shelhealth.com/products/3m-post-it-notes-4-in-x-6-in-1000-notes", "https://www.shelhealth.com/products/3m-post-it-notes-4-in-x-6-in-1000-notes")</f>
        <v/>
      </c>
      <c r="B1722" s="2">
        <f>HYPERLINK("https://www.shelhealth.com/products/3m-post-it-notes-4-in-x-6-in-1000-notes", "https://www.shelhealth.com/products/3m-post-it-notes-4-in-x-6-in-1000-notes")</f>
        <v/>
      </c>
      <c r="C1722" t="inlineStr">
        <is>
          <t>3M Post-It Notes 4 in. x 6 in. (1000 Notes)</t>
        </is>
      </c>
      <c r="D1722" t="inlineStr">
        <is>
          <t>Post-it Super Sticky Notes, 4x6 in, 3 Pads, 2x the Sticking Power, Supernova Neons, Bright Colors, Recyclable (660-3SSMIA)</t>
        </is>
      </c>
      <c r="E1722" s="2">
        <f>HYPERLINK("https://www.amazon.com/Sticky-Sticking-Collection-Sheets-660-3SSMIA/dp/B01D8F5JBI/ref=sr_1_4?keywords=3M+Post-It+Notes+4+in.+x+6+in.+%281000+Notes%29&amp;qid=1695170548&amp;sr=8-4", "https://www.amazon.com/Sticky-Sticking-Collection-Sheets-660-3SSMIA/dp/B01D8F5JBI/ref=sr_1_4?keywords=3M+Post-It+Notes+4+in.+x+6+in.+%281000+Notes%29&amp;qid=1695170548&amp;sr=8-4")</f>
        <v/>
      </c>
      <c r="F1722" t="inlineStr">
        <is>
          <t>B01D8F5JBI</t>
        </is>
      </c>
      <c r="G1722">
        <f>_xludf.IMAGE("https://www.shelhealth.com/cdn/shop/products/3m-post-it-notes-4-in-x-6-1000-shelhealth-914.jpg?v=1663372769&amp;width=1946")</f>
        <v/>
      </c>
      <c r="H1722">
        <f>_xludf.IMAGE("https://m.media-amazon.com/images/I/71FAOEARBKL._AC_UL320_.jpg")</f>
        <v/>
      </c>
      <c r="K1722" t="inlineStr">
        <is>
          <t>27.99</t>
        </is>
      </c>
      <c r="L1722" t="n">
        <v>9.44</v>
      </c>
      <c r="M1722" s="1" t="inlineStr">
        <is>
          <t>-66.27%</t>
        </is>
      </c>
      <c r="N1722" s="3" t="n">
        <v>-66.27</v>
      </c>
      <c r="O1722" t="n">
        <v>4.8</v>
      </c>
      <c r="P1722" t="n">
        <v>422</v>
      </c>
      <c r="R1722" t="inlineStr">
        <is>
          <t>InStock</t>
        </is>
      </c>
      <c r="S1722" t="inlineStr">
        <is>
          <t>27.99</t>
        </is>
      </c>
      <c r="T1722" t="inlineStr">
        <is>
          <t>4696976883801</t>
        </is>
      </c>
    </row>
    <row r="1723" hidden="1" ht="15.75" customHeight="1">
      <c r="A1723" s="2">
        <f>HYPERLINK("https://www.shelhealth.com/products/ultra-downy-april-fresh-liquid-laundry-fabric-softener-170-oz-197-loads", "https://www.shelhealth.com/products/ultra-downy-april-fresh-liquid-laundry-fabric-softener-170-oz-197-loads")</f>
        <v/>
      </c>
      <c r="B1723" s="2">
        <f>HYPERLINK("https://www.shelhealth.com/products/ultra-downy-april-fresh-liquid-laundry-fabric-softener-170-oz-197-loads", "https://www.shelhealth.com/products/ultra-downy-april-fresh-liquid-laundry-fabric-softener-170-oz-197-loads")</f>
        <v/>
      </c>
      <c r="C1723" t="inlineStr">
        <is>
          <t>Ultra Downy April Fresh Liquid Laundry Fabric Softener - 148 oz. - 204 loads</t>
        </is>
      </c>
      <c r="D1723" t="inlineStr">
        <is>
          <t>Downy Eco-Box Ultra Concentrated Laundry Fabric Softener Liquid, April Fresh, 180 Loads, 105 Fl Oz</t>
        </is>
      </c>
      <c r="E1723" s="2">
        <f>HYPERLINK("https://www.amazon.com/Downy-Eco-box-Concentrated-Conditioner-Softener/dp/B08NGF4NCR/ref=sr_1_2?keywords=Ultra+Downy+April+Fresh+Liquid+Laundry+Fabric+Softener+-+148+oz.+-+204+loads&amp;qid=1695170417&amp;sr=8-2", "https://www.amazon.com/Downy-Eco-box-Concentrated-Conditioner-Softener/dp/B08NGF4NCR/ref=sr_1_2?keywords=Ultra+Downy+April+Fresh+Liquid+Laundry+Fabric+Softener+-+148+oz.+-+204+loads&amp;qid=1695170417&amp;sr=8-2")</f>
        <v/>
      </c>
      <c r="F1723" t="inlineStr">
        <is>
          <t>B08NGF4NCR</t>
        </is>
      </c>
      <c r="G1723">
        <f>_xludf.IMAGE("https://www.shelhealth.com/cdn/shop/products/ultra-downy-april-fresh-liquid-laundry-fabric-softener-148-oz-204-loads-shelhealth-196.jpg?v=1663343249&amp;width=1946")</f>
        <v/>
      </c>
      <c r="H1723">
        <f>_xludf.IMAGE("https://m.media-amazon.com/images/I/81AYArXom8S._AC_UL320_.jpg")</f>
        <v/>
      </c>
      <c r="K1723" t="inlineStr">
        <is>
          <t>32.99</t>
        </is>
      </c>
      <c r="L1723" t="n">
        <v>10.99</v>
      </c>
      <c r="M1723" s="1" t="inlineStr">
        <is>
          <t>-66.69%</t>
        </is>
      </c>
      <c r="N1723" s="3" t="n">
        <v>-66.69</v>
      </c>
      <c r="O1723" t="n">
        <v>4.6</v>
      </c>
      <c r="P1723" t="n">
        <v>4275</v>
      </c>
      <c r="R1723" t="inlineStr">
        <is>
          <t>InStock</t>
        </is>
      </c>
      <c r="S1723" t="inlineStr">
        <is>
          <t>32.99</t>
        </is>
      </c>
      <c r="T1723" t="inlineStr">
        <is>
          <t>3819976720436</t>
        </is>
      </c>
    </row>
    <row r="1724" hidden="1" ht="15.75" customHeight="1">
      <c r="A1724" s="2">
        <f>HYPERLINK("https://www.shelhealth.com/products/ultra-downy-april-fresh-liquid-laundry-fabric-softener-170-oz-197-loads", "https://www.shelhealth.com/products/ultra-downy-april-fresh-liquid-laundry-fabric-softener-170-oz-197-loads")</f>
        <v/>
      </c>
      <c r="B1724" s="2">
        <f>HYPERLINK("https://www.shelhealth.com/products/ultra-downy-april-fresh-liquid-laundry-fabric-softener-170-oz-197-loads", "https://www.shelhealth.com/products/ultra-downy-april-fresh-liquid-laundry-fabric-softener-170-oz-197-loads")</f>
        <v/>
      </c>
      <c r="C1724" t="inlineStr">
        <is>
          <t>Ultra Downy April Fresh Liquid Laundry Fabric Softener - 148 oz. - 204 loads</t>
        </is>
      </c>
      <c r="D1724" t="inlineStr">
        <is>
          <t>Downy Ultra Laundry Liquid Fabric Softener (Fabric Conditioner), April Fresh, 111 fl oz, 150 Loads</t>
        </is>
      </c>
      <c r="E1724" s="2">
        <f>HYPERLINK("https://www.amazon.com/Downy-Laundry-Liquid-Softener-Conditioner/dp/B0CCK41736/ref=sr_1_4?keywords=Ultra+Downy+April+Fresh+Liquid+Laundry+Fabric+Softener+-+148+oz.+-+204+loads&amp;qid=1695170417&amp;sr=8-4", "https://www.amazon.com/Downy-Laundry-Liquid-Softener-Conditioner/dp/B0CCK41736/ref=sr_1_4?keywords=Ultra+Downy+April+Fresh+Liquid+Laundry+Fabric+Softener+-+148+oz.+-+204+loads&amp;qid=1695170417&amp;sr=8-4")</f>
        <v/>
      </c>
      <c r="F1724" t="inlineStr">
        <is>
          <t>B0CCK41736</t>
        </is>
      </c>
      <c r="G1724">
        <f>_xludf.IMAGE("https://www.shelhealth.com/cdn/shop/products/ultra-downy-april-fresh-liquid-laundry-fabric-softener-148-oz-204-loads-shelhealth-196.jpg?v=1663343249&amp;width=1946")</f>
        <v/>
      </c>
      <c r="H1724">
        <f>_xludf.IMAGE("https://m.media-amazon.com/images/I/71hf18n1ILL._AC_UL320_.jpg")</f>
        <v/>
      </c>
      <c r="K1724" t="inlineStr">
        <is>
          <t>32.99</t>
        </is>
      </c>
      <c r="L1724" t="n">
        <v>10.99</v>
      </c>
      <c r="M1724" s="1" t="inlineStr">
        <is>
          <t>-66.69%</t>
        </is>
      </c>
      <c r="N1724" s="3" t="n">
        <v>-66.69</v>
      </c>
      <c r="O1724" t="n">
        <v>4.8</v>
      </c>
      <c r="P1724" t="n">
        <v>17601</v>
      </c>
      <c r="R1724" t="inlineStr">
        <is>
          <t>InStock</t>
        </is>
      </c>
      <c r="S1724" t="inlineStr">
        <is>
          <t>32.99</t>
        </is>
      </c>
      <c r="T1724" t="inlineStr">
        <is>
          <t>3819976720436</t>
        </is>
      </c>
    </row>
    <row r="1725" hidden="1" ht="15.75" customHeight="1">
      <c r="A1725" s="2">
        <f>HYPERLINK("https://www.shelhealth.com/products/glad-forceflex-13-gal-tall-kitchen-bags-140-ct", "https://www.shelhealth.com/products/glad-forceflex-13-gal-tall-kitchen-bags-140-ct")</f>
        <v/>
      </c>
      <c r="B1725" s="2">
        <f>HYPERLINK("https://www.shelhealth.com/products/glad-forceflex-13-gal-tall-kitchen-bags-140-ct", "https://www.shelhealth.com/products/glad-forceflex-13-gal-tall-kitchen-bags-140-ct")</f>
        <v/>
      </c>
      <c r="C1725" t="inlineStr">
        <is>
          <t>Glad ForceFlex 13-Gal. Tall Kitchen Bags, 140 ct.</t>
        </is>
      </c>
      <c r="D1725" t="inlineStr">
        <is>
          <t>Glad ForceFlex MaxStrength with Clorox Tall Kitchen Drawstring Trash Bags, 13 Gallon Grey Trash Bags, Lemon Fresh Bleach Scent, 34 Count</t>
        </is>
      </c>
      <c r="E1725" s="2">
        <f>HYPERLINK("https://www.amazon.com/Glad-Tall-Kitchen-Trash-Bags/dp/B08V1SC46D/ref=sr_1_5?keywords=Glad+ForceFlex+13-Gal.+Tall+Kitchen+Bags%2C+140+ct.&amp;qid=1695170438&amp;sr=8-5", "https://www.amazon.com/Glad-Tall-Kitchen-Trash-Bags/dp/B08V1SC46D/ref=sr_1_5?keywords=Glad+ForceFlex+13-Gal.+Tall+Kitchen+Bags%2C+140+ct.&amp;qid=1695170438&amp;sr=8-5")</f>
        <v/>
      </c>
      <c r="F1725" t="inlineStr">
        <is>
          <t>B08V1SC46D</t>
        </is>
      </c>
      <c r="G1725">
        <f>_xludf.IMAGE("https://www.shelhealth.com/cdn/shop/products/glad-forceflex-13-gal-tall-kitchen-bags-140-ct-shelhealth-272.jpg?v=1663354948&amp;width=1946")</f>
        <v/>
      </c>
      <c r="H1725">
        <f>_xludf.IMAGE("https://m.media-amazon.com/images/I/81IEWD87DNL._AC_UL320_.jpg")</f>
        <v/>
      </c>
      <c r="K1725" t="inlineStr">
        <is>
          <t>32.99</t>
        </is>
      </c>
      <c r="L1725" t="n">
        <v>10.99</v>
      </c>
      <c r="M1725" s="1" t="inlineStr">
        <is>
          <t>-66.69%</t>
        </is>
      </c>
      <c r="N1725" s="3" t="n">
        <v>-66.69</v>
      </c>
      <c r="O1725" t="n">
        <v>4.7</v>
      </c>
      <c r="P1725" t="n">
        <v>131</v>
      </c>
      <c r="R1725" t="inlineStr">
        <is>
          <t>InStock</t>
        </is>
      </c>
      <c r="S1725" t="inlineStr">
        <is>
          <t>32.99</t>
        </is>
      </c>
      <c r="T1725" t="inlineStr">
        <is>
          <t>4169526771764</t>
        </is>
      </c>
    </row>
    <row r="1726" hidden="1" ht="15.75" customHeight="1">
      <c r="A1726" s="2">
        <f>HYPERLINK("https://www.shelhealth.com/products/duracell-hearing-aid-312-battery-32-ct", "https://www.shelhealth.com/products/duracell-hearing-aid-312-battery-32-ct")</f>
        <v/>
      </c>
      <c r="B1726" s="2">
        <f>HYPERLINK("https://www.shelhealth.com/products/duracell-hearing-aid-312-battery-32-ct", "https://www.shelhealth.com/products/duracell-hearing-aid-312-battery-32-ct")</f>
        <v/>
      </c>
      <c r="C1726" t="inlineStr">
        <is>
          <t>Duracell Hearing Aid 312 Battery, 32 ct.</t>
        </is>
      </c>
      <c r="D1726" t="inlineStr">
        <is>
          <t>12 X Size 312 Duracell Activair (Da312) Easy Tab Hearing Aid Batteries</t>
        </is>
      </c>
      <c r="E1726" s="2">
        <f>HYPERLINK("https://www.amazon.com/Duracell-Activair-Da312-Hearing-Batteries/dp/B00JA07ZZO/ref=sr_1_9?keywords=Duracell+Hearing+Aid+312+Battery%2C+32+ct.&amp;qid=1695170558&amp;sr=8-9", "https://www.amazon.com/Duracell-Activair-Da312-Hearing-Batteries/dp/B00JA07ZZO/ref=sr_1_9?keywords=Duracell+Hearing+Aid+312+Battery%2C+32+ct.&amp;qid=1695170558&amp;sr=8-9")</f>
        <v/>
      </c>
      <c r="F1726" t="inlineStr">
        <is>
          <t>B00JA07ZZO</t>
        </is>
      </c>
      <c r="G1726">
        <f>_xludf.IMAGE("https://www.shelhealth.com/cdn/shop/files/duracell-hearing-aid-312-battery-32-ct-emergency-preparednessbatteries-shelhealth-471.jpg?v=1686284003&amp;width=1946")</f>
        <v/>
      </c>
      <c r="H1726">
        <f>_xludf.IMAGE("https://m.media-amazon.com/images/I/31hvnOb9JxL._AC_UL320_.jpg")</f>
        <v/>
      </c>
      <c r="K1726" t="inlineStr">
        <is>
          <t>32.99</t>
        </is>
      </c>
      <c r="L1726" t="n">
        <v>10.99</v>
      </c>
      <c r="M1726" s="1" t="inlineStr">
        <is>
          <t>-66.69%</t>
        </is>
      </c>
      <c r="N1726" s="3" t="n">
        <v>-66.69</v>
      </c>
      <c r="O1726" t="n">
        <v>5</v>
      </c>
      <c r="P1726" t="n">
        <v>1</v>
      </c>
      <c r="R1726" t="inlineStr">
        <is>
          <t>InStock</t>
        </is>
      </c>
      <c r="S1726" t="inlineStr">
        <is>
          <t>32.99</t>
        </is>
      </c>
      <c r="T1726" t="inlineStr">
        <is>
          <t>4169896263732</t>
        </is>
      </c>
    </row>
    <row r="1727" hidden="1" ht="15.75" customHeight="1">
      <c r="A1727" s="2">
        <f>HYPERLINK("https://www.shelhealth.com/products/glad-4-gal-small-trash-bags-156-ct", "https://www.shelhealth.com/products/glad-4-gal-small-trash-bags-156-ct")</f>
        <v/>
      </c>
      <c r="B1727" s="2">
        <f>HYPERLINK("https://www.shelhealth.com/products/glad-4-gal-small-trash-bags-156-ct", "https://www.shelhealth.com/products/glad-4-gal-small-trash-bags-156-ct")</f>
        <v/>
      </c>
      <c r="C1727" t="inlineStr">
        <is>
          <t>Glad 4-Gal. Small Trash Bags, 156 ct.</t>
        </is>
      </c>
      <c r="D1727" t="inlineStr">
        <is>
          <t>Glad Small Kitchen Drawstring Trash Bags, 4 Gallon, Febreze Sweet Citron &amp; Lime, 34 Count</t>
        </is>
      </c>
      <c r="E1727" s="2">
        <f>HYPERLINK("https://www.amazon.com/Glad-OdorShield-Small-Drawstring-Trash/dp/B07NYMZ572/ref=sr_1_9?keywords=Glad+4-Gal.+Small+Trash+Bags%2C+156+ct.&amp;qid=1695170438&amp;sr=8-9", "https://www.amazon.com/Glad-OdorShield-Small-Drawstring-Trash/dp/B07NYMZ572/ref=sr_1_9?keywords=Glad+4-Gal.+Small+Trash+Bags%2C+156+ct.&amp;qid=1695170438&amp;sr=8-9")</f>
        <v/>
      </c>
      <c r="F1727" t="inlineStr">
        <is>
          <t>B07NYMZ572</t>
        </is>
      </c>
      <c r="G1727">
        <f>_xludf.IMAGE("https://www.shelhealth.com/cdn/shop/products/glad-4-gal-small-trash-bags-156-ct-shelhealth-773.jpg?v=1663354908&amp;width=1946")</f>
        <v/>
      </c>
      <c r="H1727">
        <f>_xludf.IMAGE("https://m.media-amazon.com/images/I/81YxaAuvT9L._AC_UL320_.jpg")</f>
        <v/>
      </c>
      <c r="K1727" t="inlineStr">
        <is>
          <t>23.99</t>
        </is>
      </c>
      <c r="L1727" t="n">
        <v>7.99</v>
      </c>
      <c r="M1727" s="1" t="inlineStr">
        <is>
          <t>-66.69%</t>
        </is>
      </c>
      <c r="N1727" s="3" t="n">
        <v>-66.69</v>
      </c>
      <c r="O1727" t="n">
        <v>4.7</v>
      </c>
      <c r="P1727" t="n">
        <v>687</v>
      </c>
      <c r="R1727" t="inlineStr">
        <is>
          <t>InStock</t>
        </is>
      </c>
      <c r="S1727" t="inlineStr">
        <is>
          <t>23.99</t>
        </is>
      </c>
      <c r="T1727" t="inlineStr">
        <is>
          <t>4169508683828</t>
        </is>
      </c>
    </row>
    <row r="1728" hidden="1" ht="15.75" customHeight="1">
      <c r="A1728" s="2">
        <f>HYPERLINK("https://www.shelhealth.com/products/pur-faucet-filtration-system", "https://www.shelhealth.com/products/pur-faucet-filtration-system")</f>
        <v/>
      </c>
      <c r="B1728" s="2">
        <f>HYPERLINK("https://www.shelhealth.com/products/pur-faucet-filtration-system", "https://www.shelhealth.com/products/pur-faucet-filtration-system")</f>
        <v/>
      </c>
      <c r="C1728" t="inlineStr">
        <is>
          <t>Pur Faucet Filtration System</t>
        </is>
      </c>
      <c r="D1728" t="inlineStr">
        <is>
          <t>PUR PLUS Faucet Mount Water Filtration System, Stainless Steel – Vertical for Crisp, Refreshing Water, FM4000B</t>
        </is>
      </c>
      <c r="E1728" s="2">
        <f>HYPERLINK("https://www.amazon.com/PUR-Advanced-MineralClear-Stainless-Indicator/dp/B00G15AA30/ref=sr_1_1?keywords=Pur+Faucet+Filtration+System&amp;qid=1695170549&amp;sr=8-1", "https://www.amazon.com/PUR-Advanced-MineralClear-Stainless-Indicator/dp/B00G15AA30/ref=sr_1_1?keywords=Pur+Faucet+Filtration+System&amp;qid=1695170549&amp;sr=8-1")</f>
        <v/>
      </c>
      <c r="F1728" t="inlineStr">
        <is>
          <t>B00G15AA30</t>
        </is>
      </c>
      <c r="G1728">
        <f>_xludf.IMAGE("https://www.shelhealth.com/cdn/shop/products/pur-faucet-filtration-system-shelhealth-810.jpg?v=1663357419&amp;width=1946")</f>
        <v/>
      </c>
      <c r="H1728">
        <f>_xludf.IMAGE("https://m.media-amazon.com/images/I/51MU-cSfXhL._AC_UL320_.jpg")</f>
        <v/>
      </c>
      <c r="K1728" t="inlineStr">
        <is>
          <t>71.99</t>
        </is>
      </c>
      <c r="L1728" t="n">
        <v>23.72</v>
      </c>
      <c r="M1728" s="1" t="inlineStr">
        <is>
          <t>-67.05%</t>
        </is>
      </c>
      <c r="N1728" s="3" t="n">
        <v>-67.05</v>
      </c>
      <c r="O1728" t="n">
        <v>4.4</v>
      </c>
      <c r="P1728" t="n">
        <v>14367</v>
      </c>
      <c r="R1728" t="inlineStr">
        <is>
          <t>InStock</t>
        </is>
      </c>
      <c r="S1728" t="inlineStr">
        <is>
          <t>71.99</t>
        </is>
      </c>
      <c r="T1728" t="inlineStr">
        <is>
          <t>4181272002612</t>
        </is>
      </c>
    </row>
    <row r="1729" hidden="1" ht="15.75" customHeight="1">
      <c r="A1729" s="2">
        <f>HYPERLINK("https://www.shelhealth.com/products/downy-unstopables-fresh-in-wash-scent-booster-beads-30-3-oz", "https://www.shelhealth.com/products/downy-unstopables-fresh-in-wash-scent-booster-beads-30-3-oz")</f>
        <v/>
      </c>
      <c r="B1729" s="2">
        <f>HYPERLINK("https://www.shelhealth.com/products/downy-unstopables-fresh-in-wash-scent-booster-beads-30-3-oz", "https://www.shelhealth.com/products/downy-unstopables-fresh-in-wash-scent-booster-beads-30-3-oz")</f>
        <v/>
      </c>
      <c r="C1729" t="inlineStr">
        <is>
          <t>Downy Unstopables Fresh In-Wash Scent Booster Beads, 30.3 oz.</t>
        </is>
      </c>
      <c r="D1729" t="inlineStr">
        <is>
          <t>Downy Unstopables in-wash Scent Booster Beads, Lush, 10.0 oz</t>
        </is>
      </c>
      <c r="E1729" s="2">
        <f>HYPERLINK("https://www.amazon.com/285g-Scent-Unstoppable-Wash-Freshener/dp/B07BR4FC85/ref=sr_1_3?keywords=Downy+Unstopables+Fresh+In-Wash+Scent+Booster+Beads%2C+30.3+oz.&amp;qid=1695170442&amp;sr=8-3", "https://www.amazon.com/285g-Scent-Unstoppable-Wash-Freshener/dp/B07BR4FC85/ref=sr_1_3?keywords=Downy+Unstopables+Fresh+In-Wash+Scent+Booster+Beads%2C+30.3+oz.&amp;qid=1695170442&amp;sr=8-3")</f>
        <v/>
      </c>
      <c r="F1729" t="inlineStr">
        <is>
          <t>B07BR4FC85</t>
        </is>
      </c>
      <c r="G1729">
        <f>_xludf.IMAGE("https://www.shelhealth.com/cdn/shop/products/downy-unstopables-fresh-in-wash-scent-booster-beads-30-3-oz-shelhealth-770.jpg?v=1663356562&amp;width=1946")</f>
        <v/>
      </c>
      <c r="H1729">
        <f>_xludf.IMAGE("https://m.media-amazon.com/images/I/61Uw75n9rmL._AC_UL320_.jpg")</f>
        <v/>
      </c>
      <c r="K1729" t="inlineStr">
        <is>
          <t>23.99</t>
        </is>
      </c>
      <c r="L1729" t="n">
        <v>7.74</v>
      </c>
      <c r="M1729" s="1" t="inlineStr">
        <is>
          <t>-67.74%</t>
        </is>
      </c>
      <c r="N1729" s="3" t="n">
        <v>-67.73999999999999</v>
      </c>
      <c r="O1729" t="n">
        <v>4.4</v>
      </c>
      <c r="P1729" t="n">
        <v>563</v>
      </c>
      <c r="R1729" t="inlineStr">
        <is>
          <t>OutOfStock</t>
        </is>
      </c>
      <c r="S1729" t="inlineStr">
        <is>
          <t>23.99</t>
        </is>
      </c>
      <c r="T1729" t="inlineStr">
        <is>
          <t>4178984206388</t>
        </is>
      </c>
    </row>
    <row r="1730" hidden="1" ht="15.75" customHeight="1">
      <c r="A1730" s="2">
        <f>HYPERLINK("https://www.shelhealth.com/products/brita-on-tap-faucet-replacement-filter-4-pack", "https://www.shelhealth.com/products/brita-on-tap-faucet-replacement-filter-4-pack")</f>
        <v/>
      </c>
      <c r="B1730" s="2">
        <f>HYPERLINK("https://www.shelhealth.com/products/brita-on-tap-faucet-replacement-filter-4-pack", "https://www.shelhealth.com/products/brita-on-tap-faucet-replacement-filter-4-pack")</f>
        <v/>
      </c>
      <c r="C1730" t="inlineStr">
        <is>
          <t>Brita On Tap Faucet Replacement Filter, 4 Pack</t>
        </is>
      </c>
      <c r="D1730" t="inlineStr">
        <is>
          <t>AQUA CREST Faucet Filter Replacement, Brita® 36311 On Tap Water Filtration System, Brita® FR-200, FF-100 Replacement Filter, White (Pack of 2)</t>
        </is>
      </c>
      <c r="E1730" s="2">
        <f>HYPERLINK("https://www.amazon.com/AQUA-CREST-Replacement-Filtration-Compatible/dp/B01MY53IJL/ref=sr_1_6?keywords=Brita+On+Tap+Faucet+Replacement+Filter%2C+4+Pack&amp;qid=1695170554&amp;sr=8-6", "https://www.amazon.com/AQUA-CREST-Replacement-Filtration-Compatible/dp/B01MY53IJL/ref=sr_1_6?keywords=Brita+On+Tap+Faucet+Replacement+Filter%2C+4+Pack&amp;qid=1695170554&amp;sr=8-6")</f>
        <v/>
      </c>
      <c r="F1730" t="inlineStr">
        <is>
          <t>B01MY53IJL</t>
        </is>
      </c>
      <c r="G1730">
        <f>_xludf.IMAGE("https://www.shelhealth.com/cdn/shop/products/brita-on-tap-faucet-replacement-filter-4-pack-shelhealth-948.jpg?v=1663357240&amp;width=1946")</f>
        <v/>
      </c>
      <c r="H1730">
        <f>_xludf.IMAGE("https://m.media-amazon.com/images/I/51R0MFtkP-L._AC_UL320_.jpg")</f>
        <v/>
      </c>
      <c r="K1730" t="inlineStr">
        <is>
          <t>63.99</t>
        </is>
      </c>
      <c r="L1730" t="n">
        <v>20.59</v>
      </c>
      <c r="M1730" s="1" t="inlineStr">
        <is>
          <t>-67.82%</t>
        </is>
      </c>
      <c r="N1730" s="3" t="n">
        <v>-67.81999999999999</v>
      </c>
      <c r="O1730" t="n">
        <v>4.5</v>
      </c>
      <c r="P1730" t="n">
        <v>3857</v>
      </c>
      <c r="R1730" t="inlineStr">
        <is>
          <t>OutOfStock</t>
        </is>
      </c>
      <c r="S1730" t="inlineStr">
        <is>
          <t>63.99</t>
        </is>
      </c>
      <c r="T1730" t="inlineStr">
        <is>
          <t>4179297632308</t>
        </is>
      </c>
    </row>
    <row r="1731" hidden="1" ht="15.75" customHeight="1">
      <c r="A1731" s="2">
        <f>HYPERLINK("https://www.shelhealth.com/products/brita-on-tap-faucet-replacement-filter-4-pack", "https://www.shelhealth.com/products/brita-on-tap-faucet-replacement-filter-4-pack")</f>
        <v/>
      </c>
      <c r="B1731" s="2">
        <f>HYPERLINK("https://www.shelhealth.com/products/brita-on-tap-faucet-replacement-filter-4-pack", "https://www.shelhealth.com/products/brita-on-tap-faucet-replacement-filter-4-pack")</f>
        <v/>
      </c>
      <c r="C1731" t="inlineStr">
        <is>
          <t>Brita On Tap Faucet Replacement Filter, 4 Pack</t>
        </is>
      </c>
      <c r="D1731" t="inlineStr">
        <is>
          <t>AQUA CREST Faucet Filter Replacement, Brita® 36311 On Tap Water Filtration System, Brita® FR-200, FF-100 Replacement Filter, White (Pack of 2)</t>
        </is>
      </c>
      <c r="E1731" s="2" t="n"/>
      <c r="F1731" t="inlineStr">
        <is>
          <t>B01MY53IJL</t>
        </is>
      </c>
      <c r="G1731">
        <f>_xludf.IMAGE("https://www.shelhealth.com/cdn/shop/products/brita-on-tap-faucet-replacement-filter-4-pack-shelhealth-948.jpg?v=1663357240&amp;width=1946")</f>
        <v/>
      </c>
      <c r="H1731">
        <f>_xludf.IMAGE("https://m.media-amazon.com/images/I/51R0MFtkP-L._AC_UL320_.jpg")</f>
        <v/>
      </c>
      <c r="K1731" t="inlineStr">
        <is>
          <t>63.99</t>
        </is>
      </c>
      <c r="L1731" t="n">
        <v>20.59</v>
      </c>
      <c r="M1731" s="1" t="inlineStr">
        <is>
          <t>-67.82%</t>
        </is>
      </c>
      <c r="N1731" s="3" t="n">
        <v>-67.81999999999999</v>
      </c>
      <c r="O1731" t="n">
        <v>4.5</v>
      </c>
      <c r="P1731" t="n">
        <v>3857</v>
      </c>
      <c r="R1731" t="inlineStr">
        <is>
          <t>OutOfStock</t>
        </is>
      </c>
      <c r="S1731" t="inlineStr">
        <is>
          <t>63.99</t>
        </is>
      </c>
      <c r="T1731" t="inlineStr">
        <is>
          <t>4179297632308</t>
        </is>
      </c>
    </row>
    <row r="1732" hidden="1" ht="15.75" customHeight="1">
      <c r="A1732" s="2">
        <f>HYPERLINK("https://www.shelhealth.com/products/swiffer-sweeper-wet-cloth-refill-64-count", "https://www.shelhealth.com/products/swiffer-sweeper-wet-cloth-refill-64-count")</f>
        <v/>
      </c>
      <c r="B1732" s="2">
        <f>HYPERLINK("https://www.shelhealth.com/products/swiffer-sweeper-wet-cloth-refill-64-count", "https://www.shelhealth.com/products/swiffer-sweeper-wet-cloth-refill-64-count")</f>
        <v/>
      </c>
      <c r="C1732" t="inlineStr">
        <is>
          <t>Swiffer Sweeper Wet Cloth Refill, 64 Count</t>
        </is>
      </c>
      <c r="D1732" t="inlineStr">
        <is>
          <t>Swiffer Sweeper Wet Mopping Cloths, Open-Window Fresh, 24 count</t>
        </is>
      </c>
      <c r="E1732" s="2">
        <f>HYPERLINK("https://www.amazon.com/Swiffer-Refills-Mopping-Cleaning-Purpose/dp/B00HZ6WFZA/ref=sr_1_7?keywords=Swiffer+Sweeper+Wet+Cloth+Refill%2C+64+Count&amp;qid=1695170382&amp;sr=8-7", "https://www.amazon.com/Swiffer-Refills-Mopping-Cleaning-Purpose/dp/B00HZ6WFZA/ref=sr_1_7?keywords=Swiffer+Sweeper+Wet+Cloth+Refill%2C+64+Count&amp;qid=1695170382&amp;sr=8-7")</f>
        <v/>
      </c>
      <c r="F1732" t="inlineStr">
        <is>
          <t>B00HZ6WFZA</t>
        </is>
      </c>
      <c r="G1732">
        <f>_xludf.IMAGE("https://www.shelhealth.com/cdn/shop/products/swiffer-sweeper-wet-cloth-refill-64-count-shelhealth-364.jpg?v=1663342907&amp;width=1946")</f>
        <v/>
      </c>
      <c r="H1732">
        <f>_xludf.IMAGE("https://m.media-amazon.com/images/I/81j8DGpS3lL._AC_UL320_.jpg")</f>
        <v/>
      </c>
      <c r="K1732" t="inlineStr">
        <is>
          <t>30.99</t>
        </is>
      </c>
      <c r="L1732" t="n">
        <v>9.84</v>
      </c>
      <c r="M1732" s="1" t="inlineStr">
        <is>
          <t>-68.25%</t>
        </is>
      </c>
      <c r="N1732" s="3" t="n">
        <v>-68.25</v>
      </c>
      <c r="O1732" t="n">
        <v>4.7</v>
      </c>
      <c r="P1732" t="n">
        <v>4890</v>
      </c>
      <c r="R1732" t="inlineStr">
        <is>
          <t>InStock</t>
        </is>
      </c>
      <c r="S1732" t="inlineStr">
        <is>
          <t>30.99</t>
        </is>
      </c>
      <c r="T1732" t="inlineStr">
        <is>
          <t>3818793271348</t>
        </is>
      </c>
    </row>
    <row r="1733" hidden="1" ht="15.75" customHeight="1">
      <c r="A1733" s="2">
        <f>HYPERLINK("https://www.shelhealth.com/products/swiffer-sweeper-wet-cloth-refill-64-count", "https://www.shelhealth.com/products/swiffer-sweeper-wet-cloth-refill-64-count")</f>
        <v/>
      </c>
      <c r="B1733" s="2">
        <f>HYPERLINK("https://www.shelhealth.com/products/swiffer-sweeper-wet-cloth-refill-64-count", "https://www.shelhealth.com/products/swiffer-sweeper-wet-cloth-refill-64-count")</f>
        <v/>
      </c>
      <c r="C1733" t="inlineStr">
        <is>
          <t>Swiffer Sweeper Wet Cloth Refill, 64 Count</t>
        </is>
      </c>
      <c r="D1733" t="inlineStr">
        <is>
          <t>Swiffer Sweeper Dry Sweeping Pad Refills, Hardwood Floor Mop Cleaner Cloth Refill, Gain Scent, 32 Count</t>
        </is>
      </c>
      <c r="E1733" s="2">
        <f>HYPERLINK("https://www.amazon.com/Swiffer-Sweeper-Sweeping-Refills-Hardwood/dp/B00I7L6JC2/ref=sr_1_4?keywords=Swiffer+Sweeper+Wet+Cloth+Refill%2C+64+Count&amp;qid=1695170382&amp;sr=8-4", "https://www.amazon.com/Swiffer-Sweeper-Sweeping-Refills-Hardwood/dp/B00I7L6JC2/ref=sr_1_4?keywords=Swiffer+Sweeper+Wet+Cloth+Refill%2C+64+Count&amp;qid=1695170382&amp;sr=8-4")</f>
        <v/>
      </c>
      <c r="F1733" t="inlineStr">
        <is>
          <t>B00I7L6JC2</t>
        </is>
      </c>
      <c r="G1733">
        <f>_xludf.IMAGE("https://www.shelhealth.com/cdn/shop/products/swiffer-sweeper-wet-cloth-refill-64-count-shelhealth-364.jpg?v=1663342907&amp;width=1946")</f>
        <v/>
      </c>
      <c r="H1733">
        <f>_xludf.IMAGE("https://m.media-amazon.com/images/I/81V4oj6R8kL._AC_UL320_.jpg")</f>
        <v/>
      </c>
      <c r="K1733" t="inlineStr">
        <is>
          <t>30.99</t>
        </is>
      </c>
      <c r="L1733" t="n">
        <v>9.84</v>
      </c>
      <c r="M1733" s="1" t="inlineStr">
        <is>
          <t>-68.25%</t>
        </is>
      </c>
      <c r="N1733" s="3" t="n">
        <v>-68.25</v>
      </c>
      <c r="O1733" t="n">
        <v>4.8</v>
      </c>
      <c r="P1733" t="n">
        <v>4446</v>
      </c>
      <c r="R1733" t="inlineStr">
        <is>
          <t>InStock</t>
        </is>
      </c>
      <c r="S1733" t="inlineStr">
        <is>
          <t>30.99</t>
        </is>
      </c>
      <c r="T1733" t="inlineStr">
        <is>
          <t>3818793271348</t>
        </is>
      </c>
    </row>
    <row r="1734" hidden="1" ht="15.75" customHeight="1">
      <c r="A1734" s="2">
        <f>HYPERLINK("https://www.shelhealth.com/products/swiffer-sweeper-wet-cloth-refill-64-count", "https://www.shelhealth.com/products/swiffer-sweeper-wet-cloth-refill-64-count")</f>
        <v/>
      </c>
      <c r="B1734" s="2">
        <f>HYPERLINK("https://www.shelhealth.com/products/swiffer-sweeper-wet-cloth-refill-64-count", "https://www.shelhealth.com/products/swiffer-sweeper-wet-cloth-refill-64-count")</f>
        <v/>
      </c>
      <c r="C1734" t="inlineStr">
        <is>
          <t>Swiffer Sweeper Wet Cloth Refill, 64 Count</t>
        </is>
      </c>
      <c r="D1734" t="inlineStr">
        <is>
          <t>Swiffer Sweeper Wet Mopping Cloths, Multi-Surface Floor Cleaner with Gain Original Scent, 24 Count</t>
        </is>
      </c>
      <c r="E1734" s="2">
        <f>HYPERLINK("https://www.amazon.com/Swiffer-Sweeper-Mopping-Refills-Original/dp/B00N8XNLXE/ref=sr_1_10?keywords=Swiffer+Sweeper+Wet+Cloth+Refill%2C+64+Count&amp;qid=1695170382&amp;sr=8-10", "https://www.amazon.com/Swiffer-Sweeper-Mopping-Refills-Original/dp/B00N8XNLXE/ref=sr_1_10?keywords=Swiffer+Sweeper+Wet+Cloth+Refill%2C+64+Count&amp;qid=1695170382&amp;sr=8-10")</f>
        <v/>
      </c>
      <c r="F1734" t="inlineStr">
        <is>
          <t>B00N8XNLXE</t>
        </is>
      </c>
      <c r="G1734">
        <f>_xludf.IMAGE("https://www.shelhealth.com/cdn/shop/products/swiffer-sweeper-wet-cloth-refill-64-count-shelhealth-364.jpg?v=1663342907&amp;width=1946")</f>
        <v/>
      </c>
      <c r="H1734">
        <f>_xludf.IMAGE("https://m.media-amazon.com/images/I/819qSE3YcUL._AC_UL320_.jpg")</f>
        <v/>
      </c>
      <c r="K1734" t="inlineStr">
        <is>
          <t>30.99</t>
        </is>
      </c>
      <c r="L1734" t="n">
        <v>9.84</v>
      </c>
      <c r="M1734" s="1" t="inlineStr">
        <is>
          <t>-68.25%</t>
        </is>
      </c>
      <c r="N1734" s="3" t="n">
        <v>-68.25</v>
      </c>
      <c r="O1734" t="n">
        <v>4.6</v>
      </c>
      <c r="P1734" t="n">
        <v>2195</v>
      </c>
      <c r="R1734" t="inlineStr">
        <is>
          <t>InStock</t>
        </is>
      </c>
      <c r="S1734" t="inlineStr">
        <is>
          <t>30.99</t>
        </is>
      </c>
      <c r="T1734" t="inlineStr">
        <is>
          <t>3818793271348</t>
        </is>
      </c>
    </row>
    <row r="1735" hidden="1" ht="15.75" customHeight="1">
      <c r="A1735" s="2">
        <f>HYPERLINK("https://www.shelhealth.com/products/swiffer-sweeper-wet-cloth-refill-64-count", "https://www.shelhealth.com/products/swiffer-sweeper-wet-cloth-refill-64-count")</f>
        <v/>
      </c>
      <c r="B1735" s="2">
        <f>HYPERLINK("https://www.shelhealth.com/products/swiffer-sweeper-wet-cloth-refill-64-count", "https://www.shelhealth.com/products/swiffer-sweeper-wet-cloth-refill-64-count")</f>
        <v/>
      </c>
      <c r="C1735" t="inlineStr">
        <is>
          <t>Swiffer Sweeper Wet Cloth Refill, 64 Count</t>
        </is>
      </c>
      <c r="D1735" t="inlineStr">
        <is>
          <t>Swiffer Sweeper Heavy Duty Wet Mopping Cloths Multi Surface Refills, Open Window Fresh, 20Count</t>
        </is>
      </c>
      <c r="E1735" s="2">
        <f>HYPERLINK("https://www.amazon.com/Swiffer-Sweeper-Heavy-Drying-Cloths/dp/B07FXYLZW5/ref=sr_1_9?keywords=Swiffer+Sweeper+Wet+Cloth+Refill%2C+64+Count&amp;qid=1695170382&amp;sr=8-9", "https://www.amazon.com/Swiffer-Sweeper-Heavy-Drying-Cloths/dp/B07FXYLZW5/ref=sr_1_9?keywords=Swiffer+Sweeper+Wet+Cloth+Refill%2C+64+Count&amp;qid=1695170382&amp;sr=8-9")</f>
        <v/>
      </c>
      <c r="F1735" t="inlineStr">
        <is>
          <t>B07FXYLZW5</t>
        </is>
      </c>
      <c r="G1735">
        <f>_xludf.IMAGE("https://www.shelhealth.com/cdn/shop/products/swiffer-sweeper-wet-cloth-refill-64-count-shelhealth-364.jpg?v=1663342907&amp;width=1946")</f>
        <v/>
      </c>
      <c r="H1735">
        <f>_xludf.IMAGE("https://m.media-amazon.com/images/I/81yWWf7FrIL._AC_UL320_.jpg")</f>
        <v/>
      </c>
      <c r="K1735" t="inlineStr">
        <is>
          <t>30.99</t>
        </is>
      </c>
      <c r="L1735" t="n">
        <v>9.84</v>
      </c>
      <c r="M1735" s="1" t="inlineStr">
        <is>
          <t>-68.25%</t>
        </is>
      </c>
      <c r="N1735" s="3" t="n">
        <v>-68.25</v>
      </c>
      <c r="O1735" t="n">
        <v>4.6</v>
      </c>
      <c r="P1735" t="n">
        <v>1166</v>
      </c>
      <c r="R1735" t="inlineStr">
        <is>
          <t>InStock</t>
        </is>
      </c>
      <c r="S1735" t="inlineStr">
        <is>
          <t>30.99</t>
        </is>
      </c>
      <c r="T1735" t="inlineStr">
        <is>
          <t>3818793271348</t>
        </is>
      </c>
    </row>
    <row r="1736" hidden="1" ht="15.75" customHeight="1">
      <c r="A1736" s="2">
        <f>HYPERLINK("https://www.shelhealth.com/products/duracell-rechargeable-aa-pre-charged-batteries-6-ct", "https://www.shelhealth.com/products/duracell-rechargeable-aa-pre-charged-batteries-6-ct")</f>
        <v/>
      </c>
      <c r="B1736" s="2">
        <f>HYPERLINK("https://www.shelhealth.com/products/duracell-rechargeable-aa-pre-charged-batteries-6-ct", "https://www.shelhealth.com/products/duracell-rechargeable-aa-pre-charged-batteries-6-ct")</f>
        <v/>
      </c>
      <c r="C1736" t="inlineStr">
        <is>
          <t>Duracell Rechargeable AA Pre-Charged Batteries, 6 ct.</t>
        </is>
      </c>
      <c r="D1736" t="inlineStr">
        <is>
          <t>Duracell Rechargeable AA Batteries, 2 Count Pack, Double A Battery For Long-lasting Power, All-Purpose Pre-Charged Battery For Household And Business Devices</t>
        </is>
      </c>
      <c r="E1736" s="2">
        <f>HYPERLINK("https://www.amazon.com/Duracell-NL1500B2N001-Rechargeable-Batteries-Pack/dp/B00GFR39IW/ref=sr_1_3?keywords=Duracell+Rechargeable+AA+Pre-Charged+Batteries%2C+6+ct.&amp;qid=1695170567&amp;sr=8-3", "https://www.amazon.com/Duracell-NL1500B2N001-Rechargeable-Batteries-Pack/dp/B00GFR39IW/ref=sr_1_3?keywords=Duracell+Rechargeable+AA+Pre-Charged+Batteries%2C+6+ct.&amp;qid=1695170567&amp;sr=8-3")</f>
        <v/>
      </c>
      <c r="F1736" t="inlineStr">
        <is>
          <t>B00GFR39IW</t>
        </is>
      </c>
      <c r="G1736">
        <f>_xludf.IMAGE("https://www.shelhealth.com/cdn/shop/products/duracell-rechargeable-aa-pre-charged-batteries-6-ct-shelhealth-446.jpg?v=1675325310&amp;width=1946")</f>
        <v/>
      </c>
      <c r="H1736">
        <f>_xludf.IMAGE("https://m.media-amazon.com/images/I/71E8hQPcoXL._AC_UL320_.jpg")</f>
        <v/>
      </c>
      <c r="K1736" t="inlineStr">
        <is>
          <t>34.99</t>
        </is>
      </c>
      <c r="L1736" t="n">
        <v>10.99</v>
      </c>
      <c r="M1736" s="1" t="inlineStr">
        <is>
          <t>-68.59%</t>
        </is>
      </c>
      <c r="N1736" s="3" t="n">
        <v>-68.59</v>
      </c>
      <c r="O1736" t="n">
        <v>4.6</v>
      </c>
      <c r="P1736" t="n">
        <v>248</v>
      </c>
      <c r="R1736" t="inlineStr">
        <is>
          <t>InStock</t>
        </is>
      </c>
      <c r="S1736" t="inlineStr">
        <is>
          <t>34.99</t>
        </is>
      </c>
      <c r="T1736" t="inlineStr">
        <is>
          <t>4167656767540</t>
        </is>
      </c>
    </row>
    <row r="1737" hidden="1" ht="15.75" customHeight="1">
      <c r="A1737" s="2">
        <f>HYPERLINK("https://www.shelhealth.com/products/brita-on-tap-faucet-replacement-filter-4-pack", "https://www.shelhealth.com/products/brita-on-tap-faucet-replacement-filter-4-pack")</f>
        <v/>
      </c>
      <c r="B1737" s="2">
        <f>HYPERLINK("https://www.shelhealth.com/products/brita-on-tap-faucet-replacement-filter-4-pack", "https://www.shelhealth.com/products/brita-on-tap-faucet-replacement-filter-4-pack")</f>
        <v/>
      </c>
      <c r="C1737" t="inlineStr">
        <is>
          <t>Brita On Tap Faucet Replacement Filter, 4 Pack</t>
        </is>
      </c>
      <c r="D1737" t="inlineStr">
        <is>
          <t>Filterlogic Faucets Filter Cartridge, Replacement for Brita® Faucet Filter, Brita® 36311 On Tap Water Filtration System, Brita® FR-200, FF-100 Replacement Filter, White (Pack of 2)</t>
        </is>
      </c>
      <c r="E1737" s="2" t="n"/>
      <c r="F1737" t="inlineStr">
        <is>
          <t>B07SFFPYY2</t>
        </is>
      </c>
      <c r="G1737">
        <f>_xludf.IMAGE("https://www.shelhealth.com/cdn/shop/products/brita-on-tap-faucet-replacement-filter-4-pack-shelhealth-948.jpg?v=1663357240&amp;width=1946")</f>
        <v/>
      </c>
      <c r="H1737">
        <f>_xludf.IMAGE("https://m.media-amazon.com/images/I/41eyJbSSukL._AC_UL320_.jpg")</f>
        <v/>
      </c>
      <c r="K1737" t="inlineStr">
        <is>
          <t>63.99</t>
        </is>
      </c>
      <c r="L1737" t="n">
        <v>19.99</v>
      </c>
      <c r="M1737" s="1" t="inlineStr">
        <is>
          <t>-68.76%</t>
        </is>
      </c>
      <c r="N1737" s="3" t="n">
        <v>-68.76000000000001</v>
      </c>
      <c r="O1737" t="n">
        <v>4.5</v>
      </c>
      <c r="P1737" t="n">
        <v>894</v>
      </c>
      <c r="R1737" t="inlineStr">
        <is>
          <t>OutOfStock</t>
        </is>
      </c>
      <c r="S1737" t="inlineStr">
        <is>
          <t>63.99</t>
        </is>
      </c>
      <c r="T1737" t="inlineStr">
        <is>
          <t>4179297632308</t>
        </is>
      </c>
    </row>
    <row r="1738" hidden="1" ht="15.75" customHeight="1">
      <c r="A1738" s="2">
        <f>HYPERLINK("https://www.shelhealth.com/products/brita-on-tap-faucet-replacement-filter-4-pack", "https://www.shelhealth.com/products/brita-on-tap-faucet-replacement-filter-4-pack")</f>
        <v/>
      </c>
      <c r="B1738" s="2">
        <f>HYPERLINK("https://www.shelhealth.com/products/brita-on-tap-faucet-replacement-filter-4-pack", "https://www.shelhealth.com/products/brita-on-tap-faucet-replacement-filter-4-pack")</f>
        <v/>
      </c>
      <c r="C1738" t="inlineStr">
        <is>
          <t>Brita On Tap Faucet Replacement Filter, 4 Pack</t>
        </is>
      </c>
      <c r="D1738" t="inlineStr">
        <is>
          <t>Filterlogic Faucets Filter Cartridge, Replacement for Brita® Faucet Filter, Brita® 36311 On Tap Water Filtration System, Brita® FR-200, FF-100 Replacement Filter, White (Pack of 2)</t>
        </is>
      </c>
      <c r="E1738" s="2">
        <f>HYPERLINK("https://www.amazon.com/Filterlogic-Faucets-Cartridge-Compatible-Filtration/dp/B07SFFPYY2/ref=sr_1_9?keywords=Brita+On+Tap+Faucet+Replacement+Filter%2C+4+Pack&amp;qid=1695170554&amp;sr=8-9", "https://www.amazon.com/Filterlogic-Faucets-Cartridge-Compatible-Filtration/dp/B07SFFPYY2/ref=sr_1_9?keywords=Brita+On+Tap+Faucet+Replacement+Filter%2C+4+Pack&amp;qid=1695170554&amp;sr=8-9")</f>
        <v/>
      </c>
      <c r="F1738" t="inlineStr">
        <is>
          <t>B07SFFPYY2</t>
        </is>
      </c>
      <c r="G1738">
        <f>_xludf.IMAGE("https://www.shelhealth.com/cdn/shop/products/brita-on-tap-faucet-replacement-filter-4-pack-shelhealth-948.jpg?v=1663357240&amp;width=1946")</f>
        <v/>
      </c>
      <c r="H1738">
        <f>_xludf.IMAGE("https://m.media-amazon.com/images/I/41eyJbSSukL._AC_UL320_.jpg")</f>
        <v/>
      </c>
      <c r="K1738" t="inlineStr">
        <is>
          <t>63.99</t>
        </is>
      </c>
      <c r="L1738" t="n">
        <v>19.99</v>
      </c>
      <c r="M1738" s="1" t="inlineStr">
        <is>
          <t>-68.76%</t>
        </is>
      </c>
      <c r="N1738" s="3" t="n">
        <v>-68.76000000000001</v>
      </c>
      <c r="O1738" t="n">
        <v>4.5</v>
      </c>
      <c r="P1738" t="n">
        <v>894</v>
      </c>
      <c r="R1738" t="inlineStr">
        <is>
          <t>OutOfStock</t>
        </is>
      </c>
      <c r="S1738" t="inlineStr">
        <is>
          <t>63.99</t>
        </is>
      </c>
      <c r="T1738" t="inlineStr">
        <is>
          <t>4179297632308</t>
        </is>
      </c>
    </row>
    <row r="1739" hidden="1" ht="15.75" customHeight="1">
      <c r="A1739" s="2">
        <f>HYPERLINK("https://www.shelhealth.com/products/pur-faucet-filtration-system", "https://www.shelhealth.com/products/pur-faucet-filtration-system")</f>
        <v/>
      </c>
      <c r="B1739" s="2">
        <f>HYPERLINK("https://www.shelhealth.com/products/pur-faucet-filtration-system", "https://www.shelhealth.com/products/pur-faucet-filtration-system")</f>
        <v/>
      </c>
      <c r="C1739" t="inlineStr">
        <is>
          <t>Pur Faucet Filtration System</t>
        </is>
      </c>
      <c r="D1739" t="inlineStr">
        <is>
          <t>PUR PLUS Faucet Mount Water Filtration System, Gray – Vertical Faucet Mount for Crisp, Refreshing Water, FM2500V</t>
        </is>
      </c>
      <c r="E1739" s="2">
        <f>HYPERLINK("https://www.amazon.com/PUR-FM2500V-Classic-Faucet-Filter/dp/B07MLSVLZH/ref=sr_1_2?keywords=Pur+Faucet+Filtration+System&amp;qid=1695170549&amp;sr=8-2", "https://www.amazon.com/PUR-FM2500V-Classic-Faucet-Filter/dp/B07MLSVLZH/ref=sr_1_2?keywords=Pur+Faucet+Filtration+System&amp;qid=1695170549&amp;sr=8-2")</f>
        <v/>
      </c>
      <c r="F1739" t="inlineStr">
        <is>
          <t>B07MLSVLZH</t>
        </is>
      </c>
      <c r="G1739">
        <f>_xludf.IMAGE("https://www.shelhealth.com/cdn/shop/products/pur-faucet-filtration-system-shelhealth-810.jpg?v=1663357419&amp;width=1946")</f>
        <v/>
      </c>
      <c r="H1739">
        <f>_xludf.IMAGE("https://m.media-amazon.com/images/I/51fMlmboINL._AC_UL320_.jpg")</f>
        <v/>
      </c>
      <c r="K1739" t="inlineStr">
        <is>
          <t>71.99</t>
        </is>
      </c>
      <c r="L1739" t="n">
        <v>21.99</v>
      </c>
      <c r="M1739" s="1" t="inlineStr">
        <is>
          <t>-69.45%</t>
        </is>
      </c>
      <c r="N1739" s="3" t="n">
        <v>-69.45</v>
      </c>
      <c r="O1739" t="n">
        <v>4.4</v>
      </c>
      <c r="P1739" t="n">
        <v>15586</v>
      </c>
      <c r="R1739" t="inlineStr">
        <is>
          <t>InStock</t>
        </is>
      </c>
      <c r="S1739" t="inlineStr">
        <is>
          <t>71.99</t>
        </is>
      </c>
      <c r="T1739" t="inlineStr">
        <is>
          <t>4181272002612</t>
        </is>
      </c>
    </row>
    <row r="1740" hidden="1" ht="15.75" customHeight="1">
      <c r="A1740" s="2">
        <f>HYPERLINK("https://www.shelhealth.com/products/all-oxi-liquid-laundry-detergent-with-stain-removers-225-oz", "https://www.shelhealth.com/products/all-oxi-liquid-laundry-detergent-with-stain-removers-225-oz")</f>
        <v/>
      </c>
      <c r="B1740" s="2">
        <f>HYPERLINK("https://www.shelhealth.com/products/all-oxi-liquid-laundry-detergent-with-stain-removers-225-oz", "https://www.shelhealth.com/products/all-oxi-liquid-laundry-detergent-with-stain-removers-225-oz")</f>
        <v/>
      </c>
      <c r="C1740" t="inlineStr">
        <is>
          <t>all Oxi Liquid Laundry Detergent with Stain Removers, 225 oz.</t>
        </is>
      </c>
      <c r="D1740" t="inlineStr">
        <is>
          <t>All all Liquid Laundry Detergent with OXI Stain Removers &amp; Whiteners, Free Clear, 36 oz, 20 Loads, 36 fl oz</t>
        </is>
      </c>
      <c r="E1740" s="2">
        <f>HYPERLINK("https://www.amazon.com/All-Laundry-Detergent-Removers-Whiteners/dp/B07RJ7LH9F/ref=sr_1_6?keywords=all+Oxi+Liquid+Laundry+Detergent+with+Stain+Removers%2C+225+oz.&amp;qid=1695170443&amp;sr=8-6", "https://www.amazon.com/All-Laundry-Detergent-Removers-Whiteners/dp/B07RJ7LH9F/ref=sr_1_6?keywords=all+Oxi+Liquid+Laundry+Detergent+with+Stain+Removers%2C+225+oz.&amp;qid=1695170443&amp;sr=8-6")</f>
        <v/>
      </c>
      <c r="F1740" t="inlineStr">
        <is>
          <t>B07RJ7LH9F</t>
        </is>
      </c>
      <c r="G1740">
        <f>_xludf.IMAGE("https://www.shelhealth.com/cdn/shop/products/all-oxi-liquid-laundry-detergent-with-stain-removers-225-oz-shelhealth-899.jpg?v=1663357007&amp;width=1946")</f>
        <v/>
      </c>
      <c r="H1740">
        <f>_xludf.IMAGE("https://m.media-amazon.com/images/I/816nq9il7BL._AC_UL320_.jpg")</f>
        <v/>
      </c>
      <c r="K1740" t="inlineStr">
        <is>
          <t>41.99</t>
        </is>
      </c>
      <c r="L1740" t="n">
        <v>12.75</v>
      </c>
      <c r="M1740" s="1" t="inlineStr">
        <is>
          <t>-69.64%</t>
        </is>
      </c>
      <c r="N1740" s="3" t="n">
        <v>-69.64</v>
      </c>
      <c r="O1740" t="n">
        <v>4.3</v>
      </c>
      <c r="P1740" t="n">
        <v>38</v>
      </c>
      <c r="R1740" t="inlineStr">
        <is>
          <t>InStock</t>
        </is>
      </c>
      <c r="S1740" t="inlineStr">
        <is>
          <t>41.99</t>
        </is>
      </c>
      <c r="T1740" t="inlineStr">
        <is>
          <t>4179131531316</t>
        </is>
      </c>
    </row>
    <row r="1741" hidden="1" ht="15.75" customHeight="1">
      <c r="A1741" s="2">
        <f>HYPERLINK("https://www.shelhealth.com/products/duracell-coppertop-c-batteries-12-ct", "https://www.shelhealth.com/products/duracell-coppertop-c-batteries-12-ct")</f>
        <v/>
      </c>
      <c r="B1741" s="2">
        <f>HYPERLINK("https://www.shelhealth.com/products/duracell-coppertop-c-batteries-12-ct", "https://www.shelhealth.com/products/duracell-coppertop-c-batteries-12-ct")</f>
        <v/>
      </c>
      <c r="C1741" t="inlineStr">
        <is>
          <t>Duracell Coppertop C Batteries, 12 ct.</t>
        </is>
      </c>
      <c r="D1741" t="inlineStr">
        <is>
          <t>Duracell Coppertop C Batteries, 2ct, 2pk</t>
        </is>
      </c>
      <c r="E1741" s="2">
        <f>HYPERLINK("https://www.amazon.com/Duracell-Coppertop-Batteries-2ct-2pk/dp/B00N8G6RE6/ref=sr_1_4?keywords=Duracell+Coppertop+C+Batteries%2C+12+ct.&amp;qid=1695170571&amp;sr=8-4", "https://www.amazon.com/Duracell-Coppertop-Batteries-2ct-2pk/dp/B00N8G6RE6/ref=sr_1_4?keywords=Duracell+Coppertop+C+Batteries%2C+12+ct.&amp;qid=1695170571&amp;sr=8-4")</f>
        <v/>
      </c>
      <c r="F1741" t="inlineStr">
        <is>
          <t>B00N8G6RE6</t>
        </is>
      </c>
      <c r="G1741">
        <f>_xludf.IMAGE("https://www.shelhealth.com/cdn/shop/files/duracell-coppertop-c-batteries-12-ct-emergency-preparednessbatteries-shelhealth-574.jpg?v=1686284104&amp;width=1946")</f>
        <v/>
      </c>
      <c r="H1741">
        <f>_xludf.IMAGE("https://m.media-amazon.com/images/I/51oLxOX7m6L._AC_UL320_.jpg")</f>
        <v/>
      </c>
      <c r="K1741" t="inlineStr">
        <is>
          <t>32.99</t>
        </is>
      </c>
      <c r="L1741" t="n">
        <v>9.99</v>
      </c>
      <c r="M1741" s="1" t="inlineStr">
        <is>
          <t>-69.72%</t>
        </is>
      </c>
      <c r="N1741" s="3" t="n">
        <v>-69.72</v>
      </c>
      <c r="O1741" t="n">
        <v>4.4</v>
      </c>
      <c r="P1741" t="n">
        <v>33</v>
      </c>
      <c r="R1741" t="inlineStr">
        <is>
          <t>InStock</t>
        </is>
      </c>
      <c r="S1741" t="inlineStr">
        <is>
          <t>32.99</t>
        </is>
      </c>
      <c r="T1741" t="inlineStr">
        <is>
          <t>4169755099188</t>
        </is>
      </c>
    </row>
    <row r="1742" hidden="1" ht="15.75" customHeight="1">
      <c r="A1742" s="2">
        <f>HYPERLINK("https://www.shelhealth.com/products/895454002041-better-life-what-ever-natural-all-purpose-cleaner-clary-sage-citrus-32-oz", "https://www.shelhealth.com/products/895454002041-better-life-what-ever-natural-all-purpose-cleaner-clary-sage-citrus-32-oz")</f>
        <v/>
      </c>
      <c r="B1742" s="2">
        <f>HYPERLINK("https://www.shelhealth.com/products/895454002041-better-life-what-ever-natural-all-purpose-cleaner-clary-sage-citrus-32-oz", "https://www.shelhealth.com/products/895454002041-better-life-what-ever-natural-all-purpose-cleaner-clary-sage-citrus-32-oz")</f>
        <v/>
      </c>
      <c r="C1742" t="inlineStr">
        <is>
          <t>Better Life What-Ever! Natural All-Purpose Cleaner Clary Sage &amp; Citrus, 32 Oz (Case of 3)</t>
        </is>
      </c>
      <c r="D1742" t="inlineStr">
        <is>
          <t>Better Life Natural All-Purpose Cleaner, Clary Sage &amp; Citrus, 32 oz</t>
        </is>
      </c>
      <c r="E1742" s="2">
        <f>HYPERLINK("https://www.amazon.com/Better-Life-Natural-All-Purpose-Cleaner/dp/B004SCNOBI/ref=sr_1_4?keywords=Better+Life+What-Ever%21+Natural+All-Purpose+Cleaner+Clary+Sage&amp;qid=1695170478&amp;sr=8-4", "https://www.amazon.com/Better-Life-Natural-All-Purpose-Cleaner/dp/B004SCNOBI/ref=sr_1_4?keywords=Better+Life+What-Ever%21+Natural+All-Purpose+Cleaner+Clary+Sage&amp;qid=1695170478&amp;sr=8-4")</f>
        <v/>
      </c>
      <c r="F1742" t="inlineStr">
        <is>
          <t>B004SCNOBI</t>
        </is>
      </c>
      <c r="G1742">
        <f>_xludf.IMAGE("https://www.shelhealth.com/cdn/shop/files/better-life-what-ever-natural-all-purpose-cleaner-clary-sage-citrus-32-oz-case-of-3-home-products-shelhealth-926.jpg?v=1686522786&amp;width=1946")</f>
        <v/>
      </c>
      <c r="H1742">
        <f>_xludf.IMAGE("https://m.media-amazon.com/images/I/51brBL4c1DS._AC_UL320_.jpg")</f>
        <v/>
      </c>
      <c r="K1742" t="inlineStr">
        <is>
          <t>24.99</t>
        </is>
      </c>
      <c r="L1742" t="n">
        <v>7.5</v>
      </c>
      <c r="M1742" s="1" t="inlineStr">
        <is>
          <t>-69.99%</t>
        </is>
      </c>
      <c r="N1742" s="3" t="n">
        <v>-69.98999999999999</v>
      </c>
      <c r="O1742" t="n">
        <v>4.3</v>
      </c>
      <c r="P1742" t="n">
        <v>399</v>
      </c>
      <c r="R1742" t="inlineStr">
        <is>
          <t>InStock</t>
        </is>
      </c>
      <c r="S1742" t="inlineStr">
        <is>
          <t>24.99</t>
        </is>
      </c>
      <c r="T1742" t="inlineStr">
        <is>
          <t>7241505865916</t>
        </is>
      </c>
    </row>
    <row r="1743" hidden="1" ht="15.75" customHeight="1">
      <c r="A1743" s="2">
        <f>HYPERLINK("https://www.shelhealth.com/products/titanfine-disposable-vinyl-gloves-s-m-100-ct", "https://www.shelhealth.com/products/titanfine-disposable-vinyl-gloves-s-m-100-ct")</f>
        <v/>
      </c>
      <c r="B1743" s="2">
        <f>HYPERLINK("https://www.shelhealth.com/products/titanfine-disposable-vinyl-gloves-s-m-100-ct", "https://www.shelhealth.com/products/titanfine-disposable-vinyl-gloves-s-m-100-ct")</f>
        <v/>
      </c>
      <c r="C1743" t="inlineStr">
        <is>
          <t>Titanfine Disposable Vinyl Gloves S/M - 100 ct.</t>
        </is>
      </c>
      <c r="D1743" t="inlineStr">
        <is>
          <t>Comfy Package [100 Pack] Clear Powder Free Vinyl Disposable Plastic Gloves</t>
        </is>
      </c>
      <c r="E1743" s="2">
        <f>HYPERLINK("https://www.amazon.com/Clear-Powder-Disposable-Plastic-Gloves/dp/B07N1SZ6FH/ref=sr_1_4?keywords=Titanfine+Disposable+Vinyl+Gloves+S%2FM+-+100+ct.&amp;qid=1695170540&amp;sr=8-4", "https://www.amazon.com/Clear-Powder-Disposable-Plastic-Gloves/dp/B07N1SZ6FH/ref=sr_1_4?keywords=Titanfine+Disposable+Vinyl+Gloves+S%2FM+-+100+ct.&amp;qid=1695170540&amp;sr=8-4")</f>
        <v/>
      </c>
      <c r="F1743" t="inlineStr">
        <is>
          <t>B07N1SZ6FH</t>
        </is>
      </c>
      <c r="G1743">
        <f>_xludf.IMAGE("https://www.shelhealth.com/cdn/shop/products/titanfine-disposable-vinyl-gloves-sm-100-ct-shelhealth-149.jpg?v=1663373866&amp;width=1946")</f>
        <v/>
      </c>
      <c r="H1743">
        <f>_xludf.IMAGE("https://m.media-amazon.com/images/I/71K2Yhvz9-L._AC_UL320_.jpg")</f>
        <v/>
      </c>
      <c r="K1743" t="inlineStr">
        <is>
          <t>19.99</t>
        </is>
      </c>
      <c r="L1743" t="n">
        <v>5.99</v>
      </c>
      <c r="M1743" s="1" t="inlineStr">
        <is>
          <t>-70.04%</t>
        </is>
      </c>
      <c r="N1743" s="3" t="n">
        <v>-70.04000000000001</v>
      </c>
      <c r="O1743" t="n">
        <v>4.5</v>
      </c>
      <c r="P1743" t="n">
        <v>14379</v>
      </c>
      <c r="R1743" t="inlineStr">
        <is>
          <t>OutOfStock</t>
        </is>
      </c>
      <c r="S1743" t="inlineStr">
        <is>
          <t>19.99</t>
        </is>
      </c>
      <c r="T1743" t="inlineStr">
        <is>
          <t>4711260291161</t>
        </is>
      </c>
    </row>
    <row r="1744" hidden="1" ht="15.75" customHeight="1">
      <c r="A1744" s="2">
        <f>HYPERLINK("https://www.shelhealth.com/products/brita-on-tap-faucet-replacement-filter-4-pack", "https://www.shelhealth.com/products/brita-on-tap-faucet-replacement-filter-4-pack")</f>
        <v/>
      </c>
      <c r="B1744" s="2">
        <f>HYPERLINK("https://www.shelhealth.com/products/brita-on-tap-faucet-replacement-filter-4-pack", "https://www.shelhealth.com/products/brita-on-tap-faucet-replacement-filter-4-pack")</f>
        <v/>
      </c>
      <c r="C1744" t="inlineStr">
        <is>
          <t>Brita On Tap Faucet Replacement Filter, 4 Pack</t>
        </is>
      </c>
      <c r="D1744" t="inlineStr">
        <is>
          <t>Faucet Filter Replacement, Replacement for Brita® Faucet Filter, Brita® on Tap Water Filtration System, Brita® 36311, 36313, FR-200, FF-100, and More, Pack of 2</t>
        </is>
      </c>
      <c r="E1744" s="2">
        <f>HYPERLINK("https://www.amazon.com/Overbest-Faucet-Filter-Replacement-Filtration/dp/B0C3M9VVRL/ref=sr_1_5?keywords=Brita+On+Tap+Faucet+Replacement+Filter%2C+4+Pack&amp;qid=1695170554&amp;sr=8-5", "https://www.amazon.com/Overbest-Faucet-Filter-Replacement-Filtration/dp/B0C3M9VVRL/ref=sr_1_5?keywords=Brita+On+Tap+Faucet+Replacement+Filter%2C+4+Pack&amp;qid=1695170554&amp;sr=8-5")</f>
        <v/>
      </c>
      <c r="F1744" t="inlineStr">
        <is>
          <t>B0C3M9VVRL</t>
        </is>
      </c>
      <c r="G1744">
        <f>_xludf.IMAGE("https://www.shelhealth.com/cdn/shop/products/brita-on-tap-faucet-replacement-filter-4-pack-shelhealth-948.jpg?v=1663357240&amp;width=1946")</f>
        <v/>
      </c>
      <c r="H1744">
        <f>_xludf.IMAGE("https://m.media-amazon.com/images/I/41OO-pza9EL._AC_UL320_.jpg")</f>
        <v/>
      </c>
      <c r="K1744" t="inlineStr">
        <is>
          <t>63.99</t>
        </is>
      </c>
      <c r="L1744" t="n">
        <v>18.99</v>
      </c>
      <c r="M1744" s="1" t="inlineStr">
        <is>
          <t>-70.32%</t>
        </is>
      </c>
      <c r="N1744" s="3" t="n">
        <v>-70.31999999999999</v>
      </c>
      <c r="O1744" t="n">
        <v>5</v>
      </c>
      <c r="P1744" t="n">
        <v>3</v>
      </c>
      <c r="R1744" t="inlineStr">
        <is>
          <t>OutOfStock</t>
        </is>
      </c>
      <c r="S1744" t="inlineStr">
        <is>
          <t>63.99</t>
        </is>
      </c>
      <c r="T1744" t="inlineStr">
        <is>
          <t>4179297632308</t>
        </is>
      </c>
    </row>
    <row r="1745" hidden="1" ht="15.75" customHeight="1">
      <c r="A1745" s="2">
        <f>HYPERLINK("https://www.shelhealth.com/products/3m-post-it-notes-4-in-x-6-in-1000-notes", "https://www.shelhealth.com/products/3m-post-it-notes-4-in-x-6-in-1000-notes")</f>
        <v/>
      </c>
      <c r="B1745" s="2">
        <f>HYPERLINK("https://www.shelhealth.com/products/3m-post-it-notes-4-in-x-6-in-1000-notes", "https://www.shelhealth.com/products/3m-post-it-notes-4-in-x-6-in-1000-notes")</f>
        <v/>
      </c>
      <c r="C1745" t="inlineStr">
        <is>
          <t>3M Post-It Notes 4 in. x 6 in. (1000 Notes)</t>
        </is>
      </c>
      <c r="D1745" t="inlineStr">
        <is>
          <t>Post-it Super Sticky Notes, 4x6 in, 4 Pads, 2x the Sticking Power, Canary Yellow, Recyclable (4621-SSCY)</t>
        </is>
      </c>
      <c r="E1745" s="2">
        <f>HYPERLINK("https://www.amazon.com/Post-Sticky-Sticking-Canary-4621-SSCY/dp/B002JG7EFW/ref=sr_1_5?keywords=3M+Post-It+Notes+4+in.+x+6+in.+%281000+Notes%29&amp;qid=1695170548&amp;sr=8-5", "https://www.amazon.com/Post-Sticky-Sticking-Canary-4621-SSCY/dp/B002JG7EFW/ref=sr_1_5?keywords=3M+Post-It+Notes+4+in.+x+6+in.+%281000+Notes%29&amp;qid=1695170548&amp;sr=8-5")</f>
        <v/>
      </c>
      <c r="F1745" t="inlineStr">
        <is>
          <t>B002JG7EFW</t>
        </is>
      </c>
      <c r="G1745">
        <f>_xludf.IMAGE("https://www.shelhealth.com/cdn/shop/products/3m-post-it-notes-4-in-x-6-1000-shelhealth-914.jpg?v=1663372769&amp;width=1946")</f>
        <v/>
      </c>
      <c r="H1745">
        <f>_xludf.IMAGE("https://m.media-amazon.com/images/I/71Qawzww6UL._AC_UL320_.jpg")</f>
        <v/>
      </c>
      <c r="K1745" t="inlineStr">
        <is>
          <t>27.99</t>
        </is>
      </c>
      <c r="L1745" t="n">
        <v>8.289999999999999</v>
      </c>
      <c r="M1745" s="1" t="inlineStr">
        <is>
          <t>-70.38%</t>
        </is>
      </c>
      <c r="N1745" s="3" t="n">
        <v>-70.38</v>
      </c>
      <c r="O1745" t="n">
        <v>4.8</v>
      </c>
      <c r="P1745" t="n">
        <v>756</v>
      </c>
      <c r="R1745" t="inlineStr">
        <is>
          <t>InStock</t>
        </is>
      </c>
      <c r="S1745" t="inlineStr">
        <is>
          <t>27.99</t>
        </is>
      </c>
      <c r="T1745" t="inlineStr">
        <is>
          <t>4696976883801</t>
        </is>
      </c>
    </row>
    <row r="1746" hidden="1" ht="15.75" customHeight="1">
      <c r="A1746" s="2">
        <f>HYPERLINK("https://www.shelhealth.com/products/tide-free-gentle-liquid-laundry-detergent-150-fl-oz", "https://www.shelhealth.com/products/tide-free-gentle-liquid-laundry-detergent-150-fl-oz")</f>
        <v/>
      </c>
      <c r="B1746" s="2">
        <f>HYPERLINK("https://www.shelhealth.com/products/tide-free-gentle-liquid-laundry-detergent-150-fl-oz", "https://www.shelhealth.com/products/tide-free-gentle-liquid-laundry-detergent-150-fl-oz")</f>
        <v/>
      </c>
      <c r="C1746" t="inlineStr">
        <is>
          <t>Tide Free &amp; Gentle Liquid Laundry Detergent, 150 fl. oz.</t>
        </is>
      </c>
      <c r="D1746" t="inlineStr">
        <is>
          <t>Tide Hygienic Clean Heavy Duty 10x Free Liquid Laundry Detergent, Unscented, 59 loads, 92 fl oz, HE Compatible</t>
        </is>
      </c>
      <c r="E1746" s="2">
        <f>HYPERLINK("https://www.amazon.com/Tide-Laundry-Detergent-Original-Pouches/dp/B08ZFYKYYD/ref=sr_1_7?keywords=Tide+Free&amp;qid=1695170414&amp;sr=8-7", "https://www.amazon.com/Tide-Laundry-Detergent-Original-Pouches/dp/B08ZFYKYYD/ref=sr_1_7?keywords=Tide+Free&amp;qid=1695170414&amp;sr=8-7")</f>
        <v/>
      </c>
      <c r="F1746" t="inlineStr">
        <is>
          <t>B08ZFYKYYD</t>
        </is>
      </c>
      <c r="G1746">
        <f>_xludf.IMAGE("https://www.shelhealth.com/cdn/shop/products/tide-free-gentle-liquid-laundry-detergent-150-fl-oz-shelhealth-871.jpg?v=1663356785&amp;width=1946")</f>
        <v/>
      </c>
      <c r="H1746">
        <f>_xludf.IMAGE("https://m.media-amazon.com/images/I/61If5JsPOtL._AC_UL320_.jpg")</f>
        <v/>
      </c>
      <c r="K1746" t="inlineStr">
        <is>
          <t>43.99</t>
        </is>
      </c>
      <c r="L1746" t="n">
        <v>12.99</v>
      </c>
      <c r="M1746" s="1" t="inlineStr">
        <is>
          <t>-70.47%</t>
        </is>
      </c>
      <c r="N1746" s="3" t="n">
        <v>-70.47</v>
      </c>
      <c r="O1746" t="n">
        <v>4.7</v>
      </c>
      <c r="P1746" t="n">
        <v>270</v>
      </c>
      <c r="R1746" t="inlineStr">
        <is>
          <t>InStock</t>
        </is>
      </c>
      <c r="S1746" t="inlineStr">
        <is>
          <t>43.99</t>
        </is>
      </c>
      <c r="T1746" t="inlineStr">
        <is>
          <t>4179084935220</t>
        </is>
      </c>
    </row>
    <row r="1747" hidden="1" ht="15.75" customHeight="1">
      <c r="A1747" s="2">
        <f>HYPERLINK("https://www.shelhealth.com/products/tide-free-gentle-liquid-laundry-detergent-150-fl-oz", "https://www.shelhealth.com/products/tide-free-gentle-liquid-laundry-detergent-150-fl-oz")</f>
        <v/>
      </c>
      <c r="B1747" s="2">
        <f>HYPERLINK("https://www.shelhealth.com/products/tide-free-gentle-liquid-laundry-detergent-150-fl-oz", "https://www.shelhealth.com/products/tide-free-gentle-liquid-laundry-detergent-150-fl-oz")</f>
        <v/>
      </c>
      <c r="C1747" t="inlineStr">
        <is>
          <t>Tide Free &amp; Gentle Liquid Laundry Detergent, 150 fl. oz.</t>
        </is>
      </c>
      <c r="D1747" t="inlineStr">
        <is>
          <t>Tide Free &amp; Gentle Liquid Laundry Detergent, 64 loads 92 fl oz (for Non-HE Machines)</t>
        </is>
      </c>
      <c r="E1747" s="2">
        <f>HYPERLINK("https://www.amazon.com/Gentle-Liquid-Laundry-Detergent-Bottle/dp/B08829X2NW/ref=sr_1_4?keywords=Tide+Free&amp;qid=1695170414&amp;sr=8-4", "https://www.amazon.com/Gentle-Liquid-Laundry-Detergent-Bottle/dp/B08829X2NW/ref=sr_1_4?keywords=Tide+Free&amp;qid=1695170414&amp;sr=8-4")</f>
        <v/>
      </c>
      <c r="F1747" t="inlineStr">
        <is>
          <t>B08829X2NW</t>
        </is>
      </c>
      <c r="G1747">
        <f>_xludf.IMAGE("https://www.shelhealth.com/cdn/shop/products/tide-free-gentle-liquid-laundry-detergent-150-fl-oz-shelhealth-871.jpg?v=1663356785&amp;width=1946")</f>
        <v/>
      </c>
      <c r="H1747">
        <f>_xludf.IMAGE("https://m.media-amazon.com/images/I/71YmFLBqmiL._AC_UL320_.jpg")</f>
        <v/>
      </c>
      <c r="K1747" t="inlineStr">
        <is>
          <t>43.99</t>
        </is>
      </c>
      <c r="L1747" t="n">
        <v>12.99</v>
      </c>
      <c r="M1747" s="1" t="inlineStr">
        <is>
          <t>-70.47%</t>
        </is>
      </c>
      <c r="N1747" s="3" t="n">
        <v>-70.47</v>
      </c>
      <c r="O1747" t="n">
        <v>4.7</v>
      </c>
      <c r="P1747" t="n">
        <v>121</v>
      </c>
      <c r="R1747" t="inlineStr">
        <is>
          <t>InStock</t>
        </is>
      </c>
      <c r="S1747" t="inlineStr">
        <is>
          <t>43.99</t>
        </is>
      </c>
      <c r="T1747" t="inlineStr">
        <is>
          <t>4179084935220</t>
        </is>
      </c>
    </row>
    <row r="1748" hidden="1" ht="15.75" customHeight="1">
      <c r="A1748" s="2">
        <f>HYPERLINK("https://www.shelhealth.com/products/tide-free-gentle-liquid-laundry-detergent-150-fl-oz", "https://www.shelhealth.com/products/tide-free-gentle-liquid-laundry-detergent-150-fl-oz")</f>
        <v/>
      </c>
      <c r="B1748" s="2">
        <f>HYPERLINK("https://www.shelhealth.com/products/tide-free-gentle-liquid-laundry-detergent-150-fl-oz", "https://www.shelhealth.com/products/tide-free-gentle-liquid-laundry-detergent-150-fl-oz")</f>
        <v/>
      </c>
      <c r="C1748" t="inlineStr">
        <is>
          <t>Tide Free &amp; Gentle Liquid Laundry Detergent, 150 fl. oz.</t>
        </is>
      </c>
      <c r="D1748" t="inlineStr">
        <is>
          <t>Tide Free &amp; Gentle Laundry Detergent Liquid Soap, 64 Loads, 92 Fl Oz, He Compatible</t>
        </is>
      </c>
      <c r="E1748" s="2">
        <f>HYPERLINK("https://www.amazon.com/Tide-Gentle-Liquid-Laundry-Detergent/dp/B085V5ZMV9/ref=sr_1_2?keywords=Tide+Free&amp;qid=1695170414&amp;rdc=1&amp;sr=8-2", "https://www.amazon.com/Tide-Gentle-Liquid-Laundry-Detergent/dp/B085V5ZMV9/ref=sr_1_2?keywords=Tide+Free&amp;qid=1695170414&amp;rdc=1&amp;sr=8-2")</f>
        <v/>
      </c>
      <c r="F1748" t="inlineStr">
        <is>
          <t>B085V5ZMV9</t>
        </is>
      </c>
      <c r="G1748">
        <f>_xludf.IMAGE("https://www.shelhealth.com/cdn/shop/products/tide-free-gentle-liquid-laundry-detergent-150-fl-oz-shelhealth-871.jpg?v=1663356785&amp;width=1946")</f>
        <v/>
      </c>
      <c r="H1748">
        <f>_xludf.IMAGE("https://m.media-amazon.com/images/I/71OmVZXWgkL._AC_UL320_.jpg")</f>
        <v/>
      </c>
      <c r="K1748" t="inlineStr">
        <is>
          <t>43.99</t>
        </is>
      </c>
      <c r="L1748" t="n">
        <v>12.97</v>
      </c>
      <c r="M1748" s="1" t="inlineStr">
        <is>
          <t>-70.52%</t>
        </is>
      </c>
      <c r="N1748" s="3" t="n">
        <v>-70.52</v>
      </c>
      <c r="O1748" t="n">
        <v>4.8</v>
      </c>
      <c r="P1748" t="n">
        <v>28168</v>
      </c>
      <c r="R1748" t="inlineStr">
        <is>
          <t>InStock</t>
        </is>
      </c>
      <c r="S1748" t="inlineStr">
        <is>
          <t>43.99</t>
        </is>
      </c>
      <c r="T1748" t="inlineStr">
        <is>
          <t>4179084935220</t>
        </is>
      </c>
    </row>
    <row r="1749" hidden="1" ht="15.75" customHeight="1">
      <c r="A1749" s="2">
        <f>HYPERLINK("https://www.shelhealth.com/products/tide-free-gentle-liquid-laundry-detergent-150-fl-oz", "https://www.shelhealth.com/products/tide-free-gentle-liquid-laundry-detergent-150-fl-oz")</f>
        <v/>
      </c>
      <c r="B1749" s="2">
        <f>HYPERLINK("https://www.shelhealth.com/products/tide-free-gentle-liquid-laundry-detergent-150-fl-oz", "https://www.shelhealth.com/products/tide-free-gentle-liquid-laundry-detergent-150-fl-oz")</f>
        <v/>
      </c>
      <c r="C1749" t="inlineStr">
        <is>
          <t>Tide Free &amp; Gentle Liquid Laundry Detergent, 150 fl. oz.</t>
        </is>
      </c>
      <c r="D1749" t="inlineStr">
        <is>
          <t>Tide Free &amp; Gentle Liquid Laundry Detergent, 64 loads</t>
        </is>
      </c>
      <c r="E1749" s="2">
        <f>HYPERLINK("https://www.amazon.com/Tide-Gentle-Liquid-Laundry-Detergent/dp/B0864N3WPL/ref=sr_1_10?keywords=Tide+Free&amp;qid=1695170414&amp;sr=8-10", "https://www.amazon.com/Tide-Gentle-Liquid-Laundry-Detergent/dp/B0864N3WPL/ref=sr_1_10?keywords=Tide+Free&amp;qid=1695170414&amp;sr=8-10")</f>
        <v/>
      </c>
      <c r="F1749" t="inlineStr">
        <is>
          <t>B0864N3WPL</t>
        </is>
      </c>
      <c r="G1749">
        <f>_xludf.IMAGE("https://www.shelhealth.com/cdn/shop/products/tide-free-gentle-liquid-laundry-detergent-150-fl-oz-shelhealth-871.jpg?v=1663356785&amp;width=1946")</f>
        <v/>
      </c>
      <c r="H1749">
        <f>_xludf.IMAGE("https://m.media-amazon.com/images/I/81XHa7RmsNL._AC_UL320_.jpg")</f>
        <v/>
      </c>
      <c r="K1749" t="inlineStr">
        <is>
          <t>43.99</t>
        </is>
      </c>
      <c r="L1749" t="n">
        <v>12.97</v>
      </c>
      <c r="M1749" s="1" t="inlineStr">
        <is>
          <t>-70.52%</t>
        </is>
      </c>
      <c r="N1749" s="3" t="n">
        <v>-70.52</v>
      </c>
      <c r="O1749" t="n">
        <v>4.8</v>
      </c>
      <c r="P1749" t="n">
        <v>1279</v>
      </c>
      <c r="R1749" t="inlineStr">
        <is>
          <t>InStock</t>
        </is>
      </c>
      <c r="S1749" t="inlineStr">
        <is>
          <t>43.99</t>
        </is>
      </c>
      <c r="T1749" t="inlineStr">
        <is>
          <t>4179084935220</t>
        </is>
      </c>
    </row>
    <row r="1750" hidden="1" ht="15.75" customHeight="1">
      <c r="A1750" s="2">
        <f>HYPERLINK("https://www.shelhealth.com/products/titanfine-disposable-vinyl-gloves-l-xl-100-ct", "https://www.shelhealth.com/products/titanfine-disposable-vinyl-gloves-l-xl-100-ct")</f>
        <v/>
      </c>
      <c r="B1750" s="2">
        <f>HYPERLINK("https://www.shelhealth.com/products/titanfine-disposable-vinyl-gloves-l-xl-100-ct", "https://www.shelhealth.com/products/titanfine-disposable-vinyl-gloves-l-xl-100-ct")</f>
        <v/>
      </c>
      <c r="C1750" t="inlineStr">
        <is>
          <t>Titanfine Disposable Vinyl Gloves L/XL - 100 ct.</t>
        </is>
      </c>
      <c r="D1750" t="inlineStr">
        <is>
          <t>Intco Basic Disposable Vinyl Exam Gloves 100Pcs,XL Size,Cleaning Gloves,Food Service Gloves,Powder Free,Latex Free,Non-Sterile for All Purposes Gloves,Blue (BMPF3004B)</t>
        </is>
      </c>
      <c r="E1750" s="2">
        <f>HYPERLINK("https://www.amazon.com/Basic-Disposable-Cleaning-Non-Sterile-BMPF3004B/dp/B08VGDWFNV/ref=sr_1_8?keywords=Titanfine+Disposable+Vinyl+Gloves+L%2FXL+-+100+ct.&amp;qid=1695170546&amp;sr=8-8", "https://www.amazon.com/Basic-Disposable-Cleaning-Non-Sterile-BMPF3004B/dp/B08VGDWFNV/ref=sr_1_8?keywords=Titanfine+Disposable+Vinyl+Gloves+L%2FXL+-+100+ct.&amp;qid=1695170546&amp;sr=8-8")</f>
        <v/>
      </c>
      <c r="F1750" t="inlineStr">
        <is>
          <t>B08VGDWFNV</t>
        </is>
      </c>
      <c r="G1750">
        <f>_xludf.IMAGE("https://www.shelhealth.com/cdn/shop/products/titanfine-disposable-vinyl-gloves-lxl-100-ct-shelhealth-224.jpg?v=1663373873&amp;width=1946")</f>
        <v/>
      </c>
      <c r="H1750">
        <f>_xludf.IMAGE("https://m.media-amazon.com/images/I/51hQneJpdbL._AC_UL320_.jpg")</f>
        <v/>
      </c>
      <c r="K1750" t="inlineStr">
        <is>
          <t>19.99</t>
        </is>
      </c>
      <c r="L1750" t="n">
        <v>5.79</v>
      </c>
      <c r="M1750" s="1" t="inlineStr">
        <is>
          <t>-71.04%</t>
        </is>
      </c>
      <c r="N1750" s="3" t="n">
        <v>-71.04000000000001</v>
      </c>
      <c r="O1750" t="n">
        <v>4.6</v>
      </c>
      <c r="P1750" t="n">
        <v>2200</v>
      </c>
      <c r="R1750" t="inlineStr">
        <is>
          <t>OutOfStock</t>
        </is>
      </c>
      <c r="S1750" t="inlineStr">
        <is>
          <t>19.99</t>
        </is>
      </c>
      <c r="T1750" t="inlineStr">
        <is>
          <t>4711261077593</t>
        </is>
      </c>
    </row>
    <row r="1751" hidden="1" ht="15.75" customHeight="1">
      <c r="A1751" s="2">
        <f>HYPERLINK("https://www.shelhealth.com/products/tide-pods-ultra-oxi-liquid-detergent-pacs-80-ct", "https://www.shelhealth.com/products/tide-pods-ultra-oxi-liquid-detergent-pacs-80-ct")</f>
        <v/>
      </c>
      <c r="B1751" s="2">
        <f>HYPERLINK("https://www.shelhealth.com/products/tide-pods-ultra-oxi-liquid-detergent-pacs-80-ct", "https://www.shelhealth.com/products/tide-pods-ultra-oxi-liquid-detergent-pacs-80-ct")</f>
        <v/>
      </c>
      <c r="C1751" t="inlineStr">
        <is>
          <t>Tide PODS Ultra OXI Liquid Detergent Pacs, 80 ct.</t>
        </is>
      </c>
      <c r="D1751" t="inlineStr">
        <is>
          <t>Tide Pods Ultra Oxi Liquid Detergent Pacs, 26 Count (Packaging May Vary)</t>
        </is>
      </c>
      <c r="E1751" s="2">
        <f>HYPERLINK("https://www.amazon.com/Tide-Ultra-Liquid-Detergent-Packaging/dp/B07B11YCHB/ref=sr_1_2?keywords=Tide+PODS+Ultra+OXI+Liquid+Detergent+Pacs%2C+80+ct.&amp;qid=1695170557&amp;sr=8-2", "https://www.amazon.com/Tide-Ultra-Liquid-Detergent-Packaging/dp/B07B11YCHB/ref=sr_1_2?keywords=Tide+PODS+Ultra+OXI+Liquid+Detergent+Pacs%2C+80+ct.&amp;qid=1695170557&amp;sr=8-2")</f>
        <v/>
      </c>
      <c r="F1751" t="inlineStr">
        <is>
          <t>B07B11YCHB</t>
        </is>
      </c>
      <c r="G1751">
        <f>_xludf.IMAGE("https://www.shelhealth.com/cdn/shop/products/tide-pods-ultra-oxi-liquid-detergent-pacs-80-ct-shelhealth-884.jpg?v=1663356710&amp;width=1946")</f>
        <v/>
      </c>
      <c r="H1751">
        <f>_xludf.IMAGE("https://m.media-amazon.com/images/I/81huHgA1EAL._AC_UL320_.jpg")</f>
        <v/>
      </c>
      <c r="K1751" t="inlineStr">
        <is>
          <t>38.99</t>
        </is>
      </c>
      <c r="L1751" t="n">
        <v>11.29</v>
      </c>
      <c r="M1751" s="1" t="inlineStr">
        <is>
          <t>-71.04%</t>
        </is>
      </c>
      <c r="N1751" s="3" t="n">
        <v>-71.04000000000001</v>
      </c>
      <c r="O1751" t="n">
        <v>4.8</v>
      </c>
      <c r="P1751" t="n">
        <v>3172</v>
      </c>
      <c r="R1751" t="inlineStr">
        <is>
          <t>InStock</t>
        </is>
      </c>
      <c r="S1751" t="inlineStr">
        <is>
          <t>38.99</t>
        </is>
      </c>
      <c r="T1751" t="inlineStr">
        <is>
          <t>4179061669940</t>
        </is>
      </c>
    </row>
    <row r="1752" hidden="1" ht="15.75" customHeight="1">
      <c r="A1752" s="2">
        <f>HYPERLINK("https://www.shelhealth.com/products/11120255218-better-life-dish-soap-lemon-mint-5-ga", "https://www.shelhealth.com/products/11120255218-better-life-dish-soap-lemon-mint-5-ga")</f>
        <v/>
      </c>
      <c r="B1752" s="2">
        <f>HYPERLINK("https://www.shelhealth.com/products/11120255218-better-life-dish-soap-lemon-mint-5-ga", "https://www.shelhealth.com/products/11120255218-better-life-dish-soap-lemon-mint-5-ga")</f>
        <v/>
      </c>
      <c r="C1752" t="inlineStr">
        <is>
          <t>BETTER LIFE Dish Soap Lemon Mint, 5 ga</t>
        </is>
      </c>
      <c r="D1752" t="inlineStr">
        <is>
          <t>Better Life Dish Soap, All Natural, Lemon Mint, 22 Ounces (Pack of 6)</t>
        </is>
      </c>
      <c r="E1752" s="2">
        <f>HYPERLINK("https://www.amazon.com/Better-Life-Natural-Lemon-Ounces/dp/B008N1FH2E/ref=sr_1_2?keywords=BETTER+LIFE+Dish+Soap+Lemon+Mint%2C+5+ga&amp;qid=1695170484&amp;sr=8-2", "https://www.amazon.com/Better-Life-Natural-Lemon-Ounces/dp/B008N1FH2E/ref=sr_1_2?keywords=BETTER+LIFE+Dish+Soap+Lemon+Mint%2C+5+ga&amp;qid=1695170484&amp;sr=8-2")</f>
        <v/>
      </c>
      <c r="F1752" t="inlineStr">
        <is>
          <t>B008N1FH2E</t>
        </is>
      </c>
      <c r="G1752">
        <f>_xludf.IMAGE("https://www.shelhealth.com/cdn/shop/files/better-life-dish-soap-lemon-mint-5-ga-home-products-shelhealth-691.jpg?v=1686206197&amp;width=1946")</f>
        <v/>
      </c>
      <c r="H1752">
        <f>_xludf.IMAGE("https://m.media-amazon.com/images/I/51BVONpvqoL._AC_UL320_.jpg")</f>
        <v/>
      </c>
      <c r="K1752" t="inlineStr">
        <is>
          <t>152.99</t>
        </is>
      </c>
      <c r="L1752" t="n">
        <v>43.74</v>
      </c>
      <c r="M1752" s="1" t="inlineStr">
        <is>
          <t>-71.41%</t>
        </is>
      </c>
      <c r="N1752" s="3" t="n">
        <v>-71.41</v>
      </c>
      <c r="O1752" t="n">
        <v>5</v>
      </c>
      <c r="P1752" t="n">
        <v>21</v>
      </c>
      <c r="R1752" t="inlineStr">
        <is>
          <t>OutOfStock</t>
        </is>
      </c>
      <c r="S1752" t="inlineStr">
        <is>
          <t>152.99</t>
        </is>
      </c>
      <c r="T1752" t="inlineStr">
        <is>
          <t>7573980152040</t>
        </is>
      </c>
    </row>
    <row r="1753" hidden="1" ht="15.75" customHeight="1">
      <c r="A1753" s="2">
        <f>HYPERLINK("https://www.shelhealth.com/products/ultra-downy-april-fresh-liquid-laundry-fabric-softener-170-oz-197-loads", "https://www.shelhealth.com/products/ultra-downy-april-fresh-liquid-laundry-fabric-softener-170-oz-197-loads")</f>
        <v/>
      </c>
      <c r="B1753" s="2">
        <f>HYPERLINK("https://www.shelhealth.com/products/ultra-downy-april-fresh-liquid-laundry-fabric-softener-170-oz-197-loads", "https://www.shelhealth.com/products/ultra-downy-april-fresh-liquid-laundry-fabric-softener-170-oz-197-loads")</f>
        <v/>
      </c>
      <c r="C1753" t="inlineStr">
        <is>
          <t>Ultra Downy April Fresh Liquid Laundry Fabric Softener - 148 oz. - 204 loads</t>
        </is>
      </c>
      <c r="D1753" t="inlineStr">
        <is>
          <t>Downy Ultra April Fresh Liquid Fabric Softener 23 Loads 19 Fl Oz (Pack of 3) (packaging may vary)</t>
        </is>
      </c>
      <c r="E1753" s="2">
        <f>HYPERLINK("https://www.amazon.com/Downy-Liquid-Fabric-Softener-packaging/dp/B000V2ACTG/ref=sr_1_3?keywords=Ultra+Downy+April+Fresh+Liquid+Laundry+Fabric+Softener+-+148+oz.+-+204+loads&amp;qid=1695170417&amp;sr=8-3", "https://www.amazon.com/Downy-Liquid-Fabric-Softener-packaging/dp/B000V2ACTG/ref=sr_1_3?keywords=Ultra+Downy+April+Fresh+Liquid+Laundry+Fabric+Softener+-+148+oz.+-+204+loads&amp;qid=1695170417&amp;sr=8-3")</f>
        <v/>
      </c>
      <c r="F1753" t="inlineStr">
        <is>
          <t>B000V2ACTG</t>
        </is>
      </c>
      <c r="G1753">
        <f>_xludf.IMAGE("https://www.shelhealth.com/cdn/shop/products/ultra-downy-april-fresh-liquid-laundry-fabric-softener-148-oz-204-loads-shelhealth-196.jpg?v=1663343249&amp;width=1946")</f>
        <v/>
      </c>
      <c r="H1753">
        <f>_xludf.IMAGE("https://m.media-amazon.com/images/I/81fJcbPiVXL._AC_UL320_.jpg")</f>
        <v/>
      </c>
      <c r="K1753" t="inlineStr">
        <is>
          <t>32.99</t>
        </is>
      </c>
      <c r="L1753" t="n">
        <v>9.43</v>
      </c>
      <c r="M1753" s="1" t="inlineStr">
        <is>
          <t>-71.42%</t>
        </is>
      </c>
      <c r="N1753" s="3" t="n">
        <v>-71.42</v>
      </c>
      <c r="O1753" t="n">
        <v>3.5</v>
      </c>
      <c r="P1753" t="n">
        <v>123</v>
      </c>
      <c r="R1753" t="inlineStr">
        <is>
          <t>InStock</t>
        </is>
      </c>
      <c r="S1753" t="inlineStr">
        <is>
          <t>32.99</t>
        </is>
      </c>
      <c r="T1753" t="inlineStr">
        <is>
          <t>3819976720436</t>
        </is>
      </c>
    </row>
    <row r="1754" hidden="1" ht="15.75" customHeight="1">
      <c r="A1754" s="2">
        <f>HYPERLINK("https://www.shelhealth.com/products/duracell-rechargeable-aa-pre-charged-batteries-6-ct", "https://www.shelhealth.com/products/duracell-rechargeable-aa-pre-charged-batteries-6-ct")</f>
        <v/>
      </c>
      <c r="B1754" s="2">
        <f>HYPERLINK("https://www.shelhealth.com/products/duracell-rechargeable-aa-pre-charged-batteries-6-ct", "https://www.shelhealth.com/products/duracell-rechargeable-aa-pre-charged-batteries-6-ct")</f>
        <v/>
      </c>
      <c r="C1754" t="inlineStr">
        <is>
          <t>Duracell Rechargeable AA Pre-Charged Batteries, 6 ct.</t>
        </is>
      </c>
      <c r="D1754" t="inlineStr">
        <is>
          <t>Duracell Rechargeable AAA Batteries, 2 Count Pack, Triple A Battery for Long-lasting Power, All-Purpose Pre-Charged Battery for Household and Business Devices</t>
        </is>
      </c>
      <c r="E1754" s="2">
        <f>HYPERLINK("https://www.amazon.com/Duracell-Rechargeable-Batteries-Count-Pack/dp/B001F0RCE6/ref=sr_1_8?keywords=Duracell+Rechargeable+AA+Pre-Charged+Batteries%2C+6+ct.&amp;qid=1695170567&amp;sr=8-8", "https://www.amazon.com/Duracell-Rechargeable-Batteries-Count-Pack/dp/B001F0RCE6/ref=sr_1_8?keywords=Duracell+Rechargeable+AA+Pre-Charged+Batteries%2C+6+ct.&amp;qid=1695170567&amp;sr=8-8")</f>
        <v/>
      </c>
      <c r="F1754" t="inlineStr">
        <is>
          <t>B001F0RCE6</t>
        </is>
      </c>
      <c r="G1754">
        <f>_xludf.IMAGE("https://www.shelhealth.com/cdn/shop/products/duracell-rechargeable-aa-pre-charged-batteries-6-ct-shelhealth-446.jpg?v=1675325310&amp;width=1946")</f>
        <v/>
      </c>
      <c r="H1754">
        <f>_xludf.IMAGE("https://m.media-amazon.com/images/I/719b9Yivl0L._AC_UL320_.jpg")</f>
        <v/>
      </c>
      <c r="K1754" t="inlineStr">
        <is>
          <t>34.99</t>
        </is>
      </c>
      <c r="L1754" t="n">
        <v>9.99</v>
      </c>
      <c r="M1754" s="1" t="inlineStr">
        <is>
          <t>-71.45%</t>
        </is>
      </c>
      <c r="N1754" s="3" t="n">
        <v>-71.45</v>
      </c>
      <c r="O1754" t="n">
        <v>4.7</v>
      </c>
      <c r="P1754" t="n">
        <v>470</v>
      </c>
      <c r="R1754" t="inlineStr">
        <is>
          <t>InStock</t>
        </is>
      </c>
      <c r="S1754" t="inlineStr">
        <is>
          <t>34.99</t>
        </is>
      </c>
      <c r="T1754" t="inlineStr">
        <is>
          <t>4167656767540</t>
        </is>
      </c>
    </row>
    <row r="1755" hidden="1" ht="15.75" customHeight="1">
      <c r="A1755" s="2">
        <f>HYPERLINK("https://www.shelhealth.com/products/mistolin-lavender-all-purpose-cleaner-128-fl-oz", "https://www.shelhealth.com/products/mistolin-lavender-all-purpose-cleaner-128-fl-oz")</f>
        <v/>
      </c>
      <c r="B1755" s="2">
        <f>HYPERLINK("https://www.shelhealth.com/products/mistolin-lavender-all-purpose-cleaner-128-fl-oz", "https://www.shelhealth.com/products/mistolin-lavender-all-purpose-cleaner-128-fl-oz")</f>
        <v/>
      </c>
      <c r="C1755" t="inlineStr">
        <is>
          <t>Mistolin Lavender All Purpose Cleaner, 128 fl. oz.</t>
        </is>
      </c>
      <c r="D1755" t="inlineStr">
        <is>
          <t>Mistolin Lavender, All Purpose Cleaner, 64 Fl Oz, Longer Lasting Multi Purpose Cleaner, Best Cleaner for Floors, Bathrooms &amp; Kitchen Appliances</t>
        </is>
      </c>
      <c r="E1755" s="2">
        <f>HYPERLINK("https://www.amazon.com/MISTOLIN-Multi-Purpose-Cleaner-Lavender/dp/B008G03XK0/ref=sr_1_2?keywords=Mistolin+Lavender+All+Purpose+Cleaner%2C+128+fl.+oz.&amp;qid=1695170395&amp;sr=8-2", "https://www.amazon.com/MISTOLIN-Multi-Purpose-Cleaner-Lavender/dp/B008G03XK0/ref=sr_1_2?keywords=Mistolin+Lavender+All+Purpose+Cleaner%2C+128+fl.+oz.&amp;qid=1695170395&amp;sr=8-2")</f>
        <v/>
      </c>
      <c r="F1755" t="inlineStr">
        <is>
          <t>B008G03XK0</t>
        </is>
      </c>
      <c r="G1755">
        <f>_xludf.IMAGE("https://www.shelhealth.com/cdn/shop/products/mistolin-lavender-all-purpose-cleaner-128-fl-oz-shelhealth-121.jpg?v=1663355220&amp;width=1946")</f>
        <v/>
      </c>
      <c r="H1755">
        <f>_xludf.IMAGE("https://m.media-amazon.com/images/I/81RJfOOns3L._AC_UL320_.jpg")</f>
        <v/>
      </c>
      <c r="K1755" t="inlineStr">
        <is>
          <t>27.99</t>
        </is>
      </c>
      <c r="L1755" t="n">
        <v>7.99</v>
      </c>
      <c r="M1755" s="1" t="inlineStr">
        <is>
          <t>-71.45%</t>
        </is>
      </c>
      <c r="N1755" s="3" t="n">
        <v>-71.45</v>
      </c>
      <c r="O1755" t="n">
        <v>4.7</v>
      </c>
      <c r="P1755" t="n">
        <v>69</v>
      </c>
      <c r="R1755" t="inlineStr">
        <is>
          <t>OutOfStock</t>
        </is>
      </c>
      <c r="S1755" t="inlineStr">
        <is>
          <t>27.99</t>
        </is>
      </c>
      <c r="T1755" t="inlineStr">
        <is>
          <t>4169749135412</t>
        </is>
      </c>
    </row>
    <row r="1756" hidden="1" ht="15.75" customHeight="1">
      <c r="A1756" s="2">
        <f>HYPERLINK("https://www.shelhealth.com/products/suavitel-fabric-softener-field-of-flowers-200-oz-151-loads", "https://www.shelhealth.com/products/suavitel-fabric-softener-field-of-flowers-200-oz-151-loads")</f>
        <v/>
      </c>
      <c r="B1756" s="2">
        <f>HYPERLINK("https://www.shelhealth.com/products/suavitel-fabric-softener-field-of-flowers-200-oz-151-loads", "https://www.shelhealth.com/products/suavitel-fabric-softener-field-of-flowers-200-oz-151-loads")</f>
        <v/>
      </c>
      <c r="C1756" t="inlineStr">
        <is>
          <t>Suavitel Fabric Softener Field of Flowers - 200 oz. - 151 Loads</t>
        </is>
      </c>
      <c r="D1756" t="inlineStr">
        <is>
          <t>Suavitel Liquid Fabric Softener, Field Flowers, 46 oz (Pack of 2)</t>
        </is>
      </c>
      <c r="E1756" s="2">
        <f>HYPERLINK("https://www.amazon.com/Suavitel-Liquid-Fabric-Softener-Flowers/dp/B0C8TYQG9S/ref=sr_1_2?keywords=Suavitel+Fabric+Softener+Field+of+Flowers+-+200+oz.+-+151+Loads&amp;qid=1695170420&amp;sr=8-2", "https://www.amazon.com/Suavitel-Liquid-Fabric-Softener-Flowers/dp/B0C8TYQG9S/ref=sr_1_2?keywords=Suavitel+Fabric+Softener+Field+of+Flowers+-+200+oz.+-+151+Loads&amp;qid=1695170420&amp;sr=8-2")</f>
        <v/>
      </c>
      <c r="F1756" t="inlineStr">
        <is>
          <t>B0C8TYQG9S</t>
        </is>
      </c>
      <c r="G1756">
        <f>_xludf.IMAGE("https://www.shelhealth.com/cdn/shop/products/suavitel-fabric-softener-field-of-flowers-200-oz-151-loads-shelhealth-716.jpg?v=1663343256&amp;width=1946")</f>
        <v/>
      </c>
      <c r="H1756">
        <f>_xludf.IMAGE("https://m.media-amazon.com/images/I/51qYfDynOtL._AC_UL320_.jpg")</f>
        <v/>
      </c>
      <c r="K1756" t="inlineStr">
        <is>
          <t>27.99</t>
        </is>
      </c>
      <c r="L1756" t="n">
        <v>7.94</v>
      </c>
      <c r="M1756" s="1" t="inlineStr">
        <is>
          <t>-71.63%</t>
        </is>
      </c>
      <c r="N1756" s="3" t="n">
        <v>-71.63</v>
      </c>
      <c r="O1756" t="n">
        <v>4.7</v>
      </c>
      <c r="P1756" t="n">
        <v>13512</v>
      </c>
      <c r="R1756" t="inlineStr">
        <is>
          <t>InStock</t>
        </is>
      </c>
      <c r="S1756" t="inlineStr">
        <is>
          <t>27.99</t>
        </is>
      </c>
      <c r="T1756" t="inlineStr">
        <is>
          <t>3819978162228</t>
        </is>
      </c>
    </row>
    <row r="1757" hidden="1" ht="15.75" customHeight="1">
      <c r="A1757" s="2">
        <f>HYPERLINK("https://www.shelhealth.com/products/3m-post-it-notes-3-in-x-3-in-1000-notes", "https://www.shelhealth.com/products/3m-post-it-notes-3-in-x-3-in-1000-notes")</f>
        <v/>
      </c>
      <c r="B1757" s="2">
        <f>HYPERLINK("https://www.shelhealth.com/products/3m-post-it-notes-3-in-x-3-in-1000-notes", "https://www.shelhealth.com/products/3m-post-it-notes-3-in-x-3-in-1000-notes")</f>
        <v/>
      </c>
      <c r="C1757" t="inlineStr">
        <is>
          <t>3M Post-It Notes 3 in. x 3 in. (1000 Notes)</t>
        </is>
      </c>
      <c r="D1757" t="inlineStr">
        <is>
          <t>Post-it Notes, 3 in x 5 in, 5 Pads, America #1 Favorite Sticky Notes, Cape Town Collection, Bright Colors (Magenta, Pink, Blue, Green), Clean Removal, Recyclable (655-5PK)</t>
        </is>
      </c>
      <c r="E1757" s="2">
        <f>HYPERLINK("https://www.amazon.com/Post-Americas-Collection-Recyclable-655-5PK/dp/B00006JNNG/ref=sr_1_8?keywords=3M+Post-It+Notes+3+in.+x+3+in.+%281000+Notes%29&amp;qid=1695170543&amp;sr=8-8", "https://www.amazon.com/Post-Americas-Collection-Recyclable-655-5PK/dp/B00006JNNG/ref=sr_1_8?keywords=3M+Post-It+Notes+3+in.+x+3+in.+%281000+Notes%29&amp;qid=1695170543&amp;sr=8-8")</f>
        <v/>
      </c>
      <c r="F1757" t="inlineStr">
        <is>
          <t>B00006JNNG</t>
        </is>
      </c>
      <c r="G1757">
        <f>_xludf.IMAGE("https://www.shelhealth.com/cdn/shop/products/3m-post-it-notes-3-in-x-1000-shelhealth-901.jpg?v=1663372777&amp;width=1946")</f>
        <v/>
      </c>
      <c r="H1757">
        <f>_xludf.IMAGE("https://m.media-amazon.com/images/I/61sxXZKaI7L._AC_UL320_.jpg")</f>
        <v/>
      </c>
      <c r="K1757" t="inlineStr">
        <is>
          <t>27.99</t>
        </is>
      </c>
      <c r="L1757" t="n">
        <v>7.83</v>
      </c>
      <c r="M1757" s="1" t="inlineStr">
        <is>
          <t>-72.03%</t>
        </is>
      </c>
      <c r="N1757" s="3" t="n">
        <v>-72.03</v>
      </c>
      <c r="O1757" t="n">
        <v>4.8</v>
      </c>
      <c r="P1757" t="n">
        <v>643</v>
      </c>
      <c r="R1757" t="inlineStr">
        <is>
          <t>InStock</t>
        </is>
      </c>
      <c r="S1757" t="inlineStr">
        <is>
          <t>27.99</t>
        </is>
      </c>
      <c r="T1757" t="inlineStr">
        <is>
          <t>4696977703001</t>
        </is>
      </c>
    </row>
    <row r="1758" hidden="1" ht="15.75" customHeight="1">
      <c r="A1758" s="2">
        <f>HYPERLINK("https://www.shelhealth.com/products/scrubbing-bubbles-fresh-citrus-toilet-cleaning-stamps-and-gel", "https://www.shelhealth.com/products/scrubbing-bubbles-fresh-citrus-toilet-cleaning-stamps-and-gel")</f>
        <v/>
      </c>
      <c r="B1758" s="2">
        <f>HYPERLINK("https://www.shelhealth.com/products/scrubbing-bubbles-fresh-citrus-toilet-cleaning-stamps-and-gel", "https://www.shelhealth.com/products/scrubbing-bubbles-fresh-citrus-toilet-cleaning-stamps-and-gel")</f>
        <v/>
      </c>
      <c r="C1758" t="inlineStr">
        <is>
          <t>Scrubbing Bubbles Fresh Citrus Toilet Cleaning Stamps and Gel</t>
        </is>
      </c>
      <c r="D1758" t="inlineStr">
        <is>
          <t>Scrubbing Bubbles Fresh Gel Toilet Bowl Cleaning Stamps Starter Pack, Clean and Prevent Limescale and Toilet Rings, Citrus Scent, 1 Dispenser with 6 Stamps, 1.34 Oz</t>
        </is>
      </c>
      <c r="E1758" s="2">
        <f>HYPERLINK("https://www.amazon.com/Scrubbing-Bubbles-Cleaning-Limescale-Dispenser/dp/B01FX5H9N2/ref=sr_1_1?keywords=Scrubbing+Bubbles+Fresh+Citrus+Toilet+Cleaning+Stamps+and+Gel&amp;qid=1695170544&amp;sr=8-1", "https://www.amazon.com/Scrubbing-Bubbles-Cleaning-Limescale-Dispenser/dp/B01FX5H9N2/ref=sr_1_1?keywords=Scrubbing+Bubbles+Fresh+Citrus+Toilet+Cleaning+Stamps+and+Gel&amp;qid=1695170544&amp;sr=8-1")</f>
        <v/>
      </c>
      <c r="F1758" t="inlineStr">
        <is>
          <t>B01FX5H9N2</t>
        </is>
      </c>
      <c r="G1758">
        <f>_xludf.IMAGE("https://www.shelhealth.com/cdn/shop/products/scrubbing-bubbles-fresh-citrus-toilet-cleaning-stamps-and-gel-shelhealth-822.jpg?v=1663369145&amp;width=1946")</f>
        <v/>
      </c>
      <c r="H1758">
        <f>_xludf.IMAGE("https://m.media-amazon.com/images/I/81r3y8yWNbL._AC_UL320_.jpg")</f>
        <v/>
      </c>
      <c r="K1758" t="inlineStr">
        <is>
          <t>17.99</t>
        </is>
      </c>
      <c r="L1758" t="n">
        <v>4.99</v>
      </c>
      <c r="M1758" s="1" t="inlineStr">
        <is>
          <t>-72.26%</t>
        </is>
      </c>
      <c r="N1758" s="3" t="n">
        <v>-72.26000000000001</v>
      </c>
      <c r="O1758" t="n">
        <v>4.3</v>
      </c>
      <c r="P1758" t="n">
        <v>16097</v>
      </c>
      <c r="R1758" t="inlineStr">
        <is>
          <t>OutOfStock</t>
        </is>
      </c>
      <c r="S1758" t="inlineStr">
        <is>
          <t>17.99</t>
        </is>
      </c>
      <c r="T1758" t="inlineStr">
        <is>
          <t>4613432508505</t>
        </is>
      </c>
    </row>
    <row r="1759" hidden="1" ht="15.75" customHeight="1">
      <c r="A1759" s="2">
        <f>HYPERLINK("https://www.shelhealth.com/products/dawn-platinum-powerwash-fresh-scent-value-pack", "https://www.shelhealth.com/products/dawn-platinum-powerwash-fresh-scent-value-pack")</f>
        <v/>
      </c>
      <c r="B1759" s="2">
        <f>HYPERLINK("https://www.shelhealth.com/products/dawn-platinum-powerwash-fresh-scent-value-pack", "https://www.shelhealth.com/products/dawn-platinum-powerwash-fresh-scent-value-pack")</f>
        <v/>
      </c>
      <c r="C1759" t="inlineStr">
        <is>
          <t>Dawn Platinum Powerwash Fresh Scent Value Pack</t>
        </is>
      </c>
      <c r="D1759" t="inlineStr">
        <is>
          <t>Dawn Platinum Powerwash Dish Spray, Dish Soap, Fresh Scent, 16 Fl Oz</t>
        </is>
      </c>
      <c r="E1759" s="2">
        <f>HYPERLINK("https://www.amazon.com/Dawn-Platinum-Powerwash-Spray-Fresh/dp/B01HJM6AY6/ref=sr_1_8?keywords=Dawn+Platinum+Powerwash+Fresh+Scent+Value+Pack&amp;qid=1695170385&amp;sr=8-8", "https://www.amazon.com/Dawn-Platinum-Powerwash-Spray-Fresh/dp/B01HJM6AY6/ref=sr_1_8?keywords=Dawn+Platinum+Powerwash+Fresh+Scent+Value+Pack&amp;qid=1695170385&amp;sr=8-8")</f>
        <v/>
      </c>
      <c r="F1759" t="inlineStr">
        <is>
          <t>B01HJM6AY6</t>
        </is>
      </c>
      <c r="G1759">
        <f>_xludf.IMAGE("https://www.shelhealth.com/cdn/shop/files/dawn-platinum-powerwash-fresh-scent-value-pack-grocery-household-petcleaning-goods-shelhealth-997.jpg?v=1686283881&amp;width=1946")</f>
        <v/>
      </c>
      <c r="H1759">
        <f>_xludf.IMAGE("https://m.media-amazon.com/images/I/71aJJ5jSlZL._AC_UL320_.jpg")</f>
        <v/>
      </c>
      <c r="K1759" t="inlineStr">
        <is>
          <t>17.99</t>
        </is>
      </c>
      <c r="L1759" t="n">
        <v>4.94</v>
      </c>
      <c r="M1759" s="1" t="inlineStr">
        <is>
          <t>-72.54%</t>
        </is>
      </c>
      <c r="N1759" s="3" t="n">
        <v>-72.54000000000001</v>
      </c>
      <c r="O1759" t="n">
        <v>4.8</v>
      </c>
      <c r="P1759" t="n">
        <v>2277</v>
      </c>
      <c r="R1759" t="inlineStr">
        <is>
          <t>InStock</t>
        </is>
      </c>
      <c r="S1759" t="inlineStr">
        <is>
          <t>17.99</t>
        </is>
      </c>
      <c r="T1759" t="inlineStr">
        <is>
          <t>4618808819801</t>
        </is>
      </c>
    </row>
    <row r="1760" hidden="1" ht="15.75" customHeight="1">
      <c r="A1760" s="2">
        <f>HYPERLINK("https://www.shelhealth.com/products/brita-on-tap-faucet-replacement-filter-4-pack", "https://www.shelhealth.com/products/brita-on-tap-faucet-replacement-filter-4-pack")</f>
        <v/>
      </c>
      <c r="B1760" s="2">
        <f>HYPERLINK("https://www.shelhealth.com/products/brita-on-tap-faucet-replacement-filter-4-pack", "https://www.shelhealth.com/products/brita-on-tap-faucet-replacement-filter-4-pack")</f>
        <v/>
      </c>
      <c r="C1760" t="inlineStr">
        <is>
          <t>Brita On Tap Faucet Replacement Filter, 4 Pack</t>
        </is>
      </c>
      <c r="D1760" t="inlineStr">
        <is>
          <t>GLACIER FRESH Water Filter Faucet Replacement, Replacement for Brita Faucet Filter, Brita 36311 On Tap Water Filter, Compatible with Brita FR-200, FF-100, and All Brita Tap Water Filters (Pack of 2）</t>
        </is>
      </c>
      <c r="E1760" s="2">
        <f>HYPERLINK("https://www.amazon.com/GLACIER-FRESH-Replacement-Compatible-Filtration/dp/B089RLQYZR/ref=sr_1_10?keywords=Brita+On+Tap+Faucet+Replacement+Filter%2C+4+Pack&amp;qid=1695170554&amp;sr=8-10", "https://www.amazon.com/GLACIER-FRESH-Replacement-Compatible-Filtration/dp/B089RLQYZR/ref=sr_1_10?keywords=Brita+On+Tap+Faucet+Replacement+Filter%2C+4+Pack&amp;qid=1695170554&amp;sr=8-10")</f>
        <v/>
      </c>
      <c r="F1760" t="inlineStr">
        <is>
          <t>B089RLQYZR</t>
        </is>
      </c>
      <c r="G1760">
        <f>_xludf.IMAGE("https://www.shelhealth.com/cdn/shop/products/brita-on-tap-faucet-replacement-filter-4-pack-shelhealth-948.jpg?v=1663357240&amp;width=1946")</f>
        <v/>
      </c>
      <c r="H1760">
        <f>_xludf.IMAGE("https://m.media-amazon.com/images/I/51waeDBLRvL._AC_UL320_.jpg")</f>
        <v/>
      </c>
      <c r="K1760" t="inlineStr">
        <is>
          <t>63.99</t>
        </is>
      </c>
      <c r="L1760" t="n">
        <v>17.49</v>
      </c>
      <c r="M1760" s="1" t="inlineStr">
        <is>
          <t>-72.67%</t>
        </is>
      </c>
      <c r="N1760" s="3" t="n">
        <v>-72.67</v>
      </c>
      <c r="O1760" t="n">
        <v>4.5</v>
      </c>
      <c r="P1760" t="n">
        <v>974</v>
      </c>
      <c r="R1760" t="inlineStr">
        <is>
          <t>OutOfStock</t>
        </is>
      </c>
      <c r="S1760" t="inlineStr">
        <is>
          <t>63.99</t>
        </is>
      </c>
      <c r="T1760" t="inlineStr">
        <is>
          <t>4179297632308</t>
        </is>
      </c>
    </row>
    <row r="1761" hidden="1" ht="15.75" customHeight="1">
      <c r="A1761" s="2">
        <f>HYPERLINK("https://www.shelhealth.com/products/bask-clear-vinyl-disposable-gloves-100-gloves", "https://www.shelhealth.com/products/bask-clear-vinyl-disposable-gloves-100-gloves")</f>
        <v/>
      </c>
      <c r="B1761" s="2">
        <f>HYPERLINK("https://www.shelhealth.com/products/bask-clear-vinyl-disposable-gloves-100-gloves", "https://www.shelhealth.com/products/bask-clear-vinyl-disposable-gloves-100-gloves")</f>
        <v/>
      </c>
      <c r="C1761" t="inlineStr">
        <is>
          <t>Bask Clear Vinyl Disposable Gloves, 100 Gloves</t>
        </is>
      </c>
      <c r="D1761" t="inlineStr">
        <is>
          <t>Comfy Package [100 Pack] Clear Powder Free Vinyl Disposable Plastic Gloves</t>
        </is>
      </c>
      <c r="E1761" s="2">
        <f>HYPERLINK("https://www.amazon.com/Clear-Powder-Disposable-Plastic-Gloves/dp/B07N1SZ6FH/ref=sr_1_7?keywords=Bask+Clear+Vinyl+Disposable+Gloves%2C+100+Gloves&amp;qid=1695170549&amp;sr=8-7", "https://www.amazon.com/Clear-Powder-Disposable-Plastic-Gloves/dp/B07N1SZ6FH/ref=sr_1_7?keywords=Bask+Clear+Vinyl+Disposable+Gloves%2C+100+Gloves&amp;qid=1695170549&amp;sr=8-7")</f>
        <v/>
      </c>
      <c r="F1761" t="inlineStr">
        <is>
          <t>B07N1SZ6FH</t>
        </is>
      </c>
      <c r="G1761">
        <f>_xludf.IMAGE("https://www.shelhealth.com/cdn/shop/products/bask-clear-vinyl-disposable-gloves-100-shelhealth-783.jpg?v=1663374232&amp;width=1946")</f>
        <v/>
      </c>
      <c r="H1761">
        <f>_xludf.IMAGE("https://m.media-amazon.com/images/I/71K2Yhvz9-L._AC_UL320_.jpg")</f>
        <v/>
      </c>
      <c r="K1761" t="inlineStr">
        <is>
          <t>21.99</t>
        </is>
      </c>
      <c r="L1761" t="n">
        <v>5.99</v>
      </c>
      <c r="M1761" s="1" t="inlineStr">
        <is>
          <t>-72.76%</t>
        </is>
      </c>
      <c r="N1761" s="3" t="n">
        <v>-72.76000000000001</v>
      </c>
      <c r="O1761" t="n">
        <v>4.5</v>
      </c>
      <c r="P1761" t="n">
        <v>14379</v>
      </c>
      <c r="R1761" t="inlineStr">
        <is>
          <t>InStock</t>
        </is>
      </c>
      <c r="S1761" t="inlineStr">
        <is>
          <t>21.99</t>
        </is>
      </c>
      <c r="T1761" t="inlineStr">
        <is>
          <t>4713271525465</t>
        </is>
      </c>
    </row>
    <row r="1762" hidden="1" ht="15.75" customHeight="1">
      <c r="A1762" s="2">
        <f>HYPERLINK("https://www.shelhealth.com/products/tide-pods-ultra-oxi-liquid-detergent-pacs-80-ct", "https://www.shelhealth.com/products/tide-pods-ultra-oxi-liquid-detergent-pacs-80-ct")</f>
        <v/>
      </c>
      <c r="B1762" s="2">
        <f>HYPERLINK("https://www.shelhealth.com/products/tide-pods-ultra-oxi-liquid-detergent-pacs-80-ct", "https://www.shelhealth.com/products/tide-pods-ultra-oxi-liquid-detergent-pacs-80-ct")</f>
        <v/>
      </c>
      <c r="C1762" t="inlineStr">
        <is>
          <t>Tide PODS Ultra OXI Liquid Detergent Pacs, 80 ct.</t>
        </is>
      </c>
      <c r="D1762" t="inlineStr">
        <is>
          <t>Tide Simply PODS Oxi + Ultra Stain Release Liquid Laundry Detergent Pacs, Refreshing Breeze, 43 count</t>
        </is>
      </c>
      <c r="E1762" s="2">
        <f>HYPERLINK("https://www.amazon.com/Tide-Simply-Detergent-Refreshing-Packaging/dp/B07BBW1N7F/ref=sr_1_8?keywords=Tide+PODS+Ultra+OXI+Liquid+Detergent+Pacs%2C+80+ct.&amp;qid=1695170557&amp;sr=8-8", "https://www.amazon.com/Tide-Simply-Detergent-Refreshing-Packaging/dp/B07BBW1N7F/ref=sr_1_8?keywords=Tide+PODS+Ultra+OXI+Liquid+Detergent+Pacs%2C+80+ct.&amp;qid=1695170557&amp;sr=8-8")</f>
        <v/>
      </c>
      <c r="F1762" t="inlineStr">
        <is>
          <t>B07BBW1N7F</t>
        </is>
      </c>
      <c r="G1762">
        <f>_xludf.IMAGE("https://www.shelhealth.com/cdn/shop/products/tide-pods-ultra-oxi-liquid-detergent-pacs-80-ct-shelhealth-884.jpg?v=1663356710&amp;width=1946")</f>
        <v/>
      </c>
      <c r="H1762">
        <f>_xludf.IMAGE("https://m.media-amazon.com/images/I/812HJhqN8PL._AC_UL320_.jpg")</f>
        <v/>
      </c>
      <c r="K1762" t="inlineStr">
        <is>
          <t>38.99</t>
        </is>
      </c>
      <c r="L1762" t="n">
        <v>9.99</v>
      </c>
      <c r="M1762" s="1" t="inlineStr">
        <is>
          <t>-74.38%</t>
        </is>
      </c>
      <c r="N1762" s="3" t="n">
        <v>-74.38</v>
      </c>
      <c r="O1762" t="n">
        <v>4.7</v>
      </c>
      <c r="P1762" t="n">
        <v>7312</v>
      </c>
      <c r="R1762" t="inlineStr">
        <is>
          <t>InStock</t>
        </is>
      </c>
      <c r="S1762" t="inlineStr">
        <is>
          <t>38.99</t>
        </is>
      </c>
      <c r="T1762" t="inlineStr">
        <is>
          <t>4179061669940</t>
        </is>
      </c>
    </row>
    <row r="1763" hidden="1" ht="15.75" customHeight="1">
      <c r="A1763" s="2">
        <f>HYPERLINK("https://www.shelhealth.com/products/tide-with-febreze-sport-odor-defense-ultra-concentrated-liquid-laundry-detergent-138-fl-oz", "https://www.shelhealth.com/products/tide-with-febreze-sport-odor-defense-ultra-concentrated-liquid-laundry-detergent-138-fl-oz")</f>
        <v/>
      </c>
      <c r="B1763" s="2">
        <f>HYPERLINK("https://www.shelhealth.com/products/tide-with-febreze-sport-odor-defense-ultra-concentrated-liquid-laundry-detergent-138-fl-oz", "https://www.shelhealth.com/products/tide-with-febreze-sport-odor-defense-ultra-concentrated-liquid-laundry-detergent-138-fl-oz")</f>
        <v/>
      </c>
      <c r="C1763" t="inlineStr">
        <is>
          <t>Tide With Febreze Sport Odor Defense Ultra Concentrated Liquid Laundry Detergent, 138 fl. oz.</t>
        </is>
      </c>
      <c r="D1763" t="inlineStr">
        <is>
          <t>Tide Plus Febreze Fresh Sport Odor Defense HE Turbo Clean Liquid Laundry Detergent, Active Fresh Scent, 69 Fl Oz (44 Loads) - Packaging May Vary</t>
        </is>
      </c>
      <c r="E1763" s="2">
        <f>HYPERLINK("https://www.amazon.com/Tide-Febreze-Defense-Laundry-Detergent/dp/B00IZUJSJQ/ref=sr_1_2?keywords=Tide+With+Febreze+Sport+Odor+Defense+Ultra+Concentrated+Liquid+Laundry+Detergent%2C+138+fl.+oz.&amp;qid=1695170395&amp;sr=8-2", "https://www.amazon.com/Tide-Febreze-Defense-Laundry-Detergent/dp/B00IZUJSJQ/ref=sr_1_2?keywords=Tide+With+Febreze+Sport+Odor+Defense+Ultra+Concentrated+Liquid+Laundry+Detergent%2C+138+fl.+oz.&amp;qid=1695170395&amp;sr=8-2")</f>
        <v/>
      </c>
      <c r="F1763" t="inlineStr">
        <is>
          <t>B00IZUJSJQ</t>
        </is>
      </c>
      <c r="G1763">
        <f>_xludf.IMAGE("https://www.shelhealth.com/cdn/shop/products/tide-with-febreze-sport-odor-defense-ultra-concentrated-liquid-laundry-detergent-138-fl-oz-shelhealth-381.jpg?v=1663356797&amp;width=1946")</f>
        <v/>
      </c>
      <c r="H1763">
        <f>_xludf.IMAGE("https://m.media-amazon.com/images/I/81BDfDgpRdL._AC_UL320_.jpg")</f>
        <v/>
      </c>
      <c r="K1763" t="inlineStr">
        <is>
          <t>43.99</t>
        </is>
      </c>
      <c r="L1763" t="n">
        <v>10.99</v>
      </c>
      <c r="M1763" s="1" t="inlineStr">
        <is>
          <t>-75.02%</t>
        </is>
      </c>
      <c r="N1763" s="3" t="n">
        <v>-75.02</v>
      </c>
      <c r="O1763" t="n">
        <v>4.7</v>
      </c>
      <c r="P1763" t="n">
        <v>1086</v>
      </c>
      <c r="R1763" t="inlineStr">
        <is>
          <t>OutOfStock</t>
        </is>
      </c>
      <c r="S1763" t="inlineStr">
        <is>
          <t>43.99</t>
        </is>
      </c>
      <c r="T1763" t="inlineStr">
        <is>
          <t>4179085525044</t>
        </is>
      </c>
    </row>
    <row r="1764" hidden="1" ht="15.75" customHeight="1">
      <c r="A1764" s="2">
        <f>HYPERLINK("https://www.shelhealth.com/products/palmolive-ultra-dishwashing-liquid-dish-soap-original-102-fl-oz", "https://www.shelhealth.com/products/palmolive-ultra-dishwashing-liquid-dish-soap-original-102-fl-oz")</f>
        <v/>
      </c>
      <c r="B1764" s="2">
        <f>HYPERLINK("https://www.shelhealth.com/products/palmolive-ultra-dishwashing-liquid-dish-soap-original-102-fl-oz", "https://www.shelhealth.com/products/palmolive-ultra-dishwashing-liquid-dish-soap-original-102-fl-oz")</f>
        <v/>
      </c>
      <c r="C1764" t="inlineStr">
        <is>
          <t>Palmolive Ultra Dishwashing Liquid Dish Soap, Original, 102 fl. oz.</t>
        </is>
      </c>
      <c r="D1764" t="inlineStr">
        <is>
          <t>Palmolive Ultra Dishwashing Liquid Dish Soap, Pure + Clear Fragrance Free - 32.5 Fluid Ounce (Packaging may vary)</t>
        </is>
      </c>
      <c r="E1764" s="2">
        <f>HYPERLINK("https://www.amazon.com/Palmolive-Ultra-Dishwashing-Liquid-Fragrance/dp/B0BJYKVLRN/ref=sr_1_8?keywords=Palmolive+Ultra+Dishwashing+Liquid+Dish+Soap%2C+Original%2C+102+fl.+oz.&amp;qid=1695170433&amp;sr=8-8", "https://www.amazon.com/Palmolive-Ultra-Dishwashing-Liquid-Fragrance/dp/B0BJYKVLRN/ref=sr_1_8?keywords=Palmolive+Ultra+Dishwashing+Liquid+Dish+Soap%2C+Original%2C+102+fl.+oz.&amp;qid=1695170433&amp;sr=8-8")</f>
        <v/>
      </c>
      <c r="F1764" t="inlineStr">
        <is>
          <t>B0BJYKVLRN</t>
        </is>
      </c>
      <c r="G1764">
        <f>_xludf.IMAGE("https://www.shelhealth.com/cdn/shop/files/palmolive-ultra-dishwashing-liquid-dish-soap-original-102-fl-oz-grocery-household-petcleaning-goods-shelhealth-124.jpg?v=1686283062&amp;width=1946")</f>
        <v/>
      </c>
      <c r="H1764">
        <f>_xludf.IMAGE("https://m.media-amazon.com/images/I/61MxDUp3RoL._AC_UL320_.jpg")</f>
        <v/>
      </c>
      <c r="K1764" t="inlineStr">
        <is>
          <t>15.99</t>
        </is>
      </c>
      <c r="L1764" t="n">
        <v>3.98</v>
      </c>
      <c r="M1764" s="1" t="inlineStr">
        <is>
          <t>-75.11%</t>
        </is>
      </c>
      <c r="N1764" s="3" t="n">
        <v>-75.11</v>
      </c>
      <c r="O1764" t="n">
        <v>4.7</v>
      </c>
      <c r="P1764" t="n">
        <v>3045</v>
      </c>
      <c r="R1764" t="inlineStr">
        <is>
          <t>InStock</t>
        </is>
      </c>
      <c r="S1764" t="inlineStr">
        <is>
          <t>15.99</t>
        </is>
      </c>
      <c r="T1764" t="inlineStr">
        <is>
          <t>4169704669236</t>
        </is>
      </c>
    </row>
    <row r="1765" hidden="1" ht="15.75" customHeight="1">
      <c r="A1765" s="2">
        <f>HYPERLINK("https://www.shelhealth.com/products/tide-ultra-concentrated-with-ultra-oxi-liquid-laundry-detergent-101-loads-138-fl-oz", "https://www.shelhealth.com/products/tide-ultra-concentrated-with-ultra-oxi-liquid-laundry-detergent-101-loads-138-fl-oz")</f>
        <v/>
      </c>
      <c r="B1765" s="2">
        <f>HYPERLINK("https://www.shelhealth.com/products/tide-ultra-concentrated-with-ultra-oxi-liquid-laundry-detergent-101-loads-138-fl-oz", "https://www.shelhealth.com/products/tide-ultra-concentrated-with-ultra-oxi-liquid-laundry-detergent-101-loads-138-fl-oz")</f>
        <v/>
      </c>
      <c r="C1765" t="inlineStr">
        <is>
          <t>Tide Ultra Concentrated with Ultra OXI Liquid Laundry Detergent, 101 loads, 138 fl. oz.</t>
        </is>
      </c>
      <c r="D1765" t="inlineStr">
        <is>
          <t>Tide Ultra Oxi Liquid Laundry Detergent, 44 loads, 69 fl oz, HE Compatible</t>
        </is>
      </c>
      <c r="E1765" s="2">
        <f>HYPERLINK("https://www.amazon.com/Tide-Liquid-Laundry-Detergent-Compatible/dp/B0C9H2BTGV/ref=sr_1_1?keywords=Tide+Ultra+Concentrated+with+Ultra+OXI+Liquid+Laundry+Detergent%2C+101+loads%2C+138+fl.+oz.&amp;qid=1695170393&amp;sr=8-1", "https://www.amazon.com/Tide-Liquid-Laundry-Detergent-Compatible/dp/B0C9H2BTGV/ref=sr_1_1?keywords=Tide+Ultra+Concentrated+with+Ultra+OXI+Liquid+Laundry+Detergent%2C+101+loads%2C+138+fl.+oz.&amp;qid=1695170393&amp;sr=8-1")</f>
        <v/>
      </c>
      <c r="F1765" t="inlineStr">
        <is>
          <t>B0C9H2BTGV</t>
        </is>
      </c>
      <c r="G1765">
        <f>_xludf.IMAGE("https://www.shelhealth.com/cdn/shop/products/tide-ultra-concentrated-with-oxi-liquid-laundry-detergent-101-loads-138-fl-oz-shelhealth-438.jpg?v=1663356764&amp;width=1946")</f>
        <v/>
      </c>
      <c r="H1765">
        <f>_xludf.IMAGE("https://m.media-amazon.com/images/I/61pBgpM6XzL._AC_UL320_.jpg")</f>
        <v/>
      </c>
      <c r="K1765" t="inlineStr">
        <is>
          <t>41.99</t>
        </is>
      </c>
      <c r="L1765" t="n">
        <v>10.14</v>
      </c>
      <c r="M1765" s="1" t="inlineStr">
        <is>
          <t>-75.85%</t>
        </is>
      </c>
      <c r="N1765" s="3" t="n">
        <v>-75.84999999999999</v>
      </c>
      <c r="O1765" t="n">
        <v>5</v>
      </c>
      <c r="P1765" t="n">
        <v>1</v>
      </c>
      <c r="R1765" t="inlineStr">
        <is>
          <t>InStock</t>
        </is>
      </c>
      <c r="S1765" t="inlineStr">
        <is>
          <t>41.99</t>
        </is>
      </c>
      <c r="T1765" t="inlineStr">
        <is>
          <t>4179079987252</t>
        </is>
      </c>
    </row>
    <row r="1766" hidden="1" ht="15.75" customHeight="1">
      <c r="A1766" s="2">
        <f>HYPERLINK("https://www.shelhealth.com/products/suavitel-fabric-softener-field-flowers-169-fl-oz", "https://www.shelhealth.com/products/suavitel-fabric-softener-field-flowers-169-fl-oz")</f>
        <v/>
      </c>
      <c r="B1766" s="2">
        <f>HYPERLINK("https://www.shelhealth.com/products/suavitel-fabric-softener-field-flowers-169-fl-oz", "https://www.shelhealth.com/products/suavitel-fabric-softener-field-flowers-169-fl-oz")</f>
        <v/>
      </c>
      <c r="C1766" t="inlineStr">
        <is>
          <t>Suavitel Fabric Softener, Field Flowers, 169 fl. oz.</t>
        </is>
      </c>
      <c r="D1766" t="inlineStr">
        <is>
          <t>Suavitel Fabric Softener, Field Flowers, 120 Fluid Ounce, (Package May Vary)</t>
        </is>
      </c>
      <c r="E1766" s="2">
        <f>HYPERLINK("https://www.amazon.com/Suavitel-Fabric-Softener-Field-Flowers/dp/B00ZERK3ME/ref=sr_1_2?keywords=Suavitel+Fabric+Softener%2C+Field+Flowers%2C+169+fl.+oz.&amp;qid=1695170554&amp;sr=8-2", "https://www.amazon.com/Suavitel-Fabric-Softener-Field-Flowers/dp/B00ZERK3ME/ref=sr_1_2?keywords=Suavitel+Fabric+Softener%2C+Field+Flowers%2C+169+fl.+oz.&amp;qid=1695170554&amp;sr=8-2")</f>
        <v/>
      </c>
      <c r="F1766" t="inlineStr">
        <is>
          <t>B00ZERK3ME</t>
        </is>
      </c>
      <c r="G1766">
        <f>_xludf.IMAGE("https://www.shelhealth.com/cdn/shop/products/suavitel-fabric-softener-field-flowers-169-fl-oz-shelhealth-293.jpg?v=1663357078&amp;width=1946")</f>
        <v/>
      </c>
      <c r="H1766">
        <f>_xludf.IMAGE("https://m.media-amazon.com/images/I/71MHd9Y7beL._AC_UL320_.jpg")</f>
        <v/>
      </c>
      <c r="K1766" t="inlineStr">
        <is>
          <t>35.99</t>
        </is>
      </c>
      <c r="L1766" t="n">
        <v>8.470000000000001</v>
      </c>
      <c r="M1766" s="1" t="inlineStr">
        <is>
          <t>-76.47%</t>
        </is>
      </c>
      <c r="N1766" s="3" t="n">
        <v>-76.47</v>
      </c>
      <c r="O1766" t="n">
        <v>4.8</v>
      </c>
      <c r="P1766" t="n">
        <v>3134</v>
      </c>
      <c r="R1766" t="inlineStr">
        <is>
          <t>InStock</t>
        </is>
      </c>
      <c r="S1766" t="inlineStr">
        <is>
          <t>35.99</t>
        </is>
      </c>
      <c r="T1766" t="inlineStr">
        <is>
          <t>4179174686772</t>
        </is>
      </c>
    </row>
    <row r="1767" hidden="1" ht="15.75" customHeight="1">
      <c r="A1767" s="2">
        <f>HYPERLINK("https://www.shelhealth.com/products/gain-original-he-powder-laundry-detergent-183-oz", "https://www.shelhealth.com/products/gain-original-he-powder-laundry-detergent-183-oz")</f>
        <v/>
      </c>
      <c r="B1767" s="2">
        <f>HYPERLINK("https://www.shelhealth.com/products/gain-original-he-powder-laundry-detergent-183-oz", "https://www.shelhealth.com/products/gain-original-he-powder-laundry-detergent-183-oz")</f>
        <v/>
      </c>
      <c r="C1767" t="inlineStr">
        <is>
          <t>Gain Original HE Powder Laundry Detergent, 183 oz.</t>
        </is>
      </c>
      <c r="D1767" t="inlineStr">
        <is>
          <t>Gain + Aroma Boost Liquid Laundry Detergent, Original Scent, 61 Loads, 88 fl oz, HE Compatible</t>
        </is>
      </c>
      <c r="E1767" s="2">
        <f>HYPERLINK("https://www.amazon.com/Gain-Laundry-Detergent-Original-Compatible/dp/B0C9HBVWYF/ref=sr_1_6?keywords=Gain+Original+HE+Powder+Laundry+Detergent%2C+183+oz.&amp;qid=1695170566&amp;sr=8-6", "https://www.amazon.com/Gain-Laundry-Detergent-Original-Compatible/dp/B0C9HBVWYF/ref=sr_1_6?keywords=Gain+Original+HE+Powder+Laundry+Detergent%2C+183+oz.&amp;qid=1695170566&amp;sr=8-6")</f>
        <v/>
      </c>
      <c r="F1767" t="inlineStr">
        <is>
          <t>B0C9HBVWYF</t>
        </is>
      </c>
      <c r="G1767">
        <f>_xludf.IMAGE("https://www.shelhealth.com/cdn/shop/products/gain-original-he-powder-laundry-detergent-183-oz-shelhealth-257.jpg?v=1663356824&amp;width=1946")</f>
        <v/>
      </c>
      <c r="H1767">
        <f>_xludf.IMAGE("https://m.media-amazon.com/images/I/51QlfB2BDEL._AC_UL320_.jpg")</f>
        <v/>
      </c>
      <c r="K1767" t="inlineStr">
        <is>
          <t>43.99</t>
        </is>
      </c>
      <c r="L1767" t="n">
        <v>9.94</v>
      </c>
      <c r="M1767" s="1" t="inlineStr">
        <is>
          <t>-77.40%</t>
        </is>
      </c>
      <c r="N1767" s="3" t="n">
        <v>-77.40000000000001</v>
      </c>
      <c r="O1767" t="n">
        <v>5</v>
      </c>
      <c r="P1767" t="n">
        <v>11</v>
      </c>
      <c r="R1767" t="inlineStr">
        <is>
          <t>InStock</t>
        </is>
      </c>
      <c r="S1767" t="inlineStr">
        <is>
          <t>43.99</t>
        </is>
      </c>
      <c r="T1767" t="inlineStr">
        <is>
          <t>4179089326132</t>
        </is>
      </c>
    </row>
    <row r="1768" hidden="1" ht="15.75" customHeight="1">
      <c r="A1768" s="2">
        <f>HYPERLINK("https://www.shelhealth.com/products/mistolin-lavender-all-purpose-cleaner-128-fl-oz", "https://www.shelhealth.com/products/mistolin-lavender-all-purpose-cleaner-128-fl-oz")</f>
        <v/>
      </c>
      <c r="B1768" s="2">
        <f>HYPERLINK("https://www.shelhealth.com/products/mistolin-lavender-all-purpose-cleaner-128-fl-oz", "https://www.shelhealth.com/products/mistolin-lavender-all-purpose-cleaner-128-fl-oz")</f>
        <v/>
      </c>
      <c r="C1768" t="inlineStr">
        <is>
          <t>Mistolin Lavender All Purpose Cleaner, 128 fl. oz.</t>
        </is>
      </c>
      <c r="D1768" t="inlineStr">
        <is>
          <t>PINALEN Max Aromas Lavender Soothe Multipurpose Cleaner, Kitchen, Floor, Bathroom and Surface Cleaning Product for Home 128 fl.oz.</t>
        </is>
      </c>
      <c r="E1768" s="2">
        <f>HYPERLINK("https://www.amazon.com/PINALEN-Lavender-128-fl-oz/dp/B07F1GHSSJ/ref=sr_1_3?keywords=Mistolin+Lavender+All+Purpose+Cleaner%2C+128+fl.+oz.&amp;qid=1695170395&amp;sr=8-3", "https://www.amazon.com/PINALEN-Lavender-128-fl-oz/dp/B07F1GHSSJ/ref=sr_1_3?keywords=Mistolin+Lavender+All+Purpose+Cleaner%2C+128+fl.+oz.&amp;qid=1695170395&amp;sr=8-3")</f>
        <v/>
      </c>
      <c r="F1768" t="inlineStr">
        <is>
          <t>B07F1GHSSJ</t>
        </is>
      </c>
      <c r="G1768">
        <f>_xludf.IMAGE("https://www.shelhealth.com/cdn/shop/products/mistolin-lavender-all-purpose-cleaner-128-fl-oz-shelhealth-121.jpg?v=1663355220&amp;width=1946")</f>
        <v/>
      </c>
      <c r="H1768">
        <f>_xludf.IMAGE("https://m.media-amazon.com/images/I/61ndyaBHMyL._AC_UL320_.jpg")</f>
        <v/>
      </c>
      <c r="K1768" t="inlineStr">
        <is>
          <t>27.99</t>
        </is>
      </c>
      <c r="L1768" t="n">
        <v>6.29</v>
      </c>
      <c r="M1768" s="1" t="inlineStr">
        <is>
          <t>-77.53%</t>
        </is>
      </c>
      <c r="N1768" s="3" t="n">
        <v>-77.53</v>
      </c>
      <c r="O1768" t="n">
        <v>4.6</v>
      </c>
      <c r="P1768" t="n">
        <v>1703</v>
      </c>
      <c r="R1768" t="inlineStr">
        <is>
          <t>OutOfStock</t>
        </is>
      </c>
      <c r="S1768" t="inlineStr">
        <is>
          <t>27.99</t>
        </is>
      </c>
      <c r="T1768" t="inlineStr">
        <is>
          <t>4169749135412</t>
        </is>
      </c>
    </row>
    <row r="1769" hidden="1" ht="15.75" customHeight="1">
      <c r="A1769" s="2">
        <f>HYPERLINK("https://www.shelhealth.com/products/lysol-all-purpose-cleaner-210-oz", "https://www.shelhealth.com/products/lysol-all-purpose-cleaner-210-oz")</f>
        <v/>
      </c>
      <c r="B1769" s="2">
        <f>HYPERLINK("https://www.shelhealth.com/products/lysol-all-purpose-cleaner-210-oz", "https://www.shelhealth.com/products/lysol-all-purpose-cleaner-210-oz")</f>
        <v/>
      </c>
      <c r="C1769" t="inlineStr">
        <is>
          <t>Lysol All Purpose Cleaner, 210 oz</t>
        </is>
      </c>
      <c r="D1769" t="inlineStr">
        <is>
          <t>LYSOL All-Purpose Cleaner, Sanitizing and Disinfecting Spray, To Clean and Deodorize, Lemon Breeze Scent, 32oz, Pack of 2</t>
        </is>
      </c>
      <c r="E1769" s="2">
        <f>HYPERLINK("https://www.amazon.com/Lysol-All-Purpose-Sanitizing-Disinfecting-Deodorize/dp/B0BNP5QQ53/ref=sr_1_4?keywords=Lysol+All+Purpose+Cleaner%2C+210+oz&amp;qid=1695170411&amp;sr=8-4", "https://www.amazon.com/Lysol-All-Purpose-Sanitizing-Disinfecting-Deodorize/dp/B0BNP5QQ53/ref=sr_1_4?keywords=Lysol+All+Purpose+Cleaner%2C+210+oz&amp;qid=1695170411&amp;sr=8-4")</f>
        <v/>
      </c>
      <c r="F1769" t="inlineStr">
        <is>
          <t>B0BNP5QQ53</t>
        </is>
      </c>
      <c r="G1769">
        <f>_xludf.IMAGE("https://www.shelhealth.com/cdn/shop/products/lysol-all-purpose-cleaner-210-oz-shelhealth-383.jpg?v=1663369573&amp;width=1946")</f>
        <v/>
      </c>
      <c r="H1769">
        <f>_xludf.IMAGE("https://m.media-amazon.com/images/I/81S7NjGk8ML._AC_UL320_.jpg")</f>
        <v/>
      </c>
      <c r="K1769" t="inlineStr">
        <is>
          <t>26.99</t>
        </is>
      </c>
      <c r="L1769" t="n">
        <v>5.97</v>
      </c>
      <c r="M1769" s="1" t="inlineStr">
        <is>
          <t>-77.88%</t>
        </is>
      </c>
      <c r="N1769" s="3" t="n">
        <v>-77.88</v>
      </c>
      <c r="O1769" t="n">
        <v>4.8</v>
      </c>
      <c r="P1769" t="n">
        <v>776</v>
      </c>
      <c r="R1769" t="inlineStr">
        <is>
          <t>InStock</t>
        </is>
      </c>
      <c r="S1769" t="inlineStr">
        <is>
          <t>26.99</t>
        </is>
      </c>
      <c r="T1769" t="inlineStr">
        <is>
          <t>4647117684825</t>
        </is>
      </c>
    </row>
    <row r="1770" hidden="1" ht="15.75" customHeight="1">
      <c r="A1770" s="2">
        <f>HYPERLINK("https://www.shelhealth.com/products/oxi-clean-versatile-stain-remover-10-1-lbs", "https://www.shelhealth.com/products/oxi-clean-versatile-stain-remover-10-1-lbs")</f>
        <v/>
      </c>
      <c r="B1770" s="2">
        <f>HYPERLINK("https://www.shelhealth.com/products/oxi-clean-versatile-stain-remover-10-1-lbs", "https://www.shelhealth.com/products/oxi-clean-versatile-stain-remover-10-1-lbs")</f>
        <v/>
      </c>
      <c r="C1770" t="inlineStr">
        <is>
          <t>Oxi Clean Versatile Stain Remover, 10.1 lbs.</t>
        </is>
      </c>
      <c r="D1770" t="inlineStr">
        <is>
          <t>OxiClean Versatile Stain Remover Powder, 3 lbs.</t>
        </is>
      </c>
      <c r="E1770" s="2">
        <f>HYPERLINK("https://www.amazon.com/Clean-Versatile-Stain-Remover-Pound/dp/B005N7ETM0/ref=sr_1_9?keywords=Oxi+Clean+Versatile+Stain+Remover%2C+10.1+lbs.&amp;qid=1695170562&amp;sr=8-9", "https://www.amazon.com/Clean-Versatile-Stain-Remover-Pound/dp/B005N7ETM0/ref=sr_1_9?keywords=Oxi+Clean+Versatile+Stain+Remover%2C+10.1+lbs.&amp;qid=1695170562&amp;sr=8-9")</f>
        <v/>
      </c>
      <c r="F1770" t="inlineStr">
        <is>
          <t>B005N7ETM0</t>
        </is>
      </c>
      <c r="G1770">
        <f>_xludf.IMAGE("https://www.shelhealth.com/cdn/shop/products/oxi-clean-versatile-stain-remover-10-1-lbs-shelhealth-993.jpg?v=1663357047&amp;width=1946")</f>
        <v/>
      </c>
      <c r="H1770">
        <f>_xludf.IMAGE("https://m.media-amazon.com/images/I/71xRBsq3pzL._AC_UL320_.jpg")</f>
        <v/>
      </c>
      <c r="K1770" t="inlineStr">
        <is>
          <t>41.99</t>
        </is>
      </c>
      <c r="L1770" t="n">
        <v>9.279999999999999</v>
      </c>
      <c r="M1770" s="1" t="inlineStr">
        <is>
          <t>-77.90%</t>
        </is>
      </c>
      <c r="N1770" s="3" t="n">
        <v>-77.90000000000001</v>
      </c>
      <c r="O1770" t="n">
        <v>4.8</v>
      </c>
      <c r="P1770" t="n">
        <v>241</v>
      </c>
      <c r="R1770" t="inlineStr">
        <is>
          <t>InStock</t>
        </is>
      </c>
      <c r="S1770" t="inlineStr">
        <is>
          <t>41.99</t>
        </is>
      </c>
      <c r="T1770" t="inlineStr">
        <is>
          <t>4179138674740</t>
        </is>
      </c>
    </row>
    <row r="1771" hidden="1" ht="15.75" customHeight="1">
      <c r="A1771" s="2">
        <f>HYPERLINK("https://www.shelhealth.com/products/suavitel-fabric-softener-field-flowers-169-fl-oz", "https://www.shelhealth.com/products/suavitel-fabric-softener-field-flowers-169-fl-oz")</f>
        <v/>
      </c>
      <c r="B1771" s="2">
        <f>HYPERLINK("https://www.shelhealth.com/products/suavitel-fabric-softener-field-flowers-169-fl-oz", "https://www.shelhealth.com/products/suavitel-fabric-softener-field-flowers-169-fl-oz")</f>
        <v/>
      </c>
      <c r="C1771" t="inlineStr">
        <is>
          <t>Suavitel Fabric Softener, Field Flowers, 169 fl. oz.</t>
        </is>
      </c>
      <c r="D1771" t="inlineStr">
        <is>
          <t>Suavitel Liquid Fabric Softener, Field Flowers, 46 oz (Pack of 2)</t>
        </is>
      </c>
      <c r="E1771" s="2">
        <f>HYPERLINK("https://www.amazon.com/Suavitel-Liquid-Fabric-Softener-Flowers/dp/B0C8TYQG9S/ref=sr_1_4?keywords=Suavitel+Fabric+Softener%2C+Field+Flowers%2C+169+fl.+oz.&amp;qid=1695170554&amp;sr=8-4", "https://www.amazon.com/Suavitel-Liquid-Fabric-Softener-Flowers/dp/B0C8TYQG9S/ref=sr_1_4?keywords=Suavitel+Fabric+Softener%2C+Field+Flowers%2C+169+fl.+oz.&amp;qid=1695170554&amp;sr=8-4")</f>
        <v/>
      </c>
      <c r="F1771" t="inlineStr">
        <is>
          <t>B0C8TYQG9S</t>
        </is>
      </c>
      <c r="G1771">
        <f>_xludf.IMAGE("https://www.shelhealth.com/cdn/shop/products/suavitel-fabric-softener-field-flowers-169-fl-oz-shelhealth-293.jpg?v=1663357078&amp;width=1946")</f>
        <v/>
      </c>
      <c r="H1771">
        <f>_xludf.IMAGE("https://m.media-amazon.com/images/I/51qYfDynOtL._AC_UL320_.jpg")</f>
        <v/>
      </c>
      <c r="K1771" t="inlineStr">
        <is>
          <t>35.99</t>
        </is>
      </c>
      <c r="L1771" t="n">
        <v>7.94</v>
      </c>
      <c r="M1771" s="1" t="inlineStr">
        <is>
          <t>-77.94%</t>
        </is>
      </c>
      <c r="N1771" s="3" t="n">
        <v>-77.94</v>
      </c>
      <c r="O1771" t="n">
        <v>4.7</v>
      </c>
      <c r="P1771" t="n">
        <v>13512</v>
      </c>
      <c r="R1771" t="inlineStr">
        <is>
          <t>InStock</t>
        </is>
      </c>
      <c r="S1771" t="inlineStr">
        <is>
          <t>35.99</t>
        </is>
      </c>
      <c r="T1771" t="inlineStr">
        <is>
          <t>4179174686772</t>
        </is>
      </c>
    </row>
    <row r="1772" hidden="1" ht="15.75" customHeight="1">
      <c r="A1772" s="2">
        <f>HYPERLINK("https://www.shelhealth.com/products/3m-post-it-notes-3-in-x-3-in-1000-notes", "https://www.shelhealth.com/products/3m-post-it-notes-3-in-x-3-in-1000-notes")</f>
        <v/>
      </c>
      <c r="B1772" s="2">
        <f>HYPERLINK("https://www.shelhealth.com/products/3m-post-it-notes-3-in-x-3-in-1000-notes", "https://www.shelhealth.com/products/3m-post-it-notes-3-in-x-3-in-1000-notes")</f>
        <v/>
      </c>
      <c r="C1772" t="inlineStr">
        <is>
          <t>3M Post-It Notes 3 in. x 3 in. (1000 Notes)</t>
        </is>
      </c>
      <c r="D1772" t="inlineStr">
        <is>
          <t>Post-it Notes, 3x3 in, 2 Pads, Canary Yellow, Clean Removal, Recyclable</t>
        </is>
      </c>
      <c r="E1772" s="2">
        <f>HYPERLINK("https://www.amazon.com/Post-Americas-Favorite-Sticky-630PK2/dp/B0016T8TA2/ref=sr_1_4?keywords=3M+Post-It+Notes+3+in.+x+3+in.+%281000+Notes%29&amp;qid=1695170543&amp;sr=8-4", "https://www.amazon.com/Post-Americas-Favorite-Sticky-630PK2/dp/B0016T8TA2/ref=sr_1_4?keywords=3M+Post-It+Notes+3+in.+x+3+in.+%281000+Notes%29&amp;qid=1695170543&amp;sr=8-4")</f>
        <v/>
      </c>
      <c r="F1772" t="inlineStr">
        <is>
          <t>B0016T8TA2</t>
        </is>
      </c>
      <c r="G1772">
        <f>_xludf.IMAGE("https://www.shelhealth.com/cdn/shop/products/3m-post-it-notes-3-in-x-1000-shelhealth-901.jpg?v=1663372777&amp;width=1946")</f>
        <v/>
      </c>
      <c r="H1772">
        <f>_xludf.IMAGE("https://m.media-amazon.com/images/I/71tqvYL1UHL._AC_UL320_.jpg")</f>
        <v/>
      </c>
      <c r="K1772" t="inlineStr">
        <is>
          <t>27.99</t>
        </is>
      </c>
      <c r="L1772" t="n">
        <v>6.09</v>
      </c>
      <c r="M1772" s="1" t="inlineStr">
        <is>
          <t>-78.24%</t>
        </is>
      </c>
      <c r="N1772" s="3" t="n">
        <v>-78.23999999999999</v>
      </c>
      <c r="O1772" t="n">
        <v>4.8</v>
      </c>
      <c r="P1772" t="n">
        <v>399</v>
      </c>
      <c r="R1772" t="inlineStr">
        <is>
          <t>InStock</t>
        </is>
      </c>
      <c r="S1772" t="inlineStr">
        <is>
          <t>27.99</t>
        </is>
      </c>
      <c r="T1772" t="inlineStr">
        <is>
          <t>4696977703001</t>
        </is>
      </c>
    </row>
    <row r="1773" hidden="1" ht="15.75" customHeight="1">
      <c r="A1773" s="2">
        <f>HYPERLINK("https://www.shelhealth.com/products/pur-faucet-filtration-system", "https://www.shelhealth.com/products/pur-faucet-filtration-system")</f>
        <v/>
      </c>
      <c r="B1773" s="2">
        <f>HYPERLINK("https://www.shelhealth.com/products/pur-faucet-filtration-system", "https://www.shelhealth.com/products/pur-faucet-filtration-system")</f>
        <v/>
      </c>
      <c r="C1773" t="inlineStr">
        <is>
          <t>Pur Faucet Filtration System</t>
        </is>
      </c>
      <c r="D1773" t="inlineStr">
        <is>
          <t>PUR Water Filter Replacement for Faucet Filtration Systems (1 Pack) – Compatible with all PUR Faucet Filtration Systems</t>
        </is>
      </c>
      <c r="E1773" s="2">
        <f>HYPERLINK("https://www.amazon.com/PUR-RF3375-base_product/dp/B0007ZYUAE/ref=sr_1_6?keywords=Pur+Faucet+Filtration+System&amp;qid=1695170549&amp;sr=8-6", "https://www.amazon.com/PUR-RF3375-base_product/dp/B0007ZYUAE/ref=sr_1_6?keywords=Pur+Faucet+Filtration+System&amp;qid=1695170549&amp;sr=8-6")</f>
        <v/>
      </c>
      <c r="F1773" t="inlineStr">
        <is>
          <t>B0007ZYUAE</t>
        </is>
      </c>
      <c r="G1773">
        <f>_xludf.IMAGE("https://www.shelhealth.com/cdn/shop/products/pur-faucet-filtration-system-shelhealth-810.jpg?v=1663357419&amp;width=1946")</f>
        <v/>
      </c>
      <c r="H1773">
        <f>_xludf.IMAGE("https://m.media-amazon.com/images/I/61uDRK40ycL._AC_UL320_.jpg")</f>
        <v/>
      </c>
      <c r="K1773" t="inlineStr">
        <is>
          <t>71.99</t>
        </is>
      </c>
      <c r="L1773" t="n">
        <v>15.33</v>
      </c>
      <c r="M1773" s="1" t="inlineStr">
        <is>
          <t>-78.71%</t>
        </is>
      </c>
      <c r="N1773" s="3" t="n">
        <v>-78.70999999999999</v>
      </c>
      <c r="O1773" t="n">
        <v>4.7</v>
      </c>
      <c r="P1773" t="n">
        <v>3129</v>
      </c>
      <c r="R1773" t="inlineStr">
        <is>
          <t>InStock</t>
        </is>
      </c>
      <c r="S1773" t="inlineStr">
        <is>
          <t>71.99</t>
        </is>
      </c>
      <c r="T1773" t="inlineStr">
        <is>
          <t>4181272002612</t>
        </is>
      </c>
    </row>
    <row r="1774" hidden="1" ht="15.75" customHeight="1">
      <c r="A1774" s="2">
        <f>HYPERLINK("https://www.shelhealth.com/products/dawn-ultra-original-scent-dishwashing-liquid-dish-soap-90-oz", "https://www.shelhealth.com/products/dawn-ultra-original-scent-dishwashing-liquid-dish-soap-90-oz")</f>
        <v/>
      </c>
      <c r="B1774" s="2">
        <f>HYPERLINK("https://www.shelhealth.com/products/dawn-ultra-original-scent-dishwashing-liquid-dish-soap-90-oz", "https://www.shelhealth.com/products/dawn-ultra-original-scent-dishwashing-liquid-dish-soap-90-oz")</f>
        <v/>
      </c>
      <c r="C1774" t="inlineStr">
        <is>
          <t>Dawn Ultra Original Scent Dishwashing Liquid Dish Soap , 90 oz.</t>
        </is>
      </c>
      <c r="D1774" t="inlineStr">
        <is>
          <t>Dawn EZ-Squeeze Ultra Dish Soap Dishwashing Liquid, Original, 22 fl oz</t>
        </is>
      </c>
      <c r="E1774" s="2">
        <f>HYPERLINK("https://www.amazon.com/Dawn-EZ-Squeeze-Dishwashing-Liquid-Original/dp/B09NF7RLYH/ref=sr_1_9?keywords=Dawn+Ultra+Original+Scent+Dishwashing+Liquid+Dish+Soap+%2C+90+oz.&amp;qid=1695170382&amp;sr=8-9", "https://www.amazon.com/Dawn-EZ-Squeeze-Dishwashing-Liquid-Original/dp/B09NF7RLYH/ref=sr_1_9?keywords=Dawn+Ultra+Original+Scent+Dishwashing+Liquid+Dish+Soap+%2C+90+oz.&amp;qid=1695170382&amp;sr=8-9")</f>
        <v/>
      </c>
      <c r="F1774" t="inlineStr">
        <is>
          <t>B09NF7RLYH</t>
        </is>
      </c>
      <c r="G1774">
        <f>_xludf.IMAGE("https://www.shelhealth.com/cdn/shop/files/dawn-ultra-original-scent-dishwashing-liquid-dish-soap-90-oz-grocery-household-petcleaning-goods-shelhealth-673.jpg?v=1686283072&amp;width=1946")</f>
        <v/>
      </c>
      <c r="H1774">
        <f>_xludf.IMAGE("https://m.media-amazon.com/images/I/71qnGdPGxgL._AC_UL320_.jpg")</f>
        <v/>
      </c>
      <c r="K1774" t="inlineStr">
        <is>
          <t>18.99</t>
        </is>
      </c>
      <c r="L1774" t="n">
        <v>3.94</v>
      </c>
      <c r="M1774" s="1" t="inlineStr">
        <is>
          <t>-79.25%</t>
        </is>
      </c>
      <c r="N1774" s="3" t="n">
        <v>-79.25</v>
      </c>
      <c r="O1774" t="n">
        <v>4.8</v>
      </c>
      <c r="P1774" t="n">
        <v>289</v>
      </c>
      <c r="R1774" t="inlineStr">
        <is>
          <t>InStock</t>
        </is>
      </c>
      <c r="S1774" t="inlineStr">
        <is>
          <t>18.99</t>
        </is>
      </c>
      <c r="T1774" t="inlineStr">
        <is>
          <t>4169655058484</t>
        </is>
      </c>
    </row>
    <row r="1775" hidden="1" ht="15.75" customHeight="1">
      <c r="A1775" s="2">
        <f>HYPERLINK("https://www.shelhealth.com/products/downy-unstopables-in-wash-scent-booster-lush-10-oz", "https://www.shelhealth.com/products/downy-unstopables-in-wash-scent-booster-lush-10-oz")</f>
        <v/>
      </c>
      <c r="B1775" s="2">
        <f>HYPERLINK("https://www.shelhealth.com/products/downy-unstopables-in-wash-scent-booster-lush-10-oz", "https://www.shelhealth.com/products/downy-unstopables-in-wash-scent-booster-lush-10-oz")</f>
        <v/>
      </c>
      <c r="C1775" t="inlineStr">
        <is>
          <t>Downy Unstopables In-Wash Scent Booster Lush, 10 oz (Case of 3)</t>
        </is>
      </c>
      <c r="D1775" t="inlineStr">
        <is>
          <t>Downy Unstopables in-wash Scent Booster Beads, Lush, 10.0 oz</t>
        </is>
      </c>
      <c r="E1775" s="2">
        <f>HYPERLINK("https://www.amazon.com/285g-Scent-Unstoppable-Wash-Freshener/dp/B07BR4FC85/ref=sr_1_1?keywords=Downy+Unstopables+In-Wash+Scent+Booster+Lush%2C+10+oz+%28Case+of+3%29&amp;qid=1695170552&amp;sr=8-1", "https://www.amazon.com/285g-Scent-Unstoppable-Wash-Freshener/dp/B07BR4FC85/ref=sr_1_1?keywords=Downy+Unstopables+In-Wash+Scent+Booster+Lush%2C+10+oz+%28Case+of+3%29&amp;qid=1695170552&amp;sr=8-1")</f>
        <v/>
      </c>
      <c r="F1775" t="inlineStr">
        <is>
          <t>B07BR4FC85</t>
        </is>
      </c>
      <c r="G1775">
        <f>_xludf.IMAGE("https://www.shelhealth.com/cdn/shop/products/downy-unstopables-in-wash-scent-booster-lush-10-oz-case-of-3-shelhealth-157.jpg?v=1675329839&amp;width=1946")</f>
        <v/>
      </c>
      <c r="H1775">
        <f>_xludf.IMAGE("https://m.media-amazon.com/images/I/61Uw75n9rmL._AC_UL320_.jpg")</f>
        <v/>
      </c>
      <c r="K1775" t="inlineStr">
        <is>
          <t>41.99</t>
        </is>
      </c>
      <c r="L1775" t="n">
        <v>7.74</v>
      </c>
      <c r="M1775" s="1" t="inlineStr">
        <is>
          <t>-81.57%</t>
        </is>
      </c>
      <c r="N1775" s="3" t="n">
        <v>-81.56999999999999</v>
      </c>
      <c r="O1775" t="n">
        <v>4.4</v>
      </c>
      <c r="P1775" t="n">
        <v>563</v>
      </c>
      <c r="R1775" t="inlineStr">
        <is>
          <t>InStock</t>
        </is>
      </c>
      <c r="S1775" t="inlineStr">
        <is>
          <t>41.99</t>
        </is>
      </c>
      <c r="T1775" t="inlineStr">
        <is>
          <t>4458276323417</t>
        </is>
      </c>
    </row>
    <row r="1776" hidden="1" ht="15.75" customHeight="1">
      <c r="A1776" s="2">
        <f>HYPERLINK("https://www.shelhealth.com/products/ultra-downy-april-fresh-liquid-fabric-conditioner-170-fl-oz", "https://www.shelhealth.com/products/ultra-downy-april-fresh-liquid-fabric-conditioner-170-fl-oz")</f>
        <v/>
      </c>
      <c r="B1776" s="2">
        <f>HYPERLINK("https://www.shelhealth.com/products/ultra-downy-april-fresh-liquid-fabric-conditioner-170-fl-oz", "https://www.shelhealth.com/products/ultra-downy-april-fresh-liquid-fabric-conditioner-170-fl-oz")</f>
        <v/>
      </c>
      <c r="C1776" t="inlineStr">
        <is>
          <t>Ultra Downy April Fresh Liquid Fabric Conditioner, 170 fl. oz.</t>
        </is>
      </c>
      <c r="D1776" t="inlineStr">
        <is>
          <t>Downy Ultra Laundry Liquid Fabric Softener (Fabric Conditioner), April Fresh, 44 fl oz, 60 Loads</t>
        </is>
      </c>
      <c r="E1776" s="2">
        <f>HYPERLINK("https://www.amazon.com/Downy-Laundry-Liquid-Softener-Conditioner/dp/B0CCK3WPR7/ref=sr_1_4?keywords=Ultra+Downy+April+Fresh+Liquid+Fabric+Conditioner%2C+170+fl.+oz.&amp;qid=1695170558&amp;sr=8-4", "https://www.amazon.com/Downy-Laundry-Liquid-Softener-Conditioner/dp/B0CCK3WPR7/ref=sr_1_4?keywords=Ultra+Downy+April+Fresh+Liquid+Fabric+Conditioner%2C+170+fl.+oz.&amp;qid=1695170558&amp;sr=8-4")</f>
        <v/>
      </c>
      <c r="F1776" t="inlineStr">
        <is>
          <t>B0CCK3WPR7</t>
        </is>
      </c>
      <c r="G1776">
        <f>_xludf.IMAGE("https://www.shelhealth.com/cdn/shop/products/ultra-downy-april-fresh-liquid-fabric-conditioner-170-fl-oz-shelhealth-264.jpg?v=1663356583&amp;width=1946")</f>
        <v/>
      </c>
      <c r="H1776">
        <f>_xludf.IMAGE("https://m.media-amazon.com/images/I/71SUIlh3JxL._AC_UL320_.jpg")</f>
        <v/>
      </c>
      <c r="K1776" t="inlineStr">
        <is>
          <t>27.99</t>
        </is>
      </c>
      <c r="L1776" t="n">
        <v>4.97</v>
      </c>
      <c r="M1776" s="1" t="inlineStr">
        <is>
          <t>-82.24%</t>
        </is>
      </c>
      <c r="N1776" s="3" t="n">
        <v>-82.23999999999999</v>
      </c>
      <c r="O1776" t="n">
        <v>5</v>
      </c>
      <c r="P1776" t="n">
        <v>2</v>
      </c>
      <c r="R1776" t="inlineStr">
        <is>
          <t>InStock</t>
        </is>
      </c>
      <c r="S1776" t="inlineStr">
        <is>
          <t>27.99</t>
        </is>
      </c>
      <c r="T1776" t="inlineStr">
        <is>
          <t>4179002916916</t>
        </is>
      </c>
    </row>
    <row r="1777" hidden="1" ht="15.75" customHeight="1">
      <c r="A1777" s="2">
        <f>HYPERLINK("https://www.shelhealth.com/products/downy-free-gentle-liquid-fabric-conditioner-170-fl-oz", "https://www.shelhealth.com/products/downy-free-gentle-liquid-fabric-conditioner-170-fl-oz")</f>
        <v/>
      </c>
      <c r="B1777" s="2">
        <f>HYPERLINK("https://www.shelhealth.com/products/downy-free-gentle-liquid-fabric-conditioner-170-fl-oz", "https://www.shelhealth.com/products/downy-free-gentle-liquid-fabric-conditioner-170-fl-oz")</f>
        <v/>
      </c>
      <c r="C1777" t="inlineStr">
        <is>
          <t>Downy Free &amp; Gentle Liquid Fabric Conditioner, 170 fl. oz.</t>
        </is>
      </c>
      <c r="D1777" t="inlineStr">
        <is>
          <t>Downy Ultra Free &amp; Gentle Laundry Liquid Fabric Softener (Fabric Conditioner), 90 fl oz, 66 Loads, Hypoallergenic</t>
        </is>
      </c>
      <c r="E1777" s="2">
        <f>HYPERLINK("https://www.amazon.com/Downy-Laundry-Softener-Conditioner-Hypoallergenic/dp/B0CCK4FLP7/ref=sr_1_2?keywords=Downy+Free&amp;qid=1695170429&amp;sr=8-2", "https://www.amazon.com/Downy-Laundry-Softener-Conditioner-Hypoallergenic/dp/B0CCK4FLP7/ref=sr_1_2?keywords=Downy+Free&amp;qid=1695170429&amp;sr=8-2")</f>
        <v/>
      </c>
      <c r="F1777" t="inlineStr">
        <is>
          <t>B0CCK4FLP7</t>
        </is>
      </c>
      <c r="G1777">
        <f>_xludf.IMAGE("https://www.shelhealth.com/cdn/shop/products/downy-free-gentle-liquid-fabric-conditioner-170-fl-oz-shelhealth-915.jpg?v=1663356555&amp;width=1946")</f>
        <v/>
      </c>
      <c r="H1777">
        <f>_xludf.IMAGE("https://m.media-amazon.com/images/I/71ThV5Co+bL._AC_UL320_.jpg")</f>
        <v/>
      </c>
      <c r="K1777" t="inlineStr">
        <is>
          <t>27.99</t>
        </is>
      </c>
      <c r="L1777" t="n">
        <v>4.94</v>
      </c>
      <c r="M1777" s="1" t="inlineStr">
        <is>
          <t>-82.35%</t>
        </is>
      </c>
      <c r="N1777" s="3" t="n">
        <v>-82.34999999999999</v>
      </c>
      <c r="O1777" t="n">
        <v>4.8</v>
      </c>
      <c r="P1777" t="n">
        <v>916</v>
      </c>
      <c r="R1777" t="inlineStr">
        <is>
          <t>OutOfStock</t>
        </is>
      </c>
      <c r="S1777" t="inlineStr">
        <is>
          <t>27.99</t>
        </is>
      </c>
      <c r="T1777" t="inlineStr">
        <is>
          <t>4178978439220</t>
        </is>
      </c>
    </row>
    <row r="1778" hidden="1" ht="15.75" customHeight="1">
      <c r="A1778" s="2">
        <f>HYPERLINK("https://www.shelhealth.com/products/tide-pods-liquid-laundry-detergent-pacs-spring-meadow-120-ct", "https://www.shelhealth.com/products/tide-pods-liquid-laundry-detergent-pacs-spring-meadow-120-ct")</f>
        <v/>
      </c>
      <c r="B1778" s="2">
        <f>HYPERLINK("https://www.shelhealth.com/products/tide-pods-liquid-laundry-detergent-pacs-spring-meadow-120-ct", "https://www.shelhealth.com/products/tide-pods-liquid-laundry-detergent-pacs-spring-meadow-120-ct")</f>
        <v/>
      </c>
      <c r="C1778" t="inlineStr">
        <is>
          <t>Tide PODS Liquid Laundry Detergent Pacs, Spring Meadow, 120 ct.</t>
        </is>
      </c>
      <c r="D1778" t="inlineStr">
        <is>
          <t>Tide PODS Liquid Laundry Detergent Pacs, Spring Meadow, 20 Count</t>
        </is>
      </c>
      <c r="E1778" s="2">
        <f>HYPERLINK("https://www.amazon.com/Tide-Laundry-Detergent-Spring-Meadow/dp/B072PVL547/ref=sr_1_2?keywords=Tide+PODS+Liquid+Laundry+Detergent+Pacs%2C+Spring+Meadow%2C+120+ct.&amp;qid=1695170557&amp;sr=8-2", "https://www.amazon.com/Tide-Laundry-Detergent-Spring-Meadow/dp/B072PVL547/ref=sr_1_2?keywords=Tide+PODS+Liquid+Laundry+Detergent+Pacs%2C+Spring+Meadow%2C+120+ct.&amp;qid=1695170557&amp;sr=8-2")</f>
        <v/>
      </c>
      <c r="F1778" t="inlineStr">
        <is>
          <t>B072PVL547</t>
        </is>
      </c>
      <c r="G1778">
        <f>_xludf.IMAGE("https://www.shelhealth.com/cdn/shop/products/tide-pods-liquid-laundry-detergent-pacs-spring-meadow-120-ct-shelhealth-862.jpg?v=1663356723&amp;width=1946")</f>
        <v/>
      </c>
      <c r="H1778">
        <f>_xludf.IMAGE("https://m.media-amazon.com/images/I/81Mv4DWbHxL._AC_UL320_.jpg")</f>
        <v/>
      </c>
      <c r="K1778" t="inlineStr">
        <is>
          <t>40.99</t>
        </is>
      </c>
      <c r="L1778" t="n">
        <v>7.17</v>
      </c>
      <c r="M1778" s="1" t="inlineStr">
        <is>
          <t>-82.51%</t>
        </is>
      </c>
      <c r="N1778" s="3" t="n">
        <v>-82.51000000000001</v>
      </c>
      <c r="O1778" t="n">
        <v>4.8</v>
      </c>
      <c r="P1778" t="n">
        <v>2204</v>
      </c>
      <c r="R1778" t="inlineStr">
        <is>
          <t>InStock</t>
        </is>
      </c>
      <c r="S1778" t="inlineStr">
        <is>
          <t>40.99</t>
        </is>
      </c>
      <c r="T1778" t="inlineStr">
        <is>
          <t>4179063930932</t>
        </is>
      </c>
    </row>
    <row r="1779" hidden="1" ht="15.75" customHeight="1">
      <c r="A1779" s="2">
        <f>HYPERLINK("https://www.shelhealth.com/products/11120255218-better-life-dish-soap-lemon-mint-5-ga", "https://www.shelhealth.com/products/11120255218-better-life-dish-soap-lemon-mint-5-ga")</f>
        <v/>
      </c>
      <c r="B1779" s="2">
        <f>HYPERLINK("https://www.shelhealth.com/products/11120255218-better-life-dish-soap-lemon-mint-5-ga", "https://www.shelhealth.com/products/11120255218-better-life-dish-soap-lemon-mint-5-ga")</f>
        <v/>
      </c>
      <c r="C1779" t="inlineStr">
        <is>
          <t>BETTER LIFE Dish Soap Lemon Mint, 5 ga</t>
        </is>
      </c>
      <c r="D1779" t="inlineStr">
        <is>
          <t>Better Life Dish Soap, All Natural, Lemon Mint, 22 Ounces (Pack of 2)</t>
        </is>
      </c>
      <c r="E1779" s="2">
        <f>HYPERLINK("https://www.amazon.com/Better-Life-Natural-Lemon-Ounces/dp/B00I5MO0ME/ref=sr_1_1?keywords=BETTER+LIFE+Dish+Soap+Lemon+Mint%2C+5+ga&amp;qid=1695170484&amp;sr=8-1", "https://www.amazon.com/Better-Life-Natural-Lemon-Ounces/dp/B00I5MO0ME/ref=sr_1_1?keywords=BETTER+LIFE+Dish+Soap+Lemon+Mint%2C+5+ga&amp;qid=1695170484&amp;sr=8-1")</f>
        <v/>
      </c>
      <c r="F1779" t="inlineStr">
        <is>
          <t>B00I5MO0ME</t>
        </is>
      </c>
      <c r="G1779">
        <f>_xludf.IMAGE("https://www.shelhealth.com/cdn/shop/files/better-life-dish-soap-lemon-mint-5-ga-home-products-shelhealth-691.jpg?v=1686206197&amp;width=1946")</f>
        <v/>
      </c>
      <c r="H1779">
        <f>_xludf.IMAGE("https://m.media-amazon.com/images/I/618Z2yzUHNL._AC_UL320_.jpg")</f>
        <v/>
      </c>
      <c r="K1779" t="inlineStr">
        <is>
          <t>152.99</t>
        </is>
      </c>
      <c r="L1779" t="n">
        <v>25.9</v>
      </c>
      <c r="M1779" s="1" t="inlineStr">
        <is>
          <t>-83.07%</t>
        </is>
      </c>
      <c r="N1779" s="3" t="n">
        <v>-83.06999999999999</v>
      </c>
      <c r="O1779" t="n">
        <v>4.8</v>
      </c>
      <c r="P1779" t="n">
        <v>5</v>
      </c>
      <c r="R1779" t="inlineStr">
        <is>
          <t>OutOfStock</t>
        </is>
      </c>
      <c r="S1779" t="inlineStr">
        <is>
          <t>152.99</t>
        </is>
      </c>
      <c r="T1779" t="inlineStr">
        <is>
          <t>7573980152040</t>
        </is>
      </c>
    </row>
    <row r="1780" hidden="1" ht="15.75" customHeight="1">
      <c r="A1780" s="2">
        <f>HYPERLINK("https://www.shelhealth.com/products/suavitel-fabric-softener-field-flowers-169-fl-oz", "https://www.shelhealth.com/products/suavitel-fabric-softener-field-flowers-169-fl-oz")</f>
        <v/>
      </c>
      <c r="B1780" s="2">
        <f>HYPERLINK("https://www.shelhealth.com/products/suavitel-fabric-softener-field-flowers-169-fl-oz", "https://www.shelhealth.com/products/suavitel-fabric-softener-field-flowers-169-fl-oz")</f>
        <v/>
      </c>
      <c r="C1780" t="inlineStr">
        <is>
          <t>Suavitel Fabric Softener, Field Flowers, 169 fl. oz.</t>
        </is>
      </c>
      <c r="D1780" t="inlineStr">
        <is>
          <t>Suavitel Complete Fabric Softener, Field Flowers, 46 oz</t>
        </is>
      </c>
      <c r="E1780" s="2">
        <f>HYPERLINK("https://www.amazon.com/Suavitel-Complete-Fabric-Softener-Flowers/dp/B0CBLBKBMW/ref=sr_1_3?keywords=Suavitel+Fabric+Softener%2C+Field+Flowers%2C+169+fl.+oz.&amp;qid=1695170554&amp;sr=8-3", "https://www.amazon.com/Suavitel-Complete-Fabric-Softener-Flowers/dp/B0CBLBKBMW/ref=sr_1_3?keywords=Suavitel+Fabric+Softener%2C+Field+Flowers%2C+169+fl.+oz.&amp;qid=1695170554&amp;sr=8-3")</f>
        <v/>
      </c>
      <c r="F1780" t="inlineStr">
        <is>
          <t>B0CBLBKBMW</t>
        </is>
      </c>
      <c r="G1780">
        <f>_xludf.IMAGE("https://www.shelhealth.com/cdn/shop/products/suavitel-fabric-softener-field-flowers-169-fl-oz-shelhealth-293.jpg?v=1663357078&amp;width=1946")</f>
        <v/>
      </c>
      <c r="H1780">
        <f>_xludf.IMAGE("https://m.media-amazon.com/images/I/81aCSstN-oL._AC_UL320_.jpg")</f>
        <v/>
      </c>
      <c r="K1780" t="inlineStr">
        <is>
          <t>35.99</t>
        </is>
      </c>
      <c r="L1780" t="n">
        <v>5.99</v>
      </c>
      <c r="M1780" s="1" t="inlineStr">
        <is>
          <t>-83.36%</t>
        </is>
      </c>
      <c r="N1780" s="3" t="n">
        <v>-83.36</v>
      </c>
      <c r="O1780" t="n">
        <v>4.7</v>
      </c>
      <c r="P1780" t="n">
        <v>15</v>
      </c>
      <c r="R1780" t="inlineStr">
        <is>
          <t>InStock</t>
        </is>
      </c>
      <c r="S1780" t="inlineStr">
        <is>
          <t>35.99</t>
        </is>
      </c>
      <c r="T1780" t="inlineStr">
        <is>
          <t>4179174686772</t>
        </is>
      </c>
    </row>
    <row r="1781" hidden="1" ht="15.75" customHeight="1">
      <c r="A1781" s="2">
        <f>HYPERLINK("https://www.shelhealth.com/products/tide-free-gentle-liquid-laundry-detergent-150-fl-oz", "https://www.shelhealth.com/products/tide-free-gentle-liquid-laundry-detergent-150-fl-oz")</f>
        <v/>
      </c>
      <c r="B1781" s="2">
        <f>HYPERLINK("https://www.shelhealth.com/products/tide-free-gentle-liquid-laundry-detergent-150-fl-oz", "https://www.shelhealth.com/products/tide-free-gentle-liquid-laundry-detergent-150-fl-oz")</f>
        <v/>
      </c>
      <c r="C1781" t="inlineStr">
        <is>
          <t>Tide Free &amp; Gentle Liquid Laundry Detergent, 150 fl. oz.</t>
        </is>
      </c>
      <c r="D1781" t="inlineStr">
        <is>
          <t>Tide Free &amp; Gentle Laundry Detergent Liquid Soap, 32 Loads 46 Fl Oz</t>
        </is>
      </c>
      <c r="E1781" s="2">
        <f>HYPERLINK("https://www.amazon.com/Tide-Gentle-Liquid-Laundry-Detergent/dp/B083T5B72Q/ref=sr_1_5?keywords=Tide+Free&amp;qid=1695170414&amp;sr=8-5", "https://www.amazon.com/Tide-Gentle-Liquid-Laundry-Detergent/dp/B083T5B72Q/ref=sr_1_5?keywords=Tide+Free&amp;qid=1695170414&amp;sr=8-5")</f>
        <v/>
      </c>
      <c r="F1781" t="inlineStr">
        <is>
          <t>B083T5B72Q</t>
        </is>
      </c>
      <c r="G1781">
        <f>_xludf.IMAGE("https://www.shelhealth.com/cdn/shop/products/tide-free-gentle-liquid-laundry-detergent-150-fl-oz-shelhealth-871.jpg?v=1663356785&amp;width=1946")</f>
        <v/>
      </c>
      <c r="H1781">
        <f>_xludf.IMAGE("https://m.media-amazon.com/images/I/71rL90cf97L._AC_UL320_.jpg")</f>
        <v/>
      </c>
      <c r="K1781" t="inlineStr">
        <is>
          <t>43.99</t>
        </is>
      </c>
      <c r="L1781" t="n">
        <v>6.99</v>
      </c>
      <c r="M1781" s="1" t="inlineStr">
        <is>
          <t>-84.11%</t>
        </is>
      </c>
      <c r="N1781" s="3" t="n">
        <v>-84.11</v>
      </c>
      <c r="O1781" t="n">
        <v>4.7</v>
      </c>
      <c r="P1781" t="n">
        <v>832</v>
      </c>
      <c r="R1781" t="inlineStr">
        <is>
          <t>InStock</t>
        </is>
      </c>
      <c r="S1781" t="inlineStr">
        <is>
          <t>43.99</t>
        </is>
      </c>
      <c r="T1781" t="inlineStr">
        <is>
          <t>4179084935220</t>
        </is>
      </c>
    </row>
    <row r="1782" hidden="1" ht="15.75" customHeight="1">
      <c r="A1782" s="2">
        <f>HYPERLINK("https://www.shelhealth.com/products/gain-original-he-powder-laundry-detergent-183-oz", "https://www.shelhealth.com/products/gain-original-he-powder-laundry-detergent-183-oz")</f>
        <v/>
      </c>
      <c r="B1782" s="2">
        <f>HYPERLINK("https://www.shelhealth.com/products/gain-original-he-powder-laundry-detergent-183-oz", "https://www.shelhealth.com/products/gain-original-he-powder-laundry-detergent-183-oz")</f>
        <v/>
      </c>
      <c r="C1782" t="inlineStr">
        <is>
          <t>Gain Original HE Powder Laundry Detergent, 183 oz.</t>
        </is>
      </c>
      <c r="D1782" t="inlineStr">
        <is>
          <t>GAIN Powder Laundry Detergent for Regular &amp; he Washers, Original Scent, 45 Oz (Packaging May Vary)</t>
        </is>
      </c>
      <c r="E1782" s="2">
        <f>HYPERLINK("https://www.amazon.com/Gain-Original-Efficiency-Laundry-Detergent/dp/B009P7WY80/ref=sr_1_4?keywords=Gain+Original+HE+Powder+Laundry+Detergent%2C+183+oz.&amp;qid=1695170566&amp;sr=8-4", "https://www.amazon.com/Gain-Original-Efficiency-Laundry-Detergent/dp/B009P7WY80/ref=sr_1_4?keywords=Gain+Original+HE+Powder+Laundry+Detergent%2C+183+oz.&amp;qid=1695170566&amp;sr=8-4")</f>
        <v/>
      </c>
      <c r="F1782" t="inlineStr">
        <is>
          <t>B009P7WY80</t>
        </is>
      </c>
      <c r="G1782">
        <f>_xludf.IMAGE("https://www.shelhealth.com/cdn/shop/products/gain-original-he-powder-laundry-detergent-183-oz-shelhealth-257.jpg?v=1663356824&amp;width=1946")</f>
        <v/>
      </c>
      <c r="H1782">
        <f>_xludf.IMAGE("https://m.media-amazon.com/images/I/81r+FLcKmFL._AC_UL320_.jpg")</f>
        <v/>
      </c>
      <c r="K1782" t="inlineStr">
        <is>
          <t>43.99</t>
        </is>
      </c>
      <c r="L1782" t="n">
        <v>6.97</v>
      </c>
      <c r="M1782" s="1" t="inlineStr">
        <is>
          <t>-84.16%</t>
        </is>
      </c>
      <c r="N1782" s="3" t="n">
        <v>-84.16</v>
      </c>
      <c r="O1782" t="n">
        <v>4.6</v>
      </c>
      <c r="P1782" t="n">
        <v>1404</v>
      </c>
      <c r="R1782" t="inlineStr">
        <is>
          <t>InStock</t>
        </is>
      </c>
      <c r="S1782" t="inlineStr">
        <is>
          <t>43.99</t>
        </is>
      </c>
      <c r="T1782" t="inlineStr">
        <is>
          <t>4179089326132</t>
        </is>
      </c>
    </row>
    <row r="1783" hidden="1" ht="15.75" customHeight="1">
      <c r="A1783" s="2">
        <f>HYPERLINK("https://www.shelhealth.com/products/717256000776-bio-kleen-natural-dish-liquid-citrus-and-aloe-5-ga", "https://www.shelhealth.com/products/717256000776-bio-kleen-natural-dish-liquid-citrus-and-aloe-5-ga")</f>
        <v/>
      </c>
      <c r="B1783" s="2">
        <f>HYPERLINK("https://www.shelhealth.com/products/717256000776-bio-kleen-natural-dish-liquid-citrus-and-aloe-5-ga", "https://www.shelhealth.com/products/717256000776-bio-kleen-natural-dish-liquid-citrus-and-aloe-5-ga")</f>
        <v/>
      </c>
      <c r="C1783" t="inlineStr">
        <is>
          <t>BIO KLEEN Natural Dish Liquid Citrus and Aloe, 5 ga</t>
        </is>
      </c>
      <c r="D1783" t="inlineStr">
        <is>
          <t>Biokleen Dish Liquid Soap - 50 Ounce - Dish-washing, Hand Moisturizing, Eco-Friendly, Plant-Based, No Artificial Fragrance, Colors or Preservatives, Citrus &amp; Aloe</t>
        </is>
      </c>
      <c r="E1783" s="2">
        <f>HYPERLINK("https://www.amazon.com/Biokleen-Dish-Liquid-Soap-Preservatives/dp/B08CZWNWZY/ref=sr_1_2?keywords=BIO+KLEEN+Natural+Dish+Liquid+Citrus+and+Aloe%2C+5+ga&amp;qid=1695170467&amp;sr=8-2", "https://www.amazon.com/Biokleen-Dish-Liquid-Soap-Preservatives/dp/B08CZWNWZY/ref=sr_1_2?keywords=BIO+KLEEN+Natural+Dish+Liquid+Citrus+and+Aloe%2C+5+ga&amp;qid=1695170467&amp;sr=8-2")</f>
        <v/>
      </c>
      <c r="F1783" t="inlineStr">
        <is>
          <t>B08CZWNWZY</t>
        </is>
      </c>
      <c r="G1783">
        <f>_xludf.IMAGE("https://www.shelhealth.com/cdn/shop/files/bio-kleen-natural-dish-liquid-citrus-and-aloe-5-ga-home-products-shelhealth-386.jpg?v=1686140510&amp;width=1946")</f>
        <v/>
      </c>
      <c r="H1783">
        <f>_xludf.IMAGE("https://m.media-amazon.com/images/I/610EV5ayv5S._AC_UL320_.jpg")</f>
        <v/>
      </c>
      <c r="K1783" t="inlineStr">
        <is>
          <t>94.99</t>
        </is>
      </c>
      <c r="L1783" t="n">
        <v>14.98</v>
      </c>
      <c r="M1783" s="1" t="inlineStr">
        <is>
          <t>-84.23%</t>
        </is>
      </c>
      <c r="N1783" s="3" t="n">
        <v>-84.23</v>
      </c>
      <c r="O1783" t="n">
        <v>4.4</v>
      </c>
      <c r="P1783" t="n">
        <v>79</v>
      </c>
      <c r="R1783" t="inlineStr">
        <is>
          <t>OutOfStock</t>
        </is>
      </c>
      <c r="S1783" t="inlineStr">
        <is>
          <t>94.99</t>
        </is>
      </c>
      <c r="T1783" t="inlineStr">
        <is>
          <t>7573984575720</t>
        </is>
      </c>
    </row>
    <row r="1784" hidden="1" ht="15.75" customHeight="1">
      <c r="A1784" s="2">
        <f>HYPERLINK("https://www.shelhealth.com/products/ultra-downy-april-fresh-liquid-laundry-fabric-softener-170-oz-197-loads", "https://www.shelhealth.com/products/ultra-downy-april-fresh-liquid-laundry-fabric-softener-170-oz-197-loads")</f>
        <v/>
      </c>
      <c r="B1784" s="2">
        <f>HYPERLINK("https://www.shelhealth.com/products/ultra-downy-april-fresh-liquid-laundry-fabric-softener-170-oz-197-loads", "https://www.shelhealth.com/products/ultra-downy-april-fresh-liquid-laundry-fabric-softener-170-oz-197-loads")</f>
        <v/>
      </c>
      <c r="C1784" t="inlineStr">
        <is>
          <t>Ultra Downy April Fresh Liquid Laundry Fabric Softener - 148 oz. - 204 loads</t>
        </is>
      </c>
      <c r="D1784" t="inlineStr">
        <is>
          <t>Downy Ultra Laundry Liquid Fabric Softener (Fabric Conditioner), April Fresh, 44 fl oz, 60 Loads</t>
        </is>
      </c>
      <c r="E1784" s="2">
        <f>HYPERLINK("https://www.amazon.com/Downy-Laundry-Liquid-Softener-Conditioner/dp/B0CCK3WPR7/ref=sr_1_5?keywords=Ultra+Downy+April+Fresh+Liquid+Laundry+Fabric+Softener+-+148+oz.+-+204+loads&amp;qid=1695170417&amp;sr=8-5", "https://www.amazon.com/Downy-Laundry-Liquid-Softener-Conditioner/dp/B0CCK3WPR7/ref=sr_1_5?keywords=Ultra+Downy+April+Fresh+Liquid+Laundry+Fabric+Softener+-+148+oz.+-+204+loads&amp;qid=1695170417&amp;sr=8-5")</f>
        <v/>
      </c>
      <c r="F1784" t="inlineStr">
        <is>
          <t>B0CCK3WPR7</t>
        </is>
      </c>
      <c r="G1784">
        <f>_xludf.IMAGE("https://www.shelhealth.com/cdn/shop/products/ultra-downy-april-fresh-liquid-laundry-fabric-softener-148-oz-204-loads-shelhealth-196.jpg?v=1663343249&amp;width=1946")</f>
        <v/>
      </c>
      <c r="H1784">
        <f>_xludf.IMAGE("https://m.media-amazon.com/images/I/71SUIlh3JxL._AC_UL320_.jpg")</f>
        <v/>
      </c>
      <c r="K1784" t="inlineStr">
        <is>
          <t>32.99</t>
        </is>
      </c>
      <c r="L1784" t="n">
        <v>4.97</v>
      </c>
      <c r="M1784" s="1" t="inlineStr">
        <is>
          <t>-84.93%</t>
        </is>
      </c>
      <c r="N1784" s="3" t="n">
        <v>-84.93000000000001</v>
      </c>
      <c r="O1784" t="n">
        <v>5</v>
      </c>
      <c r="P1784" t="n">
        <v>2</v>
      </c>
      <c r="R1784" t="inlineStr">
        <is>
          <t>InStock</t>
        </is>
      </c>
      <c r="S1784" t="inlineStr">
        <is>
          <t>32.99</t>
        </is>
      </c>
      <c r="T1784" t="inlineStr">
        <is>
          <t>3819976720436</t>
        </is>
      </c>
    </row>
    <row r="1785" hidden="1" ht="15.75" customHeight="1">
      <c r="A1785" s="2">
        <f>HYPERLINK("https://www.shelhealth.com/products/ultra-downy-april-fresh-liquid-laundry-fabric-softener-170-oz-197-loads", "https://www.shelhealth.com/products/ultra-downy-april-fresh-liquid-laundry-fabric-softener-170-oz-197-loads")</f>
        <v/>
      </c>
      <c r="B1785" s="2">
        <f>HYPERLINK("https://www.shelhealth.com/products/ultra-downy-april-fresh-liquid-laundry-fabric-softener-170-oz-197-loads", "https://www.shelhealth.com/products/ultra-downy-april-fresh-liquid-laundry-fabric-softener-170-oz-197-loads")</f>
        <v/>
      </c>
      <c r="C1785" t="inlineStr">
        <is>
          <t>Ultra Downy April Fresh Liquid Laundry Fabric Softener - 148 oz. - 204 loads</t>
        </is>
      </c>
      <c r="D1785" t="inlineStr">
        <is>
          <t>Downy Ultra Free &amp; Gentle Laundry Liquid Fabric Softener (Fabric Conditioner), 90 fl oz, 66 Loads, Hypoallergenic</t>
        </is>
      </c>
      <c r="E1785" s="2">
        <f>HYPERLINK("https://www.amazon.com/Downy-Laundry-Softener-Conditioner-Hypoallergenic/dp/B0CCK4FLP7/ref=sr_1_8?keywords=Ultra+Downy+April+Fresh+Liquid+Laundry+Fabric+Softener+-+148+oz.+-+204+loads&amp;qid=1695170417&amp;sr=8-8", "https://www.amazon.com/Downy-Laundry-Softener-Conditioner-Hypoallergenic/dp/B0CCK4FLP7/ref=sr_1_8?keywords=Ultra+Downy+April+Fresh+Liquid+Laundry+Fabric+Softener+-+148+oz.+-+204+loads&amp;qid=1695170417&amp;sr=8-8")</f>
        <v/>
      </c>
      <c r="F1785" t="inlineStr">
        <is>
          <t>B0CCK4FLP7</t>
        </is>
      </c>
      <c r="G1785">
        <f>_xludf.IMAGE("https://www.shelhealth.com/cdn/shop/products/ultra-downy-april-fresh-liquid-laundry-fabric-softener-148-oz-204-loads-shelhealth-196.jpg?v=1663343249&amp;width=1946")</f>
        <v/>
      </c>
      <c r="H1785">
        <f>_xludf.IMAGE("https://m.media-amazon.com/images/I/71ThV5Co+bL._AC_UL320_.jpg")</f>
        <v/>
      </c>
      <c r="K1785" t="inlineStr">
        <is>
          <t>32.99</t>
        </is>
      </c>
      <c r="L1785" t="n">
        <v>4.94</v>
      </c>
      <c r="M1785" s="1" t="inlineStr">
        <is>
          <t>-85.03%</t>
        </is>
      </c>
      <c r="N1785" s="3" t="n">
        <v>-85.03</v>
      </c>
      <c r="O1785" t="n">
        <v>4.8</v>
      </c>
      <c r="P1785" t="n">
        <v>916</v>
      </c>
      <c r="R1785" t="inlineStr">
        <is>
          <t>InStock</t>
        </is>
      </c>
      <c r="S1785" t="inlineStr">
        <is>
          <t>32.99</t>
        </is>
      </c>
      <c r="T1785" t="inlineStr">
        <is>
          <t>3819976720436</t>
        </is>
      </c>
    </row>
    <row r="1786" hidden="1" ht="15.75" customHeight="1">
      <c r="A1786" s="2">
        <f>HYPERLINK("https://www.shelhealth.com/products/lysol-all-purpose-cleaner-210-oz", "https://www.shelhealth.com/products/lysol-all-purpose-cleaner-210-oz")</f>
        <v/>
      </c>
      <c r="B1786" s="2">
        <f>HYPERLINK("https://www.shelhealth.com/products/lysol-all-purpose-cleaner-210-oz", "https://www.shelhealth.com/products/lysol-all-purpose-cleaner-210-oz")</f>
        <v/>
      </c>
      <c r="C1786" t="inlineStr">
        <is>
          <t>Lysol All Purpose Cleaner, 210 oz</t>
        </is>
      </c>
      <c r="D1786" t="inlineStr">
        <is>
          <t>Lysol All-Purpose Cleaner, Sanitizing and Disinfecting Spray, To Clean and Deodorize, Lemon Breeze Scent, 32oz</t>
        </is>
      </c>
      <c r="E1786" s="2">
        <f>HYPERLINK("https://www.amazon.com/Lysol-Purpose-Cleaner-Spray-Breeze/dp/B00QIT9NDW/ref=sr_1_7?keywords=Lysol+All+Purpose+Cleaner%2C+210+oz&amp;qid=1695170411&amp;sr=8-7", "https://www.amazon.com/Lysol-Purpose-Cleaner-Spray-Breeze/dp/B00QIT9NDW/ref=sr_1_7?keywords=Lysol+All+Purpose+Cleaner%2C+210+oz&amp;qid=1695170411&amp;sr=8-7")</f>
        <v/>
      </c>
      <c r="F1786" t="inlineStr">
        <is>
          <t>B00QIT9NDW</t>
        </is>
      </c>
      <c r="G1786">
        <f>_xludf.IMAGE("https://www.shelhealth.com/cdn/shop/products/lysol-all-purpose-cleaner-210-oz-shelhealth-383.jpg?v=1663369573&amp;width=1946")</f>
        <v/>
      </c>
      <c r="H1786">
        <f>_xludf.IMAGE("https://m.media-amazon.com/images/I/71xU56FcKiL._AC_UL320_.jpg")</f>
        <v/>
      </c>
      <c r="K1786" t="inlineStr">
        <is>
          <t>26.99</t>
        </is>
      </c>
      <c r="L1786" t="n">
        <v>3.97</v>
      </c>
      <c r="M1786" s="1" t="inlineStr">
        <is>
          <t>-85.29%</t>
        </is>
      </c>
      <c r="N1786" s="3" t="n">
        <v>-85.29000000000001</v>
      </c>
      <c r="O1786" t="n">
        <v>4.8</v>
      </c>
      <c r="P1786" t="n">
        <v>17066</v>
      </c>
      <c r="R1786" t="inlineStr">
        <is>
          <t>InStock</t>
        </is>
      </c>
      <c r="S1786" t="inlineStr">
        <is>
          <t>26.99</t>
        </is>
      </c>
      <c r="T1786" t="inlineStr">
        <is>
          <t>4647117684825</t>
        </is>
      </c>
    </row>
    <row r="1787" hidden="1" ht="15.75" customHeight="1">
      <c r="A1787" s="2">
        <f>HYPERLINK("https://www.shelhealth.com/products/tide-pods-liquid-laundry-detergent-pacs-spring-meadow-168-ct", "https://www.shelhealth.com/products/tide-pods-liquid-laundry-detergent-pacs-spring-meadow-168-ct")</f>
        <v/>
      </c>
      <c r="B1787" s="2">
        <f>HYPERLINK("https://www.shelhealth.com/products/tide-pods-liquid-laundry-detergent-pacs-spring-meadow-168-ct", "https://www.shelhealth.com/products/tide-pods-liquid-laundry-detergent-pacs-spring-meadow-168-ct")</f>
        <v/>
      </c>
      <c r="C1787" t="inlineStr">
        <is>
          <t>Tide PODS Liquid Laundry Detergent Pacs, Spring Meadow (168 ct.)</t>
        </is>
      </c>
      <c r="D1787" t="inlineStr">
        <is>
          <t>Tide PODS Liquid Laundry Detergent Pacs, Spring Meadow, 20 Count</t>
        </is>
      </c>
      <c r="E1787" s="2">
        <f>HYPERLINK("https://www.amazon.com/Tide-Laundry-Detergent-Spring-Meadow/dp/B072PVL547/ref=sr_1_5?keywords=Tide+PODS+Liquid+Laundry+Detergent+Pacs%2C+Spring+Meadow+%28168+ct.%29&amp;qid=1695170570&amp;sr=8-5", "https://www.amazon.com/Tide-Laundry-Detergent-Spring-Meadow/dp/B072PVL547/ref=sr_1_5?keywords=Tide+PODS+Liquid+Laundry+Detergent+Pacs%2C+Spring+Meadow+%28168+ct.%29&amp;qid=1695170570&amp;sr=8-5")</f>
        <v/>
      </c>
      <c r="F1787" t="inlineStr">
        <is>
          <t>B072PVL547</t>
        </is>
      </c>
      <c r="G1787">
        <f>_xludf.IMAGE("https://www.shelhealth.com/cdn/shop/products/tide-pods-liquid-laundry-detergent-pacs-spring-meadow-168-ct-supplies-shelhealth-240.jpg?v=1675320315&amp;width=1946")</f>
        <v/>
      </c>
      <c r="H1787">
        <f>_xludf.IMAGE("https://m.media-amazon.com/images/I/81Mv4DWbHxL._AC_UL320_.jpg")</f>
        <v/>
      </c>
      <c r="K1787" t="inlineStr">
        <is>
          <t>53.99</t>
        </is>
      </c>
      <c r="L1787" t="n">
        <v>7.17</v>
      </c>
      <c r="M1787" s="1" t="inlineStr">
        <is>
          <t>-86.72%</t>
        </is>
      </c>
      <c r="N1787" s="3" t="n">
        <v>-86.72</v>
      </c>
      <c r="O1787" t="n">
        <v>4.8</v>
      </c>
      <c r="P1787" t="n">
        <v>2204</v>
      </c>
      <c r="R1787" t="inlineStr">
        <is>
          <t>OutOfStock</t>
        </is>
      </c>
      <c r="S1787" t="inlineStr">
        <is>
          <t>53.99</t>
        </is>
      </c>
      <c r="T1787" t="inlineStr">
        <is>
          <t>3819441160244</t>
        </is>
      </c>
    </row>
    <row r="1788" hidden="1" ht="15.75" customHeight="1">
      <c r="A1788" s="2">
        <f>HYPERLINK("https://www.shelhealth.com/products/11120255201-better-life-dish-soap-unscented-5-ga", "https://www.shelhealth.com/products/11120255201-better-life-dish-soap-unscented-5-ga")</f>
        <v/>
      </c>
      <c r="B1788" s="2">
        <f>HYPERLINK("https://www.shelhealth.com/products/11120255201-better-life-dish-soap-unscented-5-ga", "https://www.shelhealth.com/products/11120255201-better-life-dish-soap-unscented-5-ga")</f>
        <v/>
      </c>
      <c r="C1788" t="inlineStr">
        <is>
          <t>BETTER LIFE Dish Soap Unscented, 5 ga</t>
        </is>
      </c>
      <c r="D1788" t="inlineStr">
        <is>
          <t>Better Life Dish Soap, Unscented, 22 Fl Oz</t>
        </is>
      </c>
      <c r="E1788" s="2">
        <f>HYPERLINK("https://www.amazon.com/Better-Life-Sulfate-Grease-Unscented/dp/B00PRV25YG/ref=sr_1_2?keywords=BETTER+LIFE+Dish+Soap+Unscented%2C+5+ga&amp;qid=1695170496&amp;sr=8-2", "https://www.amazon.com/Better-Life-Sulfate-Grease-Unscented/dp/B00PRV25YG/ref=sr_1_2?keywords=BETTER+LIFE+Dish+Soap+Unscented%2C+5+ga&amp;qid=1695170496&amp;sr=8-2")</f>
        <v/>
      </c>
      <c r="F1788" t="inlineStr">
        <is>
          <t>B00PRV25YG</t>
        </is>
      </c>
      <c r="G1788">
        <f>_xludf.IMAGE("https://www.shelhealth.com/cdn/shop/files/better-life-dish-soap-unscented-5-ga-home-products-shelhealth-954.jpg?v=1686206197&amp;width=1946")</f>
        <v/>
      </c>
      <c r="H1788">
        <f>_xludf.IMAGE("https://m.media-amazon.com/images/I/816nSYQS1BL._AC_UL320_.jpg")</f>
        <v/>
      </c>
      <c r="K1788" t="inlineStr">
        <is>
          <t>152.99</t>
        </is>
      </c>
      <c r="L1788" t="n">
        <v>15.29</v>
      </c>
      <c r="M1788" s="1" t="inlineStr">
        <is>
          <t>-90.01%</t>
        </is>
      </c>
      <c r="N1788" s="3" t="n">
        <v>-90.01000000000001</v>
      </c>
      <c r="O1788" t="n">
        <v>4.3</v>
      </c>
      <c r="P1788" t="n">
        <v>6782</v>
      </c>
      <c r="R1788" t="inlineStr">
        <is>
          <t>OutOfStock</t>
        </is>
      </c>
      <c r="S1788" t="inlineStr">
        <is>
          <t>152.99</t>
        </is>
      </c>
      <c r="T1788" t="inlineStr">
        <is>
          <t>7573980250344</t>
        </is>
      </c>
    </row>
    <row r="1789" hidden="1" ht="15.75" customHeight="1">
      <c r="A1789" s="2">
        <f>HYPERLINK("https://www.shelhealth.com/products/11120255201-better-life-dish-soap-unscented-5-ga", "https://www.shelhealth.com/products/11120255201-better-life-dish-soap-unscented-5-ga")</f>
        <v/>
      </c>
      <c r="B1789" s="2">
        <f>HYPERLINK("https://www.shelhealth.com/products/11120255201-better-life-dish-soap-unscented-5-ga", "https://www.shelhealth.com/products/11120255201-better-life-dish-soap-unscented-5-ga")</f>
        <v/>
      </c>
      <c r="C1789" t="inlineStr">
        <is>
          <t>BETTER LIFE Dish Soap Unscented, 5 ga</t>
        </is>
      </c>
      <c r="D1789" t="inlineStr">
        <is>
          <t>Better Life Dish Soap, Unscented, 22 Ounces</t>
        </is>
      </c>
      <c r="E1789" s="2">
        <f>HYPERLINK("https://www.amazon.com/Better-Life-Dish-Unscented-Ounces/dp/B007S0PLEK/ref=sr_1_1?keywords=BETTER+LIFE+Dish+Soap+Unscented%2C+5+ga&amp;qid=1695170496&amp;sr=8-1", "https://www.amazon.com/Better-Life-Dish-Unscented-Ounces/dp/B007S0PLEK/ref=sr_1_1?keywords=BETTER+LIFE+Dish+Soap+Unscented%2C+5+ga&amp;qid=1695170496&amp;sr=8-1")</f>
        <v/>
      </c>
      <c r="F1789" t="inlineStr">
        <is>
          <t>B007S0PLEK</t>
        </is>
      </c>
      <c r="G1789">
        <f>_xludf.IMAGE("https://www.shelhealth.com/cdn/shop/files/better-life-dish-soap-unscented-5-ga-home-products-shelhealth-954.jpg?v=1686206197&amp;width=1946")</f>
        <v/>
      </c>
      <c r="H1789">
        <f>_xludf.IMAGE("https://m.media-amazon.com/images/I/71F+TvyNkwL._AC_UL320_.jpg")</f>
        <v/>
      </c>
      <c r="K1789" t="inlineStr">
        <is>
          <t>152.99</t>
        </is>
      </c>
      <c r="L1789" t="n">
        <v>13.5</v>
      </c>
      <c r="M1789" s="1" t="inlineStr">
        <is>
          <t>-91.18%</t>
        </is>
      </c>
      <c r="N1789" s="3" t="n">
        <v>-91.18000000000001</v>
      </c>
      <c r="O1789" t="n">
        <v>4.3</v>
      </c>
      <c r="P1789" t="n">
        <v>219</v>
      </c>
      <c r="R1789" t="inlineStr">
        <is>
          <t>OutOfStock</t>
        </is>
      </c>
      <c r="S1789" t="inlineStr">
        <is>
          <t>152.99</t>
        </is>
      </c>
      <c r="T1789" t="inlineStr">
        <is>
          <t>7573980250344</t>
        </is>
      </c>
    </row>
    <row r="1790" ht="75" customHeight="1">
      <c r="A1790" s="2">
        <f>HYPERLINK("https://www.shelhealth.com/products/kirkland-signature-adults-mature-multi-vitamins-400-count-tablets", "https://www.shelhealth.com/products/kirkland-signature-adults-mature-multi-vitamins-400-count-tablets")</f>
        <v/>
      </c>
      <c r="B1790" s="2">
        <f>HYPERLINK("https://www.shelhealth.com/products/kirkland-signature-adults-mature-multi-vitamins-400-count-tablets", "https://www.shelhealth.com/products/kirkland-signature-adults-mature-multi-vitamins-400-count-tablets")</f>
        <v/>
      </c>
      <c r="C1790" t="inlineStr">
        <is>
          <t>Kirkland Signature Adults Multi Vitamins , 400-Count Tablets</t>
        </is>
      </c>
      <c r="D1790" t="inlineStr">
        <is>
          <t>Kirkland Signature Mature Adult Multi Vitamin Tablets, 4 Package (400 Count)</t>
        </is>
      </c>
      <c r="E1790" s="2">
        <f>HYPERLINK("https://www.amazon.com/Kirkland-Signature-Vitamin-Tablets-Package/dp/B07CM1L6BX/ref=sr_1_1?keywords=Kirkland+Signature+Adults+Multi+Vitamins+%2C+400-Count+Tablets&amp;qid=1695170598&amp;sr=8-1", "https://www.amazon.com/Kirkland-Signature-Vitamin-Tablets-Package/dp/B07CM1L6BX/ref=sr_1_1?keywords=Kirkland+Signature+Adults+Multi+Vitamins+%2C+400-Count+Tablets&amp;qid=1695170598&amp;sr=8-1")</f>
        <v/>
      </c>
      <c r="F1790" t="inlineStr">
        <is>
          <t>B07CM1L6BX</t>
        </is>
      </c>
      <c r="G1790">
        <f>_xlfn.IMAGE("https://www.shelhealth.com/cdn/shop/products/kirkland-signature-adults-multi-vitamins-400-count-tablets-shelhealth-790.jpg?v=1663337481&amp;width=1946")</f>
        <v/>
      </c>
      <c r="H1790">
        <f>_xlfn.IMAGE("https://m.media-amazon.com/images/I/91N+VYPudOL._AC_UL320_.jpg")</f>
        <v/>
      </c>
      <c r="K1790" t="inlineStr">
        <is>
          <t>16.99</t>
        </is>
      </c>
      <c r="L1790" t="n">
        <v>66.79000000000001</v>
      </c>
      <c r="M1790" s="1" t="inlineStr">
        <is>
          <t>293.11%</t>
        </is>
      </c>
      <c r="N1790" s="3" t="n">
        <v>293.11</v>
      </c>
      <c r="O1790" t="n">
        <v>4</v>
      </c>
      <c r="P1790" t="n">
        <v>1</v>
      </c>
      <c r="R1790" t="inlineStr">
        <is>
          <t>InStock</t>
        </is>
      </c>
      <c r="S1790" t="inlineStr">
        <is>
          <t>16.99</t>
        </is>
      </c>
      <c r="T1790" t="inlineStr">
        <is>
          <t>3773444096052</t>
        </is>
      </c>
    </row>
    <row r="1791" hidden="1" ht="15.75" customHeight="1">
      <c r="A1791" s="2">
        <f>HYPERLINK("https://www.shelhealth.com/products/kirkland-signature-adults-mature-multi-vitamins-400-count-tablets", "https://www.shelhealth.com/products/kirkland-signature-adults-mature-multi-vitamins-400-count-tablets")</f>
        <v/>
      </c>
      <c r="B1791" s="2">
        <f>HYPERLINK("https://www.shelhealth.com/products/kirkland-signature-adults-mature-multi-vitamins-400-count-tablets", "https://www.shelhealth.com/products/kirkland-signature-adults-mature-multi-vitamins-400-count-tablets")</f>
        <v/>
      </c>
      <c r="C1791" t="inlineStr">
        <is>
          <t>Kirkland Signature Adults Multi Vitamins , 400-Count Tablets</t>
        </is>
      </c>
      <c r="D1791" t="inlineStr">
        <is>
          <t>Kirkland Signature Daily Multi Vitamins &amp; Minerals Tablets, 500-Count Bottle (3 Pack)</t>
        </is>
      </c>
      <c r="E1791" s="2">
        <f>HYPERLINK("https://www.amazon.com/Kirkland-Signature-Vitamins-Minerals-500-Count/dp/B07F1ZLQMF/ref=sr_1_2?keywords=Kirkland+Signature+Adults+Multi+Vitamins+%2C+400-Count+Tablets&amp;qid=1695170598&amp;sr=8-2", "https://www.amazon.com/Kirkland-Signature-Vitamins-Minerals-500-Count/dp/B07F1ZLQMF/ref=sr_1_2?keywords=Kirkland+Signature+Adults+Multi+Vitamins+%2C+400-Count+Tablets&amp;qid=1695170598&amp;sr=8-2")</f>
        <v/>
      </c>
      <c r="F1791" t="inlineStr">
        <is>
          <t>B07F1ZLQMF</t>
        </is>
      </c>
      <c r="G1791">
        <f>_xludf.IMAGE("https://www.shelhealth.com/cdn/shop/products/kirkland-signature-adults-multi-vitamins-400-count-tablets-shelhealth-790.jpg?v=1663337481&amp;width=1946")</f>
        <v/>
      </c>
      <c r="H1791">
        <f>_xludf.IMAGE("https://m.media-amazon.com/images/I/51+IoMepISL._AC_UL320_.jpg")</f>
        <v/>
      </c>
      <c r="K1791" t="inlineStr">
        <is>
          <t>16.99</t>
        </is>
      </c>
      <c r="L1791" t="n">
        <v>58.4</v>
      </c>
      <c r="M1791" s="1" t="inlineStr">
        <is>
          <t>243.73%</t>
        </is>
      </c>
      <c r="N1791" s="3" t="n">
        <v>243.73</v>
      </c>
      <c r="O1791" t="n">
        <v>3.6</v>
      </c>
      <c r="P1791" t="n">
        <v>3</v>
      </c>
      <c r="R1791" t="inlineStr">
        <is>
          <t>InStock</t>
        </is>
      </c>
      <c r="S1791" t="inlineStr">
        <is>
          <t>16.99</t>
        </is>
      </c>
      <c r="T1791" t="inlineStr">
        <is>
          <t>3773444096052</t>
        </is>
      </c>
    </row>
    <row r="1792" ht="75" customHeight="1">
      <c r="A1792" s="2">
        <f>HYPERLINK("https://www.shelhealth.com/products/kirkland-signature-organic-multivitamin-80-coated-tablets", "https://www.shelhealth.com/products/kirkland-signature-organic-multivitamin-80-coated-tablets")</f>
        <v/>
      </c>
      <c r="B1792" s="2">
        <f>HYPERLINK("https://www.shelhealth.com/products/kirkland-signature-organic-multivitamin-80-coated-tablets", "https://www.shelhealth.com/products/kirkland-signature-organic-multivitamin-80-coated-tablets")</f>
        <v/>
      </c>
      <c r="C1792" t="inlineStr">
        <is>
          <t>Kirkland Signature Organic Multivitamin - 80 Coated Tablets</t>
        </is>
      </c>
      <c r="D1792" t="inlineStr">
        <is>
          <t>Kirkland Signature USDA Organic Multivitamin, 80 Coated Tablets (Pack of 4)</t>
        </is>
      </c>
      <c r="E1792" s="2">
        <f>HYPERLINK("https://www.amazon.com/Kirkland-Signature-Organic-Multivitamin-Tablets/dp/B07V5MPKKL/ref=sr_1_2?keywords=Kirkland+Signature+Organic+Multivitamin+-+80+Coated+Tablets&amp;qid=1695170594&amp;sr=8-2", "https://www.amazon.com/Kirkland-Signature-Organic-Multivitamin-Tablets/dp/B07V5MPKKL/ref=sr_1_2?keywords=Kirkland+Signature+Organic+Multivitamin+-+80+Coated+Tablets&amp;qid=1695170594&amp;sr=8-2")</f>
        <v/>
      </c>
      <c r="F1792" t="inlineStr">
        <is>
          <t>B07V5MPKKL</t>
        </is>
      </c>
      <c r="G1792">
        <f>_xlfn.IMAGE("https://www.shelhealth.com/cdn/shop/products/kirkland-signature-organic-multivitamin-80-coated-tablets-shelhealth-411.jpg?v=1663336592&amp;width=1946")</f>
        <v/>
      </c>
      <c r="H1792">
        <f>_xlfn.IMAGE("https://m.media-amazon.com/images/I/61HSqy+PSnL._AC_UL320_.jpg")</f>
        <v/>
      </c>
      <c r="K1792" t="inlineStr">
        <is>
          <t>31.99</t>
        </is>
      </c>
      <c r="L1792" t="n">
        <v>91.98999999999999</v>
      </c>
      <c r="M1792" s="1" t="inlineStr">
        <is>
          <t>187.56%</t>
        </is>
      </c>
      <c r="N1792" s="3" t="n">
        <v>187.56</v>
      </c>
      <c r="O1792" t="n">
        <v>5</v>
      </c>
      <c r="P1792" t="n">
        <v>7</v>
      </c>
      <c r="R1792" t="inlineStr">
        <is>
          <t>InStock</t>
        </is>
      </c>
      <c r="S1792" t="inlineStr">
        <is>
          <t>31.99</t>
        </is>
      </c>
      <c r="T1792" t="inlineStr">
        <is>
          <t>3699355385908</t>
        </is>
      </c>
    </row>
    <row r="1793" hidden="1" ht="15.75" customHeight="1">
      <c r="A1793" s="2">
        <f>HYPERLINK("https://www.shelhealth.com/products/kirkland-signature-daily-multi-vitamins-minerals-500-tablets", "https://www.shelhealth.com/products/kirkland-signature-daily-multi-vitamins-minerals-500-tablets")</f>
        <v/>
      </c>
      <c r="B1793" s="2">
        <f>HYPERLINK("https://www.shelhealth.com/products/kirkland-signature-daily-multi-vitamins-minerals-500-tablets", "https://www.shelhealth.com/products/kirkland-signature-daily-multi-vitamins-minerals-500-tablets")</f>
        <v/>
      </c>
      <c r="C1793" t="inlineStr">
        <is>
          <t>Kirkland Signature Daily Multivitamins &amp; Minerals 500 Tablets</t>
        </is>
      </c>
      <c r="D1793" t="inlineStr">
        <is>
          <t>Kirkland Signature Daily Multi Vitamins &amp; Minerals Tablets, 500-Count Bottle (3 Pack)</t>
        </is>
      </c>
      <c r="E1793" s="2">
        <f>HYPERLINK("https://www.amazon.com/Kirkland-Signature-Vitamins-Minerals-500-Count/dp/B07F1ZLQMF/ref=sr_1_3?keywords=Kirkland+Signature+Daily+Multivitamins+%26+Minerals+500+Tablets&amp;qid=1695170596&amp;sr=8-3", "https://www.amazon.com/Kirkland-Signature-Vitamins-Minerals-500-Count/dp/B07F1ZLQMF/ref=sr_1_3?keywords=Kirkland+Signature+Daily+Multivitamins+%26+Minerals+500+Tablets&amp;qid=1695170596&amp;sr=8-3")</f>
        <v/>
      </c>
      <c r="F1793" t="inlineStr">
        <is>
          <t>B07F1ZLQMF</t>
        </is>
      </c>
      <c r="G1793">
        <f>_xludf.IMAGE("https://www.shelhealth.com/cdn/shop/products/kirkland-signature-daily-multivitamins-minerals-500-tablets-shelhealth-226.jpg?v=1663337474&amp;width=1946")</f>
        <v/>
      </c>
      <c r="H1793">
        <f>_xludf.IMAGE("https://m.media-amazon.com/images/I/51+IoMepISL._AC_UL320_.jpg")</f>
        <v/>
      </c>
      <c r="K1793" t="inlineStr">
        <is>
          <t>21.99</t>
        </is>
      </c>
      <c r="L1793" t="n">
        <v>58.4</v>
      </c>
      <c r="M1793" s="1" t="inlineStr">
        <is>
          <t>165.58%</t>
        </is>
      </c>
      <c r="N1793" s="3" t="n">
        <v>165.58</v>
      </c>
      <c r="O1793" t="n">
        <v>3.6</v>
      </c>
      <c r="P1793" t="n">
        <v>3</v>
      </c>
      <c r="R1793" t="inlineStr">
        <is>
          <t>InStock</t>
        </is>
      </c>
      <c r="S1793" t="inlineStr">
        <is>
          <t>21.99</t>
        </is>
      </c>
      <c r="T1793" t="inlineStr">
        <is>
          <t>3773437804596</t>
        </is>
      </c>
    </row>
    <row r="1794" ht="75" customHeight="1">
      <c r="A1794" s="2">
        <f>HYPERLINK("https://www.shelhealth.com/products/one-a-day-mens-vitacraves-multivitamin-gummies-230-count", "https://www.shelhealth.com/products/one-a-day-mens-vitacraves-multivitamin-gummies-230-count")</f>
        <v/>
      </c>
      <c r="B1794" s="2">
        <f>HYPERLINK("https://www.shelhealth.com/products/one-a-day-mens-vitacraves-multivitamin-gummies-230-count", "https://www.shelhealth.com/products/one-a-day-mens-vitacraves-multivitamin-gummies-230-count")</f>
        <v/>
      </c>
      <c r="C1794" t="inlineStr">
        <is>
          <t>One A Day Men's VitaCraves Multivitamin Gummies, 230 Count</t>
        </is>
      </c>
      <c r="D1794" t="inlineStr">
        <is>
          <t>One A Day Women’s Vitacraves Multivitamin Gummies, Supplement with Vitamins A, C, E, B6, B12, Calcium, &amp; Vitamin D, 230Count (Packaging May Vary) and Men’s VitaCraves Multivitamin Gummies</t>
        </is>
      </c>
      <c r="E1794" s="2">
        <f>HYPERLINK("https://www.amazon.com/Vitacraves-Multivitamin-Supplement-Packaging-VitaCraves/dp/B07WYP8NXF/ref=sr_1_3?keywords=One+A+Day+Men%27s+VitaCraves+Multivitamin+Gummies%2C+230+Count&amp;qid=1695170609&amp;sr=8-3", "https://www.amazon.com/Vitacraves-Multivitamin-Supplement-Packaging-VitaCraves/dp/B07WYP8NXF/ref=sr_1_3?keywords=One+A+Day+Men%27s+VitaCraves+Multivitamin+Gummies%2C+230+Count&amp;qid=1695170609&amp;sr=8-3")</f>
        <v/>
      </c>
      <c r="F1794" t="inlineStr">
        <is>
          <t>B07WYP8NXF</t>
        </is>
      </c>
      <c r="G1794">
        <f>_xlfn.IMAGE("https://www.shelhealth.com/cdn/shop/products/one-a-day-mens-vitacraves-multivitamin-gummies-230-count-shelhealth-927.jpg?v=1663351576&amp;width=1946")</f>
        <v/>
      </c>
      <c r="H1794">
        <f>_xlfn.IMAGE("https://m.media-amazon.com/images/I/61xCnDm4cFS._AC_UL320_.jpg")</f>
        <v/>
      </c>
      <c r="K1794" t="inlineStr">
        <is>
          <t>22.99</t>
        </is>
      </c>
      <c r="L1794" t="n">
        <v>60.04</v>
      </c>
      <c r="M1794" s="1" t="inlineStr">
        <is>
          <t>161.16%</t>
        </is>
      </c>
      <c r="N1794" s="3" t="n">
        <v>161.16</v>
      </c>
      <c r="O1794" t="n">
        <v>4.6</v>
      </c>
      <c r="P1794" t="n">
        <v>9</v>
      </c>
      <c r="R1794" t="inlineStr">
        <is>
          <t>InStock</t>
        </is>
      </c>
      <c r="S1794" t="inlineStr">
        <is>
          <t>22.99</t>
        </is>
      </c>
      <c r="T1794" t="inlineStr">
        <is>
          <t>4111603728436</t>
        </is>
      </c>
    </row>
    <row r="1795" ht="75" customHeight="1">
      <c r="A1795" s="2">
        <f>HYPERLINK("https://www.shelhealth.com/products/kirkland-signature-daily-multi-vitamins-minerals-500-tablets", "https://www.shelhealth.com/products/kirkland-signature-daily-multi-vitamins-minerals-500-tablets")</f>
        <v/>
      </c>
      <c r="B1795" s="2">
        <f>HYPERLINK("https://www.shelhealth.com/products/kirkland-signature-daily-multi-vitamins-minerals-500-tablets", "https://www.shelhealth.com/products/kirkland-signature-daily-multi-vitamins-minerals-500-tablets")</f>
        <v/>
      </c>
      <c r="C1795" t="inlineStr">
        <is>
          <t>Kirkland Signature Daily Multivitamins &amp; Minerals 500 Tablets</t>
        </is>
      </c>
      <c r="D1795" t="inlineStr">
        <is>
          <t>Kirkland Signature Daily Multi Vitamins &amp; Minerals Tablets, 500-Count Bottle (2 Pack)</t>
        </is>
      </c>
      <c r="E1795" s="2">
        <f>HYPERLINK("https://www.amazon.com/Kirkland-Signature-Vitamins-Minerals-500-Count/dp/B07F1VFQNJ/ref=sr_1_1?keywords=Kirkland+Signature+Daily+Multivitamins+%26+Minerals+500+Tablets&amp;qid=1695170596&amp;sr=8-1", "https://www.amazon.com/Kirkland-Signature-Vitamins-Minerals-500-Count/dp/B07F1VFQNJ/ref=sr_1_1?keywords=Kirkland+Signature+Daily+Multivitamins+%26+Minerals+500+Tablets&amp;qid=1695170596&amp;sr=8-1")</f>
        <v/>
      </c>
      <c r="F1795" t="inlineStr">
        <is>
          <t>B07F1VFQNJ</t>
        </is>
      </c>
      <c r="G1795">
        <f>_xlfn.IMAGE("https://www.shelhealth.com/cdn/shop/products/kirkland-signature-daily-multivitamins-minerals-500-tablets-shelhealth-226.jpg?v=1663337474&amp;width=1946")</f>
        <v/>
      </c>
      <c r="H1795">
        <f>_xlfn.IMAGE("https://m.media-amazon.com/images/I/61xxI+xvKvL._AC_UL320_.jpg")</f>
        <v/>
      </c>
      <c r="K1795" t="inlineStr">
        <is>
          <t>21.99</t>
        </is>
      </c>
      <c r="L1795" t="n">
        <v>43.44</v>
      </c>
      <c r="M1795" s="1" t="inlineStr">
        <is>
          <t>97.54%</t>
        </is>
      </c>
      <c r="N1795" s="3" t="n">
        <v>97.54000000000001</v>
      </c>
      <c r="O1795" t="n">
        <v>4.7</v>
      </c>
      <c r="P1795" t="n">
        <v>50</v>
      </c>
      <c r="R1795" t="inlineStr">
        <is>
          <t>InStock</t>
        </is>
      </c>
      <c r="S1795" t="inlineStr">
        <is>
          <t>21.99</t>
        </is>
      </c>
      <c r="T1795" t="inlineStr">
        <is>
          <t>3773437804596</t>
        </is>
      </c>
    </row>
    <row r="1796" ht="75" customHeight="1">
      <c r="A1796" s="2">
        <f>HYPERLINK("https://www.shelhealth.com/products/kirkland-signature-adults-mature-multi-vitamins-400-count-tablets", "https://www.shelhealth.com/products/kirkland-signature-adults-mature-multi-vitamins-400-count-tablets")</f>
        <v/>
      </c>
      <c r="B1796" s="2">
        <f>HYPERLINK("https://www.shelhealth.com/products/kirkland-signature-adults-mature-multi-vitamins-400-count-tablets", "https://www.shelhealth.com/products/kirkland-signature-adults-mature-multi-vitamins-400-count-tablets")</f>
        <v/>
      </c>
      <c r="C1796" t="inlineStr">
        <is>
          <t>Kirkland Signature Adults Multi Vitamins , 400-Count Tablets</t>
        </is>
      </c>
      <c r="D1796" t="inlineStr">
        <is>
          <t>Kirkland Signature Mature Adult Multi Vitamin Tablets, 2 Package (400 Count)</t>
        </is>
      </c>
      <c r="E1796" s="2">
        <f>HYPERLINK("https://www.amazon.com/Kirkland-Signature-Vitamin-Tablets-Package/dp/B07CGQBNKR/ref=sr_1_3?keywords=Kirkland+Signature+Adults+Multi+Vitamins+%2C+400-Count+Tablets&amp;qid=1695170598&amp;sr=8-3", "https://www.amazon.com/Kirkland-Signature-Vitamin-Tablets-Package/dp/B07CGQBNKR/ref=sr_1_3?keywords=Kirkland+Signature+Adults+Multi+Vitamins+%2C+400-Count+Tablets&amp;qid=1695170598&amp;sr=8-3")</f>
        <v/>
      </c>
      <c r="F1796" t="inlineStr">
        <is>
          <t>B07CGQBNKR</t>
        </is>
      </c>
      <c r="G1796">
        <f>_xlfn.IMAGE("https://www.shelhealth.com/cdn/shop/products/kirkland-signature-adults-multi-vitamins-400-count-tablets-shelhealth-790.jpg?v=1663337481&amp;width=1946")</f>
        <v/>
      </c>
      <c r="H1796">
        <f>_xlfn.IMAGE("https://m.media-amazon.com/images/I/81Tiw7FewNL._AC_UL320_.jpg")</f>
        <v/>
      </c>
      <c r="K1796" t="inlineStr">
        <is>
          <t>16.99</t>
        </is>
      </c>
      <c r="L1796" t="n">
        <v>31.98</v>
      </c>
      <c r="M1796" s="1" t="inlineStr">
        <is>
          <t>88.23%</t>
        </is>
      </c>
      <c r="N1796" s="3" t="n">
        <v>88.23</v>
      </c>
      <c r="O1796" t="n">
        <v>4.7</v>
      </c>
      <c r="P1796" t="n">
        <v>252</v>
      </c>
      <c r="R1796" t="inlineStr">
        <is>
          <t>InStock</t>
        </is>
      </c>
      <c r="S1796" t="inlineStr">
        <is>
          <t>16.99</t>
        </is>
      </c>
      <c r="T1796" t="inlineStr">
        <is>
          <t>3773444096052</t>
        </is>
      </c>
    </row>
    <row r="1797" ht="75" customHeight="1">
      <c r="A1797" s="2">
        <f>HYPERLINK("https://www.shelhealth.com/products/kirkland-signature-daily-multi-vitamins-minerals-500-tablets", "https://www.shelhealth.com/products/kirkland-signature-daily-multi-vitamins-minerals-500-tablets")</f>
        <v/>
      </c>
      <c r="B1797" s="2">
        <f>HYPERLINK("https://www.shelhealth.com/products/kirkland-signature-daily-multi-vitamins-minerals-500-tablets", "https://www.shelhealth.com/products/kirkland-signature-daily-multi-vitamins-minerals-500-tablets")</f>
        <v/>
      </c>
      <c r="C1797" t="inlineStr">
        <is>
          <t>Kirkland Signature Daily Multivitamins &amp; Minerals 500 Tablets</t>
        </is>
      </c>
      <c r="D1797" t="inlineStr">
        <is>
          <t>Kirkland Signature Daily Multi Vitamins &amp; Minerals Tablets EIzDnG, 500 Count Bottle (2 Pack)</t>
        </is>
      </c>
      <c r="E1797" s="2">
        <f>HYPERLINK("https://www.amazon.com/Kirkland-Signature-Vitamins-Minerals-Tablets/dp/B076V51TF1/ref=sr_1_5?keywords=Kirkland+Signature+Daily+Multivitamins+%26+Minerals+500+Tablets&amp;qid=1695170596&amp;sr=8-5", "https://www.amazon.com/Kirkland-Signature-Vitamins-Minerals-Tablets/dp/B076V51TF1/ref=sr_1_5?keywords=Kirkland+Signature+Daily+Multivitamins+%26+Minerals+500+Tablets&amp;qid=1695170596&amp;sr=8-5")</f>
        <v/>
      </c>
      <c r="F1797" t="inlineStr">
        <is>
          <t>B076V51TF1</t>
        </is>
      </c>
      <c r="G1797">
        <f>_xlfn.IMAGE("https://www.shelhealth.com/cdn/shop/products/kirkland-signature-daily-multivitamins-minerals-500-tablets-shelhealth-226.jpg?v=1663337474&amp;width=1946")</f>
        <v/>
      </c>
      <c r="H1797">
        <f>_xlfn.IMAGE("https://m.media-amazon.com/images/I/61xxI+xvKvL._AC_UL320_.jpg")</f>
        <v/>
      </c>
      <c r="K1797" t="inlineStr">
        <is>
          <t>21.99</t>
        </is>
      </c>
      <c r="L1797" t="n">
        <v>39.98</v>
      </c>
      <c r="M1797" s="1" t="inlineStr">
        <is>
          <t>81.81%</t>
        </is>
      </c>
      <c r="N1797" s="3" t="n">
        <v>81.81</v>
      </c>
      <c r="O1797" t="n">
        <v>4.6</v>
      </c>
      <c r="P1797" t="n">
        <v>1955</v>
      </c>
      <c r="R1797" t="inlineStr">
        <is>
          <t>InStock</t>
        </is>
      </c>
      <c r="S1797" t="inlineStr">
        <is>
          <t>21.99</t>
        </is>
      </c>
      <c r="T1797" t="inlineStr">
        <is>
          <t>3773437804596</t>
        </is>
      </c>
    </row>
    <row r="1798" ht="75" customHeight="1">
      <c r="A1798" s="2">
        <f>HYPERLINK("https://www.shelhealth.com/products/one-a-day-mens-vitacraves-multivitamin-gummies-230-count", "https://www.shelhealth.com/products/one-a-day-mens-vitacraves-multivitamin-gummies-230-count")</f>
        <v/>
      </c>
      <c r="B1798" s="2">
        <f>HYPERLINK("https://www.shelhealth.com/products/one-a-day-mens-vitacraves-multivitamin-gummies-230-count", "https://www.shelhealth.com/products/one-a-day-mens-vitacraves-multivitamin-gummies-230-count")</f>
        <v/>
      </c>
      <c r="C1798" t="inlineStr">
        <is>
          <t>One A Day Men's VitaCraves Multivitamin Gummies, 230 Count</t>
        </is>
      </c>
      <c r="D1798" t="inlineStr">
        <is>
          <t>One A Day Women’s Multivitamin Gummies, Supplement with Vitamin A, Vitamin C, Vitamin D, Vitamin E and Zinc for Immune Health Support, Calcium &amp; more, Orange, 230 count, Fruity</t>
        </is>
      </c>
      <c r="E1798" s="2">
        <f>HYPERLINK("https://www.amazon.com/VitaCraves-Multivitamin-Gummies-Supplement-Vitamins/dp/B0756XWYYV/ref=sr_1_10?keywords=One+A+Day+Men%27s+VitaCraves+Multivitamin+Gummies%2C+230+Count&amp;qid=1695170609&amp;sr=8-10", "https://www.amazon.com/VitaCraves-Multivitamin-Gummies-Supplement-Vitamins/dp/B0756XWYYV/ref=sr_1_10?keywords=One+A+Day+Men%27s+VitaCraves+Multivitamin+Gummies%2C+230+Count&amp;qid=1695170609&amp;sr=8-10")</f>
        <v/>
      </c>
      <c r="F1798" t="inlineStr">
        <is>
          <t>B0756XWYYV</t>
        </is>
      </c>
      <c r="G1798">
        <f>_xlfn.IMAGE("https://www.shelhealth.com/cdn/shop/products/one-a-day-mens-vitacraves-multivitamin-gummies-230-count-shelhealth-927.jpg?v=1663351576&amp;width=1946")</f>
        <v/>
      </c>
      <c r="H1798">
        <f>_xlfn.IMAGE("https://m.media-amazon.com/images/I/81+qcK+Za-L._AC_UL320_.jpg")</f>
        <v/>
      </c>
      <c r="K1798" t="inlineStr">
        <is>
          <t>22.99</t>
        </is>
      </c>
      <c r="L1798" t="n">
        <v>38</v>
      </c>
      <c r="M1798" s="1" t="inlineStr">
        <is>
          <t>65.29%</t>
        </is>
      </c>
      <c r="N1798" s="3" t="n">
        <v>65.29000000000001</v>
      </c>
      <c r="O1798" t="n">
        <v>4.7</v>
      </c>
      <c r="P1798" t="n">
        <v>9905</v>
      </c>
      <c r="R1798" t="inlineStr">
        <is>
          <t>InStock</t>
        </is>
      </c>
      <c r="S1798" t="inlineStr">
        <is>
          <t>22.99</t>
        </is>
      </c>
      <c r="T1798" t="inlineStr">
        <is>
          <t>4111603728436</t>
        </is>
      </c>
    </row>
    <row r="1799" hidden="1" ht="15.75" customHeight="1">
      <c r="A1799" s="2">
        <f>HYPERLINK("https://www.shelhealth.com/products/centrum-silver-mens-50-multivitamins-250-tablets", "https://www.shelhealth.com/products/centrum-silver-mens-50-multivitamins-250-tablets")</f>
        <v/>
      </c>
      <c r="B1799" s="2">
        <f>HYPERLINK("https://www.shelhealth.com/products/centrum-silver-mens-50-multivitamins-250-tablets", "https://www.shelhealth.com/products/centrum-silver-mens-50-multivitamins-250-tablets")</f>
        <v/>
      </c>
      <c r="C1799" t="inlineStr">
        <is>
          <t>Centrum Silver Men's Multivitamins - 275 tablets</t>
        </is>
      </c>
      <c r="D1799" t="inlineStr">
        <is>
          <t>Centrum Silver 50+ Multivitamin, 275 Tablets+GabrenzSticker</t>
        </is>
      </c>
      <c r="E1799" s="2">
        <f>HYPERLINK("https://www.amazon.com/Centrum-Silver-Multivitamin-Tablets-GabrenzSticker/dp/B0CDZRK9FM/ref=sr_1_2?keywords=centrum+silver+men%27s+multivitamins+-+275+tablets&amp;qid=1695170595&amp;sr=8-2", "https://www.amazon.com/Centrum-Silver-Multivitamin-Tablets-GabrenzSticker/dp/B0CDZRK9FM/ref=sr_1_2?keywords=centrum+silver+men%27s+multivitamins+-+275+tablets&amp;qid=1695170595&amp;sr=8-2")</f>
        <v/>
      </c>
      <c r="F1799" t="inlineStr">
        <is>
          <t>B0CDZRK9FM</t>
        </is>
      </c>
      <c r="G1799">
        <f>_xludf.IMAGE("https://www.shelhealth.com/cdn/shop/products/centrum-silver-mens-multivitamins-275-tablets-shelhealth-867.jpg?v=1663337976&amp;width=1946")</f>
        <v/>
      </c>
      <c r="H1799">
        <f>_xludf.IMAGE("https://m.media-amazon.com/images/I/61OsWPd-ggL._AC_UL320_.jpg")</f>
        <v/>
      </c>
      <c r="K1799" t="inlineStr">
        <is>
          <t>29.99</t>
        </is>
      </c>
      <c r="L1799" t="n">
        <v>44.19</v>
      </c>
      <c r="M1799" s="1" t="inlineStr">
        <is>
          <t>47.35%</t>
        </is>
      </c>
      <c r="N1799" s="3" t="n">
        <v>47.35</v>
      </c>
      <c r="O1799" t="n">
        <v>5</v>
      </c>
      <c r="P1799" t="n">
        <v>2</v>
      </c>
      <c r="R1799" t="inlineStr">
        <is>
          <t>InStock</t>
        </is>
      </c>
      <c r="S1799" t="inlineStr">
        <is>
          <t>29.99</t>
        </is>
      </c>
      <c r="T1799" t="inlineStr">
        <is>
          <t>3782023053364</t>
        </is>
      </c>
    </row>
    <row r="1800" hidden="1" ht="15.75" customHeight="1">
      <c r="A1800" s="2">
        <f>HYPERLINK("https://www.shelhealth.com/products/centrum-silver-mens-50-multivitamins-250-tablets", "https://www.shelhealth.com/products/centrum-silver-mens-50-multivitamins-250-tablets")</f>
        <v/>
      </c>
      <c r="B1800" s="2">
        <f>HYPERLINK("https://www.shelhealth.com/products/centrum-silver-mens-50-multivitamins-250-tablets", "https://www.shelhealth.com/products/centrum-silver-mens-50-multivitamins-250-tablets")</f>
        <v/>
      </c>
      <c r="C1800" t="inlineStr">
        <is>
          <t>Centrum Silver Men's Multivitamins - 275 tablets</t>
        </is>
      </c>
      <c r="D1800" t="inlineStr">
        <is>
          <t>Centrum Silver Men 50+ Multivitamin, 8 Months Supply, 275 Tablets + Exclusive Vitamin Guide (2 Items)</t>
        </is>
      </c>
      <c r="E1800" s="2">
        <f>HYPERLINK("https://www.amazon.com/Centrum-Multivitamin-Tablets-Exclusive-Vitamin/dp/B0C7272FKB/ref=sr_1_1?keywords=centrum+silver+men%27s+multivitamins+-+275+tablets&amp;qid=1695170595&amp;sr=8-1", "https://www.amazon.com/Centrum-Multivitamin-Tablets-Exclusive-Vitamin/dp/B0C7272FKB/ref=sr_1_1?keywords=centrum+silver+men%27s+multivitamins+-+275+tablets&amp;qid=1695170595&amp;sr=8-1")</f>
        <v/>
      </c>
      <c r="F1800" t="inlineStr">
        <is>
          <t>B0C7272FKB</t>
        </is>
      </c>
      <c r="G1800">
        <f>_xludf.IMAGE("https://www.shelhealth.com/cdn/shop/products/centrum-silver-mens-multivitamins-275-tablets-shelhealth-867.jpg?v=1663337976&amp;width=1946")</f>
        <v/>
      </c>
      <c r="H1800">
        <f>_xludf.IMAGE("https://m.media-amazon.com/images/I/61ZfsCIuoXL._AC_UL320_.jpg")</f>
        <v/>
      </c>
      <c r="K1800" t="inlineStr">
        <is>
          <t>29.99</t>
        </is>
      </c>
      <c r="L1800" t="n">
        <v>42.2</v>
      </c>
      <c r="M1800" s="1" t="inlineStr">
        <is>
          <t>40.71%</t>
        </is>
      </c>
      <c r="N1800" s="3" t="n">
        <v>40.71</v>
      </c>
      <c r="O1800" t="n">
        <v>4.5</v>
      </c>
      <c r="P1800" t="n">
        <v>45</v>
      </c>
      <c r="R1800" t="inlineStr">
        <is>
          <t>InStock</t>
        </is>
      </c>
      <c r="S1800" t="inlineStr">
        <is>
          <t>29.99</t>
        </is>
      </c>
      <c r="T1800" t="inlineStr">
        <is>
          <t>3782023053364</t>
        </is>
      </c>
    </row>
    <row r="1801" hidden="1" ht="15.75" customHeight="1">
      <c r="A1801" s="2">
        <f>HYPERLINK("https://www.shelhealth.com/products/one-a-day-mens-vitacraves-multivitamin-gummies-230-count", "https://www.shelhealth.com/products/one-a-day-mens-vitacraves-multivitamin-gummies-230-count")</f>
        <v/>
      </c>
      <c r="B1801" s="2">
        <f>HYPERLINK("https://www.shelhealth.com/products/one-a-day-mens-vitacraves-multivitamin-gummies-230-count", "https://www.shelhealth.com/products/one-a-day-mens-vitacraves-multivitamin-gummies-230-count")</f>
        <v/>
      </c>
      <c r="C1801" t="inlineStr">
        <is>
          <t>One A Day Men's VitaCraves Multivitamin Gummies, 230 Count</t>
        </is>
      </c>
      <c r="D1801" t="inlineStr">
        <is>
          <t>One A Day Women?s VitaCraves Multivitamin Gummies, Supplement with Vitamins A, C, E, B6, B12, Calcium, and Vitamin D, 80 Count | Pack of 2</t>
        </is>
      </c>
      <c r="E1801" s="2">
        <f>HYPERLINK("https://www.amazon.com/VitaCraves-Multivitamin-Gummies-Supplement-Vitamins/dp/B08XMZWX8H/ref=sr_1_5?keywords=One+A+Day+Men%27s+VitaCraves+Multivitamin+Gummies%2C+230+Count&amp;qid=1695170609&amp;sr=8-5", "https://www.amazon.com/VitaCraves-Multivitamin-Gummies-Supplement-Vitamins/dp/B08XMZWX8H/ref=sr_1_5?keywords=One+A+Day+Men%27s+VitaCraves+Multivitamin+Gummies%2C+230+Count&amp;qid=1695170609&amp;sr=8-5")</f>
        <v/>
      </c>
      <c r="F1801" t="inlineStr">
        <is>
          <t>B08XMZWX8H</t>
        </is>
      </c>
      <c r="G1801">
        <f>_xludf.IMAGE("https://www.shelhealth.com/cdn/shop/products/one-a-day-mens-vitacraves-multivitamin-gummies-230-count-shelhealth-927.jpg?v=1663351576&amp;width=1946")</f>
        <v/>
      </c>
      <c r="H1801">
        <f>_xludf.IMAGE("https://m.media-amazon.com/images/I/81TTN97qTBL._AC_UL320_.jpg")</f>
        <v/>
      </c>
      <c r="K1801" t="inlineStr">
        <is>
          <t>22.99</t>
        </is>
      </c>
      <c r="L1801" t="n">
        <v>28.99</v>
      </c>
      <c r="M1801" s="1" t="inlineStr">
        <is>
          <t>26.10%</t>
        </is>
      </c>
      <c r="N1801" s="3" t="n">
        <v>26.1</v>
      </c>
      <c r="O1801" t="n">
        <v>4.6</v>
      </c>
      <c r="P1801" t="n">
        <v>1627</v>
      </c>
      <c r="R1801" t="inlineStr">
        <is>
          <t>InStock</t>
        </is>
      </c>
      <c r="S1801" t="inlineStr">
        <is>
          <t>22.99</t>
        </is>
      </c>
      <c r="T1801" t="inlineStr">
        <is>
          <t>4111603728436</t>
        </is>
      </c>
    </row>
    <row r="1802" hidden="1" ht="15.75" customHeight="1">
      <c r="A1802" s="2">
        <f>HYPERLINK("https://www.shelhealth.com/products/kirkland-signature-adult-multivitamin-gummies-320-count", "https://www.shelhealth.com/products/kirkland-signature-adult-multivitamin-gummies-320-count")</f>
        <v/>
      </c>
      <c r="B1802" s="2">
        <f>HYPERLINK("https://www.shelhealth.com/products/kirkland-signature-adult-multivitamin-gummies-320-count", "https://www.shelhealth.com/products/kirkland-signature-adult-multivitamin-gummies-320-count")</f>
        <v/>
      </c>
      <c r="C1802" t="inlineStr">
        <is>
          <t>Kirkland Signature Adult Multivitamin Gummies - 320 Count</t>
        </is>
      </c>
      <c r="D1802" t="inlineStr">
        <is>
          <t>EMS Kirkland Signature Children's Complete Multivitamin Gummies 320 Count</t>
        </is>
      </c>
      <c r="E1802" s="2">
        <f>HYPERLINK("https://www.amazon.com/Kirkland-Signature-Childrens-Complete-Multivitamin/dp/B0943F6MR2/ref=sr_1_2?keywords=Kirkland+Signature+Adult+Multivitamin+Gummies+-+320+Count&amp;qid=1695170605&amp;sr=8-2", "https://www.amazon.com/Kirkland-Signature-Childrens-Complete-Multivitamin/dp/B0943F6MR2/ref=sr_1_2?keywords=Kirkland+Signature+Adult+Multivitamin+Gummies+-+320+Count&amp;qid=1695170605&amp;sr=8-2")</f>
        <v/>
      </c>
      <c r="F1802" t="inlineStr">
        <is>
          <t>B0943F6MR2</t>
        </is>
      </c>
      <c r="G1802">
        <f>_xludf.IMAGE("https://www.shelhealth.com/cdn/shop/products/kirkland-signature-adult-multivitamin-gummies-320-count-shelhealth-590.jpg?v=1663337444&amp;width=1946")</f>
        <v/>
      </c>
      <c r="H1802">
        <f>_xludf.IMAGE("https://m.media-amazon.com/images/I/81XuWlCVb4L._AC_UL320_.jpg")</f>
        <v/>
      </c>
      <c r="K1802" t="inlineStr">
        <is>
          <t>18.99</t>
        </is>
      </c>
      <c r="L1802" t="n">
        <v>22.68</v>
      </c>
      <c r="M1802" s="1" t="inlineStr">
        <is>
          <t>19.43%</t>
        </is>
      </c>
      <c r="N1802" s="3" t="n">
        <v>19.43</v>
      </c>
      <c r="O1802" t="n">
        <v>4.3</v>
      </c>
      <c r="P1802" t="n">
        <v>102</v>
      </c>
      <c r="R1802" t="inlineStr">
        <is>
          <t>InStock</t>
        </is>
      </c>
      <c r="S1802" t="inlineStr">
        <is>
          <t>18.99</t>
        </is>
      </c>
      <c r="T1802" t="inlineStr">
        <is>
          <t>3773408149556</t>
        </is>
      </c>
    </row>
    <row r="1803" hidden="1" ht="15.75" customHeight="1">
      <c r="A1803" s="2">
        <f>HYPERLINK("https://www.shelhealth.com/products/centrum-silver-mens-50-multivitamins-250-tablets", "https://www.shelhealth.com/products/centrum-silver-mens-50-multivitamins-250-tablets")</f>
        <v/>
      </c>
      <c r="B1803" s="2">
        <f>HYPERLINK("https://www.shelhealth.com/products/centrum-silver-mens-50-multivitamins-250-tablets", "https://www.shelhealth.com/products/centrum-silver-mens-50-multivitamins-250-tablets")</f>
        <v/>
      </c>
      <c r="C1803" t="inlineStr">
        <is>
          <t>Centrum Silver Men's Multivitamins - 275 tablets</t>
        </is>
      </c>
      <c r="D1803" t="inlineStr">
        <is>
          <t>Centrum® Silver® Men's - 250 tablets</t>
        </is>
      </c>
      <c r="E1803" s="2">
        <f>HYPERLINK("https://www.amazon.com/Centrum%C2%AE-Silver%C2%AE-Mens-250-tablets/dp/B002MY3LK8/ref=sr_1_10?keywords=centrum+silver+men%27s+multivitamins+-+275+tablets&amp;qid=1695170595&amp;sr=8-10", "https://www.amazon.com/Centrum%C2%AE-Silver%C2%AE-Mens-250-tablets/dp/B002MY3LK8/ref=sr_1_10?keywords=centrum+silver+men%27s+multivitamins+-+275+tablets&amp;qid=1695170595&amp;sr=8-10")</f>
        <v/>
      </c>
      <c r="F1803" t="inlineStr">
        <is>
          <t>B002MY3LK8</t>
        </is>
      </c>
      <c r="G1803">
        <f>_xludf.IMAGE("https://www.shelhealth.com/cdn/shop/products/centrum-silver-mens-multivitamins-275-tablets-shelhealth-867.jpg?v=1663337976&amp;width=1946")</f>
        <v/>
      </c>
      <c r="H1803">
        <f>_xludf.IMAGE("https://m.media-amazon.com/images/I/61ppDwJNawL._AC_UL320_.jpg")</f>
        <v/>
      </c>
      <c r="K1803" t="inlineStr">
        <is>
          <t>29.99</t>
        </is>
      </c>
      <c r="L1803" t="n">
        <v>30.99</v>
      </c>
      <c r="M1803" s="1" t="inlineStr">
        <is>
          <t>3.33%</t>
        </is>
      </c>
      <c r="N1803" s="3" t="n">
        <v>3.33</v>
      </c>
      <c r="O1803" t="n">
        <v>4.7</v>
      </c>
      <c r="P1803" t="n">
        <v>3335</v>
      </c>
      <c r="R1803" t="inlineStr">
        <is>
          <t>InStock</t>
        </is>
      </c>
      <c r="S1803" t="inlineStr">
        <is>
          <t>29.99</t>
        </is>
      </c>
      <c r="T1803" t="inlineStr">
        <is>
          <t>3782023053364</t>
        </is>
      </c>
    </row>
    <row r="1804" hidden="1" ht="15.75" customHeight="1">
      <c r="A1804" s="2">
        <f>HYPERLINK("https://www.shelhealth.com/products/centrum-silver-mens-50-multivitamins-250-tablets", "https://www.shelhealth.com/products/centrum-silver-mens-50-multivitamins-250-tablets")</f>
        <v/>
      </c>
      <c r="B1804" s="2">
        <f>HYPERLINK("https://www.shelhealth.com/products/centrum-silver-mens-50-multivitamins-250-tablets", "https://www.shelhealth.com/products/centrum-silver-mens-50-multivitamins-250-tablets")</f>
        <v/>
      </c>
      <c r="C1804" t="inlineStr">
        <is>
          <t>Centrum Silver Men's Multivitamins - 275 tablets</t>
        </is>
      </c>
      <c r="D1804" t="inlineStr">
        <is>
          <t>ikj Centrum Silver Multivitamins for Men Over 50, Multimineral Supplement, 275 Ct</t>
        </is>
      </c>
      <c r="E1804" s="2">
        <f>HYPERLINK("https://www.amazon.com/ikj-Centrum-Multivitamins-Multimineral-Supplement/dp/B0C5N2KLNS/ref=sr_1_7?keywords=centrum+silver+men%27s+multivitamins+-+275+tablets&amp;qid=1695170595&amp;sr=8-7", "https://www.amazon.com/ikj-Centrum-Multivitamins-Multimineral-Supplement/dp/B0C5N2KLNS/ref=sr_1_7?keywords=centrum+silver+men%27s+multivitamins+-+275+tablets&amp;qid=1695170595&amp;sr=8-7")</f>
        <v/>
      </c>
      <c r="F1804" t="inlineStr">
        <is>
          <t>B0C5N2KLNS</t>
        </is>
      </c>
      <c r="G1804">
        <f>_xludf.IMAGE("https://www.shelhealth.com/cdn/shop/products/centrum-silver-mens-multivitamins-275-tablets-shelhealth-867.jpg?v=1663337976&amp;width=1946")</f>
        <v/>
      </c>
      <c r="H1804">
        <f>_xludf.IMAGE("https://m.media-amazon.com/images/I/41lgKwQ22XL._AC_UL320_.jpg")</f>
        <v/>
      </c>
      <c r="K1804" t="inlineStr">
        <is>
          <t>29.99</t>
        </is>
      </c>
      <c r="L1804" t="n">
        <v>30.5</v>
      </c>
      <c r="M1804" s="1" t="inlineStr">
        <is>
          <t>1.70%</t>
        </is>
      </c>
      <c r="N1804" s="3" t="n">
        <v>1.7</v>
      </c>
      <c r="O1804" t="n">
        <v>4.6</v>
      </c>
      <c r="P1804" t="n">
        <v>16</v>
      </c>
      <c r="R1804" t="inlineStr">
        <is>
          <t>InStock</t>
        </is>
      </c>
      <c r="S1804" t="inlineStr">
        <is>
          <t>29.99</t>
        </is>
      </c>
      <c r="T1804" t="inlineStr">
        <is>
          <t>3782023053364</t>
        </is>
      </c>
    </row>
    <row r="1805" hidden="1" ht="15.75" customHeight="1">
      <c r="A1805" s="2">
        <f>HYPERLINK("https://www.shelhealth.com/products/one-a-day-mens-vitacraves-multivitamin-gummies-230-count", "https://www.shelhealth.com/products/one-a-day-mens-vitacraves-multivitamin-gummies-230-count")</f>
        <v/>
      </c>
      <c r="B1805" s="2">
        <f>HYPERLINK("https://www.shelhealth.com/products/one-a-day-mens-vitacraves-multivitamin-gummies-230-count", "https://www.shelhealth.com/products/one-a-day-mens-vitacraves-multivitamin-gummies-230-count")</f>
        <v/>
      </c>
      <c r="C1805" t="inlineStr">
        <is>
          <t>One A Day Men's VitaCraves Multivitamin Gummies, 230 Count</t>
        </is>
      </c>
      <c r="D1805" t="inlineStr">
        <is>
          <t>One A Day Men’s Multivitamin Gummies, Multivitamin for Men with Vitamin A, C, D, E, Calcium &amp; More To Support Healthy Muscle Function, Gummies, 230 Count</t>
        </is>
      </c>
      <c r="E1805" s="2">
        <f>HYPERLINK("https://www.amazon.com/VitaCraves-Multivitamin-Gummies-Supplement-Vitamins/dp/B075751V2Q/ref=sr_1_1?keywords=One+A+Day+Men%27s+VitaCraves+Multivitamin+Gummies%2C+230+Count&amp;qid=1695170609&amp;sr=8-1", "https://www.amazon.com/VitaCraves-Multivitamin-Gummies-Supplement-Vitamins/dp/B075751V2Q/ref=sr_1_1?keywords=One+A+Day+Men%27s+VitaCraves+Multivitamin+Gummies%2C+230+Count&amp;qid=1695170609&amp;sr=8-1")</f>
        <v/>
      </c>
      <c r="F1805" t="inlineStr">
        <is>
          <t>B075751V2Q</t>
        </is>
      </c>
      <c r="G1805">
        <f>_xludf.IMAGE("https://www.shelhealth.com/cdn/shop/products/one-a-day-mens-vitacraves-multivitamin-gummies-230-count-shelhealth-927.jpg?v=1663351576&amp;width=1946")</f>
        <v/>
      </c>
      <c r="H1805">
        <f>_xludf.IMAGE("https://m.media-amazon.com/images/I/81wzbc7ldcL._AC_UL320_.jpg")</f>
        <v/>
      </c>
      <c r="K1805" t="inlineStr">
        <is>
          <t>22.99</t>
        </is>
      </c>
      <c r="L1805" t="n">
        <v>22.99</v>
      </c>
      <c r="M1805" s="1" t="inlineStr">
        <is>
          <t>0.00%</t>
        </is>
      </c>
      <c r="N1805" s="3" t="n">
        <v>0</v>
      </c>
      <c r="O1805" t="n">
        <v>4.7</v>
      </c>
      <c r="P1805" t="n">
        <v>4577</v>
      </c>
      <c r="R1805" t="inlineStr">
        <is>
          <t>InStock</t>
        </is>
      </c>
      <c r="S1805" t="inlineStr">
        <is>
          <t>22.99</t>
        </is>
      </c>
      <c r="T1805" t="inlineStr">
        <is>
          <t>4111603728436</t>
        </is>
      </c>
    </row>
    <row r="1806" hidden="1" ht="15.75" customHeight="1">
      <c r="A1806" s="2">
        <f>HYPERLINK("https://www.shelhealth.com/products/centrum-silver-mens-50-multivitamins-250-tablets", "https://www.shelhealth.com/products/centrum-silver-mens-50-multivitamins-250-tablets")</f>
        <v/>
      </c>
      <c r="B1806" s="2">
        <f>HYPERLINK("https://www.shelhealth.com/products/centrum-silver-mens-50-multivitamins-250-tablets", "https://www.shelhealth.com/products/centrum-silver-mens-50-multivitamins-250-tablets")</f>
        <v/>
      </c>
      <c r="C1806" t="inlineStr">
        <is>
          <t>Centrum Silver Men's Multivitamins - 275 tablets</t>
        </is>
      </c>
      <c r="D1806" t="inlineStr">
        <is>
          <t>Centrum Silver Men's Multivitamin (275 Ct.)</t>
        </is>
      </c>
      <c r="E1806" s="2">
        <f>HYPERLINK("https://www.amazon.com/Centrum-Silver-Mens-Multivitamin-250/dp/B015VPRM22/ref=sr_1_4?keywords=centrum+silver+men%27s+multivitamins+-+275+tablets&amp;qid=1695170595&amp;sr=8-4", "https://www.amazon.com/Centrum-Silver-Mens-Multivitamin-250/dp/B015VPRM22/ref=sr_1_4?keywords=centrum+silver+men%27s+multivitamins+-+275+tablets&amp;qid=1695170595&amp;sr=8-4")</f>
        <v/>
      </c>
      <c r="F1806" t="inlineStr">
        <is>
          <t>B015VPRM22</t>
        </is>
      </c>
      <c r="G1806">
        <f>_xludf.IMAGE("https://www.shelhealth.com/cdn/shop/products/centrum-silver-mens-multivitamins-275-tablets-shelhealth-867.jpg?v=1663337976&amp;width=1946")</f>
        <v/>
      </c>
      <c r="H1806">
        <f>_xludf.IMAGE("https://m.media-amazon.com/images/I/71zSKy8ym5L._AC_UL320_.jpg")</f>
        <v/>
      </c>
      <c r="K1806" t="inlineStr">
        <is>
          <t>29.99</t>
        </is>
      </c>
      <c r="L1806" t="n">
        <v>29.89</v>
      </c>
      <c r="M1806" s="1" t="inlineStr">
        <is>
          <t>-0.33%</t>
        </is>
      </c>
      <c r="N1806" s="3" t="n">
        <v>-0.33</v>
      </c>
      <c r="O1806" t="n">
        <v>4.8</v>
      </c>
      <c r="P1806" t="n">
        <v>23904</v>
      </c>
      <c r="R1806" t="inlineStr">
        <is>
          <t>InStock</t>
        </is>
      </c>
      <c r="S1806" t="inlineStr">
        <is>
          <t>29.99</t>
        </is>
      </c>
      <c r="T1806" t="inlineStr">
        <is>
          <t>3782023053364</t>
        </is>
      </c>
    </row>
    <row r="1807" hidden="1" ht="15.75" customHeight="1">
      <c r="A1807" s="2">
        <f>HYPERLINK("https://www.shelhealth.com/products/centrum-adults-multivitamin-multimineral-supplement-425-tablets", "https://www.shelhealth.com/products/centrum-adults-multivitamin-multimineral-supplement-425-tablets")</f>
        <v/>
      </c>
      <c r="B1807" s="2">
        <f>HYPERLINK("https://www.shelhealth.com/products/centrum-adults-multivitamin-multimineral-supplement-425-tablets", "https://www.shelhealth.com/products/centrum-adults-multivitamin-multimineral-supplement-425-tablets")</f>
        <v/>
      </c>
      <c r="C1807" t="inlineStr">
        <is>
          <t>Centrum Adults Multivitamin Multimineral Supplement: 425 Tablets</t>
        </is>
      </c>
      <c r="D1807" t="inlineStr">
        <is>
          <t>Centrum - Multivitamin/Multimineral Supplement for Adults 425 (365+60) Tablets</t>
        </is>
      </c>
      <c r="E1807" s="2">
        <f>HYPERLINK("https://www.amazon.com/Centrum-Multivitamin-Multimineral-Supplement-Tablets/dp/B09L6XQS37/ref=sr_1_5?keywords=Centrum+Adults+Multivitamin+Multimineral+Supplement%3A+425+Tablets&amp;qid=1695170595&amp;sr=8-5", "https://www.amazon.com/Centrum-Multivitamin-Multimineral-Supplement-Tablets/dp/B09L6XQS37/ref=sr_1_5?keywords=Centrum+Adults+Multivitamin+Multimineral+Supplement%3A+425+Tablets&amp;qid=1695170595&amp;sr=8-5")</f>
        <v/>
      </c>
      <c r="F1807" t="inlineStr">
        <is>
          <t>B09L6XQS37</t>
        </is>
      </c>
      <c r="G1807">
        <f>_xludf.IMAGE("https://www.shelhealth.com/cdn/shop/products/centrum-adults-multivitamin-multimineral-supplement-425-tablets-shelhealth-933.jpg?v=1663337983&amp;width=1946")</f>
        <v/>
      </c>
      <c r="H1807">
        <f>_xludf.IMAGE("https://m.media-amazon.com/images/I/61ie3NI8OgL._AC_UL320_.jpg")</f>
        <v/>
      </c>
      <c r="K1807" t="inlineStr">
        <is>
          <t>28.99</t>
        </is>
      </c>
      <c r="L1807" t="n">
        <v>27.99</v>
      </c>
      <c r="M1807" s="1" t="inlineStr">
        <is>
          <t>-3.45%</t>
        </is>
      </c>
      <c r="N1807" s="3" t="n">
        <v>-3.45</v>
      </c>
      <c r="O1807" t="n">
        <v>4.5</v>
      </c>
      <c r="P1807" t="n">
        <v>2769</v>
      </c>
      <c r="R1807" t="inlineStr">
        <is>
          <t>InStock</t>
        </is>
      </c>
      <c r="S1807" t="inlineStr">
        <is>
          <t>28.99</t>
        </is>
      </c>
      <c r="T1807" t="inlineStr">
        <is>
          <t>3782023905332</t>
        </is>
      </c>
    </row>
    <row r="1808" hidden="1" ht="15.75" customHeight="1">
      <c r="A1808" s="2">
        <f>HYPERLINK("https://www.shelhealth.com/products/nature-made-multi-for-him-tablets-300-ct", "https://www.shelhealth.com/products/nature-made-multi-for-him-tablets-300-ct")</f>
        <v/>
      </c>
      <c r="B1808" s="2">
        <f>HYPERLINK("https://www.shelhealth.com/products/nature-made-multi-for-him-tablets-300-ct", "https://www.shelhealth.com/products/nature-made-multi-for-him-tablets-300-ct")</f>
        <v/>
      </c>
      <c r="C1808" t="inlineStr">
        <is>
          <t>Nature Made Multi For Him Tablets, 300 ct.</t>
        </is>
      </c>
      <c r="D1808" t="inlineStr">
        <is>
          <t>Nature Made Women's Multivitamin Tablets, 300 Count for Daily Nutritional Support</t>
        </is>
      </c>
      <c r="E1808" s="2">
        <f>HYPERLINK("https://www.amazon.com/Nature-Made-Multi-Her-Tablets/dp/B002ZWZJG6/ref=sr_1_4?keywords=Nature+Made+Multi+For+Him+Tablets%2C+300+ct.&amp;qid=1695170597&amp;sr=8-4", "https://www.amazon.com/Nature-Made-Multi-Her-Tablets/dp/B002ZWZJG6/ref=sr_1_4?keywords=Nature+Made+Multi+For+Him+Tablets%2C+300+ct.&amp;qid=1695170597&amp;sr=8-4")</f>
        <v/>
      </c>
      <c r="F1808" t="inlineStr">
        <is>
          <t>B002ZWZJG6</t>
        </is>
      </c>
      <c r="G1808">
        <f>_xludf.IMAGE("https://www.shelhealth.com/cdn/shop/products/nature-made-multi-for-him-tablets-300-ct-shelhealth-301.jpg?v=1663353478&amp;width=1946")</f>
        <v/>
      </c>
      <c r="H1808">
        <f>_xludf.IMAGE("https://m.media-amazon.com/images/I/71PrBn5VQOL._AC_UL320_.jpg")</f>
        <v/>
      </c>
      <c r="K1808" t="inlineStr">
        <is>
          <t>26.99</t>
        </is>
      </c>
      <c r="L1808" t="n">
        <v>24.97</v>
      </c>
      <c r="M1808" s="1" t="inlineStr">
        <is>
          <t>-7.48%</t>
        </is>
      </c>
      <c r="N1808" s="3" t="n">
        <v>-7.48</v>
      </c>
      <c r="O1808" t="n">
        <v>4.6</v>
      </c>
      <c r="P1808" t="n">
        <v>12393</v>
      </c>
      <c r="R1808" t="inlineStr">
        <is>
          <t>OutOfStock</t>
        </is>
      </c>
      <c r="S1808" t="inlineStr">
        <is>
          <t>26.99</t>
        </is>
      </c>
      <c r="T1808" t="inlineStr">
        <is>
          <t>4162238545972</t>
        </is>
      </c>
    </row>
    <row r="1809" hidden="1" ht="15.75" customHeight="1">
      <c r="A1809" s="2">
        <f>HYPERLINK("https://www.shelhealth.com/products/nature-made-multi-for-him-tablets-300-ct", "https://www.shelhealth.com/products/nature-made-multi-for-him-tablets-300-ct")</f>
        <v/>
      </c>
      <c r="B1809" s="2">
        <f>HYPERLINK("https://www.shelhealth.com/products/nature-made-multi-for-him-tablets-300-ct", "https://www.shelhealth.com/products/nature-made-multi-for-him-tablets-300-ct")</f>
        <v/>
      </c>
      <c r="C1809" t="inlineStr">
        <is>
          <t>Nature Made Multi For Him Tablets, 300 ct.</t>
        </is>
      </c>
      <c r="D1809" t="inlineStr">
        <is>
          <t>Nature Made Multi for Him - 300 Tablets</t>
        </is>
      </c>
      <c r="E1809" s="2">
        <f>HYPERLINK("https://www.amazon.com/Nature-Made-Multi-Him-Tablets/dp/B004QHGPQQ/ref=sr_1_1?keywords=Nature+Made+Multi+For+Him+Tablets%2C+300+ct.&amp;qid=1695170597&amp;sr=8-1", "https://www.amazon.com/Nature-Made-Multi-Him-Tablets/dp/B004QHGPQQ/ref=sr_1_1?keywords=Nature+Made+Multi+For+Him+Tablets%2C+300+ct.&amp;qid=1695170597&amp;sr=8-1")</f>
        <v/>
      </c>
      <c r="F1809" t="inlineStr">
        <is>
          <t>B004QHGPQQ</t>
        </is>
      </c>
      <c r="G1809">
        <f>_xludf.IMAGE("https://www.shelhealth.com/cdn/shop/products/nature-made-multi-for-him-tablets-300-ct-shelhealth-301.jpg?v=1663353478&amp;width=1946")</f>
        <v/>
      </c>
      <c r="H1809">
        <f>_xludf.IMAGE("https://m.media-amazon.com/images/I/61ATsQZZQzL._AC_UL320_.jpg")</f>
        <v/>
      </c>
      <c r="K1809" t="inlineStr">
        <is>
          <t>26.99</t>
        </is>
      </c>
      <c r="L1809" t="n">
        <v>22.64</v>
      </c>
      <c r="M1809" s="1" t="inlineStr">
        <is>
          <t>-16.12%</t>
        </is>
      </c>
      <c r="N1809" s="3" t="n">
        <v>-16.12</v>
      </c>
      <c r="O1809" t="n">
        <v>4.7</v>
      </c>
      <c r="P1809" t="n">
        <v>2851</v>
      </c>
      <c r="R1809" t="inlineStr">
        <is>
          <t>OutOfStock</t>
        </is>
      </c>
      <c r="S1809" t="inlineStr">
        <is>
          <t>26.99</t>
        </is>
      </c>
      <c r="T1809" t="inlineStr">
        <is>
          <t>4162238545972</t>
        </is>
      </c>
    </row>
    <row r="1810" hidden="1" ht="15.75" customHeight="1">
      <c r="A1810" s="2">
        <f>HYPERLINK("https://www.shelhealth.com/products/natrol-juicefestiv-fruit-veggie", "https://www.shelhealth.com/products/natrol-juicefestiv-fruit-veggie")</f>
        <v/>
      </c>
      <c r="B1810" s="2">
        <f>HYPERLINK("https://www.shelhealth.com/products/natrol-juicefestiv-fruit-veggie", "https://www.shelhealth.com/products/natrol-juicefestiv-fruit-veggie")</f>
        <v/>
      </c>
      <c r="C1810" t="inlineStr">
        <is>
          <t>Natrol JuiceFestiv Daily Fruit &amp; Veggie, 240 Capsules</t>
        </is>
      </c>
      <c r="D1810" t="inlineStr">
        <is>
          <t>Natrol Juicefestiv Daily Fruits &amp; Veggies Capsules, with SelenoExcell, 46 Fruits, Vegetables, Grains &amp; Greens, 45 Servings, Improves Metabolism, Boosts Energy &amp; Well-Being, 180 ct (Two 90 ct Bottles)</t>
        </is>
      </c>
      <c r="E1810" s="2">
        <f>HYPERLINK("https://www.amazon.com/Natrol-Juicefestiv-Veggies-Capsules-SelenoExcell/dp/B09JHYFLL7/ref=sr_1_1?keywords=Natrol+JuiceFestiv+Daily+Fruit+%26+Veggie%2C+240+Capsules&amp;qid=1695170599&amp;sr=8-1", "https://www.amazon.com/Natrol-Juicefestiv-Veggies-Capsules-SelenoExcell/dp/B09JHYFLL7/ref=sr_1_1?keywords=Natrol+JuiceFestiv+Daily+Fruit+%26+Veggie%2C+240+Capsules&amp;qid=1695170599&amp;sr=8-1")</f>
        <v/>
      </c>
      <c r="F1810" t="inlineStr">
        <is>
          <t>B09JHYFLL7</t>
        </is>
      </c>
      <c r="G1810">
        <f>_xludf.IMAGE("https://www.shelhealth.com/cdn/shop/products/natrol-juicefestiv-daily-fruit-veggie-240-capsules-shelhealth-718.jpg?v=1663372333&amp;width=1946")</f>
        <v/>
      </c>
      <c r="H1810">
        <f>_xludf.IMAGE("https://m.media-amazon.com/images/I/71+J6z3YnaL._AC_UL320_.jpg")</f>
        <v/>
      </c>
      <c r="K1810" t="inlineStr">
        <is>
          <t>36.99</t>
        </is>
      </c>
      <c r="L1810" t="n">
        <v>29.52</v>
      </c>
      <c r="M1810" s="1" t="inlineStr">
        <is>
          <t>-20.19%</t>
        </is>
      </c>
      <c r="N1810" s="3" t="n">
        <v>-20.19</v>
      </c>
      <c r="O1810" t="n">
        <v>4.5</v>
      </c>
      <c r="P1810" t="n">
        <v>6054</v>
      </c>
      <c r="R1810" t="inlineStr">
        <is>
          <t>InStock</t>
        </is>
      </c>
      <c r="S1810" t="inlineStr">
        <is>
          <t>36.99</t>
        </is>
      </c>
      <c r="T1810" t="inlineStr">
        <is>
          <t>4690745917529</t>
        </is>
      </c>
    </row>
    <row r="1811" hidden="1" ht="15.75" customHeight="1">
      <c r="A1811" s="2">
        <f>HYPERLINK("https://www.shelhealth.com/products/one-a-day-mens-50-advantage-multivitamins-300-count", "https://www.shelhealth.com/products/one-a-day-mens-50-advantage-multivitamins-300-count")</f>
        <v/>
      </c>
      <c r="B1811" s="2">
        <f>HYPERLINK("https://www.shelhealth.com/products/one-a-day-mens-50-advantage-multivitamins-300-count", "https://www.shelhealth.com/products/one-a-day-mens-50-advantage-multivitamins-300-count")</f>
        <v/>
      </c>
      <c r="C1811" t="inlineStr">
        <is>
          <t>One A Day Men's 50+ Advantage Multivitamins, 300 Tablets</t>
        </is>
      </c>
      <c r="D1811" t="inlineStr">
        <is>
          <t>One A Day Men's 50+ Advantage Multivitamins, 65 Count</t>
        </is>
      </c>
      <c r="E1811" s="2">
        <f>HYPERLINK("https://www.amazon.com/One-Mens-Advantage-Multivitamins-Count/dp/B0019D6BOG/ref=sr_1_8?keywords=One+A+Day+Men%27s+50+Advantage+Multivitamins%2C+300+Tablets&amp;qid=1695170595&amp;sr=8-8", "https://www.amazon.com/One-Mens-Advantage-Multivitamins-Count/dp/B0019D6BOG/ref=sr_1_8?keywords=One+A+Day+Men%27s+50+Advantage+Multivitamins%2C+300+Tablets&amp;qid=1695170595&amp;sr=8-8")</f>
        <v/>
      </c>
      <c r="F1811" t="inlineStr">
        <is>
          <t>B0019D6BOG</t>
        </is>
      </c>
      <c r="G1811">
        <f>_xludf.IMAGE("https://www.shelhealth.com/cdn/shop/products/one-a-day-mens-50-advantage-multivitamins-300-tablets-shelhealth-947.jpg?v=1663338002&amp;width=1946")</f>
        <v/>
      </c>
      <c r="H1811">
        <f>_xludf.IMAGE("https://m.media-amazon.com/images/I/91DkEjWv8FL._AC_UL320_.jpg")</f>
        <v/>
      </c>
      <c r="K1811" t="inlineStr">
        <is>
          <t>28.99</t>
        </is>
      </c>
      <c r="L1811" t="n">
        <v>18.45</v>
      </c>
      <c r="M1811" s="1" t="inlineStr">
        <is>
          <t>-36.36%</t>
        </is>
      </c>
      <c r="N1811" s="3" t="n">
        <v>-36.36</v>
      </c>
      <c r="O1811" t="n">
        <v>4.2</v>
      </c>
      <c r="P1811" t="n">
        <v>40</v>
      </c>
      <c r="R1811" t="inlineStr">
        <is>
          <t>InStock</t>
        </is>
      </c>
      <c r="S1811" t="inlineStr">
        <is>
          <t>28.99</t>
        </is>
      </c>
      <c r="T1811" t="inlineStr">
        <is>
          <t>3782027640884</t>
        </is>
      </c>
    </row>
    <row r="1812" hidden="1" ht="15.75" customHeight="1">
      <c r="A1812" s="2">
        <f>HYPERLINK("https://www.shelhealth.com/products/nature-made-multi-for-him-tablets-300-ct", "https://www.shelhealth.com/products/nature-made-multi-for-him-tablets-300-ct")</f>
        <v/>
      </c>
      <c r="B1812" s="2">
        <f>HYPERLINK("https://www.shelhealth.com/products/nature-made-multi-for-him-tablets-300-ct", "https://www.shelhealth.com/products/nature-made-multi-for-him-tablets-300-ct")</f>
        <v/>
      </c>
      <c r="C1812" t="inlineStr">
        <is>
          <t>Nature Made Multi For Him Tablets, 300 ct.</t>
        </is>
      </c>
      <c r="D1812" t="inlineStr">
        <is>
          <t>Nature Made Multivitamin For Him 50+, Mens Multivitamins for Daily Nutritional Support, Multivitamin for Men, 90 Tablets, 90 Day Supply</t>
        </is>
      </c>
      <c r="E1812" s="2">
        <f>HYPERLINK("https://www.amazon.com/Nature-Made-Multivitamin-Tablets-Packaging/dp/B001TSJQVQ/ref=sr_1_3?keywords=Nature+Made+Multi+For+Him+Tablets%2C+300+ct.&amp;qid=1695170597&amp;sr=8-3", "https://www.amazon.com/Nature-Made-Multivitamin-Tablets-Packaging/dp/B001TSJQVQ/ref=sr_1_3?keywords=Nature+Made+Multi+For+Him+Tablets%2C+300+ct.&amp;qid=1695170597&amp;sr=8-3")</f>
        <v/>
      </c>
      <c r="F1812" t="inlineStr">
        <is>
          <t>B001TSJQVQ</t>
        </is>
      </c>
      <c r="G1812">
        <f>_xludf.IMAGE("https://www.shelhealth.com/cdn/shop/products/nature-made-multi-for-him-tablets-300-ct-shelhealth-301.jpg?v=1663353478&amp;width=1946")</f>
        <v/>
      </c>
      <c r="H1812">
        <f>_xludf.IMAGE("https://m.media-amazon.com/images/I/71Xlb5DFCEL._AC_UL320_.jpg")</f>
        <v/>
      </c>
      <c r="K1812" t="inlineStr">
        <is>
          <t>26.99</t>
        </is>
      </c>
      <c r="L1812" t="n">
        <v>10.99</v>
      </c>
      <c r="M1812" s="1" t="inlineStr">
        <is>
          <t>-59.28%</t>
        </is>
      </c>
      <c r="N1812" s="3" t="n">
        <v>-59.28</v>
      </c>
      <c r="O1812" t="n">
        <v>4.7</v>
      </c>
      <c r="P1812" t="n">
        <v>4681</v>
      </c>
      <c r="R1812" t="inlineStr">
        <is>
          <t>OutOfStock</t>
        </is>
      </c>
      <c r="S1812" t="inlineStr">
        <is>
          <t>26.99</t>
        </is>
      </c>
      <c r="T1812" t="inlineStr">
        <is>
          <t>4162238545972</t>
        </is>
      </c>
    </row>
    <row r="1813" hidden="1" ht="15.75" customHeight="1">
      <c r="A1813" s="2">
        <f>HYPERLINK("https://www.shelhealth.com/products/natrol-juicefestiv-fruit-veggie", "https://www.shelhealth.com/products/natrol-juicefestiv-fruit-veggie")</f>
        <v/>
      </c>
      <c r="B1813" s="2">
        <f>HYPERLINK("https://www.shelhealth.com/products/natrol-juicefestiv-fruit-veggie", "https://www.shelhealth.com/products/natrol-juicefestiv-fruit-veggie")</f>
        <v/>
      </c>
      <c r="C1813" t="inlineStr">
        <is>
          <t>Natrol JuiceFestiv Daily Fruit &amp; Veggie, 240 Capsules</t>
        </is>
      </c>
      <c r="D1813" t="inlineStr">
        <is>
          <t>Natrol JuiceFestiv Daily Fruit &amp; Veggie with SelenoExcell and Whole-Food [Phyto] Nutrients, Dietary Supplement Supports Better Nutrition (&amp; Overall Well-Being), 60 Capsules (Pack of 2), 30 Day Supply</t>
        </is>
      </c>
      <c r="E1813" s="2">
        <f>HYPERLINK("https://www.amazon.com/Natrol-JuiceFestiv-SelenoExcell-Whole-Food-Supplement/dp/B002DW9XME/ref=sr_1_3?keywords=Natrol+JuiceFestiv+Daily+Fruit+%26+Veggie%2C+240+Capsules&amp;qid=1695170599&amp;sr=8-3", "https://www.amazon.com/Natrol-JuiceFestiv-SelenoExcell-Whole-Food-Supplement/dp/B002DW9XME/ref=sr_1_3?keywords=Natrol+JuiceFestiv+Daily+Fruit+%26+Veggie%2C+240+Capsules&amp;qid=1695170599&amp;sr=8-3")</f>
        <v/>
      </c>
      <c r="F1813" t="inlineStr">
        <is>
          <t>B002DW9XME</t>
        </is>
      </c>
      <c r="G1813">
        <f>_xludf.IMAGE("https://www.shelhealth.com/cdn/shop/products/natrol-juicefestiv-daily-fruit-veggie-240-capsules-shelhealth-718.jpg?v=1663372333&amp;width=1946")</f>
        <v/>
      </c>
      <c r="H1813">
        <f>_xludf.IMAGE("https://m.media-amazon.com/images/I/71AD10tPzWL._AC_UL320_.jpg")</f>
        <v/>
      </c>
      <c r="K1813" t="inlineStr">
        <is>
          <t>36.99</t>
        </is>
      </c>
      <c r="L1813" t="n">
        <v>13.59</v>
      </c>
      <c r="M1813" s="1" t="inlineStr">
        <is>
          <t>-63.26%</t>
        </is>
      </c>
      <c r="N1813" s="3" t="n">
        <v>-63.26</v>
      </c>
      <c r="O1813" t="n">
        <v>4.5</v>
      </c>
      <c r="P1813" t="n">
        <v>4104</v>
      </c>
      <c r="R1813" t="inlineStr">
        <is>
          <t>InStock</t>
        </is>
      </c>
      <c r="S1813" t="inlineStr">
        <is>
          <t>36.99</t>
        </is>
      </c>
      <c r="T1813" t="inlineStr">
        <is>
          <t>4690745917529</t>
        </is>
      </c>
    </row>
    <row r="1814" hidden="1" ht="15.75" customHeight="1">
      <c r="A1814" s="2">
        <f>HYPERLINK("https://www.shelhealth.com/products/nature-made-multi-for-him-tablets-300-ct", "https://www.shelhealth.com/products/nature-made-multi-for-him-tablets-300-ct")</f>
        <v/>
      </c>
      <c r="B1814" s="2">
        <f>HYPERLINK("https://www.shelhealth.com/products/nature-made-multi-for-him-tablets-300-ct", "https://www.shelhealth.com/products/nature-made-multi-for-him-tablets-300-ct")</f>
        <v/>
      </c>
      <c r="C1814" t="inlineStr">
        <is>
          <t>Nature Made Multi For Him Tablets, 300 ct.</t>
        </is>
      </c>
      <c r="D1814" t="inlineStr">
        <is>
          <t>Nature Made Multivitamin For Him with No Iron, Mens Multivitamins for Daily Nutritional Support, Multivitamin for Men, 90 Tablets, 90 Day Supply</t>
        </is>
      </c>
      <c r="E1814" s="2">
        <f>HYPERLINK("https://www.amazon.com/Nature-Made-Multi-Him-Tablets/dp/B005BD8A08/ref=sr_1_2?keywords=Nature+Made+Multi+For+Him+Tablets%2C+300+ct.&amp;qid=1695170597&amp;sr=8-2", "https://www.amazon.com/Nature-Made-Multi-Him-Tablets/dp/B005BD8A08/ref=sr_1_2?keywords=Nature+Made+Multi+For+Him+Tablets%2C+300+ct.&amp;qid=1695170597&amp;sr=8-2")</f>
        <v/>
      </c>
      <c r="F1814" t="inlineStr">
        <is>
          <t>B005BD8A08</t>
        </is>
      </c>
      <c r="G1814">
        <f>_xludf.IMAGE("https://www.shelhealth.com/cdn/shop/products/nature-made-multi-for-him-tablets-300-ct-shelhealth-301.jpg?v=1663353478&amp;width=1946")</f>
        <v/>
      </c>
      <c r="H1814">
        <f>_xludf.IMAGE("https://m.media-amazon.com/images/I/71QSoh5xrSL._AC_UL320_.jpg")</f>
        <v/>
      </c>
      <c r="K1814" t="inlineStr">
        <is>
          <t>26.99</t>
        </is>
      </c>
      <c r="L1814" t="n">
        <v>7.49</v>
      </c>
      <c r="M1814" s="1" t="inlineStr">
        <is>
          <t>-72.25%</t>
        </is>
      </c>
      <c r="N1814" s="3" t="n">
        <v>-72.25</v>
      </c>
      <c r="O1814" t="n">
        <v>4.7</v>
      </c>
      <c r="P1814" t="n">
        <v>8072</v>
      </c>
      <c r="R1814" t="inlineStr">
        <is>
          <t>OutOfStock</t>
        </is>
      </c>
      <c r="S1814" t="inlineStr">
        <is>
          <t>26.99</t>
        </is>
      </c>
      <c r="T1814" t="inlineStr">
        <is>
          <t>4162238545972</t>
        </is>
      </c>
    </row>
    <row r="1815" ht="75" customHeight="1">
      <c r="A1815" s="2">
        <f>HYPERLINK("https://www.shelhealth.com/products/schiff-move-free-ultra-triple-action-joint-supplement-75-tablets", "https://www.shelhealth.com/products/schiff-move-free-ultra-triple-action-joint-supplement-75-tablets")</f>
        <v/>
      </c>
      <c r="B1815" s="2">
        <f>HYPERLINK("https://www.shelhealth.com/products/schiff-move-free-ultra-triple-action-joint-supplement-75-tablets", "https://www.shelhealth.com/products/schiff-move-free-ultra-triple-action-joint-supplement-75-tablets")</f>
        <v/>
      </c>
      <c r="C1815" t="inlineStr">
        <is>
          <t>Schiff Move Free Ultra Triple Action Joint Supplement, 75 Tablets</t>
        </is>
      </c>
      <c r="D1815" t="inlineStr">
        <is>
          <t>Schiff Move Free Ultra Triple-Action Tablets (75 Count) (Pack of 6)</t>
        </is>
      </c>
      <c r="E1815" s="2">
        <f>HYPERLINK("https://www.amazon.com/Schiff-Ultra-Triple-Action-Tablets-count/dp/B0742PT2V5/ref=sr_1_1?keywords=Schiff+Move+Free+Ultra+Triple+Action+Joint+Supplement%2C+75+Tablets&amp;qid=1695170618&amp;sr=8-1", "https://www.amazon.com/Schiff-Ultra-Triple-Action-Tablets-count/dp/B0742PT2V5/ref=sr_1_1?keywords=Schiff+Move+Free+Ultra+Triple+Action+Joint+Supplement%2C+75+Tablets&amp;qid=1695170618&amp;sr=8-1")</f>
        <v/>
      </c>
      <c r="F1815" t="inlineStr">
        <is>
          <t>B0742PT2V5</t>
        </is>
      </c>
      <c r="G1815">
        <f>_xlfn.IMAGE("https://www.shelhealth.com/cdn/shop/files/schiff-move-free-ultra-triple-action-joint-supplement-75-tablets-glucosamine-supplements-shelhealth-138.jpg?v=1689981393&amp;width=1946")</f>
        <v/>
      </c>
      <c r="H1815">
        <f>_xlfn.IMAGE("https://m.media-amazon.com/images/I/612zW+xqLWL._AC_UL320_.jpg")</f>
        <v/>
      </c>
      <c r="K1815" t="inlineStr">
        <is>
          <t>41.99</t>
        </is>
      </c>
      <c r="L1815" t="n">
        <v>147.99</v>
      </c>
      <c r="M1815" s="1" t="inlineStr">
        <is>
          <t>252.44%</t>
        </is>
      </c>
      <c r="N1815" s="3" t="n">
        <v>252.44</v>
      </c>
      <c r="O1815" t="n">
        <v>3.9</v>
      </c>
      <c r="P1815" t="n">
        <v>14</v>
      </c>
      <c r="R1815" t="inlineStr">
        <is>
          <t>InStock</t>
        </is>
      </c>
      <c r="S1815" t="inlineStr">
        <is>
          <t>41.99</t>
        </is>
      </c>
      <c r="T1815" t="inlineStr">
        <is>
          <t>3699289653300</t>
        </is>
      </c>
    </row>
    <row r="1816" ht="75" customHeight="1">
      <c r="A1816" s="2">
        <f>HYPERLINK("https://www.shelhealth.com/products/nature-made-tripleflex-triple-strength-200-caplets", "https://www.shelhealth.com/products/nature-made-tripleflex-triple-strength-200-caplets")</f>
        <v/>
      </c>
      <c r="B1816" s="2">
        <f>HYPERLINK("https://www.shelhealth.com/products/nature-made-tripleflex-triple-strength-200-caplets", "https://www.shelhealth.com/products/nature-made-tripleflex-triple-strength-200-caplets")</f>
        <v/>
      </c>
      <c r="C1816" t="inlineStr">
        <is>
          <t>Nature Made TripleFlex Triple Strength, 200 Caplets</t>
        </is>
      </c>
      <c r="D1816" t="inlineStr">
        <is>
          <t>Nature Made TripleFlex - Glucosamine Chondroitin – (2Pack X 170 Caplets)</t>
        </is>
      </c>
      <c r="E1816" s="2">
        <f>HYPERLINK("https://www.amazon.com/Nature-Made-TripleFlex-Glucosamine-Chondroitin/dp/B00LE27U6U/ref=sr_1_5?keywords=Nature+Made+TripleFlex+Triple+Strength%2C+200+Caplets&amp;qid=1695170617&amp;sr=8-5", "https://www.amazon.com/Nature-Made-TripleFlex-Glucosamine-Chondroitin/dp/B00LE27U6U/ref=sr_1_5?keywords=Nature+Made+TripleFlex+Triple+Strength%2C+200+Caplets&amp;qid=1695170617&amp;sr=8-5")</f>
        <v/>
      </c>
      <c r="F1816" t="inlineStr">
        <is>
          <t>B00LE27U6U</t>
        </is>
      </c>
      <c r="G1816">
        <f>_xlfn.IMAGE("https://www.shelhealth.com/cdn/shop/products/nature-made-tripleflex-triple-strength-200-caplets-shelhealth-898.jpg?v=1663337313&amp;width=1946")</f>
        <v/>
      </c>
      <c r="H1816">
        <f>_xlfn.IMAGE("https://m.media-amazon.com/images/I/91KVuALZ5SL._AC_UL320_.jpg")</f>
        <v/>
      </c>
      <c r="K1816" t="inlineStr">
        <is>
          <t>36.99</t>
        </is>
      </c>
      <c r="L1816" t="n">
        <v>119.17</v>
      </c>
      <c r="M1816" s="1" t="inlineStr">
        <is>
          <t>222.17%</t>
        </is>
      </c>
      <c r="N1816" s="3" t="n">
        <v>222.17</v>
      </c>
      <c r="O1816" t="n">
        <v>4.7</v>
      </c>
      <c r="P1816" t="n">
        <v>378</v>
      </c>
      <c r="R1816" t="inlineStr">
        <is>
          <t>OutOfStock</t>
        </is>
      </c>
      <c r="S1816" t="inlineStr">
        <is>
          <t>36.99</t>
        </is>
      </c>
      <c r="T1816" t="inlineStr">
        <is>
          <t>3755857870900</t>
        </is>
      </c>
    </row>
    <row r="1817" ht="75" customHeight="1">
      <c r="A1817" s="2">
        <f>HYPERLINK("https://www.shelhealth.com/products/kirkland-signature-glucosamine-with-msm-375-tablets", "https://www.shelhealth.com/products/kirkland-signature-glucosamine-with-msm-375-tablets")</f>
        <v/>
      </c>
      <c r="B1817" s="2">
        <f>HYPERLINK("https://www.shelhealth.com/products/kirkland-signature-glucosamine-with-msm-375-tablets", "https://www.shelhealth.com/products/kirkland-signature-glucosamine-with-msm-375-tablets")</f>
        <v/>
      </c>
      <c r="C1817" t="inlineStr">
        <is>
          <t>Kirkland Signature Glucosamine with MSM, 375 Tablets</t>
        </is>
      </c>
      <c r="D1817" t="inlineStr">
        <is>
          <t>Kirkland Glucosamine HCl with MSM - 375 Tablets Each (Pack of 4)</t>
        </is>
      </c>
      <c r="E1817" s="2">
        <f>HYPERLINK("https://www.amazon.com/Kirkland-Glucosamine-HCl-MSM-Tablets/dp/B00PTFQ7S0/ref=sr_1_4?keywords=Kirkland+Signature+Glucosamine+with+MSM%2C+375+Tablets&amp;qid=1695170616&amp;sr=8-4", "https://www.amazon.com/Kirkland-Glucosamine-HCl-MSM-Tablets/dp/B00PTFQ7S0/ref=sr_1_4?keywords=Kirkland+Signature+Glucosamine+with+MSM%2C+375+Tablets&amp;qid=1695170616&amp;sr=8-4")</f>
        <v/>
      </c>
      <c r="F1817" t="inlineStr">
        <is>
          <t>B00PTFQ7S0</t>
        </is>
      </c>
      <c r="G1817">
        <f>_xlfn.IMAGE("https://www.shelhealth.com/cdn/shop/files/kirkland-signature-glucosamine-with-msm-375-tablets-all-vitamins-supplements-shelhealth-746.jpg?v=1689981404&amp;width=1946")</f>
        <v/>
      </c>
      <c r="H1817">
        <f>_xlfn.IMAGE("https://m.media-amazon.com/images/I/61BnGyTB5NL._AC_UL320_.jpg")</f>
        <v/>
      </c>
      <c r="K1817" t="inlineStr">
        <is>
          <t>33.99</t>
        </is>
      </c>
      <c r="L1817" t="n">
        <v>73.54000000000001</v>
      </c>
      <c r="M1817" s="1" t="inlineStr">
        <is>
          <t>116.36%</t>
        </is>
      </c>
      <c r="N1817" s="3" t="n">
        <v>116.36</v>
      </c>
      <c r="O1817" t="n">
        <v>4.8</v>
      </c>
      <c r="P1817" t="n">
        <v>6</v>
      </c>
      <c r="R1817" t="inlineStr">
        <is>
          <t>InStock</t>
        </is>
      </c>
      <c r="S1817" t="inlineStr">
        <is>
          <t>33.99</t>
        </is>
      </c>
      <c r="T1817" t="inlineStr">
        <is>
          <t>3699299680308</t>
        </is>
      </c>
    </row>
    <row r="1818" ht="75" customHeight="1">
      <c r="A1818" s="2">
        <f>HYPERLINK("https://www.shelhealth.com/products/cosamin-asu-for-joint-health-230-capsules", "https://www.shelhealth.com/products/cosamin-asu-for-joint-health-230-capsules")</f>
        <v/>
      </c>
      <c r="B1818" s="2">
        <f>HYPERLINK("https://www.shelhealth.com/products/cosamin-asu-for-joint-health-230-capsules", "https://www.shelhealth.com/products/cosamin-asu-for-joint-health-230-capsules")</f>
        <v/>
      </c>
      <c r="C1818" t="inlineStr">
        <is>
          <t>Cosamin ASU for Joint Health, 230 Caps.</t>
        </is>
      </c>
      <c r="D1818" t="inlineStr">
        <is>
          <t>Cosamin ASU Joint Health Active Lifestyle Glucosamine HCl Chondroitin Sulfate AKBA 230 Capsules (2 Bottles (460 Capsules))</t>
        </is>
      </c>
      <c r="E1818" s="2">
        <f>HYPERLINK("https://www.amazon.com/Cosamin-ASU-Lifestyle-Glucosamine-Chondroitin/dp/B01637TO8W/ref=sr_1_3?keywords=Cosamin+ASU+for+Joint+Health%2C+230+Caps.&amp;qid=1695170614&amp;sr=8-3", "https://www.amazon.com/Cosamin-ASU-Lifestyle-Glucosamine-Chondroitin/dp/B01637TO8W/ref=sr_1_3?keywords=Cosamin+ASU+for+Joint+Health%2C+230+Caps.&amp;qid=1695170614&amp;sr=8-3")</f>
        <v/>
      </c>
      <c r="F1818" t="inlineStr">
        <is>
          <t>B01637TO8W</t>
        </is>
      </c>
      <c r="G1818">
        <f>_xlfn.IMAGE("https://www.shelhealth.com/cdn/shop/products/cosamin-asu-for-joint-health-230-caps-shelhealth-585.jpg?v=1663373576&amp;width=1946")</f>
        <v/>
      </c>
      <c r="H1818">
        <f>_xlfn.IMAGE("https://m.media-amazon.com/images/I/51z9lOvk00L._AC_UL320_.jpg")</f>
        <v/>
      </c>
      <c r="K1818" t="inlineStr">
        <is>
          <t>71.99</t>
        </is>
      </c>
      <c r="L1818" t="n">
        <v>129.95</v>
      </c>
      <c r="M1818" s="1" t="inlineStr">
        <is>
          <t>80.51%</t>
        </is>
      </c>
      <c r="N1818" s="3" t="n">
        <v>80.51000000000001</v>
      </c>
      <c r="O1818" t="n">
        <v>4.6</v>
      </c>
      <c r="P1818" t="n">
        <v>138</v>
      </c>
      <c r="R1818" t="inlineStr">
        <is>
          <t>InStock</t>
        </is>
      </c>
      <c r="S1818" t="inlineStr">
        <is>
          <t>71.99</t>
        </is>
      </c>
      <c r="T1818" t="inlineStr">
        <is>
          <t>4707668197465</t>
        </is>
      </c>
    </row>
    <row r="1819" ht="75" customHeight="1">
      <c r="A1819" s="2">
        <f>HYPERLINK("https://www.shelhealth.com/products/kirkland-signature-glucosamine-with-msm-375-tablets", "https://www.shelhealth.com/products/kirkland-signature-glucosamine-with-msm-375-tablets")</f>
        <v/>
      </c>
      <c r="B1819" s="2">
        <f>HYPERLINK("https://www.shelhealth.com/products/kirkland-signature-glucosamine-with-msm-375-tablets", "https://www.shelhealth.com/products/kirkland-signature-glucosamine-with-msm-375-tablets")</f>
        <v/>
      </c>
      <c r="C1819" t="inlineStr">
        <is>
          <t>Kirkland Signature Glucosamine with MSM, 375 Tablets</t>
        </is>
      </c>
      <c r="D1819" t="inlineStr">
        <is>
          <t>Samba Life Kirkland Signature Extra Strength Glucosamine Extra Strength HCl with MSM, 375 Tablets Bundled with AM/PM Weekly Pill Planner, 7.5" (1)</t>
        </is>
      </c>
      <c r="E1819" s="2">
        <f>HYPERLINK("https://www.amazon.com/Samba-Life-Kirkland-Signature-Glucosamine/dp/B0BZ3PTXZL/ref=sr_1_3?keywords=Kirkland+Signature+Glucosamine+with+MSM%2C+375+Tablets&amp;qid=1695170616&amp;sr=8-3", "https://www.amazon.com/Samba-Life-Kirkland-Signature-Glucosamine/dp/B0BZ3PTXZL/ref=sr_1_3?keywords=Kirkland+Signature+Glucosamine+with+MSM%2C+375+Tablets&amp;qid=1695170616&amp;sr=8-3")</f>
        <v/>
      </c>
      <c r="F1819" t="inlineStr">
        <is>
          <t>B0BZ3PTXZL</t>
        </is>
      </c>
      <c r="G1819">
        <f>_xlfn.IMAGE("https://www.shelhealth.com/cdn/shop/files/kirkland-signature-glucosamine-with-msm-375-tablets-all-vitamins-supplements-shelhealth-746.jpg?v=1689981404&amp;width=1946")</f>
        <v/>
      </c>
      <c r="H1819">
        <f>_xlfn.IMAGE("https://m.media-amazon.com/images/I/716QAWBL+CL._AC_UL320_.jpg")</f>
        <v/>
      </c>
      <c r="K1819" t="inlineStr">
        <is>
          <t>33.99</t>
        </is>
      </c>
      <c r="L1819" t="n">
        <v>54.89</v>
      </c>
      <c r="M1819" s="1" t="inlineStr">
        <is>
          <t>61.49%</t>
        </is>
      </c>
      <c r="N1819" s="3" t="n">
        <v>61.49</v>
      </c>
      <c r="O1819" t="n">
        <v>4.4</v>
      </c>
      <c r="P1819" t="n">
        <v>6</v>
      </c>
      <c r="R1819" t="inlineStr">
        <is>
          <t>InStock</t>
        </is>
      </c>
      <c r="S1819" t="inlineStr">
        <is>
          <t>33.99</t>
        </is>
      </c>
      <c r="T1819" t="inlineStr">
        <is>
          <t>3699299680308</t>
        </is>
      </c>
    </row>
    <row r="1820" hidden="1" ht="15.75" customHeight="1">
      <c r="A1820" s="2">
        <f>HYPERLINK("https://www.shelhealth.com/products/osteo-bi-flex-ease-tablets-70-ct", "https://www.shelhealth.com/products/osteo-bi-flex-ease-tablets-70-ct")</f>
        <v/>
      </c>
      <c r="B1820" s="2">
        <f>HYPERLINK("https://www.shelhealth.com/products/osteo-bi-flex-ease-tablets-70-ct", "https://www.shelhealth.com/products/osteo-bi-flex-ease-tablets-70-ct")</f>
        <v/>
      </c>
      <c r="C1820" t="inlineStr">
        <is>
          <t>Osteo Bi-Flex Ease Tablets, 70 ct.</t>
        </is>
      </c>
      <c r="D1820" t="inlineStr">
        <is>
          <t>Osteo Bi-Flex Joint Health Ease Advanced Triple Action Mini Tabs - 28 ct, Pack of 3</t>
        </is>
      </c>
      <c r="E1820" s="2">
        <f>HYPERLINK("https://www.amazon.com/Osteo-Bi-Flex-Health-Advanced-Triple/dp/B074NC4GVX/ref=sr_1_3?keywords=Osteo+Bi-Flex+Ease+Tablets%2C+70+ct.&amp;qid=1695170621&amp;sr=8-3", "https://www.amazon.com/Osteo-Bi-Flex-Health-Advanced-Triple/dp/B074NC4GVX/ref=sr_1_3?keywords=Osteo+Bi-Flex+Ease+Tablets%2C+70+ct.&amp;qid=1695170621&amp;sr=8-3")</f>
        <v/>
      </c>
      <c r="F1820" t="inlineStr">
        <is>
          <t>B074NC4GVX</t>
        </is>
      </c>
      <c r="G1820">
        <f>_xludf.IMAGE("https://www.shelhealth.com/cdn/shop/products/osteo-bi-flex-ease-tablets-70-ct-shelhealth-848.jpg?v=1663352135&amp;width=1946")</f>
        <v/>
      </c>
      <c r="H1820">
        <f>_xludf.IMAGE("https://m.media-amazon.com/images/I/71mhc9CALkL._AC_UL320_.jpg")</f>
        <v/>
      </c>
      <c r="K1820" t="inlineStr">
        <is>
          <t>35.99</t>
        </is>
      </c>
      <c r="L1820" t="n">
        <v>54.68</v>
      </c>
      <c r="M1820" s="1" t="inlineStr">
        <is>
          <t>51.93%</t>
        </is>
      </c>
      <c r="N1820" s="3" t="n">
        <v>51.93</v>
      </c>
      <c r="O1820" t="n">
        <v>4.6</v>
      </c>
      <c r="P1820" t="n">
        <v>48</v>
      </c>
      <c r="R1820" t="inlineStr">
        <is>
          <t>OutOfStock</t>
        </is>
      </c>
      <c r="S1820" t="inlineStr">
        <is>
          <t>35.99</t>
        </is>
      </c>
      <c r="T1820" t="inlineStr">
        <is>
          <t>4115656179764</t>
        </is>
      </c>
    </row>
    <row r="1821" hidden="1" ht="15.75" customHeight="1">
      <c r="A1821" s="2">
        <f>HYPERLINK("https://www.shelhealth.com/products/nature-made-sam-e-complete-400-mg-60-enteric-tablets", "https://www.shelhealth.com/products/nature-made-sam-e-complete-400-mg-60-enteric-tablets")</f>
        <v/>
      </c>
      <c r="B1821" s="2">
        <f>HYPERLINK("https://www.shelhealth.com/products/nature-made-sam-e-complete-400-mg-60-enteric-tablets", "https://www.shelhealth.com/products/nature-made-sam-e-complete-400-mg-60-enteric-tablets")</f>
        <v/>
      </c>
      <c r="C1821" t="inlineStr">
        <is>
          <t>Nature Made SAM-e Complete 400 mg - 60 Enteric Tablets</t>
        </is>
      </c>
      <c r="D1821" t="inlineStr">
        <is>
          <t>Nature Made SAM-e Complete 400 mg - 2 Boxes, 60 Enteric Tablets Each</t>
        </is>
      </c>
      <c r="E1821" s="2">
        <f>HYPERLINK("https://www.amazon.com/Nature-Made-SAM-Complete-400/dp/B00LBL0SKE/ref=sr_1_3?keywords=Nature+Made+SAM-e+Complete+400+mg+-+60+Enteric+Tablets&amp;qid=1695170619&amp;sr=8-3", "https://www.amazon.com/Nature-Made-SAM-Complete-400/dp/B00LBL0SKE/ref=sr_1_3?keywords=Nature+Made+SAM-e+Complete+400+mg+-+60+Enteric+Tablets&amp;qid=1695170619&amp;sr=8-3")</f>
        <v/>
      </c>
      <c r="F1821" t="inlineStr">
        <is>
          <t>B00LBL0SKE</t>
        </is>
      </c>
      <c r="G1821">
        <f>_xludf.IMAGE("https://www.shelhealth.com/cdn/shop/products/nature-made-sam-e-complete-400-mg-60-enteric-tablets-shelhealth-631.jpg?v=1663337587&amp;width=1946")</f>
        <v/>
      </c>
      <c r="H1821">
        <f>_xludf.IMAGE("https://m.media-amazon.com/images/I/51cgNQ5Xu2L._AC_UL320_.jpg")</f>
        <v/>
      </c>
      <c r="K1821" t="inlineStr">
        <is>
          <t>54.99</t>
        </is>
      </c>
      <c r="L1821" t="n">
        <v>79.89</v>
      </c>
      <c r="M1821" s="1" t="inlineStr">
        <is>
          <t>45.28%</t>
        </is>
      </c>
      <c r="N1821" s="3" t="n">
        <v>45.28</v>
      </c>
      <c r="O1821" t="n">
        <v>4.6</v>
      </c>
      <c r="P1821" t="n">
        <v>396</v>
      </c>
      <c r="R1821" t="inlineStr">
        <is>
          <t>InStock</t>
        </is>
      </c>
      <c r="S1821" t="inlineStr">
        <is>
          <t>54.99</t>
        </is>
      </c>
      <c r="T1821" t="inlineStr">
        <is>
          <t>3776672071732</t>
        </is>
      </c>
    </row>
    <row r="1822" hidden="1" ht="15.75" customHeight="1">
      <c r="A1822" s="2">
        <f>HYPERLINK("https://www.shelhealth.com/products/osteo-bi-flex-triple-strength-caplets-200-ct-1", "https://www.shelhealth.com/products/osteo-bi-flex-triple-strength-caplets-200-ct-1")</f>
        <v/>
      </c>
      <c r="B1822" s="2">
        <f>HYPERLINK("https://www.shelhealth.com/products/osteo-bi-flex-triple-strength-caplets-200-ct-1", "https://www.shelhealth.com/products/osteo-bi-flex-triple-strength-caplets-200-ct-1")</f>
        <v/>
      </c>
      <c r="C1822" t="inlineStr">
        <is>
          <t>Osteo Bi-Flex Triple Strength Caplets, 200 ct.</t>
        </is>
      </c>
      <c r="D1822" t="inlineStr">
        <is>
          <t>Osteo Bi-Flex Triple Strength Tablets, White, 200 Count (Pack of 2)</t>
        </is>
      </c>
      <c r="E1822" s="2">
        <f>HYPERLINK("https://www.amazon.com/Osteo-Bi-Flex-triple-strength-pack/dp/B0722K17S9/ref=sr_1_1?keywords=Osteo+Bi-Flex+Triple+Strength+Caplets%2C+200+ct.&amp;qid=1695170618&amp;sr=8-1", "https://www.amazon.com/Osteo-Bi-Flex-triple-strength-pack/dp/B0722K17S9/ref=sr_1_1?keywords=Osteo+Bi-Flex+Triple+Strength+Caplets%2C+200+ct.&amp;qid=1695170618&amp;sr=8-1")</f>
        <v/>
      </c>
      <c r="F1822" t="inlineStr">
        <is>
          <t>B0722K17S9</t>
        </is>
      </c>
      <c r="G1822">
        <f>_xludf.IMAGE("https://www.shelhealth.com/cdn/shop/products/osteo-bi-flex-triple-strength-caplets-200-ct-shelhealth-527.jpg?v=1663352200&amp;width=1946")</f>
        <v/>
      </c>
      <c r="H1822">
        <f>_xludf.IMAGE("https://m.media-amazon.com/images/I/61PcIKfQuUL._AC_UL320_.jpg")</f>
        <v/>
      </c>
      <c r="K1822" t="inlineStr">
        <is>
          <t>41.99</t>
        </is>
      </c>
      <c r="L1822" t="n">
        <v>57.39</v>
      </c>
      <c r="M1822" s="1" t="inlineStr">
        <is>
          <t>36.68%</t>
        </is>
      </c>
      <c r="N1822" s="3" t="n">
        <v>36.68</v>
      </c>
      <c r="O1822" t="n">
        <v>4.8</v>
      </c>
      <c r="P1822" t="n">
        <v>1513</v>
      </c>
      <c r="R1822" t="inlineStr">
        <is>
          <t>InStock</t>
        </is>
      </c>
      <c r="S1822" t="inlineStr">
        <is>
          <t>41.99</t>
        </is>
      </c>
      <c r="T1822" t="inlineStr">
        <is>
          <t>4115739672628</t>
        </is>
      </c>
    </row>
    <row r="1823" hidden="1" ht="15.75" customHeight="1">
      <c r="A1823" s="2">
        <f>HYPERLINK("https://www.shelhealth.com/products/nature-made-sam-e-complete-400-mg-60-enteric-tablets", "https://www.shelhealth.com/products/nature-made-sam-e-complete-400-mg-60-enteric-tablets")</f>
        <v/>
      </c>
      <c r="B1823" s="2">
        <f>HYPERLINK("https://www.shelhealth.com/products/nature-made-sam-e-complete-400-mg-60-enteric-tablets", "https://www.shelhealth.com/products/nature-made-sam-e-complete-400-mg-60-enteric-tablets")</f>
        <v/>
      </c>
      <c r="C1823" t="inlineStr">
        <is>
          <t>Nature Made SAM-e Complete 400 mg - 60 Enteric Tablets</t>
        </is>
      </c>
      <c r="D1823" t="inlineStr">
        <is>
          <t>Evaxo SAM-e Complete 400 mg, 60 Tablets 400 mg. of SAM-e Per Dose Helps Support a Healthy Mood in as Little as 7–14 Days When Taken Daily .#B</t>
        </is>
      </c>
      <c r="E1823" s="2">
        <f>HYPERLINK("https://www.amazon.com/Evaxo-Complete-Tablets-Support-Healthy/dp/B08BS19KFK/ref=sr_1_9?keywords=Nature+Made+SAM-e+Complete+400+mg+-+60+Enteric+Tablets&amp;qid=1695170619&amp;sr=8-9", "https://www.amazon.com/Evaxo-Complete-Tablets-Support-Healthy/dp/B08BS19KFK/ref=sr_1_9?keywords=Nature+Made+SAM-e+Complete+400+mg+-+60+Enteric+Tablets&amp;qid=1695170619&amp;sr=8-9")</f>
        <v/>
      </c>
      <c r="F1823" t="inlineStr">
        <is>
          <t>B08BS19KFK</t>
        </is>
      </c>
      <c r="G1823">
        <f>_xludf.IMAGE("https://www.shelhealth.com/cdn/shop/products/nature-made-sam-e-complete-400-mg-60-enteric-tablets-shelhealth-631.jpg?v=1663337587&amp;width=1946")</f>
        <v/>
      </c>
      <c r="H1823">
        <f>_xludf.IMAGE("https://m.media-amazon.com/images/I/714JNcmMRvL._AC_UL320_.jpg")</f>
        <v/>
      </c>
      <c r="K1823" t="inlineStr">
        <is>
          <t>54.99</t>
        </is>
      </c>
      <c r="L1823" t="n">
        <v>64.09999999999999</v>
      </c>
      <c r="M1823" s="1" t="inlineStr">
        <is>
          <t>16.57%</t>
        </is>
      </c>
      <c r="N1823" s="3" t="n">
        <v>16.57</v>
      </c>
      <c r="O1823" t="n">
        <v>4.6</v>
      </c>
      <c r="P1823" t="n">
        <v>161</v>
      </c>
      <c r="R1823" t="inlineStr">
        <is>
          <t>InStock</t>
        </is>
      </c>
      <c r="S1823" t="inlineStr">
        <is>
          <t>54.99</t>
        </is>
      </c>
      <c r="T1823" t="inlineStr">
        <is>
          <t>3776672071732</t>
        </is>
      </c>
    </row>
    <row r="1824" hidden="1" ht="15.75" customHeight="1">
      <c r="A1824" s="2">
        <f>HYPERLINK("https://www.shelhealth.com/products/osteo-bi-flex-triple-strength-caplets-200-ct", "https://www.shelhealth.com/products/osteo-bi-flex-triple-strength-caplets-200-ct")</f>
        <v/>
      </c>
      <c r="B1824" s="2">
        <f>HYPERLINK("https://www.shelhealth.com/products/osteo-bi-flex-triple-strength-caplets-200-ct", "https://www.shelhealth.com/products/osteo-bi-flex-triple-strength-caplets-200-ct")</f>
        <v/>
      </c>
      <c r="C1824" t="inlineStr">
        <is>
          <t>Osteo Bi-Flex Triple Strength Caplets, 200 ct.</t>
        </is>
      </c>
      <c r="D1824" t="inlineStr">
        <is>
          <t>Osteo Bi-Flex Triple Strength Tablets, White, 200 Count (Pack of 2)</t>
        </is>
      </c>
      <c r="E1824" s="2">
        <f>HYPERLINK("https://www.amazon.com/Osteo-Bi-Flex-triple-strength-pack/dp/B0722K17S9/ref=sr_1_1?keywords=Osteo+Bi-Flex+Triple+Strength+Caplets%2C+200+ct.&amp;qid=1695170620&amp;sr=8-1", "https://www.amazon.com/Osteo-Bi-Flex-triple-strength-pack/dp/B0722K17S9/ref=sr_1_1?keywords=Osteo+Bi-Flex+Triple+Strength+Caplets%2C+200+ct.&amp;qid=1695170620&amp;sr=8-1")</f>
        <v/>
      </c>
      <c r="F1824" t="inlineStr">
        <is>
          <t>B0722K17S9</t>
        </is>
      </c>
      <c r="G1824">
        <f>_xludf.IMAGE("https://www.shelhealth.com/cdn/shop/files/osteo-bi-flex-triple-strength-caplets-200-ct-health-beautyvitamins-supplements-unbranded-shelhealth-507.jpg?v=1686282311&amp;width=1946")</f>
        <v/>
      </c>
      <c r="H1824">
        <f>_xludf.IMAGE("https://m.media-amazon.com/images/I/61PcIKfQuUL._AC_UL320_.jpg")</f>
        <v/>
      </c>
      <c r="K1824" t="inlineStr">
        <is>
          <t>49.99</t>
        </is>
      </c>
      <c r="L1824" t="n">
        <v>57.39</v>
      </c>
      <c r="M1824" s="1" t="inlineStr">
        <is>
          <t>14.80%</t>
        </is>
      </c>
      <c r="N1824" s="3" t="n">
        <v>14.8</v>
      </c>
      <c r="O1824" t="n">
        <v>4.8</v>
      </c>
      <c r="P1824" t="n">
        <v>1513</v>
      </c>
      <c r="R1824" t="inlineStr">
        <is>
          <t>InStock</t>
        </is>
      </c>
      <c r="S1824" t="inlineStr">
        <is>
          <t>49.99</t>
        </is>
      </c>
      <c r="T1824" t="inlineStr">
        <is>
          <t>3781920358452</t>
        </is>
      </c>
    </row>
    <row r="1825" hidden="1" ht="15.75" customHeight="1">
      <c r="A1825" s="2">
        <f>HYPERLINK("https://www.shelhealth.com/products/schiff-move-free-advanced-joint-supplement-200-tablets", "https://www.shelhealth.com/products/schiff-move-free-advanced-joint-supplement-200-tablets")</f>
        <v/>
      </c>
      <c r="B1825" s="2">
        <f>HYPERLINK("https://www.shelhealth.com/products/schiff-move-free-advanced-joint-supplement-200-tablets", "https://www.shelhealth.com/products/schiff-move-free-advanced-joint-supplement-200-tablets")</f>
        <v/>
      </c>
      <c r="C1825" t="inlineStr">
        <is>
          <t>Schiff Move Free Advanced Joint Supplement, 200 Tablets</t>
        </is>
      </c>
      <c r="D1825" t="inlineStr">
        <is>
          <t>Move Free Advanced, Tablets (200 Count Box) - Joint Health Supplement with Glucosamine and Chondroitin (Pack of 2)</t>
        </is>
      </c>
      <c r="E1825" s="2">
        <f>HYPERLINK("https://www.amazon.com/Move-Free-Advanced-2-Pack-Tablets/dp/B079KK7VLL/ref=sr_1_4?keywords=Schiff+Move+Free+Advanced+Joint+Supplement%2C+200+Tablets&amp;qid=1695170617&amp;sr=8-4", "https://www.amazon.com/Move-Free-Advanced-2-Pack-Tablets/dp/B079KK7VLL/ref=sr_1_4?keywords=Schiff+Move+Free+Advanced+Joint+Supplement%2C+200+Tablets&amp;qid=1695170617&amp;sr=8-4")</f>
        <v/>
      </c>
      <c r="F1825" t="inlineStr">
        <is>
          <t>B079KK7VLL</t>
        </is>
      </c>
      <c r="G1825">
        <f>_xludf.IMAGE("https://www.shelhealth.com/cdn/shop/files/schiff-move-free-advanced-joint-supplement-200-tablets-all-vitamins-supplements-shelhealth-778.jpg?v=1690056489&amp;width=1946")</f>
        <v/>
      </c>
      <c r="H1825">
        <f>_xludf.IMAGE("https://m.media-amazon.com/images/I/81K8JN6AkOL._AC_UL320_.jpg")</f>
        <v/>
      </c>
      <c r="K1825" t="inlineStr">
        <is>
          <t>46.99</t>
        </is>
      </c>
      <c r="L1825" t="n">
        <v>51.98</v>
      </c>
      <c r="M1825" s="1" t="inlineStr">
        <is>
          <t>10.62%</t>
        </is>
      </c>
      <c r="N1825" s="3" t="n">
        <v>10.62</v>
      </c>
      <c r="O1825" t="n">
        <v>4.6</v>
      </c>
      <c r="P1825" t="n">
        <v>237</v>
      </c>
      <c r="R1825" t="inlineStr">
        <is>
          <t>InStock</t>
        </is>
      </c>
      <c r="S1825" t="inlineStr">
        <is>
          <t>46.99</t>
        </is>
      </c>
      <c r="T1825" t="inlineStr">
        <is>
          <t>3755840962612</t>
        </is>
      </c>
    </row>
    <row r="1826" hidden="1" ht="15.75" customHeight="1">
      <c r="A1826" s="2">
        <f>HYPERLINK("https://www.shelhealth.com/products/nature-made-tripleflex-triple-strength-200-caplets", "https://www.shelhealth.com/products/nature-made-tripleflex-triple-strength-200-caplets")</f>
        <v/>
      </c>
      <c r="B1826" s="2">
        <f>HYPERLINK("https://www.shelhealth.com/products/nature-made-tripleflex-triple-strength-200-caplets", "https://www.shelhealth.com/products/nature-made-tripleflex-triple-strength-200-caplets")</f>
        <v/>
      </c>
      <c r="C1826" t="inlineStr">
        <is>
          <t>Nature Made TripleFlex Triple Strength, 200 Caplets</t>
        </is>
      </c>
      <c r="D1826" t="inlineStr">
        <is>
          <t>Nature Made TripleFlex Triple Strength Caplets with Vitamin D3, 120 Count for Joint Support</t>
        </is>
      </c>
      <c r="E1826" s="2">
        <f>HYPERLINK("https://www.amazon.com/Nature-Made-TripleFlex-Glucosamine-Chondroitin/dp/B004U3Y8R4/ref=sr_1_1?keywords=Nature+Made+TripleFlex+Triple+Strength%2C+200+Caplets&amp;qid=1695170617&amp;sr=8-1", "https://www.amazon.com/Nature-Made-TripleFlex-Glucosamine-Chondroitin/dp/B004U3Y8R4/ref=sr_1_1?keywords=Nature+Made+TripleFlex+Triple+Strength%2C+200+Caplets&amp;qid=1695170617&amp;sr=8-1")</f>
        <v/>
      </c>
      <c r="F1826" t="inlineStr">
        <is>
          <t>B004U3Y8R4</t>
        </is>
      </c>
      <c r="G1826">
        <f>_xludf.IMAGE("https://www.shelhealth.com/cdn/shop/products/nature-made-tripleflex-triple-strength-200-caplets-shelhealth-898.jpg?v=1663337313&amp;width=1946")</f>
        <v/>
      </c>
      <c r="H1826">
        <f>_xludf.IMAGE("https://m.media-amazon.com/images/I/71fOtAc28mL._AC_UL320_.jpg")</f>
        <v/>
      </c>
      <c r="K1826" t="inlineStr">
        <is>
          <t>36.99</t>
        </is>
      </c>
      <c r="L1826" t="n">
        <v>40</v>
      </c>
      <c r="M1826" s="1" t="inlineStr">
        <is>
          <t>8.14%</t>
        </is>
      </c>
      <c r="N1826" s="3" t="n">
        <v>8.140000000000001</v>
      </c>
      <c r="O1826" t="n">
        <v>4.7</v>
      </c>
      <c r="P1826" t="n">
        <v>3086</v>
      </c>
      <c r="R1826" t="inlineStr">
        <is>
          <t>OutOfStock</t>
        </is>
      </c>
      <c r="S1826" t="inlineStr">
        <is>
          <t>36.99</t>
        </is>
      </c>
      <c r="T1826" t="inlineStr">
        <is>
          <t>3755857870900</t>
        </is>
      </c>
    </row>
    <row r="1827" hidden="1" ht="15.75" customHeight="1">
      <c r="A1827" s="2">
        <f>HYPERLINK("https://www.shelhealth.com/products/osteo-bi-flex-ease-tablets-70-ct", "https://www.shelhealth.com/products/osteo-bi-flex-ease-tablets-70-ct")</f>
        <v/>
      </c>
      <c r="B1827" s="2">
        <f>HYPERLINK("https://www.shelhealth.com/products/osteo-bi-flex-ease-tablets-70-ct", "https://www.shelhealth.com/products/osteo-bi-flex-ease-tablets-70-ct")</f>
        <v/>
      </c>
      <c r="C1827" t="inlineStr">
        <is>
          <t>Osteo Bi-Flex Ease Tablets, 70 ct.</t>
        </is>
      </c>
      <c r="D1827" t="inlineStr">
        <is>
          <t>Osteo Bi-Flex Joint Health Ease Triple Action, 28 Mini-Tabs (Pack of 2)</t>
        </is>
      </c>
      <c r="E1827" s="2">
        <f>HYPERLINK("https://www.amazon.com/Bi-Flex-Health-Triple-Action-Mini-Tabs/dp/B01EMII2SM/ref=sr_1_5?keywords=Osteo+Bi-Flex+Ease+Tablets%2C+70+ct.&amp;qid=1695170621&amp;sr=8-5", "https://www.amazon.com/Bi-Flex-Health-Triple-Action-Mini-Tabs/dp/B01EMII2SM/ref=sr_1_5?keywords=Osteo+Bi-Flex+Ease+Tablets%2C+70+ct.&amp;qid=1695170621&amp;sr=8-5")</f>
        <v/>
      </c>
      <c r="F1827" t="inlineStr">
        <is>
          <t>B01EMII2SM</t>
        </is>
      </c>
      <c r="G1827">
        <f>_xludf.IMAGE("https://www.shelhealth.com/cdn/shop/products/osteo-bi-flex-ease-tablets-70-ct-shelhealth-848.jpg?v=1663352135&amp;width=1946")</f>
        <v/>
      </c>
      <c r="H1827">
        <f>_xludf.IMAGE("https://m.media-amazon.com/images/I/61rxBAZod1L._AC_UL320_.jpg")</f>
        <v/>
      </c>
      <c r="K1827" t="inlineStr">
        <is>
          <t>35.99</t>
        </is>
      </c>
      <c r="L1827" t="n">
        <v>38</v>
      </c>
      <c r="M1827" s="1" t="inlineStr">
        <is>
          <t>5.58%</t>
        </is>
      </c>
      <c r="N1827" s="3" t="n">
        <v>5.58</v>
      </c>
      <c r="O1827" t="n">
        <v>4.7</v>
      </c>
      <c r="P1827" t="n">
        <v>13</v>
      </c>
      <c r="R1827" t="inlineStr">
        <is>
          <t>OutOfStock</t>
        </is>
      </c>
      <c r="S1827" t="inlineStr">
        <is>
          <t>35.99</t>
        </is>
      </c>
      <c r="T1827" t="inlineStr">
        <is>
          <t>4115656179764</t>
        </is>
      </c>
    </row>
    <row r="1828" hidden="1" ht="15.75" customHeight="1">
      <c r="A1828" s="2">
        <f>HYPERLINK("https://www.shelhealth.com/products/kirkland-signature-glucosamine-chondroitin-tablets-220-count", "https://www.shelhealth.com/products/kirkland-signature-glucosamine-chondroitin-tablets-220-count")</f>
        <v/>
      </c>
      <c r="B1828" s="2">
        <f>HYPERLINK("https://www.shelhealth.com/products/kirkland-signature-glucosamine-chondroitin-tablets-220-count", "https://www.shelhealth.com/products/kirkland-signature-glucosamine-chondroitin-tablets-220-count")</f>
        <v/>
      </c>
      <c r="C1828" t="inlineStr">
        <is>
          <t>Kirkland Signature Glucosamine &amp; Chondroitin Tablets - 220 count</t>
        </is>
      </c>
      <c r="D1828" t="inlineStr">
        <is>
          <t>KIRKLAND Signature Extra Strength Glucosamine 1500 mg Chondroitin 1200 mg 220 Tablets</t>
        </is>
      </c>
      <c r="E1828" s="2">
        <f>HYPERLINK("https://www.amazon.com/Kirkland-Strength-Glucosamine-Chondroitin-Tablets/dp/B00GYZWNY6/ref=sr_1_3?keywords=Kirkland+Signature+Glucosamine&amp;qid=1695170615&amp;sr=8-3", "https://www.amazon.com/Kirkland-Strength-Glucosamine-Chondroitin-Tablets/dp/B00GYZWNY6/ref=sr_1_3?keywords=Kirkland+Signature+Glucosamine&amp;qid=1695170615&amp;sr=8-3")</f>
        <v/>
      </c>
      <c r="F1828" t="inlineStr">
        <is>
          <t>B00GYZWNY6</t>
        </is>
      </c>
      <c r="G1828">
        <f>_xludf.IMAGE("https://www.shelhealth.com/cdn/shop/products/kirkland-signature-glucosamine-chondroitin-tablets-220-count-shelhealth-696.jpg?v=1663337349&amp;width=1946")</f>
        <v/>
      </c>
      <c r="H1828">
        <f>_xludf.IMAGE("https://m.media-amazon.com/images/I/81aG5AP-e4L._AC_UL320_.jpg")</f>
        <v/>
      </c>
      <c r="K1828" t="inlineStr">
        <is>
          <t>35.99</t>
        </is>
      </c>
      <c r="L1828" t="n">
        <v>31.18</v>
      </c>
      <c r="M1828" s="1" t="inlineStr">
        <is>
          <t>-13.36%</t>
        </is>
      </c>
      <c r="N1828" s="3" t="n">
        <v>-13.36</v>
      </c>
      <c r="O1828" t="n">
        <v>4.7</v>
      </c>
      <c r="P1828" t="n">
        <v>3469</v>
      </c>
      <c r="R1828" t="inlineStr">
        <is>
          <t>InStock</t>
        </is>
      </c>
      <c r="S1828" t="inlineStr">
        <is>
          <t>35.99</t>
        </is>
      </c>
      <c r="T1828" t="inlineStr">
        <is>
          <t>3755941593140</t>
        </is>
      </c>
    </row>
    <row r="1829" hidden="1" ht="15.75" customHeight="1">
      <c r="A1829" s="2">
        <f>HYPERLINK("https://www.shelhealth.com/products/kirkland-signature-glucosamine-chondroitin-tablets-220-count", "https://www.shelhealth.com/products/kirkland-signature-glucosamine-chondroitin-tablets-220-count")</f>
        <v/>
      </c>
      <c r="B1829" s="2">
        <f>HYPERLINK("https://www.shelhealth.com/products/kirkland-signature-glucosamine-chondroitin-tablets-220-count", "https://www.shelhealth.com/products/kirkland-signature-glucosamine-chondroitin-tablets-220-count")</f>
        <v/>
      </c>
      <c r="C1829" t="inlineStr">
        <is>
          <t>Kirkland Signature Glucosamine &amp; Chondroitin Tablets - 220 count</t>
        </is>
      </c>
      <c r="D1829" t="inlineStr">
        <is>
          <t>Kirkland Signature Extra Strength Glucosamine 1500mg/Chondroitin 1200mg Sulfate - 220 Count (Pack of 1)</t>
        </is>
      </c>
      <c r="E1829" s="2">
        <f>HYPERLINK("https://www.amazon.com/Kirkland-Signature-Strength-Glucosamine-Chondroitin/dp/B00880Z9QY/ref=sr_1_8?keywords=Kirkland+Signature+Glucosamine&amp;qid=1695170615&amp;sr=8-8", "https://www.amazon.com/Kirkland-Signature-Strength-Glucosamine-Chondroitin/dp/B00880Z9QY/ref=sr_1_8?keywords=Kirkland+Signature+Glucosamine&amp;qid=1695170615&amp;sr=8-8")</f>
        <v/>
      </c>
      <c r="F1829" t="inlineStr">
        <is>
          <t>B00880Z9QY</t>
        </is>
      </c>
      <c r="G1829">
        <f>_xludf.IMAGE("https://www.shelhealth.com/cdn/shop/products/kirkland-signature-glucosamine-chondroitin-tablets-220-count-shelhealth-696.jpg?v=1663337349&amp;width=1946")</f>
        <v/>
      </c>
      <c r="H1829">
        <f>_xludf.IMAGE("https://m.media-amazon.com/images/I/51ZWDP-X3wL._AC_UL320_.jpg")</f>
        <v/>
      </c>
      <c r="K1829" t="inlineStr">
        <is>
          <t>35.99</t>
        </is>
      </c>
      <c r="L1829" t="n">
        <v>30.9</v>
      </c>
      <c r="M1829" s="1" t="inlineStr">
        <is>
          <t>-14.14%</t>
        </is>
      </c>
      <c r="N1829" s="3" t="n">
        <v>-14.14</v>
      </c>
      <c r="O1829" t="n">
        <v>4.7</v>
      </c>
      <c r="P1829" t="n">
        <v>1896</v>
      </c>
      <c r="R1829" t="inlineStr">
        <is>
          <t>InStock</t>
        </is>
      </c>
      <c r="S1829" t="inlineStr">
        <is>
          <t>35.99</t>
        </is>
      </c>
      <c r="T1829" t="inlineStr">
        <is>
          <t>3755941593140</t>
        </is>
      </c>
    </row>
    <row r="1830" hidden="1" ht="15.75" customHeight="1">
      <c r="A1830" s="2">
        <f>HYPERLINK("https://www.shelhealth.com/products/nature-made-sam-e-complete-400-mg-60-enteric-tablets", "https://www.shelhealth.com/products/nature-made-sam-e-complete-400-mg-60-enteric-tablets")</f>
        <v/>
      </c>
      <c r="B1830" s="2">
        <f>HYPERLINK("https://www.shelhealth.com/products/nature-made-sam-e-complete-400-mg-60-enteric-tablets", "https://www.shelhealth.com/products/nature-made-sam-e-complete-400-mg-60-enteric-tablets")</f>
        <v/>
      </c>
      <c r="C1830" t="inlineStr">
        <is>
          <t>Nature Made SAM-e Complete 400 mg - 60 Enteric Tablets</t>
        </is>
      </c>
      <c r="D1830" t="inlineStr">
        <is>
          <t>Nature Made SAM-e Complete 400 mg. Tablet (Helps Support Healthy Mood &amp; Joint Comfort) Value Size 60 ct</t>
        </is>
      </c>
      <c r="E1830" s="2">
        <f>HYPERLINK("https://www.amazon.com/Nature-Made-Complete-400mg-tablets/dp/B07JCXB3PD/ref=sr_1_1?keywords=Nature+Made+SAM-e+Complete+400+mg+-+60+Enteric+Tablets&amp;qid=1695170619&amp;sr=8-1", "https://www.amazon.com/Nature-Made-Complete-400mg-tablets/dp/B07JCXB3PD/ref=sr_1_1?keywords=Nature+Made+SAM-e+Complete+400+mg+-+60+Enteric+Tablets&amp;qid=1695170619&amp;sr=8-1")</f>
        <v/>
      </c>
      <c r="F1830" t="inlineStr">
        <is>
          <t>B07JCXB3PD</t>
        </is>
      </c>
      <c r="G1830">
        <f>_xludf.IMAGE("https://www.shelhealth.com/cdn/shop/products/nature-made-sam-e-complete-400-mg-60-enteric-tablets-shelhealth-631.jpg?v=1663337587&amp;width=1946")</f>
        <v/>
      </c>
      <c r="H1830">
        <f>_xludf.IMAGE("https://m.media-amazon.com/images/I/71PY-S03rvL._AC_UL320_.jpg")</f>
        <v/>
      </c>
      <c r="K1830" t="inlineStr">
        <is>
          <t>54.99</t>
        </is>
      </c>
      <c r="L1830" t="n">
        <v>44.99</v>
      </c>
      <c r="M1830" s="1" t="inlineStr">
        <is>
          <t>-18.19%</t>
        </is>
      </c>
      <c r="N1830" s="3" t="n">
        <v>-18.19</v>
      </c>
      <c r="O1830" t="n">
        <v>4.5</v>
      </c>
      <c r="P1830" t="n">
        <v>455</v>
      </c>
      <c r="R1830" t="inlineStr">
        <is>
          <t>InStock</t>
        </is>
      </c>
      <c r="S1830" t="inlineStr">
        <is>
          <t>54.99</t>
        </is>
      </c>
      <c r="T1830" t="inlineStr">
        <is>
          <t>3776672071732</t>
        </is>
      </c>
    </row>
    <row r="1831" hidden="1" ht="15.75" customHeight="1">
      <c r="A1831" s="2">
        <f>HYPERLINK("https://www.shelhealth.com/products/nature-made-sam-e-complete-400-mg-60-enteric-tablets", "https://www.shelhealth.com/products/nature-made-sam-e-complete-400-mg-60-enteric-tablets")</f>
        <v/>
      </c>
      <c r="B1831" s="2">
        <f>HYPERLINK("https://www.shelhealth.com/products/nature-made-sam-e-complete-400-mg-60-enteric-tablets", "https://www.shelhealth.com/products/nature-made-sam-e-complete-400-mg-60-enteric-tablets")</f>
        <v/>
      </c>
      <c r="C1831" t="inlineStr">
        <is>
          <t>Nature Made SAM-e Complete 400 mg - 60 Enteric Tablets</t>
        </is>
      </c>
      <c r="D1831" t="inlineStr">
        <is>
          <t>Doctor's Best SAM-e 400 mg, Vegan, Gluten Free, Soy Free, Mood and Joint Support, 60 Enteric Coated Tablets</t>
        </is>
      </c>
      <c r="E1831" s="2">
        <f>HYPERLINK("https://www.amazon.com/Doctors-Best-Support-Enteric-Tablets/dp/B004YLAXOE/ref=sr_1_8?keywords=Nature+Made+SAM-e+Complete+400+mg+-+60+Enteric+Tablets&amp;qid=1695170619&amp;sr=8-8", "https://www.amazon.com/Doctors-Best-Support-Enteric-Tablets/dp/B004YLAXOE/ref=sr_1_8?keywords=Nature+Made+SAM-e+Complete+400+mg+-+60+Enteric+Tablets&amp;qid=1695170619&amp;sr=8-8")</f>
        <v/>
      </c>
      <c r="F1831" t="inlineStr">
        <is>
          <t>B004YLAXOE</t>
        </is>
      </c>
      <c r="G1831">
        <f>_xludf.IMAGE("https://www.shelhealth.com/cdn/shop/products/nature-made-sam-e-complete-400-mg-60-enteric-tablets-shelhealth-631.jpg?v=1663337587&amp;width=1946")</f>
        <v/>
      </c>
      <c r="H1831">
        <f>_xludf.IMAGE("https://m.media-amazon.com/images/I/71h4qHgEngL._AC_UL320_.jpg")</f>
        <v/>
      </c>
      <c r="K1831" t="inlineStr">
        <is>
          <t>54.99</t>
        </is>
      </c>
      <c r="L1831" t="n">
        <v>42.5</v>
      </c>
      <c r="M1831" s="1" t="inlineStr">
        <is>
          <t>-22.71%</t>
        </is>
      </c>
      <c r="N1831" s="3" t="n">
        <v>-22.71</v>
      </c>
      <c r="O1831" t="n">
        <v>4.5</v>
      </c>
      <c r="P1831" t="n">
        <v>3272</v>
      </c>
      <c r="R1831" t="inlineStr">
        <is>
          <t>InStock</t>
        </is>
      </c>
      <c r="S1831" t="inlineStr">
        <is>
          <t>54.99</t>
        </is>
      </c>
      <c r="T1831" t="inlineStr">
        <is>
          <t>3776672071732</t>
        </is>
      </c>
    </row>
    <row r="1832" hidden="1" ht="15.75" customHeight="1">
      <c r="A1832" s="2">
        <f>HYPERLINK("https://www.shelhealth.com/products/osteo-bi-flex-ease-tablets-70-ct", "https://www.shelhealth.com/products/osteo-bi-flex-ease-tablets-70-ct")</f>
        <v/>
      </c>
      <c r="B1832" s="2">
        <f>HYPERLINK("https://www.shelhealth.com/products/osteo-bi-flex-ease-tablets-70-ct", "https://www.shelhealth.com/products/osteo-bi-flex-ease-tablets-70-ct")</f>
        <v/>
      </c>
      <c r="C1832" t="inlineStr">
        <is>
          <t>Osteo Bi-Flex Ease Tablets, 70 ct.</t>
        </is>
      </c>
      <c r="D1832" t="inlineStr">
        <is>
          <t>Osteo Bi-Flex Joint Health Ease Mini Tabs a Day Advanced Triple Action UC-II Collagen Formula 70 Count (Pack of 1)</t>
        </is>
      </c>
      <c r="E1832" s="2">
        <f>HYPERLINK("https://www.amazon.com/Osteo-Bi-Flex-Advanced-Collagen-Formula/dp/B01BMTEJFO/ref=sr_1_1?keywords=Osteo+Bi-Flex+Ease+Tablets%2C+70+ct.&amp;qid=1695170621&amp;sr=8-1", "https://www.amazon.com/Osteo-Bi-Flex-Advanced-Collagen-Formula/dp/B01BMTEJFO/ref=sr_1_1?keywords=Osteo+Bi-Flex+Ease+Tablets%2C+70+ct.&amp;qid=1695170621&amp;sr=8-1")</f>
        <v/>
      </c>
      <c r="F1832" t="inlineStr">
        <is>
          <t>B01BMTEJFO</t>
        </is>
      </c>
      <c r="G1832">
        <f>_xludf.IMAGE("https://www.shelhealth.com/cdn/shop/products/osteo-bi-flex-ease-tablets-70-ct-shelhealth-848.jpg?v=1663352135&amp;width=1946")</f>
        <v/>
      </c>
      <c r="H1832">
        <f>_xludf.IMAGE("https://m.media-amazon.com/images/I/81LlbkodwfL._AC_UL320_.jpg")</f>
        <v/>
      </c>
      <c r="K1832" t="inlineStr">
        <is>
          <t>35.99</t>
        </is>
      </c>
      <c r="L1832" t="n">
        <v>26.99</v>
      </c>
      <c r="M1832" s="1" t="inlineStr">
        <is>
          <t>-25.01%</t>
        </is>
      </c>
      <c r="N1832" s="3" t="n">
        <v>-25.01</v>
      </c>
      <c r="O1832" t="n">
        <v>4.6</v>
      </c>
      <c r="P1832" t="n">
        <v>754</v>
      </c>
      <c r="R1832" t="inlineStr">
        <is>
          <t>OutOfStock</t>
        </is>
      </c>
      <c r="S1832" t="inlineStr">
        <is>
          <t>35.99</t>
        </is>
      </c>
      <c r="T1832" t="inlineStr">
        <is>
          <t>4115656179764</t>
        </is>
      </c>
    </row>
    <row r="1833" hidden="1" ht="15.75" customHeight="1">
      <c r="A1833" s="2">
        <f>HYPERLINK("https://www.shelhealth.com/products/nature-made-sam-e-complete-400-mg-60-enteric-tablets", "https://www.shelhealth.com/products/nature-made-sam-e-complete-400-mg-60-enteric-tablets")</f>
        <v/>
      </c>
      <c r="B1833" s="2">
        <f>HYPERLINK("https://www.shelhealth.com/products/nature-made-sam-e-complete-400-mg-60-enteric-tablets", "https://www.shelhealth.com/products/nature-made-sam-e-complete-400-mg-60-enteric-tablets")</f>
        <v/>
      </c>
      <c r="C1833" t="inlineStr">
        <is>
          <t>Nature Made SAM-e Complete 400 mg - 60 Enteric Tablets</t>
        </is>
      </c>
      <c r="D1833" t="inlineStr">
        <is>
          <t>Nature Made SAM-e Complete 400 mg - 60 Enteric Coated Tablets</t>
        </is>
      </c>
      <c r="E1833" s="2">
        <f>HYPERLINK("https://www.amazon.com/Nature-Made-SAM-Complete-400/dp/B00655Z37Y/ref=sr_1_2?keywords=Nature+Made+SAM-e+Complete+400+mg+-+60+Enteric+Tablets&amp;qid=1695170619&amp;sr=8-2", "https://www.amazon.com/Nature-Made-SAM-Complete-400/dp/B00655Z37Y/ref=sr_1_2?keywords=Nature+Made+SAM-e+Complete+400+mg+-+60+Enteric+Tablets&amp;qid=1695170619&amp;sr=8-2")</f>
        <v/>
      </c>
      <c r="F1833" t="inlineStr">
        <is>
          <t>B00655Z37Y</t>
        </is>
      </c>
      <c r="G1833">
        <f>_xludf.IMAGE("https://www.shelhealth.com/cdn/shop/products/nature-made-sam-e-complete-400-mg-60-enteric-tablets-shelhealth-631.jpg?v=1663337587&amp;width=1946")</f>
        <v/>
      </c>
      <c r="H1833">
        <f>_xludf.IMAGE("https://m.media-amazon.com/images/I/611X9wbw6uL._AC_UL320_.jpg")</f>
        <v/>
      </c>
      <c r="K1833" t="inlineStr">
        <is>
          <t>54.99</t>
        </is>
      </c>
      <c r="L1833" t="n">
        <v>39.99</v>
      </c>
      <c r="M1833" s="1" t="inlineStr">
        <is>
          <t>-27.28%</t>
        </is>
      </c>
      <c r="N1833" s="3" t="n">
        <v>-27.28</v>
      </c>
      <c r="O1833" t="n">
        <v>4.6</v>
      </c>
      <c r="P1833" t="n">
        <v>1363</v>
      </c>
      <c r="R1833" t="inlineStr">
        <is>
          <t>InStock</t>
        </is>
      </c>
      <c r="S1833" t="inlineStr">
        <is>
          <t>54.99</t>
        </is>
      </c>
      <c r="T1833" t="inlineStr">
        <is>
          <t>3776672071732</t>
        </is>
      </c>
    </row>
    <row r="1834" hidden="1" ht="15.75" customHeight="1">
      <c r="A1834" s="2">
        <f>HYPERLINK("https://www.shelhealth.com/products/schiff-move-free-advanced-joint-supplement-200-tablets", "https://www.shelhealth.com/products/schiff-move-free-advanced-joint-supplement-200-tablets")</f>
        <v/>
      </c>
      <c r="B1834" s="2">
        <f>HYPERLINK("https://www.shelhealth.com/products/schiff-move-free-advanced-joint-supplement-200-tablets", "https://www.shelhealth.com/products/schiff-move-free-advanced-joint-supplement-200-tablets")</f>
        <v/>
      </c>
      <c r="C1834" t="inlineStr">
        <is>
          <t>Schiff Move Free Advanced Joint Supplement, 200 Tablets</t>
        </is>
      </c>
      <c r="D1834" t="inlineStr">
        <is>
          <t>Move Free Advanced Glucosamine Chondroitin + Calcium Fructoborate Joint Support Supplement, Supports Mobility Comfort Strength Flexibility &amp; Bone - 160 Tablets (80 servings)*</t>
        </is>
      </c>
      <c r="E1834" s="2">
        <f>HYPERLINK("https://www.amazon.com/Glucosamine-1500mg-serving-Chondroitin-Flexibility/dp/B06XT2JGLZ/ref=sr_1_10?keywords=Schiff+Move+Free+Advanced+Joint+Supplement%2C+200+Tablets&amp;qid=1695170617&amp;sr=8-10", "https://www.amazon.com/Glucosamine-1500mg-serving-Chondroitin-Flexibility/dp/B06XT2JGLZ/ref=sr_1_10?keywords=Schiff+Move+Free+Advanced+Joint+Supplement%2C+200+Tablets&amp;qid=1695170617&amp;sr=8-10")</f>
        <v/>
      </c>
      <c r="F1834" t="inlineStr">
        <is>
          <t>B06XT2JGLZ</t>
        </is>
      </c>
      <c r="G1834">
        <f>_xludf.IMAGE("https://www.shelhealth.com/cdn/shop/files/schiff-move-free-advanced-joint-supplement-200-tablets-all-vitamins-supplements-shelhealth-778.jpg?v=1690056489&amp;width=1946")</f>
        <v/>
      </c>
      <c r="H1834">
        <f>_xludf.IMAGE("https://m.media-amazon.com/images/I/71YukVumNUL._AC_UL320_.jpg")</f>
        <v/>
      </c>
      <c r="K1834" t="inlineStr">
        <is>
          <t>46.99</t>
        </is>
      </c>
      <c r="L1834" t="n">
        <v>29.36</v>
      </c>
      <c r="M1834" s="1" t="inlineStr">
        <is>
          <t>-37.52%</t>
        </is>
      </c>
      <c r="N1834" s="3" t="n">
        <v>-37.52</v>
      </c>
      <c r="O1834" t="n">
        <v>4.5</v>
      </c>
      <c r="P1834" t="n">
        <v>913</v>
      </c>
      <c r="R1834" t="inlineStr">
        <is>
          <t>InStock</t>
        </is>
      </c>
      <c r="S1834" t="inlineStr">
        <is>
          <t>46.99</t>
        </is>
      </c>
      <c r="T1834" t="inlineStr">
        <is>
          <t>3755840962612</t>
        </is>
      </c>
    </row>
    <row r="1835" hidden="1" ht="15.75" customHeight="1">
      <c r="A1835" s="2">
        <f>HYPERLINK("https://www.shelhealth.com/products/kirkland-signature-glucosamine-chondroitin-tablets-220-count", "https://www.shelhealth.com/products/kirkland-signature-glucosamine-chondroitin-tablets-220-count")</f>
        <v/>
      </c>
      <c r="B1835" s="2">
        <f>HYPERLINK("https://www.shelhealth.com/products/kirkland-signature-glucosamine-chondroitin-tablets-220-count", "https://www.shelhealth.com/products/kirkland-signature-glucosamine-chondroitin-tablets-220-count")</f>
        <v/>
      </c>
      <c r="C1835" t="inlineStr">
        <is>
          <t>Kirkland Signature Glucosamine &amp; Chondroitin Tablets - 220 count</t>
        </is>
      </c>
      <c r="D1835" t="inlineStr">
        <is>
          <t>Kirkland -Signature Extra Strength Glucosamine 1500mg/Chondroitin 1200mg, 220 Count,Suports Joint Cushioning,Nourishes Joint and Connective Tissue</t>
        </is>
      </c>
      <c r="E1835" s="2">
        <f>HYPERLINK("https://www.amazon.com/Kirkland-Signature-Glucosamine-Chondroitin-Cushioning-Connective/dp/B0BHSR1ZNJ/ref=sr_1_9?keywords=Kirkland+Signature+Glucosamine&amp;qid=1695170615&amp;sr=8-9", "https://www.amazon.com/Kirkland-Signature-Glucosamine-Chondroitin-Cushioning-Connective/dp/B0BHSR1ZNJ/ref=sr_1_9?keywords=Kirkland+Signature+Glucosamine&amp;qid=1695170615&amp;sr=8-9")</f>
        <v/>
      </c>
      <c r="F1835" t="inlineStr">
        <is>
          <t>B0BHSR1ZNJ</t>
        </is>
      </c>
      <c r="G1835">
        <f>_xludf.IMAGE("https://www.shelhealth.com/cdn/shop/products/kirkland-signature-glucosamine-chondroitin-tablets-220-count-shelhealth-696.jpg?v=1663337349&amp;width=1946")</f>
        <v/>
      </c>
      <c r="H1835">
        <f>_xludf.IMAGE("https://m.media-amazon.com/images/I/41xF6Cl7P5L._AC_UL320_.jpg")</f>
        <v/>
      </c>
      <c r="K1835" t="inlineStr">
        <is>
          <t>35.99</t>
        </is>
      </c>
      <c r="L1835" t="n">
        <v>21.99</v>
      </c>
      <c r="M1835" s="1" t="inlineStr">
        <is>
          <t>-38.90%</t>
        </is>
      </c>
      <c r="N1835" s="3" t="n">
        <v>-38.9</v>
      </c>
      <c r="O1835" t="n">
        <v>4.6</v>
      </c>
      <c r="P1835" t="n">
        <v>18</v>
      </c>
      <c r="R1835" t="inlineStr">
        <is>
          <t>InStock</t>
        </is>
      </c>
      <c r="S1835" t="inlineStr">
        <is>
          <t>35.99</t>
        </is>
      </c>
      <c r="T1835" t="inlineStr">
        <is>
          <t>3755941593140</t>
        </is>
      </c>
    </row>
    <row r="1836" hidden="1" ht="15.75" customHeight="1">
      <c r="A1836" s="2">
        <f>HYPERLINK("https://www.shelhealth.com/products/kirkland-signature-triple-action-joint-health-110-coated-tablets", "https://www.shelhealth.com/products/kirkland-signature-triple-action-joint-health-110-coated-tablets")</f>
        <v/>
      </c>
      <c r="B1836" s="2">
        <f>HYPERLINK("https://www.shelhealth.com/products/kirkland-signature-triple-action-joint-health-110-coated-tablets", "https://www.shelhealth.com/products/kirkland-signature-triple-action-joint-health-110-coated-tablets")</f>
        <v/>
      </c>
      <c r="C1836" t="inlineStr">
        <is>
          <t>Kirkland Signature Triple Action Joint Health, 110 Coated Tablets</t>
        </is>
      </c>
      <c r="D1836" t="inlineStr">
        <is>
          <t>Kirkland Signature Expect More Triple Action Joint Health, 110 Coated Tablets</t>
        </is>
      </c>
      <c r="E1836" s="2">
        <f>HYPERLINK("https://www.amazon.com/Kirkland-Signature-Expect-Triple-Tablets/dp/B07N7BXZSV/ref=sr_1_1?keywords=Kirkland+Signature+Triple+Action+Joint+Health%2C+110+Coated+Tablets&amp;qid=1695170616&amp;sr=8-1", "https://www.amazon.com/Kirkland-Signature-Expect-Triple-Tablets/dp/B07N7BXZSV/ref=sr_1_1?keywords=Kirkland+Signature+Triple+Action+Joint+Health%2C+110+Coated+Tablets&amp;qid=1695170616&amp;sr=8-1")</f>
        <v/>
      </c>
      <c r="F1836" t="inlineStr">
        <is>
          <t>B07N7BXZSV</t>
        </is>
      </c>
      <c r="G1836">
        <f>_xludf.IMAGE("https://www.shelhealth.com/cdn/shop/files/kirkland-signature-triple-action-joint-health-110-coated-tablets-all-vitamins-supplements-shelhealth-525.jpg?v=1689981889&amp;width=1946")</f>
        <v/>
      </c>
      <c r="H1836">
        <f>_xludf.IMAGE("https://m.media-amazon.com/images/I/4101OxCxChL._AC_UL320_.jpg")</f>
        <v/>
      </c>
      <c r="K1836" t="inlineStr">
        <is>
          <t>41.99</t>
        </is>
      </c>
      <c r="L1836" t="n">
        <v>24.99</v>
      </c>
      <c r="M1836" s="1" t="inlineStr">
        <is>
          <t>-40.49%</t>
        </is>
      </c>
      <c r="N1836" s="3" t="n">
        <v>-40.49</v>
      </c>
      <c r="O1836" t="n">
        <v>4.7</v>
      </c>
      <c r="P1836" t="n">
        <v>1611</v>
      </c>
      <c r="R1836" t="inlineStr">
        <is>
          <t>InStock</t>
        </is>
      </c>
      <c r="S1836" t="inlineStr">
        <is>
          <t>41.99</t>
        </is>
      </c>
      <c r="T1836" t="inlineStr">
        <is>
          <t>3710893555764</t>
        </is>
      </c>
    </row>
    <row r="1837" hidden="1" ht="15.75" customHeight="1">
      <c r="A1837" s="2">
        <f>HYPERLINK("https://www.shelhealth.com/products/schiff-move-free-advanced-joint-supplement-200-tablets", "https://www.shelhealth.com/products/schiff-move-free-advanced-joint-supplement-200-tablets")</f>
        <v/>
      </c>
      <c r="B1837" s="2">
        <f>HYPERLINK("https://www.shelhealth.com/products/schiff-move-free-advanced-joint-supplement-200-tablets", "https://www.shelhealth.com/products/schiff-move-free-advanced-joint-supplement-200-tablets")</f>
        <v/>
      </c>
      <c r="C1837" t="inlineStr">
        <is>
          <t>Schiff Move Free Advanced Joint Supplement, 200 Tablets</t>
        </is>
      </c>
      <c r="D1837" t="inlineStr">
        <is>
          <t>Schiff Move Free Advanced, 200 Tablets - Joint Health Supplement with Glucosamine and Chondroitin</t>
        </is>
      </c>
      <c r="E1837" s="2">
        <f>HYPERLINK("https://www.amazon.com/Schiff-Move-Free-Advanced-Tablets/dp/B082MT42P4/ref=sr_1_2?keywords=Schiff+Move+Free+Advanced+Joint+Supplement%2C+200+Tablets&amp;qid=1695170617&amp;sr=8-2", "https://www.amazon.com/Schiff-Move-Free-Advanced-Tablets/dp/B082MT42P4/ref=sr_1_2?keywords=Schiff+Move+Free+Advanced+Joint+Supplement%2C+200+Tablets&amp;qid=1695170617&amp;sr=8-2")</f>
        <v/>
      </c>
      <c r="F1837" t="inlineStr">
        <is>
          <t>B082MT42P4</t>
        </is>
      </c>
      <c r="G1837">
        <f>_xludf.IMAGE("https://www.shelhealth.com/cdn/shop/files/schiff-move-free-advanced-joint-supplement-200-tablets-all-vitamins-supplements-shelhealth-778.jpg?v=1690056489&amp;width=1946")</f>
        <v/>
      </c>
      <c r="H1837">
        <f>_xludf.IMAGE("https://m.media-amazon.com/images/I/711WTgNLKeL._AC_UL320_.jpg")</f>
        <v/>
      </c>
      <c r="K1837" t="inlineStr">
        <is>
          <t>46.99</t>
        </is>
      </c>
      <c r="L1837" t="n">
        <v>25.99</v>
      </c>
      <c r="M1837" s="1" t="inlineStr">
        <is>
          <t>-44.69%</t>
        </is>
      </c>
      <c r="N1837" s="3" t="n">
        <v>-44.69</v>
      </c>
      <c r="O1837" t="n">
        <v>4.8</v>
      </c>
      <c r="P1837" t="n">
        <v>45</v>
      </c>
      <c r="R1837" t="inlineStr">
        <is>
          <t>InStock</t>
        </is>
      </c>
      <c r="S1837" t="inlineStr">
        <is>
          <t>46.99</t>
        </is>
      </c>
      <c r="T1837" t="inlineStr">
        <is>
          <t>3755840962612</t>
        </is>
      </c>
    </row>
    <row r="1838" hidden="1" ht="15.75" customHeight="1">
      <c r="A1838" s="2">
        <f>HYPERLINK("https://www.shelhealth.com/products/schiff-move-free-advanced-joint-supplement-200-tablets", "https://www.shelhealth.com/products/schiff-move-free-advanced-joint-supplement-200-tablets")</f>
        <v/>
      </c>
      <c r="B1838" s="2">
        <f>HYPERLINK("https://www.shelhealth.com/products/schiff-move-free-advanced-joint-supplement-200-tablets", "https://www.shelhealth.com/products/schiff-move-free-advanced-joint-supplement-200-tablets")</f>
        <v/>
      </c>
      <c r="C1838" t="inlineStr">
        <is>
          <t>Schiff Move Free Advanced Joint Supplement, 200 Tablets</t>
        </is>
      </c>
      <c r="D1838" t="inlineStr">
        <is>
          <t>Move Free Advanced Glucosamine Chondroitin + Calcium Fructoborate Joint Support Supplement, Supports Mobility Comfort Strength Flexibility &amp; Bone - 200 Tablets (100 servings)*</t>
        </is>
      </c>
      <c r="E1838" s="2">
        <f>HYPERLINK("https://www.amazon.com/Move-Free-Glucosamine-Chondroitin-Fructoborate/dp/B075GBDTG3/ref=sr_1_5?keywords=Schiff+Move+Free+Advanced+Joint+Supplement%2C+200+Tablets&amp;qid=1695170617&amp;sr=8-5", "https://www.amazon.com/Move-Free-Glucosamine-Chondroitin-Fructoborate/dp/B075GBDTG3/ref=sr_1_5?keywords=Schiff+Move+Free+Advanced+Joint+Supplement%2C+200+Tablets&amp;qid=1695170617&amp;sr=8-5")</f>
        <v/>
      </c>
      <c r="F1838" t="inlineStr">
        <is>
          <t>B075GBDTG3</t>
        </is>
      </c>
      <c r="G1838">
        <f>_xludf.IMAGE("https://www.shelhealth.com/cdn/shop/files/schiff-move-free-advanced-joint-supplement-200-tablets-all-vitamins-supplements-shelhealth-778.jpg?v=1690056489&amp;width=1946")</f>
        <v/>
      </c>
      <c r="H1838">
        <f>_xludf.IMAGE("https://m.media-amazon.com/images/I/71dpgMwGV8L._AC_UL320_.jpg")</f>
        <v/>
      </c>
      <c r="K1838" t="inlineStr">
        <is>
          <t>46.99</t>
        </is>
      </c>
      <c r="L1838" t="n">
        <v>25.98</v>
      </c>
      <c r="M1838" s="1" t="inlineStr">
        <is>
          <t>-44.71%</t>
        </is>
      </c>
      <c r="N1838" s="3" t="n">
        <v>-44.71</v>
      </c>
      <c r="O1838" t="n">
        <v>4.6</v>
      </c>
      <c r="P1838" t="n">
        <v>3165</v>
      </c>
      <c r="R1838" t="inlineStr">
        <is>
          <t>InStock</t>
        </is>
      </c>
      <c r="S1838" t="inlineStr">
        <is>
          <t>46.99</t>
        </is>
      </c>
      <c r="T1838" t="inlineStr">
        <is>
          <t>3755840962612</t>
        </is>
      </c>
    </row>
    <row r="1839" hidden="1" ht="15.75" customHeight="1">
      <c r="A1839" s="2">
        <f>HYPERLINK("https://www.shelhealth.com/products/nature-made-sam-e-complete-400-mg-60-enteric-tablets", "https://www.shelhealth.com/products/nature-made-sam-e-complete-400-mg-60-enteric-tablets")</f>
        <v/>
      </c>
      <c r="B1839" s="2">
        <f>HYPERLINK("https://www.shelhealth.com/products/nature-made-sam-e-complete-400-mg-60-enteric-tablets", "https://www.shelhealth.com/products/nature-made-sam-e-complete-400-mg-60-enteric-tablets")</f>
        <v/>
      </c>
      <c r="C1839" t="inlineStr">
        <is>
          <t>Nature Made SAM-e Complete 400 mg - 60 Enteric Tablets</t>
        </is>
      </c>
      <c r="D1839" t="inlineStr">
        <is>
          <t>Nature's Trove SAM-e 400mg 60 Enteric Coated Caplets. Vegan, Kosher, Non-GMO Project Verified, Soy Free, Gluten Free - Cold Form Blister Packed.</t>
        </is>
      </c>
      <c r="E1839" s="2">
        <f>HYPERLINK("https://www.amazon.com/SAM-400mg-Natures-Trove-Caplets/dp/B071D973TN/ref=sr_1_7?keywords=Nature+Made+SAM-e+Complete+400+mg+-+60+Enteric+Tablets&amp;qid=1695170619&amp;sr=8-7", "https://www.amazon.com/SAM-400mg-Natures-Trove-Caplets/dp/B071D973TN/ref=sr_1_7?keywords=Nature+Made+SAM-e+Complete+400+mg+-+60+Enteric+Tablets&amp;qid=1695170619&amp;sr=8-7")</f>
        <v/>
      </c>
      <c r="F1839" t="inlineStr">
        <is>
          <t>B071D973TN</t>
        </is>
      </c>
      <c r="G1839">
        <f>_xludf.IMAGE("https://www.shelhealth.com/cdn/shop/products/nature-made-sam-e-complete-400-mg-60-enteric-tablets-shelhealth-631.jpg?v=1663337587&amp;width=1946")</f>
        <v/>
      </c>
      <c r="H1839">
        <f>_xludf.IMAGE("https://m.media-amazon.com/images/I/71RRBR4OGpL._AC_UL320_.jpg")</f>
        <v/>
      </c>
      <c r="K1839" t="inlineStr">
        <is>
          <t>54.99</t>
        </is>
      </c>
      <c r="L1839" t="n">
        <v>29.69</v>
      </c>
      <c r="M1839" s="1" t="inlineStr">
        <is>
          <t>-46.01%</t>
        </is>
      </c>
      <c r="N1839" s="3" t="n">
        <v>-46.01</v>
      </c>
      <c r="O1839" t="n">
        <v>4.6</v>
      </c>
      <c r="P1839" t="n">
        <v>11410</v>
      </c>
      <c r="R1839" t="inlineStr">
        <is>
          <t>InStock</t>
        </is>
      </c>
      <c r="S1839" t="inlineStr">
        <is>
          <t>54.99</t>
        </is>
      </c>
      <c r="T1839" t="inlineStr">
        <is>
          <t>3776672071732</t>
        </is>
      </c>
    </row>
    <row r="1840" hidden="1" ht="15.75" customHeight="1">
      <c r="A1840" s="2">
        <f>HYPERLINK("https://www.shelhealth.com/products/nature-made-sam-e-complete-400-mg-60-enteric-tablets", "https://www.shelhealth.com/products/nature-made-sam-e-complete-400-mg-60-enteric-tablets")</f>
        <v/>
      </c>
      <c r="B1840" s="2">
        <f>HYPERLINK("https://www.shelhealth.com/products/nature-made-sam-e-complete-400-mg-60-enteric-tablets", "https://www.shelhealth.com/products/nature-made-sam-e-complete-400-mg-60-enteric-tablets")</f>
        <v/>
      </c>
      <c r="C1840" t="inlineStr">
        <is>
          <t>Nature Made SAM-e Complete 400 mg - 60 Enteric Tablets</t>
        </is>
      </c>
      <c r="D1840" t="inlineStr">
        <is>
          <t>Nature Made SAM-e 200 mg Complete, Dietary Supplement for Mood Support, 60 Tablets, 30 Day Supply</t>
        </is>
      </c>
      <c r="E1840" s="2">
        <f>HYPERLINK("https://www.amazon.com/Nature-Made-Complete-support-Healthy/dp/B0002D155Y/ref=sr_1_5?keywords=Nature+Made+SAM-e+Complete+400+mg+-+60+Enteric+Tablets&amp;qid=1695170619&amp;sr=8-5", "https://www.amazon.com/Nature-Made-Complete-support-Healthy/dp/B0002D155Y/ref=sr_1_5?keywords=Nature+Made+SAM-e+Complete+400+mg+-+60+Enteric+Tablets&amp;qid=1695170619&amp;sr=8-5")</f>
        <v/>
      </c>
      <c r="F1840" t="inlineStr">
        <is>
          <t>B0002D155Y</t>
        </is>
      </c>
      <c r="G1840">
        <f>_xludf.IMAGE("https://www.shelhealth.com/cdn/shop/products/nature-made-sam-e-complete-400-mg-60-enteric-tablets-shelhealth-631.jpg?v=1663337587&amp;width=1946")</f>
        <v/>
      </c>
      <c r="H1840">
        <f>_xludf.IMAGE("https://m.media-amazon.com/images/I/71fViSl7RAL._AC_UL320_.jpg")</f>
        <v/>
      </c>
      <c r="K1840" t="inlineStr">
        <is>
          <t>54.99</t>
        </is>
      </c>
      <c r="L1840" t="n">
        <v>26.99</v>
      </c>
      <c r="M1840" s="1" t="inlineStr">
        <is>
          <t>-50.92%</t>
        </is>
      </c>
      <c r="N1840" s="3" t="n">
        <v>-50.92</v>
      </c>
      <c r="O1840" t="n">
        <v>4.3</v>
      </c>
      <c r="P1840" t="n">
        <v>706</v>
      </c>
      <c r="R1840" t="inlineStr">
        <is>
          <t>InStock</t>
        </is>
      </c>
      <c r="S1840" t="inlineStr">
        <is>
          <t>54.99</t>
        </is>
      </c>
      <c r="T1840" t="inlineStr">
        <is>
          <t>3776672071732</t>
        </is>
      </c>
    </row>
    <row r="1841" hidden="1" ht="15.75" customHeight="1">
      <c r="A1841" s="2">
        <f>HYPERLINK("https://www.shelhealth.com/products/schiff-move-free-ultra-triple-action-joint-supplement-75-tablets", "https://www.shelhealth.com/products/schiff-move-free-ultra-triple-action-joint-supplement-75-tablets")</f>
        <v/>
      </c>
      <c r="B1841" s="2">
        <f>HYPERLINK("https://www.shelhealth.com/products/schiff-move-free-ultra-triple-action-joint-supplement-75-tablets", "https://www.shelhealth.com/products/schiff-move-free-ultra-triple-action-joint-supplement-75-tablets")</f>
        <v/>
      </c>
      <c r="C1841" t="inlineStr">
        <is>
          <t>Schiff Move Free Ultra Triple Action Joint Supplement, 75 Tablets</t>
        </is>
      </c>
      <c r="D1841" t="inlineStr">
        <is>
          <t>Move Free Ultra Triple Action Joint Support Supplement - Type II Collagen Boron &amp; Hyaluronic Acid - Supports Joint Comfort, Cartiliage &amp; Bones in 1 Tiny Pill Per Day, 30 Tablets (30 servings)*</t>
        </is>
      </c>
      <c r="E1841" s="2">
        <f>HYPERLINK("https://www.amazon.com/Move-Free-Triple-Support-Supplement/dp/B005EKJ0OS/ref=sr_1_2?keywords=Schiff+Move+Free+Ultra+Triple+Action+Joint+Supplement%2C+75+Tablets&amp;qid=1695170618&amp;sr=8-2", "https://www.amazon.com/Move-Free-Triple-Support-Supplement/dp/B005EKJ0OS/ref=sr_1_2?keywords=Schiff+Move+Free+Ultra+Triple+Action+Joint+Supplement%2C+75+Tablets&amp;qid=1695170618&amp;sr=8-2")</f>
        <v/>
      </c>
      <c r="F1841" t="inlineStr">
        <is>
          <t>B005EKJ0OS</t>
        </is>
      </c>
      <c r="G1841">
        <f>_xludf.IMAGE("https://www.shelhealth.com/cdn/shop/files/schiff-move-free-ultra-triple-action-joint-supplement-75-tablets-glucosamine-supplements-shelhealth-138.jpg?v=1689981393&amp;width=1946")</f>
        <v/>
      </c>
      <c r="H1841">
        <f>_xludf.IMAGE("https://m.media-amazon.com/images/I/81j2CzIge4L._AC_UL320_.jpg")</f>
        <v/>
      </c>
      <c r="K1841" t="inlineStr">
        <is>
          <t>41.99</t>
        </is>
      </c>
      <c r="L1841" t="n">
        <v>19.75</v>
      </c>
      <c r="M1841" s="1" t="inlineStr">
        <is>
          <t>-52.96%</t>
        </is>
      </c>
      <c r="N1841" s="3" t="n">
        <v>-52.96</v>
      </c>
      <c r="O1841" t="n">
        <v>4.5</v>
      </c>
      <c r="P1841" t="n">
        <v>1481</v>
      </c>
      <c r="R1841" t="inlineStr">
        <is>
          <t>InStock</t>
        </is>
      </c>
      <c r="S1841" t="inlineStr">
        <is>
          <t>41.99</t>
        </is>
      </c>
      <c r="T1841" t="inlineStr">
        <is>
          <t>3699289653300</t>
        </is>
      </c>
    </row>
    <row r="1842" hidden="1" ht="15.75" customHeight="1">
      <c r="A1842" s="2">
        <f>HYPERLINK("https://www.shelhealth.com/products/schiff-move-free-advanced-joint-supplement-200-tablets", "https://www.shelhealth.com/products/schiff-move-free-advanced-joint-supplement-200-tablets")</f>
        <v/>
      </c>
      <c r="B1842" s="2">
        <f>HYPERLINK("https://www.shelhealth.com/products/schiff-move-free-advanced-joint-supplement-200-tablets", "https://www.shelhealth.com/products/schiff-move-free-advanced-joint-supplement-200-tablets")</f>
        <v/>
      </c>
      <c r="C1842" t="inlineStr">
        <is>
          <t>Schiff Move Free Advanced Joint Supplement, 200 Tablets</t>
        </is>
      </c>
      <c r="D1842" t="inlineStr">
        <is>
          <t>Move Free Advanced Glucosamine Chondroitin MSM + Vitamin D3 Joint Support Supplement, Supports Mobility Comfort Strength Flexibility &amp; Bone + Immune Health - 120 Tablets (40 servings)*</t>
        </is>
      </c>
      <c r="E1842" s="2">
        <f>HYPERLINK("https://www.amazon.com/Glucosamine-Chondroitin-Advanced-Supplement-Tablets/dp/B01ANSLIFY/ref=sr_1_1?keywords=Schiff+Move+Free+Advanced+Joint+Supplement%2C+200+Tablets&amp;qid=1695170617&amp;sr=8-1", "https://www.amazon.com/Glucosamine-Chondroitin-Advanced-Supplement-Tablets/dp/B01ANSLIFY/ref=sr_1_1?keywords=Schiff+Move+Free+Advanced+Joint+Supplement%2C+200+Tablets&amp;qid=1695170617&amp;sr=8-1")</f>
        <v/>
      </c>
      <c r="F1842" t="inlineStr">
        <is>
          <t>B01ANSLIFY</t>
        </is>
      </c>
      <c r="G1842">
        <f>_xludf.IMAGE("https://www.shelhealth.com/cdn/shop/files/schiff-move-free-advanced-joint-supplement-200-tablets-all-vitamins-supplements-shelhealth-778.jpg?v=1690056489&amp;width=1946")</f>
        <v/>
      </c>
      <c r="H1842">
        <f>_xludf.IMAGE("https://m.media-amazon.com/images/I/61UD4TYBciL._AC_UL320_.jpg")</f>
        <v/>
      </c>
      <c r="K1842" t="inlineStr">
        <is>
          <t>46.99</t>
        </is>
      </c>
      <c r="L1842" t="n">
        <v>21.99</v>
      </c>
      <c r="M1842" s="1" t="inlineStr">
        <is>
          <t>-53.20%</t>
        </is>
      </c>
      <c r="N1842" s="3" t="n">
        <v>-53.2</v>
      </c>
      <c r="O1842" t="n">
        <v>4.6</v>
      </c>
      <c r="P1842" t="n">
        <v>3730</v>
      </c>
      <c r="R1842" t="inlineStr">
        <is>
          <t>InStock</t>
        </is>
      </c>
      <c r="S1842" t="inlineStr">
        <is>
          <t>46.99</t>
        </is>
      </c>
      <c r="T1842" t="inlineStr">
        <is>
          <t>3755840962612</t>
        </is>
      </c>
    </row>
    <row r="1843" hidden="1" ht="15.75" customHeight="1">
      <c r="A1843" s="2">
        <f>HYPERLINK("https://www.shelhealth.com/products/nature-made-sam-e-complete-400-mg-60-enteric-tablets", "https://www.shelhealth.com/products/nature-made-sam-e-complete-400-mg-60-enteric-tablets")</f>
        <v/>
      </c>
      <c r="B1843" s="2">
        <f>HYPERLINK("https://www.shelhealth.com/products/nature-made-sam-e-complete-400-mg-60-enteric-tablets", "https://www.shelhealth.com/products/nature-made-sam-e-complete-400-mg-60-enteric-tablets")</f>
        <v/>
      </c>
      <c r="C1843" t="inlineStr">
        <is>
          <t>Nature Made SAM-e Complete 400 mg - 60 Enteric Tablets</t>
        </is>
      </c>
      <c r="D1843" t="inlineStr">
        <is>
          <t>Nature Made SAM-e Complete 400 mg, Dietary Supplement for Mood Support, 36 Tablets, 36 Day Supply</t>
        </is>
      </c>
      <c r="E1843" s="2">
        <f>HYPERLINK("https://www.amazon.com/Nature-Made-Complete-support-Healthy/dp/B0002D150Y/ref=sr_1_4?keywords=Nature+Made+SAM-e+Complete+400+mg+-+60+Enteric+Tablets&amp;qid=1695170619&amp;sr=8-4", "https://www.amazon.com/Nature-Made-Complete-support-Healthy/dp/B0002D150Y/ref=sr_1_4?keywords=Nature+Made+SAM-e+Complete+400+mg+-+60+Enteric+Tablets&amp;qid=1695170619&amp;sr=8-4")</f>
        <v/>
      </c>
      <c r="F1843" t="inlineStr">
        <is>
          <t>B0002D150Y</t>
        </is>
      </c>
      <c r="G1843">
        <f>_xludf.IMAGE("https://www.shelhealth.com/cdn/shop/products/nature-made-sam-e-complete-400-mg-60-enteric-tablets-shelhealth-631.jpg?v=1663337587&amp;width=1946")</f>
        <v/>
      </c>
      <c r="H1843">
        <f>_xludf.IMAGE("https://m.media-amazon.com/images/I/71o3Z4cNaFL._AC_UL320_.jpg")</f>
        <v/>
      </c>
      <c r="K1843" t="inlineStr">
        <is>
          <t>54.99</t>
        </is>
      </c>
      <c r="L1843" t="n">
        <v>24.25</v>
      </c>
      <c r="M1843" s="1" t="inlineStr">
        <is>
          <t>-55.90%</t>
        </is>
      </c>
      <c r="N1843" s="3" t="n">
        <v>-55.9</v>
      </c>
      <c r="O1843" t="n">
        <v>4.4</v>
      </c>
      <c r="P1843" t="n">
        <v>2138</v>
      </c>
      <c r="R1843" t="inlineStr">
        <is>
          <t>InStock</t>
        </is>
      </c>
      <c r="S1843" t="inlineStr">
        <is>
          <t>54.99</t>
        </is>
      </c>
      <c r="T1843" t="inlineStr">
        <is>
          <t>3776672071732</t>
        </is>
      </c>
    </row>
    <row r="1844" hidden="1" ht="15.75" customHeight="1">
      <c r="A1844" s="2">
        <f>HYPERLINK("https://www.shelhealth.com/products/schiff-move-free-advanced-joint-supplement-200-tablets", "https://www.shelhealth.com/products/schiff-move-free-advanced-joint-supplement-200-tablets")</f>
        <v/>
      </c>
      <c r="B1844" s="2">
        <f>HYPERLINK("https://www.shelhealth.com/products/schiff-move-free-advanced-joint-supplement-200-tablets", "https://www.shelhealth.com/products/schiff-move-free-advanced-joint-supplement-200-tablets")</f>
        <v/>
      </c>
      <c r="C1844" t="inlineStr">
        <is>
          <t>Schiff Move Free Advanced Joint Supplement, 200 Tablets</t>
        </is>
      </c>
      <c r="D1844" t="inlineStr">
        <is>
          <t>Move Free Advanced Glucosamine Chondroitin MSM Joint Support Supplement, Supports Mobility Comfort Strength Flexibility &amp; Bone - 120 Tablets (40 servings)*</t>
        </is>
      </c>
      <c r="E1844" s="2">
        <f>HYPERLINK("https://www.amazon.com/Move-Free-Advanced-Plus-tablets/dp/B001W2MBSE/ref=sr_1_6?keywords=Schiff+Move+Free+Advanced+Joint+Supplement%2C+200+Tablets&amp;qid=1695170617&amp;rdc=1&amp;sr=8-6", "https://www.amazon.com/Move-Free-Advanced-Plus-tablets/dp/B001W2MBSE/ref=sr_1_6?keywords=Schiff+Move+Free+Advanced+Joint+Supplement%2C+200+Tablets&amp;qid=1695170617&amp;rdc=1&amp;sr=8-6")</f>
        <v/>
      </c>
      <c r="F1844" t="inlineStr">
        <is>
          <t>B001W2MBSE</t>
        </is>
      </c>
      <c r="G1844">
        <f>_xludf.IMAGE("https://www.shelhealth.com/cdn/shop/files/schiff-move-free-advanced-joint-supplement-200-tablets-all-vitamins-supplements-shelhealth-778.jpg?v=1690056489&amp;width=1946")</f>
        <v/>
      </c>
      <c r="H1844">
        <f>_xludf.IMAGE("https://m.media-amazon.com/images/I/81zU4415piL._AC_UL320_.jpg")</f>
        <v/>
      </c>
      <c r="K1844" t="inlineStr">
        <is>
          <t>46.99</t>
        </is>
      </c>
      <c r="L1844" t="n">
        <v>18.24</v>
      </c>
      <c r="M1844" s="1" t="inlineStr">
        <is>
          <t>-61.18%</t>
        </is>
      </c>
      <c r="N1844" s="3" t="n">
        <v>-61.18</v>
      </c>
      <c r="O1844" t="n">
        <v>4.5</v>
      </c>
      <c r="P1844" t="n">
        <v>16701</v>
      </c>
      <c r="R1844" t="inlineStr">
        <is>
          <t>InStock</t>
        </is>
      </c>
      <c r="S1844" t="inlineStr">
        <is>
          <t>46.99</t>
        </is>
      </c>
      <c r="T1844" t="inlineStr">
        <is>
          <t>3755840962612</t>
        </is>
      </c>
    </row>
    <row r="1845" hidden="1" ht="15.75" customHeight="1">
      <c r="A1845" s="2">
        <f>HYPERLINK("https://www.shelhealth.com/products/cosamin-asu-for-joint-health-230-capsules", "https://www.shelhealth.com/products/cosamin-asu-for-joint-health-230-capsules")</f>
        <v/>
      </c>
      <c r="B1845" s="2">
        <f>HYPERLINK("https://www.shelhealth.com/products/cosamin-asu-for-joint-health-230-capsules", "https://www.shelhealth.com/products/cosamin-asu-for-joint-health-230-capsules")</f>
        <v/>
      </c>
      <c r="C1845" t="inlineStr">
        <is>
          <t>Cosamin ASU for Joint Health, 230 Caps.</t>
        </is>
      </c>
      <c r="D1845" t="inlineStr">
        <is>
          <t>Nutramax Cosamin Asu for Joint Health Capsules, 90 Count</t>
        </is>
      </c>
      <c r="E1845" s="2">
        <f>HYPERLINK("https://www.amazon.com/Nutramax-Cosamin-Joint-Health-Capsules/dp/B0163AEBC8/ref=sr_1_5?keywords=Cosamin+ASU+for+Joint+Health%2C+230+Caps.&amp;qid=1695170614&amp;sr=8-5", "https://www.amazon.com/Nutramax-Cosamin-Joint-Health-Capsules/dp/B0163AEBC8/ref=sr_1_5?keywords=Cosamin+ASU+for+Joint+Health%2C+230+Caps.&amp;qid=1695170614&amp;sr=8-5")</f>
        <v/>
      </c>
      <c r="F1845" t="inlineStr">
        <is>
          <t>B0163AEBC8</t>
        </is>
      </c>
      <c r="G1845">
        <f>_xludf.IMAGE("https://www.shelhealth.com/cdn/shop/products/cosamin-asu-for-joint-health-230-caps-shelhealth-585.jpg?v=1663373576&amp;width=1946")</f>
        <v/>
      </c>
      <c r="H1845">
        <f>_xludf.IMAGE("https://m.media-amazon.com/images/I/81XN3pmI-hL._AC_UL320_.jpg")</f>
        <v/>
      </c>
      <c r="K1845" t="inlineStr">
        <is>
          <t>71.99</t>
        </is>
      </c>
      <c r="L1845" t="n">
        <v>24.99</v>
      </c>
      <c r="M1845" s="1" t="inlineStr">
        <is>
          <t>-65.29%</t>
        </is>
      </c>
      <c r="N1845" s="3" t="n">
        <v>-65.29000000000001</v>
      </c>
      <c r="O1845" t="n">
        <v>4.6</v>
      </c>
      <c r="P1845" t="n">
        <v>354</v>
      </c>
      <c r="R1845" t="inlineStr">
        <is>
          <t>InStock</t>
        </is>
      </c>
      <c r="S1845" t="inlineStr">
        <is>
          <t>71.99</t>
        </is>
      </c>
      <c r="T1845" t="inlineStr">
        <is>
          <t>4707668197465</t>
        </is>
      </c>
    </row>
    <row r="1846" hidden="1" ht="15.75" customHeight="1">
      <c r="A1846" s="2">
        <f>HYPERLINK("https://www.shelhealth.com/products/cosamin-asu-for-joint-health-230-capsules", "https://www.shelhealth.com/products/cosamin-asu-for-joint-health-230-capsules")</f>
        <v/>
      </c>
      <c r="B1846" s="2">
        <f>HYPERLINK("https://www.shelhealth.com/products/cosamin-asu-for-joint-health-230-capsules", "https://www.shelhealth.com/products/cosamin-asu-for-joint-health-230-capsules")</f>
        <v/>
      </c>
      <c r="C1846" t="inlineStr">
        <is>
          <t>Cosamin ASU for Joint Health, 230 Caps.</t>
        </is>
      </c>
      <c r="D1846" t="inlineStr">
        <is>
          <t>Cosamin ASU Joint Health Supplement – Advanced, Faster-Acting Formula, 90 Capsules</t>
        </is>
      </c>
      <c r="E1846" s="2">
        <f>HYPERLINK("https://www.amazon.com/Cosamin-Joint-Health-Supplement-Faster-Acting/dp/B001CLBA50/ref=sr_1_2?keywords=Cosamin+ASU+for+Joint+Health%2C+230+Caps.&amp;qid=1695170614&amp;sr=8-2", "https://www.amazon.com/Cosamin-Joint-Health-Supplement-Faster-Acting/dp/B001CLBA50/ref=sr_1_2?keywords=Cosamin+ASU+for+Joint+Health%2C+230+Caps.&amp;qid=1695170614&amp;sr=8-2")</f>
        <v/>
      </c>
      <c r="F1846" t="inlineStr">
        <is>
          <t>B001CLBA50</t>
        </is>
      </c>
      <c r="G1846">
        <f>_xludf.IMAGE("https://www.shelhealth.com/cdn/shop/products/cosamin-asu-for-joint-health-230-caps-shelhealth-585.jpg?v=1663373576&amp;width=1946")</f>
        <v/>
      </c>
      <c r="H1846">
        <f>_xludf.IMAGE("https://m.media-amazon.com/images/I/71D3V1Zwh0L._AC_UL320_.jpg")</f>
        <v/>
      </c>
      <c r="K1846" t="inlineStr">
        <is>
          <t>71.99</t>
        </is>
      </c>
      <c r="L1846" t="n">
        <v>24.99</v>
      </c>
      <c r="M1846" s="1" t="inlineStr">
        <is>
          <t>-65.29%</t>
        </is>
      </c>
      <c r="N1846" s="3" t="n">
        <v>-65.29000000000001</v>
      </c>
      <c r="O1846" t="n">
        <v>4.5</v>
      </c>
      <c r="P1846" t="n">
        <v>1898</v>
      </c>
      <c r="R1846" t="inlineStr">
        <is>
          <t>InStock</t>
        </is>
      </c>
      <c r="S1846" t="inlineStr">
        <is>
          <t>71.99</t>
        </is>
      </c>
      <c r="T1846" t="inlineStr">
        <is>
          <t>4707668197465</t>
        </is>
      </c>
    </row>
    <row r="1847" ht="75" customHeight="1">
      <c r="A1847" s="2">
        <f>HYPERLINK("https://www.shelhealth.com/products/kirkland-signature-fish-oil-1000mg-400-count", "https://www.shelhealth.com/products/kirkland-signature-fish-oil-1000mg-400-count")</f>
        <v/>
      </c>
      <c r="B1847" s="2">
        <f>HYPERLINK("https://www.shelhealth.com/products/kirkland-signature-fish-oil-1000mg-400-count", "https://www.shelhealth.com/products/kirkland-signature-fish-oil-1000mg-400-count")</f>
        <v/>
      </c>
      <c r="C1847" t="inlineStr">
        <is>
          <t>Kirkland Signature Fish Oil 1000mg, 400 Count</t>
        </is>
      </c>
      <c r="D1847" t="inlineStr">
        <is>
          <t>Kirkland Signature, Fish DMZul Oil 1000 mg 400 Softgels (Pack of 4)</t>
        </is>
      </c>
      <c r="E1847" s="2">
        <f>HYPERLINK("https://www.amazon.com/Kirkland-Signature-Fish-DMZul-Softgels/dp/B0733YLPM5/ref=sr_1_7?keywords=Kirkland+Signature+Fish+Oil+1000mg%2C+400+Count&amp;qid=1695170642&amp;sr=8-7", "https://www.amazon.com/Kirkland-Signature-Fish-DMZul-Softgels/dp/B0733YLPM5/ref=sr_1_7?keywords=Kirkland+Signature+Fish+Oil+1000mg%2C+400+Count&amp;qid=1695170642&amp;sr=8-7")</f>
        <v/>
      </c>
      <c r="F1847" t="inlineStr">
        <is>
          <t>B0733YLPM5</t>
        </is>
      </c>
      <c r="G1847">
        <f>_xlfn.IMAGE("https://www.shelhealth.com/cdn/shop/products/kirkland-signature-fish-oil-1000mg-400-count-shelhealth-194.jpg?v=1663336837&amp;width=1946")</f>
        <v/>
      </c>
      <c r="H1847">
        <f>_xlfn.IMAGE("https://m.media-amazon.com/images/I/61UTxS72TZL._AC_UL320_.jpg")</f>
        <v/>
      </c>
      <c r="K1847" t="inlineStr">
        <is>
          <t>16.99</t>
        </is>
      </c>
      <c r="L1847" t="n">
        <v>69.98999999999999</v>
      </c>
      <c r="M1847" s="1" t="inlineStr">
        <is>
          <t>311.95%</t>
        </is>
      </c>
      <c r="N1847" s="3" t="n">
        <v>311.95</v>
      </c>
      <c r="O1847" t="n">
        <v>5</v>
      </c>
      <c r="P1847" t="n">
        <v>5</v>
      </c>
      <c r="R1847" t="inlineStr">
        <is>
          <t>InStock</t>
        </is>
      </c>
      <c r="S1847" t="inlineStr">
        <is>
          <t>16.99</t>
        </is>
      </c>
      <c r="T1847" t="inlineStr">
        <is>
          <t>3723746312244</t>
        </is>
      </c>
    </row>
    <row r="1848" ht="75" customHeight="1">
      <c r="A1848" s="2">
        <f>HYPERLINK("https://www.shelhealth.com/products/kirkland-signature-fish-oil-1000mg-400-count", "https://www.shelhealth.com/products/kirkland-signature-fish-oil-1000mg-400-count")</f>
        <v/>
      </c>
      <c r="B1848" s="2">
        <f>HYPERLINK("https://www.shelhealth.com/products/kirkland-signature-fish-oil-1000mg-400-count", "https://www.shelhealth.com/products/kirkland-signature-fish-oil-1000mg-400-count")</f>
        <v/>
      </c>
      <c r="C1848" t="inlineStr">
        <is>
          <t>Kirkland Signature Fish Oil 1000mg, 400 Count</t>
        </is>
      </c>
      <c r="D1848" t="inlineStr">
        <is>
          <t>Kirkland Signature Omega-3 Fish Oil Concentrate, 1000 mg Fish Oil with 30% Omega-3s (300 mg), 1600 Count</t>
        </is>
      </c>
      <c r="E1848" s="2">
        <f>HYPERLINK("https://www.amazon.com/Kirkland-Signature-Omega-3-Concentrate-Omega-3s/dp/B00TOZ0CIW/ref=sr_1_6?keywords=Kirkland+Signature+Fish+Oil+1000mg%2C+400+Count&amp;qid=1695170642&amp;sr=8-6", "https://www.amazon.com/Kirkland-Signature-Omega-3-Concentrate-Omega-3s/dp/B00TOZ0CIW/ref=sr_1_6?keywords=Kirkland+Signature+Fish+Oil+1000mg%2C+400+Count&amp;qid=1695170642&amp;sr=8-6")</f>
        <v/>
      </c>
      <c r="F1848" t="inlineStr">
        <is>
          <t>B00TOZ0CIW</t>
        </is>
      </c>
      <c r="G1848">
        <f>_xlfn.IMAGE("https://www.shelhealth.com/cdn/shop/products/kirkland-signature-fish-oil-1000mg-400-count-shelhealth-194.jpg?v=1663336837&amp;width=1946")</f>
        <v/>
      </c>
      <c r="H1848">
        <f>_xlfn.IMAGE("https://m.media-amazon.com/images/I/61UTxS72TZL._AC_UL320_.jpg")</f>
        <v/>
      </c>
      <c r="K1848" t="inlineStr">
        <is>
          <t>16.99</t>
        </is>
      </c>
      <c r="L1848" t="n">
        <v>69.95999999999999</v>
      </c>
      <c r="M1848" s="1" t="inlineStr">
        <is>
          <t>311.77%</t>
        </is>
      </c>
      <c r="N1848" s="3" t="n">
        <v>311.77</v>
      </c>
      <c r="O1848" t="n">
        <v>5</v>
      </c>
      <c r="P1848" t="n">
        <v>2</v>
      </c>
      <c r="R1848" t="inlineStr">
        <is>
          <t>InStock</t>
        </is>
      </c>
      <c r="S1848" t="inlineStr">
        <is>
          <t>16.99</t>
        </is>
      </c>
      <c r="T1848" t="inlineStr">
        <is>
          <t>3723746312244</t>
        </is>
      </c>
    </row>
    <row r="1849" ht="75" customHeight="1">
      <c r="A1849" s="2">
        <f>HYPERLINK("https://www.shelhealth.com/products/kirkland-organic-virgin-coconut-oil-84-ounces", "https://www.shelhealth.com/products/kirkland-organic-virgin-coconut-oil-84-ounces")</f>
        <v/>
      </c>
      <c r="B1849" s="2">
        <f>HYPERLINK("https://www.shelhealth.com/products/kirkland-organic-virgin-coconut-oil-84-ounces", "https://www.shelhealth.com/products/kirkland-organic-virgin-coconut-oil-84-ounces")</f>
        <v/>
      </c>
      <c r="C1849" t="inlineStr">
        <is>
          <t>Kirkland Organic Virgin Coconut Oil - 84 Ounces</t>
        </is>
      </c>
      <c r="D1849" t="inlineStr">
        <is>
          <t>Kirkland Signature Organic Virgin Coconut Oil, 84 fl oz (Pack of 4)</t>
        </is>
      </c>
      <c r="E1849" s="2">
        <f>HYPERLINK("https://www.amazon.com/Kirkland-Signature-Organic-Virgin-Coconut/dp/B07V5R5PX2/ref=sr_1_2?keywords=Kirkland+Organic+Virgin+Coconut+Oil+-+84+Ounces&amp;qid=1695170642&amp;sr=8-2", "https://www.amazon.com/Kirkland-Signature-Organic-Virgin-Coconut/dp/B07V5R5PX2/ref=sr_1_2?keywords=Kirkland+Organic+Virgin+Coconut+Oil+-+84+Ounces&amp;qid=1695170642&amp;sr=8-2")</f>
        <v/>
      </c>
      <c r="F1849" t="inlineStr">
        <is>
          <t>B07V5R5PX2</t>
        </is>
      </c>
      <c r="G1849">
        <f>_xlfn.IMAGE("https://www.shelhealth.com/cdn/shop/products/kirkland-organic-virgin-coconut-oil-84-ounces-signature-shelhealth-420.jpg?v=1663340586&amp;width=1946")</f>
        <v/>
      </c>
      <c r="H1849">
        <f>_xlfn.IMAGE("https://m.media-amazon.com/images/I/61uXOYpOsXL._AC_UL320_.jpg")</f>
        <v/>
      </c>
      <c r="K1849" t="inlineStr">
        <is>
          <t>25.99</t>
        </is>
      </c>
      <c r="L1849" t="n">
        <v>97.90000000000001</v>
      </c>
      <c r="M1849" s="1" t="inlineStr">
        <is>
          <t>276.68%</t>
        </is>
      </c>
      <c r="N1849" s="3" t="n">
        <v>276.68</v>
      </c>
      <c r="O1849" t="n">
        <v>5</v>
      </c>
      <c r="P1849" t="n">
        <v>2</v>
      </c>
      <c r="R1849" t="inlineStr">
        <is>
          <t>InStock</t>
        </is>
      </c>
      <c r="S1849" t="inlineStr">
        <is>
          <t>25.99</t>
        </is>
      </c>
      <c r="T1849" t="inlineStr">
        <is>
          <t>3805371433012</t>
        </is>
      </c>
    </row>
    <row r="1850" ht="75" customHeight="1">
      <c r="A1850" s="2">
        <f>HYPERLINK("https://www.shelhealth.com/products/kirkland-signature-wild-alaskan-fish-oil", "https://www.shelhealth.com/products/kirkland-signature-wild-alaskan-fish-oil")</f>
        <v/>
      </c>
      <c r="B1850" s="2">
        <f>HYPERLINK("https://www.shelhealth.com/products/kirkland-signature-wild-alaskan-fish-oil", "https://www.shelhealth.com/products/kirkland-signature-wild-alaskan-fish-oil")</f>
        <v/>
      </c>
      <c r="C1850" t="inlineStr">
        <is>
          <t>Kirkland Signature Wild Alaskan Fish Oil 1400mg, 230 Count</t>
        </is>
      </c>
      <c r="D1850" t="inlineStr">
        <is>
          <t>Kirkland Signature Wild Alaskan Fish Oil 1400 mg, 230 Softgels (Pack of 4)</t>
        </is>
      </c>
      <c r="E1850" s="2">
        <f>HYPERLINK("https://www.amazon.com/Kirkland-Signature-Wild-Alaskan-Softgels/dp/B07V4K831F/ref=sr_1_3?keywords=Kirkland+Signature+Wild+Alaskan+Fish+Oil+1400mg%2C+230+Count&amp;qid=1695170631&amp;sr=8-3", "https://www.amazon.com/Kirkland-Signature-Wild-Alaskan-Softgels/dp/B07V4K831F/ref=sr_1_3?keywords=Kirkland+Signature+Wild+Alaskan+Fish+Oil+1400mg%2C+230+Count&amp;qid=1695170631&amp;sr=8-3")</f>
        <v/>
      </c>
      <c r="F1850" t="inlineStr">
        <is>
          <t>B07V4K831F</t>
        </is>
      </c>
      <c r="G1850">
        <f>_xlfn.IMAGE("https://www.shelhealth.com/cdn/shop/products/kirkland-signature-wild-alaskan-fish-oil-1400mg-230-count-shelhealth-599.jpg?v=1663336680&amp;width=1946")</f>
        <v/>
      </c>
      <c r="H1850">
        <f>_xlfn.IMAGE("https://m.media-amazon.com/images/I/61nZexZSnFL._AC_UL320_.jpg")</f>
        <v/>
      </c>
      <c r="K1850" t="inlineStr">
        <is>
          <t>30.99</t>
        </is>
      </c>
      <c r="L1850" t="n">
        <v>114.48</v>
      </c>
      <c r="M1850" s="1" t="inlineStr">
        <is>
          <t>269.41%</t>
        </is>
      </c>
      <c r="N1850" s="3" t="n">
        <v>269.41</v>
      </c>
      <c r="O1850" t="n">
        <v>4.8</v>
      </c>
      <c r="P1850" t="n">
        <v>16</v>
      </c>
      <c r="R1850" t="inlineStr">
        <is>
          <t>InStock</t>
        </is>
      </c>
      <c r="S1850" t="inlineStr">
        <is>
          <t>30.99</t>
        </is>
      </c>
      <c r="T1850" t="inlineStr">
        <is>
          <t>3710862164020</t>
        </is>
      </c>
    </row>
    <row r="1851" ht="75" customHeight="1">
      <c r="A1851" s="2">
        <f>HYPERLINK("https://www.shelhealth.com/products/kirkland-signature-fish-oil-1000mg-400-count", "https://www.shelhealth.com/products/kirkland-signature-fish-oil-1000mg-400-count")</f>
        <v/>
      </c>
      <c r="B1851" s="2">
        <f>HYPERLINK("https://www.shelhealth.com/products/kirkland-signature-fish-oil-1000mg-400-count", "https://www.shelhealth.com/products/kirkland-signature-fish-oil-1000mg-400-count")</f>
        <v/>
      </c>
      <c r="C1851" t="inlineStr">
        <is>
          <t>Kirkland Signature Fish Oil 1000mg, 400 Count</t>
        </is>
      </c>
      <c r="D1851" t="inlineStr">
        <is>
          <t>Kirkland Signature Natural Fish Oil Concentrate with Omega-3 Fatty Acids, 400 Softgels, 1000mg , Pack of 3 Kirkland-qj0w</t>
        </is>
      </c>
      <c r="E1851" s="2">
        <f>HYPERLINK("https://www.amazon.com/Kirkland-Signature-Concentrate-Softgels-Kirkland-qj0w/dp/B016WYNWWU/ref=sr_1_4?keywords=Kirkland+Signature+Fish+Oil+1000mg%2C+400+Count&amp;qid=1695170642&amp;sr=8-4", "https://www.amazon.com/Kirkland-Signature-Concentrate-Softgels-Kirkland-qj0w/dp/B016WYNWWU/ref=sr_1_4?keywords=Kirkland+Signature+Fish+Oil+1000mg%2C+400+Count&amp;qid=1695170642&amp;sr=8-4")</f>
        <v/>
      </c>
      <c r="F1851" t="inlineStr">
        <is>
          <t>B016WYNWWU</t>
        </is>
      </c>
      <c r="G1851">
        <f>_xlfn.IMAGE("https://www.shelhealth.com/cdn/shop/products/kirkland-signature-fish-oil-1000mg-400-count-shelhealth-194.jpg?v=1663336837&amp;width=1946")</f>
        <v/>
      </c>
      <c r="H1851">
        <f>_xlfn.IMAGE("https://m.media-amazon.com/images/I/61UTxS72TZL._AC_UL320_.jpg")</f>
        <v/>
      </c>
      <c r="K1851" t="inlineStr">
        <is>
          <t>16.99</t>
        </is>
      </c>
      <c r="L1851" t="n">
        <v>58.64</v>
      </c>
      <c r="M1851" s="1" t="inlineStr">
        <is>
          <t>245.14%</t>
        </is>
      </c>
      <c r="N1851" s="3" t="n">
        <v>245.14</v>
      </c>
      <c r="O1851" t="n">
        <v>5</v>
      </c>
      <c r="P1851" t="n">
        <v>1</v>
      </c>
      <c r="R1851" t="inlineStr">
        <is>
          <t>InStock</t>
        </is>
      </c>
      <c r="S1851" t="inlineStr">
        <is>
          <t>16.99</t>
        </is>
      </c>
      <c r="T1851" t="inlineStr">
        <is>
          <t>3723746312244</t>
        </is>
      </c>
    </row>
    <row r="1852" ht="75" customHeight="1">
      <c r="A1852" s="2">
        <f>HYPERLINK("https://www.shelhealth.com/products/kirkland-signature-fish-oil-1000mg-400-count", "https://www.shelhealth.com/products/kirkland-signature-fish-oil-1000mg-400-count")</f>
        <v/>
      </c>
      <c r="B1852" s="2">
        <f>HYPERLINK("https://www.shelhealth.com/products/kirkland-signature-fish-oil-1000mg-400-count", "https://www.shelhealth.com/products/kirkland-signature-fish-oil-1000mg-400-count")</f>
        <v/>
      </c>
      <c r="C1852" t="inlineStr">
        <is>
          <t>Kirkland Signature Fish Oil 1000mg, 400 Count</t>
        </is>
      </c>
      <c r="D1852" t="inlineStr">
        <is>
          <t>Kirkland Signature, Fish OQntI Oil 1000 mg 400 Softgels (Pack of 3)</t>
        </is>
      </c>
      <c r="E1852" s="2">
        <f>HYPERLINK("https://www.amazon.com/Kirkland-Signature-Fish-OQntI-Softgels/dp/B07341SJ2S/ref=sr_1_3?keywords=Kirkland+Signature+Fish+Oil+1000mg%2C+400+Count&amp;qid=1695170642&amp;sr=8-3", "https://www.amazon.com/Kirkland-Signature-Fish-OQntI-Softgels/dp/B07341SJ2S/ref=sr_1_3?keywords=Kirkland+Signature+Fish+Oil+1000mg%2C+400+Count&amp;qid=1695170642&amp;sr=8-3")</f>
        <v/>
      </c>
      <c r="F1852" t="inlineStr">
        <is>
          <t>B07341SJ2S</t>
        </is>
      </c>
      <c r="G1852">
        <f>_xlfn.IMAGE("https://www.shelhealth.com/cdn/shop/products/kirkland-signature-fish-oil-1000mg-400-count-shelhealth-194.jpg?v=1663336837&amp;width=1946")</f>
        <v/>
      </c>
      <c r="H1852">
        <f>_xlfn.IMAGE("https://m.media-amazon.com/images/I/61UTxS72TZL._AC_UL320_.jpg")</f>
        <v/>
      </c>
      <c r="K1852" t="inlineStr">
        <is>
          <t>16.99</t>
        </is>
      </c>
      <c r="L1852" t="n">
        <v>49.85</v>
      </c>
      <c r="M1852" s="1" t="inlineStr">
        <is>
          <t>193.41%</t>
        </is>
      </c>
      <c r="N1852" s="3" t="n">
        <v>193.41</v>
      </c>
      <c r="O1852" t="n">
        <v>4.5</v>
      </c>
      <c r="P1852" t="n">
        <v>11</v>
      </c>
      <c r="R1852" t="inlineStr">
        <is>
          <t>InStock</t>
        </is>
      </c>
      <c r="S1852" t="inlineStr">
        <is>
          <t>16.99</t>
        </is>
      </c>
      <c r="T1852" t="inlineStr">
        <is>
          <t>3723746312244</t>
        </is>
      </c>
    </row>
    <row r="1853" ht="75" customHeight="1">
      <c r="A1853" s="2">
        <f>HYPERLINK("https://www.shelhealth.com/products/kirkland-signature-fish-oil-1000mg-400-count", "https://www.shelhealth.com/products/kirkland-signature-fish-oil-1000mg-400-count")</f>
        <v/>
      </c>
      <c r="B1853" s="2">
        <f>HYPERLINK("https://www.shelhealth.com/products/kirkland-signature-fish-oil-1000mg-400-count", "https://www.shelhealth.com/products/kirkland-signature-fish-oil-1000mg-400-count")</f>
        <v/>
      </c>
      <c r="C1853" t="inlineStr">
        <is>
          <t>Kirkland Signature Fish Oil 1000mg, 400 Count</t>
        </is>
      </c>
      <c r="D1853" t="inlineStr">
        <is>
          <t>Kirkland Signature 100% Wild Fish Oil Blend, 400 Softgels</t>
        </is>
      </c>
      <c r="E1853" s="2">
        <f>HYPERLINK("https://www.amazon.com/Kirkland-Signature-Prenatal-Multivitamin-Tablets/dp/B009OPNBYY/ref=sr_1_10?keywords=Kirkland+Signature+Fish+Oil+1000mg%2C+400+Count&amp;qid=1695170642&amp;sr=8-10", "https://www.amazon.com/Kirkland-Signature-Prenatal-Multivitamin-Tablets/dp/B009OPNBYY/ref=sr_1_10?keywords=Kirkland+Signature+Fish+Oil+1000mg%2C+400+Count&amp;qid=1695170642&amp;sr=8-10")</f>
        <v/>
      </c>
      <c r="F1853" t="inlineStr">
        <is>
          <t>B009OPNBYY</t>
        </is>
      </c>
      <c r="G1853">
        <f>_xlfn.IMAGE("https://www.shelhealth.com/cdn/shop/products/kirkland-signature-fish-oil-1000mg-400-count-shelhealth-194.jpg?v=1663336837&amp;width=1946")</f>
        <v/>
      </c>
      <c r="H1853">
        <f>_xlfn.IMAGE("https://m.media-amazon.com/images/I/81Cw7Fo1gpL._AC_UL320_.jpg")</f>
        <v/>
      </c>
      <c r="K1853" t="inlineStr">
        <is>
          <t>16.99</t>
        </is>
      </c>
      <c r="L1853" t="n">
        <v>43.95</v>
      </c>
      <c r="M1853" s="1" t="inlineStr">
        <is>
          <t>158.68%</t>
        </is>
      </c>
      <c r="N1853" s="3" t="n">
        <v>158.68</v>
      </c>
      <c r="O1853" t="n">
        <v>5</v>
      </c>
      <c r="P1853" t="n">
        <v>1</v>
      </c>
      <c r="R1853" t="inlineStr">
        <is>
          <t>InStock</t>
        </is>
      </c>
      <c r="S1853" t="inlineStr">
        <is>
          <t>16.99</t>
        </is>
      </c>
      <c r="T1853" t="inlineStr">
        <is>
          <t>3723746312244</t>
        </is>
      </c>
    </row>
    <row r="1854" hidden="1" ht="15.75" customHeight="1">
      <c r="A1854" s="2">
        <f>HYPERLINK("https://www.shelhealth.com/products/berkley-jensen-1-000mg-fish-oil-softgels-300-ct", "https://www.shelhealth.com/products/berkley-jensen-1-000mg-fish-oil-softgels-300-ct")</f>
        <v/>
      </c>
      <c r="B1854" s="2">
        <f>HYPERLINK("https://www.shelhealth.com/products/berkley-jensen-1-000mg-fish-oil-softgels-300-ct", "https://www.shelhealth.com/products/berkley-jensen-1-000mg-fish-oil-softgels-300-ct")</f>
        <v/>
      </c>
      <c r="C1854" t="inlineStr">
        <is>
          <t>Berkley Jensen 1,000mg Fish Oil Softgels, 300 ct.</t>
        </is>
      </c>
      <c r="D1854" t="inlineStr">
        <is>
          <t>Berkley Jensen Fish Oil 1000 mg, 300 ct (Pack of 2)</t>
        </is>
      </c>
      <c r="E1854" s="2">
        <f>HYPERLINK("https://www.amazon.com/Berkley-Jensen-fish-1000-pack/dp/B072L7KMKQ/ref=sr_1_2?keywords=Berkley+Jensen+1%2C000mg+Fish+Oil+Softgels%2C+300+ct.&amp;qid=1695170633&amp;sr=8-2", "https://www.amazon.com/Berkley-Jensen-fish-1000-pack/dp/B072L7KMKQ/ref=sr_1_2?keywords=Berkley+Jensen+1%2C000mg+Fish+Oil+Softgels%2C+300+ct.&amp;qid=1695170633&amp;sr=8-2")</f>
        <v/>
      </c>
      <c r="F1854" t="inlineStr">
        <is>
          <t>B072L7KMKQ</t>
        </is>
      </c>
      <c r="G1854">
        <f>_xludf.IMAGE("https://www.shelhealth.com/cdn/shop/products/berkley-jensen-1-000mg-fish-oil-softgels-300-ct-shelhealth-985.jpg?v=1663351965&amp;width=1946")</f>
        <v/>
      </c>
      <c r="H1854">
        <f>_xludf.IMAGE("https://m.media-amazon.com/images/I/8192QaEgK4L._AC_UL320_.jpg")</f>
        <v/>
      </c>
      <c r="K1854" t="inlineStr">
        <is>
          <t>16.99</t>
        </is>
      </c>
      <c r="L1854" t="n">
        <v>39.95</v>
      </c>
      <c r="M1854" s="1" t="inlineStr">
        <is>
          <t>135.14%</t>
        </is>
      </c>
      <c r="N1854" s="3" t="n">
        <v>135.14</v>
      </c>
      <c r="O1854" t="n">
        <v>3.1</v>
      </c>
      <c r="P1854" t="n">
        <v>4</v>
      </c>
      <c r="R1854" t="inlineStr">
        <is>
          <t>OutOfStock</t>
        </is>
      </c>
      <c r="S1854" t="inlineStr">
        <is>
          <t>16.99</t>
        </is>
      </c>
      <c r="T1854" t="inlineStr">
        <is>
          <t>4115457540148</t>
        </is>
      </c>
    </row>
    <row r="1855" ht="75" customHeight="1">
      <c r="A1855" s="2">
        <f>HYPERLINK("https://www.shelhealth.com/products/kirkland-signature-fish-oil-1000mg-400-count", "https://www.shelhealth.com/products/kirkland-signature-fish-oil-1000mg-400-count")</f>
        <v/>
      </c>
      <c r="B1855" s="2">
        <f>HYPERLINK("https://www.shelhealth.com/products/kirkland-signature-fish-oil-1000mg-400-count", "https://www.shelhealth.com/products/kirkland-signature-fish-oil-1000mg-400-count")</f>
        <v/>
      </c>
      <c r="C1855" t="inlineStr">
        <is>
          <t>Kirkland Signature Fish Oil 1000mg, 400 Count</t>
        </is>
      </c>
      <c r="D1855" t="inlineStr">
        <is>
          <t>Kirkland Signature hgar Fish Oil Concentrate 2 Pack, 400 Count (Pack of 2)</t>
        </is>
      </c>
      <c r="E1855" s="2">
        <f>HYPERLINK("https://www.amazon.com/Kirkland-Signature-hgar-Fish-Concentrate/dp/B07MVLF72F/ref=sr_1_1?keywords=Kirkland+Signature+Fish+Oil+1000mg%2C+400+Count&amp;qid=1695170642&amp;sr=8-1", "https://www.amazon.com/Kirkland-Signature-hgar-Fish-Concentrate/dp/B07MVLF72F/ref=sr_1_1?keywords=Kirkland+Signature+Fish+Oil+1000mg%2C+400+Count&amp;qid=1695170642&amp;sr=8-1")</f>
        <v/>
      </c>
      <c r="F1855" t="inlineStr">
        <is>
          <t>B07MVLF72F</t>
        </is>
      </c>
      <c r="G1855">
        <f>_xlfn.IMAGE("https://www.shelhealth.com/cdn/shop/products/kirkland-signature-fish-oil-1000mg-400-count-shelhealth-194.jpg?v=1663336837&amp;width=1946")</f>
        <v/>
      </c>
      <c r="H1855">
        <f>_xlfn.IMAGE("https://m.media-amazon.com/images/I/71ZJXucAR9L._AC_UL320_.jpg")</f>
        <v/>
      </c>
      <c r="K1855" t="inlineStr">
        <is>
          <t>16.99</t>
        </is>
      </c>
      <c r="L1855" t="n">
        <v>33.74</v>
      </c>
      <c r="M1855" s="1" t="inlineStr">
        <is>
          <t>98.59%</t>
        </is>
      </c>
      <c r="N1855" s="3" t="n">
        <v>98.59</v>
      </c>
      <c r="O1855" t="n">
        <v>4.7</v>
      </c>
      <c r="P1855" t="n">
        <v>2406</v>
      </c>
      <c r="R1855" t="inlineStr">
        <is>
          <t>InStock</t>
        </is>
      </c>
      <c r="S1855" t="inlineStr">
        <is>
          <t>16.99</t>
        </is>
      </c>
      <c r="T1855" t="inlineStr">
        <is>
          <t>3723746312244</t>
        </is>
      </c>
    </row>
    <row r="1856" ht="75" customHeight="1">
      <c r="A1856" s="2">
        <f>HYPERLINK("https://www.shelhealth.com/products/natures-bounty-fish-oil-1400-mg-130-softgels", "https://www.shelhealth.com/products/natures-bounty-fish-oil-1400-mg-130-softgels")</f>
        <v/>
      </c>
      <c r="B1856" s="2">
        <f>HYPERLINK("https://www.shelhealth.com/products/natures-bounty-fish-oil-1400-mg-130-softgels", "https://www.shelhealth.com/products/natures-bounty-fish-oil-1400-mg-130-softgels")</f>
        <v/>
      </c>
      <c r="C1856" t="inlineStr">
        <is>
          <t>Nature's Bounty Fish Oil 1400 mg 130 Softgels</t>
        </is>
      </c>
      <c r="D1856" t="inlineStr">
        <is>
          <t>Nature's Bounty Fish Oil 1400 mg Omega-3 Softgels 39 ea ( Pack of 4)</t>
        </is>
      </c>
      <c r="E1856" s="2">
        <f>HYPERLINK("https://www.amazon.com/Natures-Bounty-Fish-Omega-3-Softgels/dp/B00IARTBG4/ref=sr_1_3?keywords=Nature%27s+Bounty+Fish+Oil+1400+mg+130+Softgels&amp;qid=1695170633&amp;sr=8-3", "https://www.amazon.com/Natures-Bounty-Fish-Omega-3-Softgels/dp/B00IARTBG4/ref=sr_1_3?keywords=Nature%27s+Bounty+Fish+Oil+1400+mg+130+Softgels&amp;qid=1695170633&amp;sr=8-3")</f>
        <v/>
      </c>
      <c r="F1856" t="inlineStr">
        <is>
          <t>B00IARTBG4</t>
        </is>
      </c>
      <c r="G1856">
        <f>_xlfn.IMAGE("https://www.shelhealth.com/cdn/shop/products/natures-bounty-fish-oil-1400-mg-130-softgels-shelhealth-543.jpg?v=1663337773&amp;width=1946")</f>
        <v/>
      </c>
      <c r="H1856">
        <f>_xlfn.IMAGE("https://m.media-amazon.com/images/I/61E5A1+tU0L._AC_UL320_.jpg")</f>
        <v/>
      </c>
      <c r="K1856" t="inlineStr">
        <is>
          <t>29.99</t>
        </is>
      </c>
      <c r="L1856" t="n">
        <v>58.74</v>
      </c>
      <c r="M1856" s="1" t="inlineStr">
        <is>
          <t>95.87%</t>
        </is>
      </c>
      <c r="N1856" s="3" t="n">
        <v>95.87</v>
      </c>
      <c r="O1856" t="n">
        <v>4.2</v>
      </c>
      <c r="P1856" t="n">
        <v>28</v>
      </c>
      <c r="R1856" t="inlineStr">
        <is>
          <t>InStock</t>
        </is>
      </c>
      <c r="S1856" t="inlineStr">
        <is>
          <t>29.99</t>
        </is>
      </c>
      <c r="T1856" t="inlineStr">
        <is>
          <t>3778560000052</t>
        </is>
      </c>
    </row>
    <row r="1857" ht="75" customHeight="1">
      <c r="A1857" s="2">
        <f>HYPERLINK("https://www.shelhealth.com/products/kirkland-organic-virgin-coconut-oil-84-ounces", "https://www.shelhealth.com/products/kirkland-organic-virgin-coconut-oil-84-ounces")</f>
        <v/>
      </c>
      <c r="B1857" s="2">
        <f>HYPERLINK("https://www.shelhealth.com/products/kirkland-organic-virgin-coconut-oil-84-ounces", "https://www.shelhealth.com/products/kirkland-organic-virgin-coconut-oil-84-ounces")</f>
        <v/>
      </c>
      <c r="C1857" t="inlineStr">
        <is>
          <t>Kirkland Organic Virgin Coconut Oil - 84 Ounces</t>
        </is>
      </c>
      <c r="D1857" t="inlineStr">
        <is>
          <t>Kirkland Signature Cold Pressed Unrefined Organic Virgin Coconut Oil, 84 Ounce (Pack of 2)</t>
        </is>
      </c>
      <c r="E1857" s="2">
        <f>HYPERLINK("https://www.amazon.com/Kirkland-Signature-Pressed-Unrefined-Organic/dp/B08FWZ7GNF/ref=sr_1_1?keywords=Kirkland+Organic+Virgin+Coconut+Oil+-+84+Ounces&amp;qid=1695170642&amp;sr=8-1", "https://www.amazon.com/Kirkland-Signature-Pressed-Unrefined-Organic/dp/B08FWZ7GNF/ref=sr_1_1?keywords=Kirkland+Organic+Virgin+Coconut+Oil+-+84+Ounces&amp;qid=1695170642&amp;sr=8-1")</f>
        <v/>
      </c>
      <c r="F1857" t="inlineStr">
        <is>
          <t>B08FWZ7GNF</t>
        </is>
      </c>
      <c r="G1857">
        <f>_xlfn.IMAGE("https://www.shelhealth.com/cdn/shop/products/kirkland-organic-virgin-coconut-oil-84-ounces-signature-shelhealth-420.jpg?v=1663340586&amp;width=1946")</f>
        <v/>
      </c>
      <c r="H1857">
        <f>_xlfn.IMAGE("https://m.media-amazon.com/images/I/81B0iDo7tDL._AC_UL320_.jpg")</f>
        <v/>
      </c>
      <c r="K1857" t="inlineStr">
        <is>
          <t>25.99</t>
        </is>
      </c>
      <c r="L1857" t="n">
        <v>49.95</v>
      </c>
      <c r="M1857" s="1" t="inlineStr">
        <is>
          <t>92.19%</t>
        </is>
      </c>
      <c r="N1857" s="3" t="n">
        <v>92.19</v>
      </c>
      <c r="O1857" t="n">
        <v>4.7</v>
      </c>
      <c r="P1857" t="n">
        <v>599</v>
      </c>
      <c r="R1857" t="inlineStr">
        <is>
          <t>InStock</t>
        </is>
      </c>
      <c r="S1857" t="inlineStr">
        <is>
          <t>25.99</t>
        </is>
      </c>
      <c r="T1857" t="inlineStr">
        <is>
          <t>3805371433012</t>
        </is>
      </c>
    </row>
    <row r="1858" ht="75" customHeight="1">
      <c r="A1858" s="2">
        <f>HYPERLINK("https://www.shelhealth.com/products/pure-alaska-omega-100-natural-wild-alaskan-salmon-oil-1000mg-180-softgels", "https://www.shelhealth.com/products/pure-alaska-omega-100-natural-wild-alaskan-salmon-oil-1000mg-180-softgels")</f>
        <v/>
      </c>
      <c r="B1858" s="2">
        <f>HYPERLINK("https://www.shelhealth.com/products/pure-alaska-omega-100-natural-wild-alaskan-salmon-oil-1000mg-180-softgels", "https://www.shelhealth.com/products/pure-alaska-omega-100-natural-wild-alaskan-salmon-oil-1000mg-180-softgels")</f>
        <v/>
      </c>
      <c r="C1858" t="inlineStr">
        <is>
          <t>Pure Alaska Omega 100% Natural Wild Alaskan Salmon Oil 1000mg - 180 Softgels</t>
        </is>
      </c>
      <c r="D1858" t="inlineStr">
        <is>
          <t>Pure Alaska Omega-3 Wild Alaskan Salmon Oil 1000mg 210 Softgels (Pack of 2) HJO$IER</t>
        </is>
      </c>
      <c r="E1858" s="2">
        <f>HYPERLINK("https://www.amazon.com/Alaska-Omega-3-Alaskan-Salmon-Softgels/dp/B07MLP8VNJ/ref=sr_1_4?keywords=Pure+Alaska+Omega+100%25+Natural+Wild+Alaskan+Salmon+Oil+1000mg+-+180+Softgels&amp;qid=1695170632&amp;sr=8-4", "https://www.amazon.com/Alaska-Omega-3-Alaskan-Salmon-Softgels/dp/B07MLP8VNJ/ref=sr_1_4?keywords=Pure+Alaska+Omega+100%25+Natural+Wild+Alaskan+Salmon+Oil+1000mg+-+180+Softgels&amp;qid=1695170632&amp;sr=8-4")</f>
        <v/>
      </c>
      <c r="F1858" t="inlineStr">
        <is>
          <t>B07MLP8VNJ</t>
        </is>
      </c>
      <c r="G1858">
        <f>_xlfn.IMAGE("https://www.shelhealth.com/cdn/shop/products/pure-alaska-omega-100-natural-wild-alaskan-salmon-oil-1000mg-180-softgels-shelhealth-978.jpg?v=1663337786&amp;width=1946")</f>
        <v/>
      </c>
      <c r="H1858">
        <f>_xlfn.IMAGE("https://m.media-amazon.com/images/I/41EBwsWf+5L._AC_UL320_.jpg")</f>
        <v/>
      </c>
      <c r="K1858" t="inlineStr">
        <is>
          <t>28.99</t>
        </is>
      </c>
      <c r="L1858" t="n">
        <v>48.99</v>
      </c>
      <c r="M1858" s="1" t="inlineStr">
        <is>
          <t>68.99%</t>
        </is>
      </c>
      <c r="N1858" s="3" t="n">
        <v>68.98999999999999</v>
      </c>
      <c r="O1858" t="n">
        <v>4.6</v>
      </c>
      <c r="P1858" t="n">
        <v>29</v>
      </c>
      <c r="R1858" t="inlineStr">
        <is>
          <t>InStock</t>
        </is>
      </c>
      <c r="S1858" t="inlineStr">
        <is>
          <t>28.99</t>
        </is>
      </c>
      <c r="T1858" t="inlineStr">
        <is>
          <t>3778613215284</t>
        </is>
      </c>
    </row>
    <row r="1859" hidden="1" ht="15.75" customHeight="1">
      <c r="A1859" s="2">
        <f>HYPERLINK("https://www.shelhealth.com/products/kirkland-signature-fish-oil-1000mg-400-count", "https://www.shelhealth.com/products/kirkland-signature-fish-oil-1000mg-400-count")</f>
        <v/>
      </c>
      <c r="B1859" s="2">
        <f>HYPERLINK("https://www.shelhealth.com/products/kirkland-signature-fish-oil-1000mg-400-count", "https://www.shelhealth.com/products/kirkland-signature-fish-oil-1000mg-400-count")</f>
        <v/>
      </c>
      <c r="C1859" t="inlineStr">
        <is>
          <t>Kirkland Signature Fish Oil 1000mg, 400 Count</t>
        </is>
      </c>
      <c r="D1859" t="inlineStr">
        <is>
          <t>Kirkland Signature 1000mg Fish Oil 400 Softgels, No Artificial Colors, No Artificial Flavors, No Yeast or Gluten</t>
        </is>
      </c>
      <c r="E1859" s="2">
        <f>HYPERLINK("https://www.amazon.com/Kirkland-Signature-Softgels-Artificial-Flavors/dp/B079GQLVXW/ref=sr_1_2?keywords=Kirkland+Signature+Fish+Oil+1000mg%2C+400+Count&amp;qid=1695170642&amp;sr=8-2", "https://www.amazon.com/Kirkland-Signature-Softgels-Artificial-Flavors/dp/B079GQLVXW/ref=sr_1_2?keywords=Kirkland+Signature+Fish+Oil+1000mg%2C+400+Count&amp;qid=1695170642&amp;sr=8-2")</f>
        <v/>
      </c>
      <c r="F1859" t="inlineStr">
        <is>
          <t>B079GQLVXW</t>
        </is>
      </c>
      <c r="G1859">
        <f>_xludf.IMAGE("https://www.shelhealth.com/cdn/shop/products/kirkland-signature-fish-oil-1000mg-400-count-shelhealth-194.jpg?v=1663336837&amp;width=1946")</f>
        <v/>
      </c>
      <c r="H1859">
        <f>_xludf.IMAGE("https://m.media-amazon.com/images/I/51CrUpt2GJL._AC_UL320_.jpg")</f>
        <v/>
      </c>
      <c r="K1859" t="inlineStr">
        <is>
          <t>16.99</t>
        </is>
      </c>
      <c r="L1859" t="n">
        <v>23.99</v>
      </c>
      <c r="M1859" s="1" t="inlineStr">
        <is>
          <t>41.20%</t>
        </is>
      </c>
      <c r="N1859" s="3" t="n">
        <v>41.2</v>
      </c>
      <c r="O1859" t="n">
        <v>5</v>
      </c>
      <c r="P1859" t="n">
        <v>3</v>
      </c>
      <c r="R1859" t="inlineStr">
        <is>
          <t>InStock</t>
        </is>
      </c>
      <c r="S1859" t="inlineStr">
        <is>
          <t>16.99</t>
        </is>
      </c>
      <c r="T1859" t="inlineStr">
        <is>
          <t>3723746312244</t>
        </is>
      </c>
    </row>
    <row r="1860" hidden="1" ht="15.75" customHeight="1">
      <c r="A1860" s="2">
        <f>HYPERLINK("https://www.shelhealth.com/products/pure-alaska-omega-100-natural-wild-alaskan-salmon-oil-1000mg-180-softgels", "https://www.shelhealth.com/products/pure-alaska-omega-100-natural-wild-alaskan-salmon-oil-1000mg-180-softgels")</f>
        <v/>
      </c>
      <c r="B1860" s="2">
        <f>HYPERLINK("https://www.shelhealth.com/products/pure-alaska-omega-100-natural-wild-alaskan-salmon-oil-1000mg-180-softgels", "https://www.shelhealth.com/products/pure-alaska-omega-100-natural-wild-alaskan-salmon-oil-1000mg-180-softgels")</f>
        <v/>
      </c>
      <c r="C1860" t="inlineStr">
        <is>
          <t>Pure Alaska Omega 100% Natural Wild Alaskan Salmon Oil 1000mg - 180 Softgels</t>
        </is>
      </c>
      <c r="D1860" t="inlineStr">
        <is>
          <t>Pure Alaska 1000mg Omega-3 Wild Alaskan Salmon Oil Softgels-210+Better Guide Vitamins Exclusive Free Book Supplements</t>
        </is>
      </c>
      <c r="E1860" s="2">
        <f>HYPERLINK("https://www.amazon.com/Omega-3-Softgels-210-Vitamins-Exclusive-Supplements/dp/B0C39WJBPK/ref=sr_1_1?keywords=Pure+Alaska+Omega+100%25+Natural+Wild+Alaskan+Salmon+Oil+1000mg+-+180+Softgels&amp;qid=1695170632&amp;sr=8-1", "https://www.amazon.com/Omega-3-Softgels-210-Vitamins-Exclusive-Supplements/dp/B0C39WJBPK/ref=sr_1_1?keywords=Pure+Alaska+Omega+100%25+Natural+Wild+Alaskan+Salmon+Oil+1000mg+-+180+Softgels&amp;qid=1695170632&amp;sr=8-1")</f>
        <v/>
      </c>
      <c r="F1860" t="inlineStr">
        <is>
          <t>B0C39WJBPK</t>
        </is>
      </c>
      <c r="G1860">
        <f>_xludf.IMAGE("https://www.shelhealth.com/cdn/shop/products/pure-alaska-omega-100-natural-wild-alaskan-salmon-oil-1000mg-180-softgels-shelhealth-978.jpg?v=1663337786&amp;width=1946")</f>
        <v/>
      </c>
      <c r="H1860">
        <f>_xludf.IMAGE("https://m.media-amazon.com/images/I/61p7qGJRMFL._AC_UL320_.jpg")</f>
        <v/>
      </c>
      <c r="K1860" t="inlineStr">
        <is>
          <t>28.99</t>
        </is>
      </c>
      <c r="L1860" t="n">
        <v>39.88</v>
      </c>
      <c r="M1860" s="1" t="inlineStr">
        <is>
          <t>37.56%</t>
        </is>
      </c>
      <c r="N1860" s="3" t="n">
        <v>37.56</v>
      </c>
      <c r="O1860" t="n">
        <v>4</v>
      </c>
      <c r="P1860" t="n">
        <v>7</v>
      </c>
      <c r="R1860" t="inlineStr">
        <is>
          <t>InStock</t>
        </is>
      </c>
      <c r="S1860" t="inlineStr">
        <is>
          <t>28.99</t>
        </is>
      </c>
      <c r="T1860" t="inlineStr">
        <is>
          <t>3778613215284</t>
        </is>
      </c>
    </row>
    <row r="1861" hidden="1" ht="15.75" customHeight="1">
      <c r="A1861" s="2">
        <f>HYPERLINK("https://www.shelhealth.com/products/megared-500-mg-omega-3-krill-oil-softgels-90-ct", "https://www.shelhealth.com/products/megared-500-mg-omega-3-krill-oil-softgels-90-ct")</f>
        <v/>
      </c>
      <c r="B1861" s="2">
        <f>HYPERLINK("https://www.shelhealth.com/products/megared-500-mg-omega-3-krill-oil-softgels-90-ct", "https://www.shelhealth.com/products/megared-500-mg-omega-3-krill-oil-softgels-90-ct")</f>
        <v/>
      </c>
      <c r="C1861" t="inlineStr">
        <is>
          <t>MegaRed 500 mg Omega-3 Krill Oil Softgels, 90 ct.</t>
        </is>
      </c>
      <c r="D1861" t="inlineStr">
        <is>
          <t>Megared Omega-3 Blend Supplement 500mg, Total Body + Refresh Softgels (65 Count in A Bottle), Easily Absorbed Krill Oil, to Support Your Heart, Joints, Brain &amp; Eyes (Pack of 2)</t>
        </is>
      </c>
      <c r="E1861" s="2">
        <f>HYPERLINK("https://www.amazon.com/Omega-3-Krill-Oil-Advanced-Softgels/dp/B07W6HBPNN/ref=sr_1_6?keywords=MegaRed+500+mg+Omega-3+Krill+Oil+Softgels%2C+90+ct.&amp;qid=1695170646&amp;sr=8-6", "https://www.amazon.com/Omega-3-Krill-Oil-Advanced-Softgels/dp/B07W6HBPNN/ref=sr_1_6?keywords=MegaRed+500+mg+Omega-3+Krill+Oil+Softgels%2C+90+ct.&amp;qid=1695170646&amp;sr=8-6")</f>
        <v/>
      </c>
      <c r="F1861" t="inlineStr">
        <is>
          <t>B07W6HBPNN</t>
        </is>
      </c>
      <c r="G1861">
        <f>_xludf.IMAGE("https://www.shelhealth.com/cdn/shop/products/megared-500-mg-omega-3-krill-oil-softgels-90-ct-shelhealth-504.jpg?v=1663352061&amp;width=1946")</f>
        <v/>
      </c>
      <c r="H1861">
        <f>_xludf.IMAGE("https://m.media-amazon.com/images/I/71ixzi5rK0L._AC_UL320_.jpg")</f>
        <v/>
      </c>
      <c r="K1861" t="inlineStr">
        <is>
          <t>43.99</t>
        </is>
      </c>
      <c r="L1861" t="n">
        <v>59.99</v>
      </c>
      <c r="M1861" s="1" t="inlineStr">
        <is>
          <t>36.37%</t>
        </is>
      </c>
      <c r="N1861" s="3" t="n">
        <v>36.37</v>
      </c>
      <c r="O1861" t="n">
        <v>4.8</v>
      </c>
      <c r="P1861" t="n">
        <v>97</v>
      </c>
      <c r="R1861" t="inlineStr">
        <is>
          <t>OutOfStock</t>
        </is>
      </c>
      <c r="S1861" t="inlineStr">
        <is>
          <t>43.99</t>
        </is>
      </c>
      <c r="T1861" t="inlineStr">
        <is>
          <t>4115578945588</t>
        </is>
      </c>
    </row>
    <row r="1862" hidden="1" ht="15.75" customHeight="1">
      <c r="A1862" s="2">
        <f>HYPERLINK("https://www.shelhealth.com/products/kirkland-signature-krill-oil-500-mg-160-softgels", "https://www.shelhealth.com/products/kirkland-signature-krill-oil-500-mg-160-softgels")</f>
        <v/>
      </c>
      <c r="B1862" s="2">
        <f>HYPERLINK("https://www.shelhealth.com/products/kirkland-signature-krill-oil-500-mg-160-softgels", "https://www.shelhealth.com/products/kirkland-signature-krill-oil-500-mg-160-softgels")</f>
        <v/>
      </c>
      <c r="C1862" t="inlineStr">
        <is>
          <t>Kirkland Signature Krill Oil 500 mg., 160 Softgels</t>
        </is>
      </c>
      <c r="D1862" t="inlineStr">
        <is>
          <t>Kirkland Signature Krill Oil Omega-3 &amp; Astaxanthin Dietary Supplement 160 Softgels (Two Bottles)</t>
        </is>
      </c>
      <c r="E1862" s="2">
        <f>HYPERLINK("https://www.amazon.com/Kirkland-Signature-Astaxanthin-Supplement-Softgels/dp/B09SQ5X3Y5/ref=sr_1_8?keywords=Kirkland+Signature+Krill+Oil+500+mg.%2C+160+Softgels&amp;qid=1695170633&amp;sr=8-8", "https://www.amazon.com/Kirkland-Signature-Astaxanthin-Supplement-Softgels/dp/B09SQ5X3Y5/ref=sr_1_8?keywords=Kirkland+Signature+Krill+Oil+500+mg.%2C+160+Softgels&amp;qid=1695170633&amp;sr=8-8")</f>
        <v/>
      </c>
      <c r="F1862" t="inlineStr">
        <is>
          <t>B09SQ5X3Y5</t>
        </is>
      </c>
      <c r="G1862">
        <f>_xludf.IMAGE("https://www.shelhealth.com/cdn/shop/files/kirkland-signature-krill-oil-500-mg-160-softgels-all-vitamins-supplements-shelhealth-363.jpg?v=1689976252&amp;width=1946")</f>
        <v/>
      </c>
      <c r="H1862">
        <f>_xludf.IMAGE("https://m.media-amazon.com/images/I/61-pMAkMe0L._AC_UL320_.jpg")</f>
        <v/>
      </c>
      <c r="K1862" t="inlineStr">
        <is>
          <t>43.99</t>
        </is>
      </c>
      <c r="L1862" t="n">
        <v>55.73</v>
      </c>
      <c r="M1862" s="1" t="inlineStr">
        <is>
          <t>26.69%</t>
        </is>
      </c>
      <c r="N1862" s="3" t="n">
        <v>26.69</v>
      </c>
      <c r="O1862" t="n">
        <v>2.5</v>
      </c>
      <c r="P1862" t="n">
        <v>2</v>
      </c>
      <c r="R1862" t="inlineStr">
        <is>
          <t>InStock</t>
        </is>
      </c>
      <c r="S1862" t="inlineStr">
        <is>
          <t>43.99</t>
        </is>
      </c>
      <c r="T1862" t="inlineStr">
        <is>
          <t>3710872911924</t>
        </is>
      </c>
    </row>
    <row r="1863" hidden="1" ht="15.75" customHeight="1">
      <c r="A1863" s="2">
        <f>HYPERLINK("https://www.shelhealth.com/products/nature-made-organic-flaxseed-oil-1-400-mg-300-softgels", "https://www.shelhealth.com/products/nature-made-organic-flaxseed-oil-1-400-mg-300-softgels")</f>
        <v/>
      </c>
      <c r="B1863" s="2">
        <f>HYPERLINK("https://www.shelhealth.com/products/nature-made-organic-flaxseed-oil-1-400-mg-300-softgels", "https://www.shelhealth.com/products/nature-made-organic-flaxseed-oil-1-400-mg-300-softgels")</f>
        <v/>
      </c>
      <c r="C1863" t="inlineStr">
        <is>
          <t>Nature Made Organic Flaxseed Oil 1,400 mg - 300 Softgels</t>
        </is>
      </c>
      <c r="D1863" t="inlineStr">
        <is>
          <t>Nature Made Organic Flaxseed Oil 1400 mg 700mg Omega 3 100 Liquid Softgels 3 PACK</t>
        </is>
      </c>
      <c r="E1863" s="2">
        <f>HYPERLINK("https://www.amazon.com/Nature-Organic-Flaxseed-Liquid-Softgels/dp/B07D4R15L3/ref=sr_1_1?keywords=Nature+Made+Organic+Flaxseed+Oil+1%2C400+mg+-+300+Softgels&amp;qid=1695170633&amp;sr=8-1", "https://www.amazon.com/Nature-Organic-Flaxseed-Liquid-Softgels/dp/B07D4R15L3/ref=sr_1_1?keywords=Nature+Made+Organic+Flaxseed+Oil+1%2C400+mg+-+300+Softgels&amp;qid=1695170633&amp;sr=8-1")</f>
        <v/>
      </c>
      <c r="F1863" t="inlineStr">
        <is>
          <t>B07D4R15L3</t>
        </is>
      </c>
      <c r="G1863">
        <f>_xludf.IMAGE("https://www.shelhealth.com/cdn/shop/products/nature-made-organic-flaxseed-oil-1-400-mg-300-softgels-shelhealth-104.jpg?v=1663337744&amp;width=1946")</f>
        <v/>
      </c>
      <c r="H1863">
        <f>_xludf.IMAGE("https://m.media-amazon.com/images/I/51gCHDv9DDL._AC_UL320_.jpg")</f>
        <v/>
      </c>
      <c r="K1863" t="inlineStr">
        <is>
          <t>25.99</t>
        </is>
      </c>
      <c r="L1863" t="n">
        <v>32.9</v>
      </c>
      <c r="M1863" s="1" t="inlineStr">
        <is>
          <t>26.59%</t>
        </is>
      </c>
      <c r="N1863" s="3" t="n">
        <v>26.59</v>
      </c>
      <c r="O1863" t="n">
        <v>4.5</v>
      </c>
      <c r="P1863" t="n">
        <v>17</v>
      </c>
      <c r="R1863" t="inlineStr">
        <is>
          <t>InStock</t>
        </is>
      </c>
      <c r="S1863" t="inlineStr">
        <is>
          <t>25.99</t>
        </is>
      </c>
      <c r="T1863" t="inlineStr">
        <is>
          <t>3778276393012</t>
        </is>
      </c>
    </row>
    <row r="1864" hidden="1" ht="15.75" customHeight="1">
      <c r="A1864" s="2">
        <f>HYPERLINK("https://www.shelhealth.com/products/megared-500-mg-omega-3-krill-oil-softgels-90-ct", "https://www.shelhealth.com/products/megared-500-mg-omega-3-krill-oil-softgels-90-ct")</f>
        <v/>
      </c>
      <c r="B1864" s="2">
        <f>HYPERLINK("https://www.shelhealth.com/products/megared-500-mg-omega-3-krill-oil-softgels-90-ct", "https://www.shelhealth.com/products/megared-500-mg-omega-3-krill-oil-softgels-90-ct")</f>
        <v/>
      </c>
      <c r="C1864" t="inlineStr">
        <is>
          <t>MegaRed 500 mg Omega-3 Krill Oil Softgels, 90 ct.</t>
        </is>
      </c>
      <c r="D1864" t="inlineStr">
        <is>
          <t>Omega 3 Fish Oil Supplement + Krill Oil 500mg, MegaRed Advanced 4in1 EPA &amp; DHA Omega 3 Fatty Acid Softgels (140cnt bottle), Phospholipids, Supports Brain Eye Joint &amp; Heart Health</t>
        </is>
      </c>
      <c r="E1864" s="2">
        <f>HYPERLINK("https://www.amazon.com/Supplement-Advanced-Softgels-Phospholipids-Supports/dp/B01IRQHEUW/ref=sr_1_3?keywords=MegaRed+500+mg+Omega-3+Krill+Oil+Softgels%2C+90+ct.&amp;qid=1695170646&amp;sr=8-3", "https://www.amazon.com/Supplement-Advanced-Softgels-Phospholipids-Supports/dp/B01IRQHEUW/ref=sr_1_3?keywords=MegaRed+500+mg+Omega-3+Krill+Oil+Softgels%2C+90+ct.&amp;qid=1695170646&amp;sr=8-3")</f>
        <v/>
      </c>
      <c r="F1864" t="inlineStr">
        <is>
          <t>B01IRQHEUW</t>
        </is>
      </c>
      <c r="G1864">
        <f>_xludf.IMAGE("https://www.shelhealth.com/cdn/shop/products/megared-500-mg-omega-3-krill-oil-softgels-90-ct-shelhealth-504.jpg?v=1663352061&amp;width=1946")</f>
        <v/>
      </c>
      <c r="H1864">
        <f>_xludf.IMAGE("https://m.media-amazon.com/images/I/71t+lfJX7sL._AC_UL320_.jpg")</f>
        <v/>
      </c>
      <c r="K1864" t="inlineStr">
        <is>
          <t>43.99</t>
        </is>
      </c>
      <c r="L1864" t="n">
        <v>52.45</v>
      </c>
      <c r="M1864" s="1" t="inlineStr">
        <is>
          <t>19.23%</t>
        </is>
      </c>
      <c r="N1864" s="3" t="n">
        <v>19.23</v>
      </c>
      <c r="O1864" t="n">
        <v>4.7</v>
      </c>
      <c r="P1864" t="n">
        <v>10289</v>
      </c>
      <c r="R1864" t="inlineStr">
        <is>
          <t>OutOfStock</t>
        </is>
      </c>
      <c r="S1864" t="inlineStr">
        <is>
          <t>43.99</t>
        </is>
      </c>
      <c r="T1864" t="inlineStr">
        <is>
          <t>4115578945588</t>
        </is>
      </c>
    </row>
    <row r="1865" hidden="1" ht="15.75" customHeight="1">
      <c r="A1865" s="2">
        <f>HYPERLINK("https://www.shelhealth.com/products/nature-made-fish-oil-1200-mg-360-mg-omega-3-400-liquid-softgels", "https://www.shelhealth.com/products/nature-made-fish-oil-1200-mg-360-mg-omega-3-400-liquid-softgels")</f>
        <v/>
      </c>
      <c r="B1865" s="2">
        <f>HYPERLINK("https://www.shelhealth.com/products/nature-made-fish-oil-1200-mg-360-mg-omega-3-400-liquid-softgels", "https://www.shelhealth.com/products/nature-made-fish-oil-1200-mg-360-mg-omega-3-400-liquid-softgels")</f>
        <v/>
      </c>
      <c r="C1865" t="inlineStr">
        <is>
          <t>Nature Made Fish OIL 1200 Mg, 360 Mg Omega-3 ( 400 Liquid Softgels)</t>
        </is>
      </c>
      <c r="D1865" t="inlineStr">
        <is>
          <t>Nature Made 1200mg of Fish Oil, 2400 per Serving, 360mg of Omega-3, 300 Softgels, 300 Count (Pack of 1)+Better Guide Vitamins Supplements</t>
        </is>
      </c>
      <c r="E1865" s="2">
        <f>HYPERLINK("https://www.amazon.com/Serving-Omega-3-Softgels-Vitamins-Supplements/dp/B0C1TPQF8T/ref=sr_1_7?keywords=Nature+Made+Fish+OIL+1200+Mg%2C+360+Mg+Omega-3+%28+400+Liquid+Softgels%29&amp;qid=1695170638&amp;sr=8-7", "https://www.amazon.com/Serving-Omega-3-Softgels-Vitamins-Supplements/dp/B0C1TPQF8T/ref=sr_1_7?keywords=Nature+Made+Fish+OIL+1200+Mg%2C+360+Mg+Omega-3+%28+400+Liquid+Softgels%29&amp;qid=1695170638&amp;sr=8-7")</f>
        <v/>
      </c>
      <c r="F1865" t="inlineStr">
        <is>
          <t>B0C1TPQF8T</t>
        </is>
      </c>
      <c r="G1865">
        <f>_xludf.IMAGE("https://www.shelhealth.com/cdn/shop/products/nature-made-fish-oil-1200-mg-360-omega-3-400-liquid-softgels-shelhealth-824.jpg?v=1663336720&amp;width=1946")</f>
        <v/>
      </c>
      <c r="H1865">
        <f>_xludf.IMAGE("https://m.media-amazon.com/images/I/61HUoyl6eOL._AC_UL320_.jpg")</f>
        <v/>
      </c>
      <c r="K1865" t="inlineStr">
        <is>
          <t>32.99</t>
        </is>
      </c>
      <c r="L1865" t="n">
        <v>39.15</v>
      </c>
      <c r="M1865" s="1" t="inlineStr">
        <is>
          <t>18.67%</t>
        </is>
      </c>
      <c r="N1865" s="3" t="n">
        <v>18.67</v>
      </c>
      <c r="O1865" t="n">
        <v>4.5</v>
      </c>
      <c r="P1865" t="n">
        <v>7</v>
      </c>
      <c r="R1865" t="inlineStr">
        <is>
          <t>InStock</t>
        </is>
      </c>
      <c r="S1865" t="inlineStr">
        <is>
          <t>32.99</t>
        </is>
      </c>
      <c r="T1865" t="inlineStr">
        <is>
          <t>3714568716340</t>
        </is>
      </c>
    </row>
    <row r="1866" hidden="1" ht="15.75" customHeight="1">
      <c r="A1866" s="2">
        <f>HYPERLINK("https://www.shelhealth.com/products/pure-alaska-omega-100-natural-wild-alaskan-salmon-oil-1000mg-180-softgels", "https://www.shelhealth.com/products/pure-alaska-omega-100-natural-wild-alaskan-salmon-oil-1000mg-180-softgels")</f>
        <v/>
      </c>
      <c r="B1866" s="2">
        <f>HYPERLINK("https://www.shelhealth.com/products/pure-alaska-omega-100-natural-wild-alaskan-salmon-oil-1000mg-180-softgels", "https://www.shelhealth.com/products/pure-alaska-omega-100-natural-wild-alaskan-salmon-oil-1000mg-180-softgels")</f>
        <v/>
      </c>
      <c r="C1866" t="inlineStr">
        <is>
          <t>Pure Alaska Omega 100% Natural Wild Alaskan Salmon Oil 1000mg - 180 Softgels</t>
        </is>
      </c>
      <c r="D1866" t="inlineStr">
        <is>
          <t>Complete Omega by Natural Factors, Wild Alaskan Salmon Oil, Supports Heart and Brain Health with Omega-3 DHA and EPA, 180 softgels (180 servings)</t>
        </is>
      </c>
      <c r="E1866" s="2">
        <f>HYPERLINK("https://www.amazon.com/Natural-Factors-Complete-Alaskan-Omega-3/dp/B000KJ3HFG/ref=sr_1_7?keywords=Pure+Alaska+Omega+100%25+Natural+Wild+Alaskan+Salmon+Oil+1000mg+-+180+Softgels&amp;qid=1695170632&amp;sr=8-7", "https://www.amazon.com/Natural-Factors-Complete-Alaskan-Omega-3/dp/B000KJ3HFG/ref=sr_1_7?keywords=Pure+Alaska+Omega+100%25+Natural+Wild+Alaskan+Salmon+Oil+1000mg+-+180+Softgels&amp;qid=1695170632&amp;sr=8-7")</f>
        <v/>
      </c>
      <c r="F1866" t="inlineStr">
        <is>
          <t>B000KJ3HFG</t>
        </is>
      </c>
      <c r="G1866">
        <f>_xludf.IMAGE("https://www.shelhealth.com/cdn/shop/products/pure-alaska-omega-100-natural-wild-alaskan-salmon-oil-1000mg-180-softgels-shelhealth-978.jpg?v=1663337786&amp;width=1946")</f>
        <v/>
      </c>
      <c r="H1866">
        <f>_xludf.IMAGE("https://m.media-amazon.com/images/I/81YGKePafQL._AC_UL320_.jpg")</f>
        <v/>
      </c>
      <c r="K1866" t="inlineStr">
        <is>
          <t>28.99</t>
        </is>
      </c>
      <c r="L1866" t="n">
        <v>30.77</v>
      </c>
      <c r="M1866" s="1" t="inlineStr">
        <is>
          <t>6.14%</t>
        </is>
      </c>
      <c r="N1866" s="3" t="n">
        <v>6.14</v>
      </c>
      <c r="O1866" t="n">
        <v>4.7</v>
      </c>
      <c r="P1866" t="n">
        <v>370</v>
      </c>
      <c r="R1866" t="inlineStr">
        <is>
          <t>InStock</t>
        </is>
      </c>
      <c r="S1866" t="inlineStr">
        <is>
          <t>28.99</t>
        </is>
      </c>
      <c r="T1866" t="inlineStr">
        <is>
          <t>3778613215284</t>
        </is>
      </c>
    </row>
    <row r="1867" hidden="1" ht="15.75" customHeight="1">
      <c r="A1867" s="2">
        <f>HYPERLINK("https://www.shelhealth.com/products/natures-bounty-fish-oil-1400-mg-130-softgels", "https://www.shelhealth.com/products/natures-bounty-fish-oil-1400-mg-130-softgels")</f>
        <v/>
      </c>
      <c r="B1867" s="2">
        <f>HYPERLINK("https://www.shelhealth.com/products/natures-bounty-fish-oil-1400-mg-130-softgels", "https://www.shelhealth.com/products/natures-bounty-fish-oil-1400-mg-130-softgels")</f>
        <v/>
      </c>
      <c r="C1867" t="inlineStr">
        <is>
          <t>Nature's Bounty Fish Oil 1400 mg 130 Softgels</t>
        </is>
      </c>
      <c r="D1867" t="inlineStr">
        <is>
          <t>Nature's Bounty Fish Oil Softgels 1200 mg, 320 Count</t>
        </is>
      </c>
      <c r="E1867" s="2">
        <f>HYPERLINK("https://www.amazon.com/Natures-Bounty-Fish-Softgels-Count/dp/B074PZ3QVJ/ref=sr_1_9?keywords=Nature%27s+Bounty+Fish+Oil+1400+mg+130+Softgels&amp;qid=1695170633&amp;sr=8-9", "https://www.amazon.com/Natures-Bounty-Fish-Softgels-Count/dp/B074PZ3QVJ/ref=sr_1_9?keywords=Nature%27s+Bounty+Fish+Oil+1400+mg+130+Softgels&amp;qid=1695170633&amp;sr=8-9")</f>
        <v/>
      </c>
      <c r="F1867" t="inlineStr">
        <is>
          <t>B074PZ3QVJ</t>
        </is>
      </c>
      <c r="G1867">
        <f>_xludf.IMAGE("https://www.shelhealth.com/cdn/shop/products/natures-bounty-fish-oil-1400-mg-130-softgels-shelhealth-543.jpg?v=1663337773&amp;width=1946")</f>
        <v/>
      </c>
      <c r="H1867">
        <f>_xludf.IMAGE("https://m.media-amazon.com/images/I/81f9cWZihoL._AC_UL320_.jpg")</f>
        <v/>
      </c>
      <c r="K1867" t="inlineStr">
        <is>
          <t>29.99</t>
        </is>
      </c>
      <c r="L1867" t="n">
        <v>30.46</v>
      </c>
      <c r="M1867" s="1" t="inlineStr">
        <is>
          <t>1.57%</t>
        </is>
      </c>
      <c r="N1867" s="3" t="n">
        <v>1.57</v>
      </c>
      <c r="O1867" t="n">
        <v>3.8</v>
      </c>
      <c r="P1867" t="n">
        <v>7</v>
      </c>
      <c r="R1867" t="inlineStr">
        <is>
          <t>InStock</t>
        </is>
      </c>
      <c r="S1867" t="inlineStr">
        <is>
          <t>29.99</t>
        </is>
      </c>
      <c r="T1867" t="inlineStr">
        <is>
          <t>3778560000052</t>
        </is>
      </c>
    </row>
    <row r="1868" hidden="1" ht="15.75" customHeight="1">
      <c r="A1868" s="2">
        <f>HYPERLINK("https://www.shelhealth.com/products/nature-made-fish-oil-1200-mg-360-mg-omega-3-400-liquid-softgels", "https://www.shelhealth.com/products/nature-made-fish-oil-1200-mg-360-mg-omega-3-400-liquid-softgels")</f>
        <v/>
      </c>
      <c r="B1868" s="2">
        <f>HYPERLINK("https://www.shelhealth.com/products/nature-made-fish-oil-1200-mg-360-mg-omega-3-400-liquid-softgels", "https://www.shelhealth.com/products/nature-made-fish-oil-1200-mg-360-mg-omega-3-400-liquid-softgels")</f>
        <v/>
      </c>
      <c r="C1868" t="inlineStr">
        <is>
          <t>Nature Made Fish OIL 1200 Mg, 360 Mg Omega-3 ( 400 Liquid Softgels)</t>
        </is>
      </c>
      <c r="D1868" t="inlineStr">
        <is>
          <t>Nature Made Fish Oil 1200 mg Softgels, Omega 3 - for Healthy Heart Support, Omega 360mg FishOil Supplements and 400 Softgels, 200 Day Supply (Twin Pack)</t>
        </is>
      </c>
      <c r="E1868" s="2">
        <f>HYPERLINK("https://www.amazon.com/Nature-Made-Fish-Softgels-Omega/dp/B0BZ8ZVBF1/ref=sr_1_4?keywords=Nature+Made+Fish+OIL+1200+Mg%2C+360+Mg+Omega-3+%28+400+Liquid+Softgels%29&amp;qid=1695170638&amp;sr=8-4", "https://www.amazon.com/Nature-Made-Fish-Softgels-Omega/dp/B0BZ8ZVBF1/ref=sr_1_4?keywords=Nature+Made+Fish+OIL+1200+Mg%2C+360+Mg+Omega-3+%28+400+Liquid+Softgels%29&amp;qid=1695170638&amp;sr=8-4")</f>
        <v/>
      </c>
      <c r="F1868" t="inlineStr">
        <is>
          <t>B0BZ8ZVBF1</t>
        </is>
      </c>
      <c r="G1868">
        <f>_xludf.IMAGE("https://www.shelhealth.com/cdn/shop/products/nature-made-fish-oil-1200-mg-360-omega-3-400-liquid-softgels-shelhealth-824.jpg?v=1663336720&amp;width=1946")</f>
        <v/>
      </c>
      <c r="H1868">
        <f>_xludf.IMAGE("https://m.media-amazon.com/images/I/717eADJWUxL._AC_UL320_.jpg")</f>
        <v/>
      </c>
      <c r="K1868" t="inlineStr">
        <is>
          <t>32.99</t>
        </is>
      </c>
      <c r="L1868" t="n">
        <v>32.99</v>
      </c>
      <c r="M1868" s="1" t="inlineStr">
        <is>
          <t>0.00%</t>
        </is>
      </c>
      <c r="N1868" s="3" t="n">
        <v>0</v>
      </c>
      <c r="O1868" t="n">
        <v>5</v>
      </c>
      <c r="P1868" t="n">
        <v>4</v>
      </c>
      <c r="R1868" t="inlineStr">
        <is>
          <t>InStock</t>
        </is>
      </c>
      <c r="S1868" t="inlineStr">
        <is>
          <t>32.99</t>
        </is>
      </c>
      <c r="T1868" t="inlineStr">
        <is>
          <t>3714568716340</t>
        </is>
      </c>
    </row>
    <row r="1869" hidden="1" ht="15.75" customHeight="1">
      <c r="A1869" s="2">
        <f>HYPERLINK("https://www.shelhealth.com/products/schiff-megared-krill-oil-high-concentration-750mg-80-softgels", "https://www.shelhealth.com/products/schiff-megared-krill-oil-high-concentration-750mg-80-softgels")</f>
        <v/>
      </c>
      <c r="B1869" s="2">
        <f>HYPERLINK("https://www.shelhealth.com/products/schiff-megared-krill-oil-high-concentration-750mg-80-softgels", "https://www.shelhealth.com/products/schiff-megared-krill-oil-high-concentration-750mg-80-softgels")</f>
        <v/>
      </c>
      <c r="C1869" t="inlineStr">
        <is>
          <t>Schiff MegaRed Krill Oil High Concentration 750mg 80 Softgels</t>
        </is>
      </c>
      <c r="D1869" t="inlineStr">
        <is>
          <t>Schiff MegaRed Krill Oil High Concentration 750mg 80 Softgels</t>
        </is>
      </c>
      <c r="E1869" s="2">
        <f>HYPERLINK("https://www.amazon.com/Schiff-MegaRed-Krill-Concentration-Softgels/dp/B017UW9HVS/ref=sr_1_1?keywords=Schiff+MegaRed+Krill+Oil+High+Concentration+750mg+80+Softgels&amp;qid=1695170638&amp;sr=8-1", "https://www.amazon.com/Schiff-MegaRed-Krill-Concentration-Softgels/dp/B017UW9HVS/ref=sr_1_1?keywords=Schiff+MegaRed+Krill+Oil+High+Concentration+750mg+80+Softgels&amp;qid=1695170638&amp;sr=8-1")</f>
        <v/>
      </c>
      <c r="F1869" t="inlineStr">
        <is>
          <t>B017UW9HVS</t>
        </is>
      </c>
      <c r="G1869">
        <f>_xludf.IMAGE("https://www.shelhealth.com/cdn/shop/products/schiff-megared-krill-oil-high-concentration-750mg-80-softgels-shelhealth-700.jpg?v=1663337735&amp;width=1946")</f>
        <v/>
      </c>
      <c r="H1869">
        <f>_xludf.IMAGE("https://m.media-amazon.com/images/I/7100ZRGjljL._AC_UL320_.jpg")</f>
        <v/>
      </c>
      <c r="K1869" t="inlineStr">
        <is>
          <t>39.99</t>
        </is>
      </c>
      <c r="L1869" t="n">
        <v>39.7</v>
      </c>
      <c r="M1869" s="1" t="inlineStr">
        <is>
          <t>-0.73%</t>
        </is>
      </c>
      <c r="N1869" s="3" t="n">
        <v>-0.73</v>
      </c>
      <c r="O1869" t="n">
        <v>4.5</v>
      </c>
      <c r="P1869" t="n">
        <v>202</v>
      </c>
      <c r="R1869" t="inlineStr">
        <is>
          <t>OutOfStock</t>
        </is>
      </c>
      <c r="S1869" t="inlineStr">
        <is>
          <t>39.99</t>
        </is>
      </c>
      <c r="T1869" t="inlineStr">
        <is>
          <t>3778274295860</t>
        </is>
      </c>
    </row>
    <row r="1870" hidden="1" ht="15.75" customHeight="1">
      <c r="A1870" s="2">
        <f>HYPERLINK("https://www.shelhealth.com/products/trunature-triple-strength-omega-3-900-mg-200-softgels-1", "https://www.shelhealth.com/products/trunature-triple-strength-omega-3-900-mg-200-softgels-1")</f>
        <v/>
      </c>
      <c r="B1870" s="2">
        <f>HYPERLINK("https://www.shelhealth.com/products/trunature-triple-strength-omega-3-900-mg-200-softgels-1", "https://www.shelhealth.com/products/trunature-triple-strength-omega-3-900-mg-200-softgels-1")</f>
        <v/>
      </c>
      <c r="C1870" t="inlineStr">
        <is>
          <t>trunature Triple Strength Omega-3 900 mg., 200 Softgels</t>
        </is>
      </c>
      <c r="D1870" t="inlineStr">
        <is>
          <t>TruNature Triple Strength Omega-3 900 mg - 150 Enteric Coated Softgels</t>
        </is>
      </c>
      <c r="E1870" s="2">
        <f>HYPERLINK("https://www.amazon.com/TruNature-Triple-Strength-Omega-3-900/dp/B01MSYJ80I/ref=sr_1_1?keywords=trunature+Triple+Strength+Omega-3+900+mg.%2C+200+Softgels&amp;qid=1695170632&amp;sr=8-1", "https://www.amazon.com/TruNature-Triple-Strength-Omega-3-900/dp/B01MSYJ80I/ref=sr_1_1?keywords=trunature+Triple+Strength+Omega-3+900+mg.%2C+200+Softgels&amp;qid=1695170632&amp;sr=8-1")</f>
        <v/>
      </c>
      <c r="F1870" t="inlineStr">
        <is>
          <t>B01MSYJ80I</t>
        </is>
      </c>
      <c r="G1870">
        <f>_xludf.IMAGE("https://www.shelhealth.com/cdn/shop/products/trunature-triple-strength-omega-3-900-mg-200-softgels-shelhealth-761.jpg?v=1663370082&amp;width=1946")</f>
        <v/>
      </c>
      <c r="H1870">
        <f>_xludf.IMAGE("https://m.media-amazon.com/images/I/31AkHcU4MmL._AC_UL320_.jpg")</f>
        <v/>
      </c>
      <c r="K1870" t="inlineStr">
        <is>
          <t>38.99</t>
        </is>
      </c>
      <c r="L1870" t="n">
        <v>34.87</v>
      </c>
      <c r="M1870" s="1" t="inlineStr">
        <is>
          <t>-10.57%</t>
        </is>
      </c>
      <c r="N1870" s="3" t="n">
        <v>-10.57</v>
      </c>
      <c r="O1870" t="n">
        <v>4.4</v>
      </c>
      <c r="P1870" t="n">
        <v>29</v>
      </c>
      <c r="R1870" t="inlineStr">
        <is>
          <t>InStock</t>
        </is>
      </c>
      <c r="S1870" t="inlineStr">
        <is>
          <t>38.99</t>
        </is>
      </c>
      <c r="T1870" t="inlineStr">
        <is>
          <t>4662810902617</t>
        </is>
      </c>
    </row>
    <row r="1871" hidden="1" ht="15.75" customHeight="1">
      <c r="A1871" s="2">
        <f>HYPERLINK("https://www.shelhealth.com/products/nature-made-organic-flaxseed-oil-1-400-mg-300-softgels", "https://www.shelhealth.com/products/nature-made-organic-flaxseed-oil-1-400-mg-300-softgels")</f>
        <v/>
      </c>
      <c r="B1871" s="2">
        <f>HYPERLINK("https://www.shelhealth.com/products/nature-made-organic-flaxseed-oil-1-400-mg-300-softgels", "https://www.shelhealth.com/products/nature-made-organic-flaxseed-oil-1-400-mg-300-softgels")</f>
        <v/>
      </c>
      <c r="C1871" t="inlineStr">
        <is>
          <t>Nature Made Organic Flaxseed Oil 1,400 mg - 300 Softgels</t>
        </is>
      </c>
      <c r="D1871" t="inlineStr">
        <is>
          <t>Nature Made Organic Flaxseed Oil 1400 mg Omega-3 700 mg 300 Softgels</t>
        </is>
      </c>
      <c r="E1871" s="2">
        <f>HYPERLINK("https://www.amazon.com/Nature-Made-Organic-Flaxseed-Softgels/dp/B0846LMF24/ref=sr_1_2?keywords=Nature+Made+Organic+Flaxseed+Oil+1%2C400+mg+-+300+Softgels&amp;qid=1695170633&amp;sr=8-2", "https://www.amazon.com/Nature-Made-Organic-Flaxseed-Softgels/dp/B0846LMF24/ref=sr_1_2?keywords=Nature+Made+Organic+Flaxseed+Oil+1%2C400+mg+-+300+Softgels&amp;qid=1695170633&amp;sr=8-2")</f>
        <v/>
      </c>
      <c r="F1871" t="inlineStr">
        <is>
          <t>B0846LMF24</t>
        </is>
      </c>
      <c r="G1871">
        <f>_xludf.IMAGE("https://www.shelhealth.com/cdn/shop/products/nature-made-organic-flaxseed-oil-1-400-mg-300-softgels-shelhealth-104.jpg?v=1663337744&amp;width=1946")</f>
        <v/>
      </c>
      <c r="H1871">
        <f>_xludf.IMAGE("https://m.media-amazon.com/images/I/61AHGBG6pcL._AC_UL320_.jpg")</f>
        <v/>
      </c>
      <c r="K1871" t="inlineStr">
        <is>
          <t>25.99</t>
        </is>
      </c>
      <c r="L1871" t="n">
        <v>20.99</v>
      </c>
      <c r="M1871" s="1" t="inlineStr">
        <is>
          <t>-19.24%</t>
        </is>
      </c>
      <c r="N1871" s="3" t="n">
        <v>-19.24</v>
      </c>
      <c r="O1871" t="n">
        <v>4.8</v>
      </c>
      <c r="P1871" t="n">
        <v>243</v>
      </c>
      <c r="R1871" t="inlineStr">
        <is>
          <t>InStock</t>
        </is>
      </c>
      <c r="S1871" t="inlineStr">
        <is>
          <t>25.99</t>
        </is>
      </c>
      <c r="T1871" t="inlineStr">
        <is>
          <t>3778276393012</t>
        </is>
      </c>
    </row>
    <row r="1872" hidden="1" ht="15.75" customHeight="1">
      <c r="A1872" s="2">
        <f>HYPERLINK("https://www.shelhealth.com/products/lil-critters-omega-3-epa-dha-ala-220-gummies", "https://www.shelhealth.com/products/lil-critters-omega-3-epa-dha-ala-220-gummies")</f>
        <v/>
      </c>
      <c r="B1872" s="2">
        <f>HYPERLINK("https://www.shelhealth.com/products/lil-critters-omega-3-epa-dha-ala-220-gummies", "https://www.shelhealth.com/products/lil-critters-omega-3-epa-dha-ala-220-gummies")</f>
        <v/>
      </c>
      <c r="C1872" t="inlineStr">
        <is>
          <t>Lil Critters Omega 3, EPA, DHA &amp; ALA, 220 Gummies</t>
        </is>
      </c>
      <c r="D1872" t="inlineStr">
        <is>
          <t>LIL CRITTERS Omega 3, EPA, DHA&amp; ALA, 220 Gummies</t>
        </is>
      </c>
      <c r="E1872" s="2">
        <f>HYPERLINK("https://www.amazon.com/LIL-CRITTERS-Omega-EPA-Gummies/dp/B07JH4VB3G/ref=sr_1_1?keywords=Lil+Critters+Omega+3%2C+EPA%2C+DHA&amp;qid=1695170633&amp;sr=8-1", "https://www.amazon.com/LIL-CRITTERS-Omega-EPA-Gummies/dp/B07JH4VB3G/ref=sr_1_1?keywords=Lil+Critters+Omega+3%2C+EPA%2C+DHA&amp;qid=1695170633&amp;sr=8-1")</f>
        <v/>
      </c>
      <c r="F1872" t="inlineStr">
        <is>
          <t>B07JH4VB3G</t>
        </is>
      </c>
      <c r="G1872">
        <f>_xludf.IMAGE("https://www.shelhealth.com/cdn/shop/products/lil-critters-omega-3-epa-dha-ala-220-gummies-shelhealth-528.jpg?v=1663337910&amp;width=1946")</f>
        <v/>
      </c>
      <c r="H1872">
        <f>_xludf.IMAGE("https://m.media-amazon.com/images/I/61xLq0vUczL._AC_UL320_.jpg")</f>
        <v/>
      </c>
      <c r="K1872" t="inlineStr">
        <is>
          <t>17.99</t>
        </is>
      </c>
      <c r="L1872" t="n">
        <v>14.45</v>
      </c>
      <c r="M1872" s="1" t="inlineStr">
        <is>
          <t>-19.68%</t>
        </is>
      </c>
      <c r="N1872" s="3" t="n">
        <v>-19.68</v>
      </c>
      <c r="O1872" t="n">
        <v>4.6</v>
      </c>
      <c r="P1872" t="n">
        <v>529</v>
      </c>
      <c r="R1872" t="inlineStr">
        <is>
          <t>OutOfStock</t>
        </is>
      </c>
      <c r="S1872" t="inlineStr">
        <is>
          <t>17.99</t>
        </is>
      </c>
      <c r="T1872" t="inlineStr">
        <is>
          <t>3781930876980</t>
        </is>
      </c>
    </row>
    <row r="1873" hidden="1" ht="15.75" customHeight="1">
      <c r="A1873" s="2">
        <f>HYPERLINK("https://www.shelhealth.com/products/natures-bounty-fish-oil-1400-mg-130-softgels", "https://www.shelhealth.com/products/natures-bounty-fish-oil-1400-mg-130-softgels")</f>
        <v/>
      </c>
      <c r="B1873" s="2">
        <f>HYPERLINK("https://www.shelhealth.com/products/natures-bounty-fish-oil-1400-mg-130-softgels", "https://www.shelhealth.com/products/natures-bounty-fish-oil-1400-mg-130-softgels")</f>
        <v/>
      </c>
      <c r="C1873" t="inlineStr">
        <is>
          <t>Nature's Bounty Fish Oil 1400 mg 130 Softgels</t>
        </is>
      </c>
      <c r="D1873" t="inlineStr">
        <is>
          <t>Nature's Bounty Fish Oil, Dietary Supplement, Omega 3, Supports Heart Health, 1200mg, Rapid Release Softgels, 320 Ct</t>
        </is>
      </c>
      <c r="E1873" s="2">
        <f>HYPERLINK("https://www.amazon.com/Natures-Bounty-Omega-3-Fish-Softgels/dp/B003FW4F60/ref=sr_1_8?keywords=Nature%27s+Bounty+Fish+Oil+1400+mg+130+Softgels&amp;qid=1695170633&amp;rdc=1&amp;sr=8-8", "https://www.amazon.com/Natures-Bounty-Omega-3-Fish-Softgels/dp/B003FW4F60/ref=sr_1_8?keywords=Nature%27s+Bounty+Fish+Oil+1400+mg+130+Softgels&amp;qid=1695170633&amp;rdc=1&amp;sr=8-8")</f>
        <v/>
      </c>
      <c r="F1873" t="inlineStr">
        <is>
          <t>B003FW4F60</t>
        </is>
      </c>
      <c r="G1873">
        <f>_xludf.IMAGE("https://www.shelhealth.com/cdn/shop/products/natures-bounty-fish-oil-1400-mg-130-softgels-shelhealth-543.jpg?v=1663337773&amp;width=1946")</f>
        <v/>
      </c>
      <c r="H1873">
        <f>_xludf.IMAGE("https://m.media-amazon.com/images/I/61jLuC4Ru6L._AC_UL320_.jpg")</f>
        <v/>
      </c>
      <c r="K1873" t="inlineStr">
        <is>
          <t>29.99</t>
        </is>
      </c>
      <c r="L1873" t="n">
        <v>23.97</v>
      </c>
      <c r="M1873" s="1" t="inlineStr">
        <is>
          <t>-20.07%</t>
        </is>
      </c>
      <c r="N1873" s="3" t="n">
        <v>-20.07</v>
      </c>
      <c r="O1873" t="n">
        <v>4.8</v>
      </c>
      <c r="P1873" t="n">
        <v>4717</v>
      </c>
      <c r="R1873" t="inlineStr">
        <is>
          <t>InStock</t>
        </is>
      </c>
      <c r="S1873" t="inlineStr">
        <is>
          <t>29.99</t>
        </is>
      </c>
      <c r="T1873" t="inlineStr">
        <is>
          <t>3778560000052</t>
        </is>
      </c>
    </row>
    <row r="1874" hidden="1" ht="15.75" customHeight="1">
      <c r="A1874" s="2">
        <f>HYPERLINK("https://www.shelhealth.com/products/megared-500-mg-omega-3-krill-oil-softgels-90-ct", "https://www.shelhealth.com/products/megared-500-mg-omega-3-krill-oil-softgels-90-ct")</f>
        <v/>
      </c>
      <c r="B1874" s="2">
        <f>HYPERLINK("https://www.shelhealth.com/products/megared-500-mg-omega-3-krill-oil-softgels-90-ct", "https://www.shelhealth.com/products/megared-500-mg-omega-3-krill-oil-softgels-90-ct")</f>
        <v/>
      </c>
      <c r="C1874" t="inlineStr">
        <is>
          <t>MegaRed 500 mg Omega-3 Krill Oil Softgels, 90 ct.</t>
        </is>
      </c>
      <c r="D1874" t="inlineStr">
        <is>
          <t>MegaRed #1 Doctor Recommended Krill Oil Brand - 1000mg Omega 3 Supplement with EPA, DHA, Astaxanthin &amp; Phospholipids, Supports Heart, Brain, Joint and Eye Health, No Fish Oil Aftertaste - 60 Softgels</t>
        </is>
      </c>
      <c r="E1874" s="2">
        <f>HYPERLINK("https://www.amazon.com/MegaRed-Omega-3-Krill-Supplement-1000mg/dp/B07B6HMNYD/ref=sr_1_8?keywords=MegaRed+500+mg+Omega-3+Krill+Oil+Softgels%2C+90+ct.&amp;qid=1695170646&amp;sr=8-8", "https://www.amazon.com/MegaRed-Omega-3-Krill-Supplement-1000mg/dp/B07B6HMNYD/ref=sr_1_8?keywords=MegaRed+500+mg+Omega-3+Krill+Oil+Softgels%2C+90+ct.&amp;qid=1695170646&amp;sr=8-8")</f>
        <v/>
      </c>
      <c r="F1874" t="inlineStr">
        <is>
          <t>B07B6HMNYD</t>
        </is>
      </c>
      <c r="G1874">
        <f>_xludf.IMAGE("https://www.shelhealth.com/cdn/shop/products/megared-500-mg-omega-3-krill-oil-softgels-90-ct-shelhealth-504.jpg?v=1663352061&amp;width=1946")</f>
        <v/>
      </c>
      <c r="H1874">
        <f>_xludf.IMAGE("https://m.media-amazon.com/images/I/81-PC46t9YL._AC_UL320_.jpg")</f>
        <v/>
      </c>
      <c r="K1874" t="inlineStr">
        <is>
          <t>43.99</t>
        </is>
      </c>
      <c r="L1874" t="n">
        <v>33</v>
      </c>
      <c r="M1874" s="1" t="inlineStr">
        <is>
          <t>-24.98%</t>
        </is>
      </c>
      <c r="N1874" s="3" t="n">
        <v>-24.98</v>
      </c>
      <c r="O1874" t="n">
        <v>4.5</v>
      </c>
      <c r="P1874" t="n">
        <v>3514</v>
      </c>
      <c r="R1874" t="inlineStr">
        <is>
          <t>OutOfStock</t>
        </is>
      </c>
      <c r="S1874" t="inlineStr">
        <is>
          <t>43.99</t>
        </is>
      </c>
      <c r="T1874" t="inlineStr">
        <is>
          <t>4115578945588</t>
        </is>
      </c>
    </row>
    <row r="1875" hidden="1" ht="15.75" customHeight="1">
      <c r="A1875" s="2">
        <f>HYPERLINK("https://www.shelhealth.com/products/megared-500-mg-omega-3-krill-oil-softgels-90-ct", "https://www.shelhealth.com/products/megared-500-mg-omega-3-krill-oil-softgels-90-ct")</f>
        <v/>
      </c>
      <c r="B1875" s="2">
        <f>HYPERLINK("https://www.shelhealth.com/products/megared-500-mg-omega-3-krill-oil-softgels-90-ct", "https://www.shelhealth.com/products/megared-500-mg-omega-3-krill-oil-softgels-90-ct")</f>
        <v/>
      </c>
      <c r="C1875" t="inlineStr">
        <is>
          <t>MegaRed 500 mg Omega-3 Krill Oil Softgels, 90 ct.</t>
        </is>
      </c>
      <c r="D1875" t="inlineStr">
        <is>
          <t>Megared 500mg Extra Strength Omega-3 Krill Oil (80 Count)</t>
        </is>
      </c>
      <c r="E1875" s="2">
        <f>HYPERLINK("https://www.amazon.com/MegaRed-500mg-Extra-Strength-Omega-3/dp/B06XT3KCR2/ref=sr_1_4?keywords=MegaRed+500+mg+Omega-3+Krill+Oil+Softgels%2C+90+ct.&amp;qid=1695170646&amp;sr=8-4", "https://www.amazon.com/MegaRed-500mg-Extra-Strength-Omega-3/dp/B06XT3KCR2/ref=sr_1_4?keywords=MegaRed+500+mg+Omega-3+Krill+Oil+Softgels%2C+90+ct.&amp;qid=1695170646&amp;sr=8-4")</f>
        <v/>
      </c>
      <c r="F1875" t="inlineStr">
        <is>
          <t>B06XT3KCR2</t>
        </is>
      </c>
      <c r="G1875">
        <f>_xludf.IMAGE("https://www.shelhealth.com/cdn/shop/products/megared-500-mg-omega-3-krill-oil-softgels-90-ct-shelhealth-504.jpg?v=1663352061&amp;width=1946")</f>
        <v/>
      </c>
      <c r="H1875">
        <f>_xludf.IMAGE("https://m.media-amazon.com/images/I/81s6kzd8OuL._AC_UL320_.jpg")</f>
        <v/>
      </c>
      <c r="K1875" t="inlineStr">
        <is>
          <t>43.99</t>
        </is>
      </c>
      <c r="L1875" t="n">
        <v>31.99</v>
      </c>
      <c r="M1875" s="1" t="inlineStr">
        <is>
          <t>-27.28%</t>
        </is>
      </c>
      <c r="N1875" s="3" t="n">
        <v>-27.28</v>
      </c>
      <c r="O1875" t="n">
        <v>4.8</v>
      </c>
      <c r="P1875" t="n">
        <v>470</v>
      </c>
      <c r="R1875" t="inlineStr">
        <is>
          <t>OutOfStock</t>
        </is>
      </c>
      <c r="S1875" t="inlineStr">
        <is>
          <t>43.99</t>
        </is>
      </c>
      <c r="T1875" t="inlineStr">
        <is>
          <t>4115578945588</t>
        </is>
      </c>
    </row>
    <row r="1876" hidden="1" ht="15.75" customHeight="1">
      <c r="A1876" s="2">
        <f>HYPERLINK("https://www.shelhealth.com/products/nature-made-fish-oil-1200-mg-360-mg-omega-3-400-liquid-softgels", "https://www.shelhealth.com/products/nature-made-fish-oil-1200-mg-360-mg-omega-3-400-liquid-softgels")</f>
        <v/>
      </c>
      <c r="B1876" s="2">
        <f>HYPERLINK("https://www.shelhealth.com/products/nature-made-fish-oil-1200-mg-360-mg-omega-3-400-liquid-softgels", "https://www.shelhealth.com/products/nature-made-fish-oil-1200-mg-360-mg-omega-3-400-liquid-softgels")</f>
        <v/>
      </c>
      <c r="C1876" t="inlineStr">
        <is>
          <t>Nature Made Fish OIL 1200 Mg, 360 Mg Omega-3 ( 400 Liquid Softgels)</t>
        </is>
      </c>
      <c r="D1876" t="inlineStr">
        <is>
          <t>Nature Made Fish Oil 1200 Mg (360 Mg Omega-3) 200 Liquid Softgels</t>
        </is>
      </c>
      <c r="E1876" s="2">
        <f>HYPERLINK("https://www.amazon.com/Nature-Made-Omega-3-Liquid-Softgels/dp/B00KKA0G04/ref=sr_1_1?keywords=Nature+Made+Fish+OIL+1200+Mg%2C+360+Mg+Omega-3+%28+400+Liquid+Softgels%29&amp;qid=1695170638&amp;sr=8-1", "https://www.amazon.com/Nature-Made-Omega-3-Liquid-Softgels/dp/B00KKA0G04/ref=sr_1_1?keywords=Nature+Made+Fish+OIL+1200+Mg%2C+360+Mg+Omega-3+%28+400+Liquid+Softgels%29&amp;qid=1695170638&amp;sr=8-1")</f>
        <v/>
      </c>
      <c r="F1876" t="inlineStr">
        <is>
          <t>B00KKA0G04</t>
        </is>
      </c>
      <c r="G1876">
        <f>_xludf.IMAGE("https://www.shelhealth.com/cdn/shop/products/nature-made-fish-oil-1200-mg-360-omega-3-400-liquid-softgels-shelhealth-824.jpg?v=1663336720&amp;width=1946")</f>
        <v/>
      </c>
      <c r="H1876">
        <f>_xludf.IMAGE("https://m.media-amazon.com/images/I/71v0p+2xZmL._AC_UL320_.jpg")</f>
        <v/>
      </c>
      <c r="K1876" t="inlineStr">
        <is>
          <t>32.99</t>
        </is>
      </c>
      <c r="L1876" t="n">
        <v>22.99</v>
      </c>
      <c r="M1876" s="1" t="inlineStr">
        <is>
          <t>-30.31%</t>
        </is>
      </c>
      <c r="N1876" s="3" t="n">
        <v>-30.31</v>
      </c>
      <c r="O1876" t="n">
        <v>4.7</v>
      </c>
      <c r="P1876" t="n">
        <v>2983</v>
      </c>
      <c r="R1876" t="inlineStr">
        <is>
          <t>InStock</t>
        </is>
      </c>
      <c r="S1876" t="inlineStr">
        <is>
          <t>32.99</t>
        </is>
      </c>
      <c r="T1876" t="inlineStr">
        <is>
          <t>3714568716340</t>
        </is>
      </c>
    </row>
    <row r="1877" hidden="1" ht="15.75" customHeight="1">
      <c r="A1877" s="2">
        <f>HYPERLINK("https://www.shelhealth.com/products/natures-bounty-fish-oil-1400-mg-130-softgels", "https://www.shelhealth.com/products/natures-bounty-fish-oil-1400-mg-130-softgels")</f>
        <v/>
      </c>
      <c r="B1877" s="2">
        <f>HYPERLINK("https://www.shelhealth.com/products/natures-bounty-fish-oil-1400-mg-130-softgels", "https://www.shelhealth.com/products/natures-bounty-fish-oil-1400-mg-130-softgels")</f>
        <v/>
      </c>
      <c r="C1877" t="inlineStr">
        <is>
          <t>Nature's Bounty Fish Oil 1400 mg 130 Softgels</t>
        </is>
      </c>
      <c r="D1877" t="inlineStr">
        <is>
          <t>Nature's Bounty Fish Oil 1200 mg, Twin Pack, Supports Heart Health With Omega 3 EPA &amp; DHA, 360 Rapid Release Softgels</t>
        </is>
      </c>
      <c r="E1877" s="2">
        <f>HYPERLINK("https://www.amazon.com/Natures-Bounty-Supplement-Supports-Cardiovascular/dp/B004JO5KYO/ref=sr_1_5?keywords=Nature%27s+Bounty+Fish+Oil+1400+mg+130+Softgels&amp;qid=1695170633&amp;sr=8-5", "https://www.amazon.com/Natures-Bounty-Supplement-Supports-Cardiovascular/dp/B004JO5KYO/ref=sr_1_5?keywords=Nature%27s+Bounty+Fish+Oil+1400+mg+130+Softgels&amp;qid=1695170633&amp;sr=8-5")</f>
        <v/>
      </c>
      <c r="F1877" t="inlineStr">
        <is>
          <t>B004JO5KYO</t>
        </is>
      </c>
      <c r="G1877">
        <f>_xludf.IMAGE("https://www.shelhealth.com/cdn/shop/products/natures-bounty-fish-oil-1400-mg-130-softgels-shelhealth-543.jpg?v=1663337773&amp;width=1946")</f>
        <v/>
      </c>
      <c r="H1877">
        <f>_xludf.IMAGE("https://m.media-amazon.com/images/I/71xev7TdN9L._AC_UL320_.jpg")</f>
        <v/>
      </c>
      <c r="K1877" t="inlineStr">
        <is>
          <t>29.99</t>
        </is>
      </c>
      <c r="L1877" t="n">
        <v>20.78</v>
      </c>
      <c r="M1877" s="1" t="inlineStr">
        <is>
          <t>-30.71%</t>
        </is>
      </c>
      <c r="N1877" s="3" t="n">
        <v>-30.71</v>
      </c>
      <c r="O1877" t="n">
        <v>4.7</v>
      </c>
      <c r="P1877" t="n">
        <v>24739</v>
      </c>
      <c r="R1877" t="inlineStr">
        <is>
          <t>InStock</t>
        </is>
      </c>
      <c r="S1877" t="inlineStr">
        <is>
          <t>29.99</t>
        </is>
      </c>
      <c r="T1877" t="inlineStr">
        <is>
          <t>3778560000052</t>
        </is>
      </c>
    </row>
    <row r="1878" hidden="1" ht="15.75" customHeight="1">
      <c r="A1878" s="2">
        <f>HYPERLINK("https://www.shelhealth.com/products/nature-made-1-400mg-ultra-omega-3-fish-oil-130-ct", "https://www.shelhealth.com/products/nature-made-1-400mg-ultra-omega-3-fish-oil-130-ct")</f>
        <v/>
      </c>
      <c r="B1878" s="2">
        <f>HYPERLINK("https://www.shelhealth.com/products/nature-made-1-400mg-ultra-omega-3-fish-oil-130-ct", "https://www.shelhealth.com/products/nature-made-1-400mg-ultra-omega-3-fish-oil-130-ct")</f>
        <v/>
      </c>
      <c r="C1878" t="inlineStr">
        <is>
          <t>Nature Made 1,400mg Ultra Omega-3 Fish Oil, 130 ct.</t>
        </is>
      </c>
      <c r="D1878" t="inlineStr">
        <is>
          <t>Nature Made Ultra Omega-3 Burpless Fish Oil 1400 mg Softgels w. Omega 3 1000 mg 130 Ct</t>
        </is>
      </c>
      <c r="E1878" s="2">
        <f>HYPERLINK("https://www.amazon.com/Nature-Made-Omega-3-Burpless-Softgels/dp/B07BDQMW42/ref=sr_1_1?keywords=Nature+Made+1%2C400mg+Ultra+Omega-3+Fish+Oil%2C+130+ct.&amp;qid=1695170636&amp;sr=8-1", "https://www.amazon.com/Nature-Made-Omega-3-Burpless-Softgels/dp/B07BDQMW42/ref=sr_1_1?keywords=Nature+Made+1%2C400mg+Ultra+Omega-3+Fish+Oil%2C+130+ct.&amp;qid=1695170636&amp;sr=8-1")</f>
        <v/>
      </c>
      <c r="F1878" t="inlineStr">
        <is>
          <t>B07BDQMW42</t>
        </is>
      </c>
      <c r="G1878">
        <f>_xludf.IMAGE("https://www.shelhealth.com/cdn/shop/products/nature-made-1-400mg-ultra-omega-3-fish-oil-130-ct-shelhealth-293.jpg?v=1663351696&amp;width=1946")</f>
        <v/>
      </c>
      <c r="H1878">
        <f>_xludf.IMAGE("https://m.media-amazon.com/images/I/61pLQ7BQ-tL._AC_UL320_.jpg")</f>
        <v/>
      </c>
      <c r="K1878" t="inlineStr">
        <is>
          <t>36.99</t>
        </is>
      </c>
      <c r="L1878" t="n">
        <v>24.75</v>
      </c>
      <c r="M1878" s="1" t="inlineStr">
        <is>
          <t>-33.09%</t>
        </is>
      </c>
      <c r="N1878" s="3" t="n">
        <v>-33.09</v>
      </c>
      <c r="O1878" t="n">
        <v>4.7</v>
      </c>
      <c r="P1878" t="n">
        <v>43159</v>
      </c>
      <c r="R1878" t="inlineStr">
        <is>
          <t>InStock</t>
        </is>
      </c>
      <c r="S1878" t="inlineStr">
        <is>
          <t>36.99</t>
        </is>
      </c>
      <c r="T1878" t="inlineStr">
        <is>
          <t>4111947923508</t>
        </is>
      </c>
    </row>
    <row r="1879" hidden="1" ht="15.75" customHeight="1">
      <c r="A1879" s="2">
        <f>HYPERLINK("https://www.shelhealth.com/products/nature-made-1-400mg-ultra-omega-3-fish-oil-130-ct", "https://www.shelhealth.com/products/nature-made-1-400mg-ultra-omega-3-fish-oil-130-ct")</f>
        <v/>
      </c>
      <c r="B1879" s="2">
        <f>HYPERLINK("https://www.shelhealth.com/products/nature-made-1-400mg-ultra-omega-3-fish-oil-130-ct", "https://www.shelhealth.com/products/nature-made-1-400mg-ultra-omega-3-fish-oil-130-ct")</f>
        <v/>
      </c>
      <c r="C1879" t="inlineStr">
        <is>
          <t>Nature Made 1,400mg Ultra Omega-3 Fish Oil, 130 ct.</t>
        </is>
      </c>
      <c r="D1879" t="inlineStr">
        <is>
          <t>Nature Made Ultra Omega-3 Burpless Fish Oil 1400 mg Softgels w. Omega 3 1000 mg, 130 Count</t>
        </is>
      </c>
      <c r="E1879" s="2">
        <f>HYPERLINK("https://www.amazon.com/Nature-Made-Omega-3-Burpless-Softgels/dp/B07GY26Y4P/ref=sr_1_2?keywords=Nature+Made+1%2C400mg+Ultra+Omega-3+Fish+Oil%2C+130+ct.&amp;qid=1695170636&amp;sr=8-2", "https://www.amazon.com/Nature-Made-Omega-3-Burpless-Softgels/dp/B07GY26Y4P/ref=sr_1_2?keywords=Nature+Made+1%2C400mg+Ultra+Omega-3+Fish+Oil%2C+130+ct.&amp;qid=1695170636&amp;sr=8-2")</f>
        <v/>
      </c>
      <c r="F1879" t="inlineStr">
        <is>
          <t>B07GY26Y4P</t>
        </is>
      </c>
      <c r="G1879">
        <f>_xludf.IMAGE("https://www.shelhealth.com/cdn/shop/products/nature-made-1-400mg-ultra-omega-3-fish-oil-130-ct-shelhealth-293.jpg?v=1663351696&amp;width=1946")</f>
        <v/>
      </c>
      <c r="H1879">
        <f>_xludf.IMAGE("https://m.media-amazon.com/images/I/71yW1ZFQvyL._AC_UL320_.jpg")</f>
        <v/>
      </c>
      <c r="K1879" t="inlineStr">
        <is>
          <t>36.99</t>
        </is>
      </c>
      <c r="L1879" t="n">
        <v>24.4</v>
      </c>
      <c r="M1879" s="1" t="inlineStr">
        <is>
          <t>-34.04%</t>
        </is>
      </c>
      <c r="N1879" s="3" t="n">
        <v>-34.04</v>
      </c>
      <c r="O1879" t="n">
        <v>4.7</v>
      </c>
      <c r="P1879" t="n">
        <v>189</v>
      </c>
      <c r="R1879" t="inlineStr">
        <is>
          <t>InStock</t>
        </is>
      </c>
      <c r="S1879" t="inlineStr">
        <is>
          <t>36.99</t>
        </is>
      </c>
      <c r="T1879" t="inlineStr">
        <is>
          <t>4111947923508</t>
        </is>
      </c>
    </row>
    <row r="1880" hidden="1" ht="15.75" customHeight="1">
      <c r="A1880" s="2">
        <f>HYPERLINK("https://www.shelhealth.com/products/megared-500-mg-omega-3-krill-oil-softgels-90-ct", "https://www.shelhealth.com/products/megared-500-mg-omega-3-krill-oil-softgels-90-ct")</f>
        <v/>
      </c>
      <c r="B1880" s="2">
        <f>HYPERLINK("https://www.shelhealth.com/products/megared-500-mg-omega-3-krill-oil-softgels-90-ct", "https://www.shelhealth.com/products/megared-500-mg-omega-3-krill-oil-softgels-90-ct")</f>
        <v/>
      </c>
      <c r="C1880" t="inlineStr">
        <is>
          <t>MegaRed 500 mg Omega-3 Krill Oil Softgels, 90 ct.</t>
        </is>
      </c>
      <c r="D1880" t="inlineStr">
        <is>
          <t>Antarctic Krill Oil 500mg Omega 3 Fatty Acid Supplement, MegaRed Extra Strength EPA &amp; DHA Softgels (90cnt box), Antioxidant Astaxanthin, Heart Health Supplement With No Fish Oil Aftertaste</t>
        </is>
      </c>
      <c r="E1880" s="2">
        <f>HYPERLINK("https://www.amazon.com/Antarctic-Supplement-Antioxidant-Astaxanthin-Aftertaste/dp/B0184SMS9A/ref=sr_1_1?keywords=MegaRed+500+mg+Omega-3+Krill+Oil+Softgels%2C+90+ct.&amp;qid=1695170646&amp;rdc=1&amp;sr=8-1", "https://www.amazon.com/Antarctic-Supplement-Antioxidant-Astaxanthin-Aftertaste/dp/B0184SMS9A/ref=sr_1_1?keywords=MegaRed+500+mg+Omega-3+Krill+Oil+Softgels%2C+90+ct.&amp;qid=1695170646&amp;rdc=1&amp;sr=8-1")</f>
        <v/>
      </c>
      <c r="F1880" t="inlineStr">
        <is>
          <t>B0184SMS9A</t>
        </is>
      </c>
      <c r="G1880">
        <f>_xludf.IMAGE("https://www.shelhealth.com/cdn/shop/products/megared-500-mg-omega-3-krill-oil-softgels-90-ct-shelhealth-504.jpg?v=1663352061&amp;width=1946")</f>
        <v/>
      </c>
      <c r="H1880">
        <f>_xludf.IMAGE("https://m.media-amazon.com/images/I/91Y3Ulko49L._AC_UL320_.jpg")</f>
        <v/>
      </c>
      <c r="K1880" t="inlineStr">
        <is>
          <t>43.99</t>
        </is>
      </c>
      <c r="L1880" t="n">
        <v>26.88</v>
      </c>
      <c r="M1880" s="1" t="inlineStr">
        <is>
          <t>-38.90%</t>
        </is>
      </c>
      <c r="N1880" s="3" t="n">
        <v>-38.9</v>
      </c>
      <c r="O1880" t="n">
        <v>4.7</v>
      </c>
      <c r="P1880" t="n">
        <v>5929</v>
      </c>
      <c r="R1880" t="inlineStr">
        <is>
          <t>OutOfStock</t>
        </is>
      </c>
      <c r="S1880" t="inlineStr">
        <is>
          <t>43.99</t>
        </is>
      </c>
      <c r="T1880" t="inlineStr">
        <is>
          <t>4115578945588</t>
        </is>
      </c>
    </row>
    <row r="1881" hidden="1" ht="15.75" customHeight="1">
      <c r="A1881" s="2">
        <f>HYPERLINK("https://www.shelhealth.com/products/megared-500-mg-omega-3-krill-oil-softgels-90-ct", "https://www.shelhealth.com/products/megared-500-mg-omega-3-krill-oil-softgels-90-ct")</f>
        <v/>
      </c>
      <c r="B1881" s="2">
        <f>HYPERLINK("https://www.shelhealth.com/products/megared-500-mg-omega-3-krill-oil-softgels-90-ct", "https://www.shelhealth.com/products/megared-500-mg-omega-3-krill-oil-softgels-90-ct")</f>
        <v/>
      </c>
      <c r="C1881" t="inlineStr">
        <is>
          <t>MegaRed 500 mg Omega-3 Krill Oil Softgels, 90 ct.</t>
        </is>
      </c>
      <c r="D1881" t="inlineStr">
        <is>
          <t>Antarctic Krill Oil 500 mg Dietary Supplement with Omega-3 + Astaxanthin, Supports Healthy Heart, 160 Softgels（Pack of 1）</t>
        </is>
      </c>
      <c r="E1881" s="2">
        <f>HYPERLINK("https://www.amazon.com/Antarctic-Supplement-Astaxanthin-Supports-Softgels%EF%BC%88Pack/dp/B0CF9H2TZL/ref=sr_1_9?keywords=MegaRed+500+mg+Omega-3+Krill+Oil+Softgels%2C+90+ct.&amp;qid=1695170646&amp;sr=8-9", "https://www.amazon.com/Antarctic-Supplement-Astaxanthin-Supports-Softgels%EF%BC%88Pack/dp/B0CF9H2TZL/ref=sr_1_9?keywords=MegaRed+500+mg+Omega-3+Krill+Oil+Softgels%2C+90+ct.&amp;qid=1695170646&amp;sr=8-9")</f>
        <v/>
      </c>
      <c r="F1881" t="inlineStr">
        <is>
          <t>B0CF9H2TZL</t>
        </is>
      </c>
      <c r="G1881">
        <f>_xludf.IMAGE("https://www.shelhealth.com/cdn/shop/products/megared-500-mg-omega-3-krill-oil-softgels-90-ct-shelhealth-504.jpg?v=1663352061&amp;width=1946")</f>
        <v/>
      </c>
      <c r="H1881">
        <f>_xludf.IMAGE("https://m.media-amazon.com/images/I/51mZ3zvMZSL._AC_UL320_.jpg")</f>
        <v/>
      </c>
      <c r="K1881" t="inlineStr">
        <is>
          <t>43.99</t>
        </is>
      </c>
      <c r="L1881" t="n">
        <v>24.98</v>
      </c>
      <c r="M1881" s="1" t="inlineStr">
        <is>
          <t>-43.21%</t>
        </is>
      </c>
      <c r="N1881" s="3" t="n">
        <v>-43.21</v>
      </c>
      <c r="O1881" t="n">
        <v>4</v>
      </c>
      <c r="P1881" t="n">
        <v>1</v>
      </c>
      <c r="R1881" t="inlineStr">
        <is>
          <t>OutOfStock</t>
        </is>
      </c>
      <c r="S1881" t="inlineStr">
        <is>
          <t>43.99</t>
        </is>
      </c>
      <c r="T1881" t="inlineStr">
        <is>
          <t>4115578945588</t>
        </is>
      </c>
    </row>
    <row r="1882" hidden="1" ht="15.75" customHeight="1">
      <c r="A1882" s="2">
        <f>HYPERLINK("https://www.shelhealth.com/products/megared-500-mg-omega-3-krill-oil-softgels-90-ct", "https://www.shelhealth.com/products/megared-500-mg-omega-3-krill-oil-softgels-90-ct")</f>
        <v/>
      </c>
      <c r="B1882" s="2">
        <f>HYPERLINK("https://www.shelhealth.com/products/megared-500-mg-omega-3-krill-oil-softgels-90-ct", "https://www.shelhealth.com/products/megared-500-mg-omega-3-krill-oil-softgels-90-ct")</f>
        <v/>
      </c>
      <c r="C1882" t="inlineStr">
        <is>
          <t>MegaRed 500 mg Omega-3 Krill Oil Softgels, 90 ct.</t>
        </is>
      </c>
      <c r="D1882" t="inlineStr">
        <is>
          <t>Megared Omega-3 Blend Total Body + Refresh 500mg Softgels, (65 Count in a Bottle), Easily Absorbed Krill Oil, to Support Your Heart, Joints, Brain &amp; Eyes</t>
        </is>
      </c>
      <c r="E1882" s="2">
        <f>HYPERLINK("https://www.amazon.com/Megared-Omega-3-Refresh-Softgels-Absorbed/dp/B07PP4NQJ5/ref=sr_1_2?keywords=MegaRed+500+mg+Omega-3+Krill+Oil+Softgels%2C+90+ct.&amp;qid=1695170646&amp;sr=8-2", "https://www.amazon.com/Megared-Omega-3-Refresh-Softgels-Absorbed/dp/B07PP4NQJ5/ref=sr_1_2?keywords=MegaRed+500+mg+Omega-3+Krill+Oil+Softgels%2C+90+ct.&amp;qid=1695170646&amp;sr=8-2")</f>
        <v/>
      </c>
      <c r="F1882" t="inlineStr">
        <is>
          <t>B07PP4NQJ5</t>
        </is>
      </c>
      <c r="G1882">
        <f>_xludf.IMAGE("https://www.shelhealth.com/cdn/shop/products/megared-500-mg-omega-3-krill-oil-softgels-90-ct-shelhealth-504.jpg?v=1663352061&amp;width=1946")</f>
        <v/>
      </c>
      <c r="H1882">
        <f>_xludf.IMAGE("https://m.media-amazon.com/images/I/81RJ3AD3dLL._AC_UL320_.jpg")</f>
        <v/>
      </c>
      <c r="K1882" t="inlineStr">
        <is>
          <t>43.99</t>
        </is>
      </c>
      <c r="L1882" t="n">
        <v>23.61</v>
      </c>
      <c r="M1882" s="1" t="inlineStr">
        <is>
          <t>-46.33%</t>
        </is>
      </c>
      <c r="N1882" s="3" t="n">
        <v>-46.33</v>
      </c>
      <c r="O1882" t="n">
        <v>4.6</v>
      </c>
      <c r="P1882" t="n">
        <v>3620</v>
      </c>
      <c r="R1882" t="inlineStr">
        <is>
          <t>OutOfStock</t>
        </is>
      </c>
      <c r="S1882" t="inlineStr">
        <is>
          <t>43.99</t>
        </is>
      </c>
      <c r="T1882" t="inlineStr">
        <is>
          <t>4115578945588</t>
        </is>
      </c>
    </row>
    <row r="1883" hidden="1" ht="15.75" customHeight="1">
      <c r="A1883" s="2">
        <f>HYPERLINK("https://www.shelhealth.com/products/natures-bounty-fish-oil-1400-mg-130-softgels", "https://www.shelhealth.com/products/natures-bounty-fish-oil-1400-mg-130-softgels")</f>
        <v/>
      </c>
      <c r="B1883" s="2">
        <f>HYPERLINK("https://www.shelhealth.com/products/natures-bounty-fish-oil-1400-mg-130-softgels", "https://www.shelhealth.com/products/natures-bounty-fish-oil-1400-mg-130-softgels")</f>
        <v/>
      </c>
      <c r="C1883" t="inlineStr">
        <is>
          <t>Nature's Bounty Fish Oil 1400 mg 130 Softgels</t>
        </is>
      </c>
      <c r="D1883" t="inlineStr">
        <is>
          <t>Nature's Bounty Fish Oil, Supports Heart Health, 1200 Mg, Rapid Release Softgels, 200 Ct</t>
        </is>
      </c>
      <c r="E1883" s="2">
        <f>HYPERLINK("https://www.amazon.com/Natures-Bounty-Supplement-Supporting-Cardiovascular/dp/B000NPYY04/ref=sr_1_10?keywords=Nature%27s+Bounty+Fish+Oil+1400+mg+130+Softgels&amp;qid=1695170633&amp;sr=8-10", "https://www.amazon.com/Natures-Bounty-Supplement-Supporting-Cardiovascular/dp/B000NPYY04/ref=sr_1_10?keywords=Nature%27s+Bounty+Fish+Oil+1400+mg+130+Softgels&amp;qid=1695170633&amp;sr=8-10")</f>
        <v/>
      </c>
      <c r="F1883" t="inlineStr">
        <is>
          <t>B000NPYY04</t>
        </is>
      </c>
      <c r="G1883">
        <f>_xludf.IMAGE("https://www.shelhealth.com/cdn/shop/products/natures-bounty-fish-oil-1400-mg-130-softgels-shelhealth-543.jpg?v=1663337773&amp;width=1946")</f>
        <v/>
      </c>
      <c r="H1883">
        <f>_xludf.IMAGE("https://m.media-amazon.com/images/I/71pG28r1M6L._AC_UL320_.jpg")</f>
        <v/>
      </c>
      <c r="K1883" t="inlineStr">
        <is>
          <t>29.99</t>
        </is>
      </c>
      <c r="L1883" t="n">
        <v>15.63</v>
      </c>
      <c r="M1883" s="1" t="inlineStr">
        <is>
          <t>-47.88%</t>
        </is>
      </c>
      <c r="N1883" s="3" t="n">
        <v>-47.88</v>
      </c>
      <c r="O1883" t="n">
        <v>4.7</v>
      </c>
      <c r="P1883" t="n">
        <v>61040</v>
      </c>
      <c r="R1883" t="inlineStr">
        <is>
          <t>InStock</t>
        </is>
      </c>
      <c r="S1883" t="inlineStr">
        <is>
          <t>29.99</t>
        </is>
      </c>
      <c r="T1883" t="inlineStr">
        <is>
          <t>3778560000052</t>
        </is>
      </c>
    </row>
    <row r="1884" hidden="1" ht="15.75" customHeight="1">
      <c r="A1884" s="2">
        <f>HYPERLINK("https://www.shelhealth.com/products/nature-made-organic-flaxseed-oil-1-400-mg-300-softgels", "https://www.shelhealth.com/products/nature-made-organic-flaxseed-oil-1-400-mg-300-softgels")</f>
        <v/>
      </c>
      <c r="B1884" s="2">
        <f>HYPERLINK("https://www.shelhealth.com/products/nature-made-organic-flaxseed-oil-1-400-mg-300-softgels", "https://www.shelhealth.com/products/nature-made-organic-flaxseed-oil-1-400-mg-300-softgels")</f>
        <v/>
      </c>
      <c r="C1884" t="inlineStr">
        <is>
          <t>Nature Made Organic Flaxseed Oil 1,400 mg - 300 Softgels</t>
        </is>
      </c>
      <c r="D1884" t="inlineStr">
        <is>
          <t>Nature Made Extra Strength Flaxseed Oil 1400 mg, Fish Free Omega 3 Supplement, Dietary Supplement for Heart Health Support, 100 Softgels, 100 Day Supply</t>
        </is>
      </c>
      <c r="E1884" s="2">
        <f>HYPERLINK("https://www.amazon.com/Nature-Made-Flaxseed-Softgels-Packaging/dp/B008NC7QQS/ref=sr_1_5?keywords=Nature+Made+Organic+Flaxseed+Oil+1%2C400+mg+-+300+Softgels&amp;qid=1695170633&amp;rdc=1&amp;sr=8-5", "https://www.amazon.com/Nature-Made-Flaxseed-Softgels-Packaging/dp/B008NC7QQS/ref=sr_1_5?keywords=Nature+Made+Organic+Flaxseed+Oil+1%2C400+mg+-+300+Softgels&amp;qid=1695170633&amp;rdc=1&amp;sr=8-5")</f>
        <v/>
      </c>
      <c r="F1884" t="inlineStr">
        <is>
          <t>B008NC7QQS</t>
        </is>
      </c>
      <c r="G1884">
        <f>_xludf.IMAGE("https://www.shelhealth.com/cdn/shop/products/nature-made-organic-flaxseed-oil-1-400-mg-300-softgels-shelhealth-104.jpg?v=1663337744&amp;width=1946")</f>
        <v/>
      </c>
      <c r="H1884">
        <f>_xludf.IMAGE("https://m.media-amazon.com/images/I/71qlsbKfQ7L._AC_UL320_.jpg")</f>
        <v/>
      </c>
      <c r="K1884" t="inlineStr">
        <is>
          <t>25.99</t>
        </is>
      </c>
      <c r="L1884" t="n">
        <v>12.99</v>
      </c>
      <c r="M1884" s="1" t="inlineStr">
        <is>
          <t>-50.02%</t>
        </is>
      </c>
      <c r="N1884" s="3" t="n">
        <v>-50.02</v>
      </c>
      <c r="O1884" t="n">
        <v>4.7</v>
      </c>
      <c r="P1884" t="n">
        <v>10266</v>
      </c>
      <c r="R1884" t="inlineStr">
        <is>
          <t>InStock</t>
        </is>
      </c>
      <c r="S1884" t="inlineStr">
        <is>
          <t>25.99</t>
        </is>
      </c>
      <c r="T1884" t="inlineStr">
        <is>
          <t>3778276393012</t>
        </is>
      </c>
    </row>
    <row r="1885" hidden="1" ht="15.75" customHeight="1">
      <c r="A1885" s="2">
        <f>HYPERLINK("https://www.shelhealth.com/products/natures-bounty-fish-oil-1400-mg-130-softgels", "https://www.shelhealth.com/products/natures-bounty-fish-oil-1400-mg-130-softgels")</f>
        <v/>
      </c>
      <c r="B1885" s="2">
        <f>HYPERLINK("https://www.shelhealth.com/products/natures-bounty-fish-oil-1400-mg-130-softgels", "https://www.shelhealth.com/products/natures-bounty-fish-oil-1400-mg-130-softgels")</f>
        <v/>
      </c>
      <c r="C1885" t="inlineStr">
        <is>
          <t>Nature's Bounty Fish Oil 1400 mg 130 Softgels</t>
        </is>
      </c>
      <c r="D1885" t="inlineStr">
        <is>
          <t>Nature's Bounty Fish Oil, Dietary Supplement, Omega 3, Supports Heart Health, 1000 Mg, 220 Coated Softgels</t>
        </is>
      </c>
      <c r="E1885" s="2">
        <f>HYPERLINK("https://www.amazon.com/Natures-Bounty-Fish-Coated-Softgels/dp/B001V9MPR0/ref=sr_1_6?keywords=Nature%27s+Bounty+Fish+Oil+1400+mg+130+Softgels&amp;qid=1695170633&amp;rdc=1&amp;sr=8-6", "https://www.amazon.com/Natures-Bounty-Fish-Coated-Softgels/dp/B001V9MPR0/ref=sr_1_6?keywords=Nature%27s+Bounty+Fish+Oil+1400+mg+130+Softgels&amp;qid=1695170633&amp;rdc=1&amp;sr=8-6")</f>
        <v/>
      </c>
      <c r="F1885" t="inlineStr">
        <is>
          <t>B001V9MPR0</t>
        </is>
      </c>
      <c r="G1885">
        <f>_xludf.IMAGE("https://www.shelhealth.com/cdn/shop/products/natures-bounty-fish-oil-1400-mg-130-softgels-shelhealth-543.jpg?v=1663337773&amp;width=1946")</f>
        <v/>
      </c>
      <c r="H1885">
        <f>_xludf.IMAGE("https://m.media-amazon.com/images/I/71TBt3hkY3L._AC_UL320_.jpg")</f>
        <v/>
      </c>
      <c r="K1885" t="inlineStr">
        <is>
          <t>29.99</t>
        </is>
      </c>
      <c r="L1885" t="n">
        <v>14.39</v>
      </c>
      <c r="M1885" s="1" t="inlineStr">
        <is>
          <t>-52.02%</t>
        </is>
      </c>
      <c r="N1885" s="3" t="n">
        <v>-52.02</v>
      </c>
      <c r="O1885" t="n">
        <v>4.7</v>
      </c>
      <c r="P1885" t="n">
        <v>1052</v>
      </c>
      <c r="R1885" t="inlineStr">
        <is>
          <t>InStock</t>
        </is>
      </c>
      <c r="S1885" t="inlineStr">
        <is>
          <t>29.99</t>
        </is>
      </c>
      <c r="T1885" t="inlineStr">
        <is>
          <t>3778560000052</t>
        </is>
      </c>
    </row>
    <row r="1886" hidden="1" ht="15.75" customHeight="1">
      <c r="A1886" s="2">
        <f>HYPERLINK("https://www.shelhealth.com/products/nature-made-organic-flaxseed-oil-1-400-mg-300-softgels", "https://www.shelhealth.com/products/nature-made-organic-flaxseed-oil-1-400-mg-300-softgels")</f>
        <v/>
      </c>
      <c r="B1886" s="2">
        <f>HYPERLINK("https://www.shelhealth.com/products/nature-made-organic-flaxseed-oil-1-400-mg-300-softgels", "https://www.shelhealth.com/products/nature-made-organic-flaxseed-oil-1-400-mg-300-softgels")</f>
        <v/>
      </c>
      <c r="C1886" t="inlineStr">
        <is>
          <t>Nature Made Organic Flaxseed Oil 1,400 mg - 300 Softgels</t>
        </is>
      </c>
      <c r="D1886" t="inlineStr">
        <is>
          <t>Nature Made Flaxseed Oil 1000 mg, Fish Free Omega 3 Supplement, Dietary Supplement for Heart Health Support, 100 Softgels, 100 Day Supply</t>
        </is>
      </c>
      <c r="E1886" s="2">
        <f>HYPERLINK("https://www.amazon.com/Nature-Made-Flaxseed-Softgels-Packaging/dp/B00126FELQ/ref=sr_1_6?keywords=Nature+Made+Organic+Flaxseed+Oil+1%2C400+mg+-+300+Softgels&amp;qid=1695170633&amp;sr=8-6", "https://www.amazon.com/Nature-Made-Flaxseed-Softgels-Packaging/dp/B00126FELQ/ref=sr_1_6?keywords=Nature+Made+Organic+Flaxseed+Oil+1%2C400+mg+-+300+Softgels&amp;qid=1695170633&amp;sr=8-6")</f>
        <v/>
      </c>
      <c r="F1886" t="inlineStr">
        <is>
          <t>B00126FELQ</t>
        </is>
      </c>
      <c r="G1886">
        <f>_xludf.IMAGE("https://www.shelhealth.com/cdn/shop/products/nature-made-organic-flaxseed-oil-1-400-mg-300-softgels-shelhealth-104.jpg?v=1663337744&amp;width=1946")</f>
        <v/>
      </c>
      <c r="H1886">
        <f>_xludf.IMAGE("https://m.media-amazon.com/images/I/7175057oX1L._AC_UL320_.jpg")</f>
        <v/>
      </c>
      <c r="K1886" t="inlineStr">
        <is>
          <t>25.99</t>
        </is>
      </c>
      <c r="L1886" t="n">
        <v>8.279999999999999</v>
      </c>
      <c r="M1886" s="1" t="inlineStr">
        <is>
          <t>-68.14%</t>
        </is>
      </c>
      <c r="N1886" s="3" t="n">
        <v>-68.14</v>
      </c>
      <c r="O1886" t="n">
        <v>4.7</v>
      </c>
      <c r="P1886" t="n">
        <v>5622</v>
      </c>
      <c r="R1886" t="inlineStr">
        <is>
          <t>InStock</t>
        </is>
      </c>
      <c r="S1886" t="inlineStr">
        <is>
          <t>25.99</t>
        </is>
      </c>
      <c r="T1886" t="inlineStr">
        <is>
          <t>3778276393012</t>
        </is>
      </c>
    </row>
    <row r="1887" hidden="1" ht="15.75" customHeight="1">
      <c r="A1887" s="2">
        <f>HYPERLINK("https://www.shelhealth.com/products/megared-500-mg-omega-3-krill-oil-softgels-90-ct", "https://www.shelhealth.com/products/megared-500-mg-omega-3-krill-oil-softgels-90-ct")</f>
        <v/>
      </c>
      <c r="B1887" s="2">
        <f>HYPERLINK("https://www.shelhealth.com/products/megared-500-mg-omega-3-krill-oil-softgels-90-ct", "https://www.shelhealth.com/products/megared-500-mg-omega-3-krill-oil-softgels-90-ct")</f>
        <v/>
      </c>
      <c r="C1887" t="inlineStr">
        <is>
          <t>MegaRed 500 mg Omega-3 Krill Oil Softgels, 90 ct.</t>
        </is>
      </c>
      <c r="D1887" t="inlineStr">
        <is>
          <t>Omega-3 Blend Supplement 500mg, MegaRed Total Body + Refresh Softgels (30 Count in A Bottle), Easily Absorbed Krill Oil, to Support Your Heart, Joints, Brain &amp; Eyes</t>
        </is>
      </c>
      <c r="E1887" s="2">
        <f>HYPERLINK("https://www.amazon.com/Omega-3-Supplement-MegaRed-Softgels-Absorbed/dp/B085B7P5DS/ref=sr_1_5?keywords=MegaRed+500+mg+Omega-3+Krill+Oil+Softgels%2C+90+ct.&amp;qid=1695170646&amp;sr=8-5", "https://www.amazon.com/Omega-3-Supplement-MegaRed-Softgels-Absorbed/dp/B085B7P5DS/ref=sr_1_5?keywords=MegaRed+500+mg+Omega-3+Krill+Oil+Softgels%2C+90+ct.&amp;qid=1695170646&amp;sr=8-5")</f>
        <v/>
      </c>
      <c r="F1887" t="inlineStr">
        <is>
          <t>B085B7P5DS</t>
        </is>
      </c>
      <c r="G1887">
        <f>_xludf.IMAGE("https://www.shelhealth.com/cdn/shop/products/megared-500-mg-omega-3-krill-oil-softgels-90-ct-shelhealth-504.jpg?v=1663352061&amp;width=1946")</f>
        <v/>
      </c>
      <c r="H1887">
        <f>_xludf.IMAGE("https://m.media-amazon.com/images/I/81xmQU2NJiL._AC_UL320_.jpg")</f>
        <v/>
      </c>
      <c r="K1887" t="inlineStr">
        <is>
          <t>43.99</t>
        </is>
      </c>
      <c r="L1887" t="n">
        <v>13.29</v>
      </c>
      <c r="M1887" s="1" t="inlineStr">
        <is>
          <t>-69.79%</t>
        </is>
      </c>
      <c r="N1887" s="3" t="n">
        <v>-69.79000000000001</v>
      </c>
      <c r="O1887" t="n">
        <v>4.4</v>
      </c>
      <c r="P1887" t="n">
        <v>74</v>
      </c>
      <c r="R1887" t="inlineStr">
        <is>
          <t>OutOfStock</t>
        </is>
      </c>
      <c r="S1887" t="inlineStr">
        <is>
          <t>43.99</t>
        </is>
      </c>
      <c r="T1887" t="inlineStr">
        <is>
          <t>4115578945588</t>
        </is>
      </c>
    </row>
    <row r="1888" hidden="1" ht="15.75" customHeight="1">
      <c r="A1888" s="2">
        <f>HYPERLINK("https://www.shelhealth.com/products/natures-bounty-fish-oil-1400-mg-130-softgels", "https://www.shelhealth.com/products/natures-bounty-fish-oil-1400-mg-130-softgels")</f>
        <v/>
      </c>
      <c r="B1888" s="2">
        <f>HYPERLINK("https://www.shelhealth.com/products/natures-bounty-fish-oil-1400-mg-130-softgels", "https://www.shelhealth.com/products/natures-bounty-fish-oil-1400-mg-130-softgels")</f>
        <v/>
      </c>
      <c r="C1888" t="inlineStr">
        <is>
          <t>Nature's Bounty Fish Oil 1400 mg 130 Softgels</t>
        </is>
      </c>
      <c r="D1888" t="inlineStr">
        <is>
          <t>Nature's Bounty Fish Oil, 1400mg, 980mg of Omega-3, 39 Softgels</t>
        </is>
      </c>
      <c r="E1888" s="2">
        <f>HYPERLINK("https://www.amazon.com/Natures-Bounty-Fish-Omega-3-Softgels/dp/B00225UVDC/ref=sr_1_1?keywords=Nature%27s+Bounty+Fish+Oil+1400+mg+130+Softgels&amp;qid=1695170633&amp;sr=8-1", "https://www.amazon.com/Natures-Bounty-Fish-Omega-3-Softgels/dp/B00225UVDC/ref=sr_1_1?keywords=Nature%27s+Bounty+Fish+Oil+1400+mg+130+Softgels&amp;qid=1695170633&amp;sr=8-1")</f>
        <v/>
      </c>
      <c r="F1888" t="inlineStr">
        <is>
          <t>B00225UVDC</t>
        </is>
      </c>
      <c r="G1888">
        <f>_xludf.IMAGE("https://www.shelhealth.com/cdn/shop/products/natures-bounty-fish-oil-1400-mg-130-softgels-shelhealth-543.jpg?v=1663337773&amp;width=1946")</f>
        <v/>
      </c>
      <c r="H1888">
        <f>_xludf.IMAGE("https://m.media-amazon.com/images/I/81Jxy8lLLEL._AC_UL320_.jpg")</f>
        <v/>
      </c>
      <c r="K1888" t="inlineStr">
        <is>
          <t>29.99</t>
        </is>
      </c>
      <c r="L1888" t="n">
        <v>8.57</v>
      </c>
      <c r="M1888" s="1" t="inlineStr">
        <is>
          <t>-71.42%</t>
        </is>
      </c>
      <c r="N1888" s="3" t="n">
        <v>-71.42</v>
      </c>
      <c r="O1888" t="n">
        <v>4.6</v>
      </c>
      <c r="P1888" t="n">
        <v>899</v>
      </c>
      <c r="R1888" t="inlineStr">
        <is>
          <t>InStock</t>
        </is>
      </c>
      <c r="S1888" t="inlineStr">
        <is>
          <t>29.99</t>
        </is>
      </c>
      <c r="T1888" t="inlineStr">
        <is>
          <t>3778560000052</t>
        </is>
      </c>
    </row>
    <row r="1889" ht="75" customHeight="1">
      <c r="A1889" s="2">
        <f>HYPERLINK("https://www.shelhealth.com/products/viactiv-calcium-plus-d-vitamin-chews-180-count", "https://www.shelhealth.com/products/viactiv-calcium-plus-d-vitamin-chews-180-count")</f>
        <v/>
      </c>
      <c r="B1889" s="2">
        <f>HYPERLINK("https://www.shelhealth.com/products/viactiv-calcium-plus-d-vitamin-chews-180-count", "https://www.shelhealth.com/products/viactiv-calcium-plus-d-vitamin-chews-180-count")</f>
        <v/>
      </c>
      <c r="C1889" t="inlineStr">
        <is>
          <t>Viactiv Calcium Plus D Vitamin Chews, 180 Count</t>
        </is>
      </c>
      <c r="D1889" t="inlineStr">
        <is>
          <t>Viactiv Calcium (500mg) plus Vitamins D &amp; K, Milk Chocolate, 90-Count Soft Chews (Pack of 2)</t>
        </is>
      </c>
      <c r="E1889" s="2">
        <f>HYPERLINK("https://www.amazon.com/Viactiv-Calcium-Vitamins-Chocolate-90-Count/dp/B001E96Q40/ref=sr_1_9?keywords=Viactiv+Calcium+Plus+D+Vitamin+Chews%2C+180+Count&amp;qid=1695170660&amp;sr=8-9", "https://www.amazon.com/Viactiv-Calcium-Vitamins-Chocolate-90-Count/dp/B001E96Q40/ref=sr_1_9?keywords=Viactiv+Calcium+Plus+D+Vitamin+Chews%2C+180+Count&amp;qid=1695170660&amp;sr=8-9")</f>
        <v/>
      </c>
      <c r="F1889" t="inlineStr">
        <is>
          <t>B001E96Q40</t>
        </is>
      </c>
      <c r="G1889">
        <f>_xlfn.IMAGE("https://www.shelhealth.com/cdn/shop/products/viactiv-calcium-plus-d-vitamin-chews-180-count-shelhealth-617.jpg?v=1663351824&amp;width=1946")</f>
        <v/>
      </c>
      <c r="H1889">
        <f>_xlfn.IMAGE("https://m.media-amazon.com/images/I/61b060TWfdL._AC_UL320_.jpg")</f>
        <v/>
      </c>
      <c r="K1889" t="inlineStr">
        <is>
          <t>19.99</t>
        </is>
      </c>
      <c r="L1889" t="n">
        <v>35.85</v>
      </c>
      <c r="M1889" s="1" t="inlineStr">
        <is>
          <t>79.34%</t>
        </is>
      </c>
      <c r="N1889" s="3" t="n">
        <v>79.34</v>
      </c>
      <c r="O1889" t="n">
        <v>4.7</v>
      </c>
      <c r="P1889" t="n">
        <v>88</v>
      </c>
      <c r="R1889" t="inlineStr">
        <is>
          <t>OutOfStock</t>
        </is>
      </c>
      <c r="S1889" t="inlineStr">
        <is>
          <t>19.99</t>
        </is>
      </c>
      <c r="T1889" t="inlineStr">
        <is>
          <t>4113033560116</t>
        </is>
      </c>
    </row>
    <row r="1890" hidden="1" ht="15.75" customHeight="1">
      <c r="A1890" s="2">
        <f>HYPERLINK("https://www.shelhealth.com/products/nature-made-iron-65-mg-365-tablets", "https://www.shelhealth.com/products/nature-made-iron-65-mg-365-tablets")</f>
        <v/>
      </c>
      <c r="B1890" s="2">
        <f>HYPERLINK("https://www.shelhealth.com/products/nature-made-iron-65-mg-365-tablets", "https://www.shelhealth.com/products/nature-made-iron-65-mg-365-tablets")</f>
        <v/>
      </c>
      <c r="C1890" t="inlineStr">
        <is>
          <t>Nature Made Iron 65 mg, 365 Tablets</t>
        </is>
      </c>
      <c r="D1890" t="inlineStr">
        <is>
          <t>Nature Made Iron 65 mg (325 mg Ferrous Sulfate) Tablets, Dietary Supplement for Red Blood Cell Support, 365 Tablets, 365 Day Supply+Better Guide Vitamins Supplements Book</t>
        </is>
      </c>
      <c r="E1890" s="2">
        <f>HYPERLINK("https://www.amazon.com/Ferrous-Sulfate-Supplement-Vitamins-Supplements/dp/B0C277RX2V/ref=sr_1_4?keywords=Nature+Made+Iron+65+mg%2C+365+Tablets&amp;qid=1695170673&amp;sr=8-4", "https://www.amazon.com/Ferrous-Sulfate-Supplement-Vitamins-Supplements/dp/B0C277RX2V/ref=sr_1_4?keywords=Nature+Made+Iron+65+mg%2C+365+Tablets&amp;qid=1695170673&amp;sr=8-4")</f>
        <v/>
      </c>
      <c r="F1890" t="inlineStr">
        <is>
          <t>B0C277RX2V</t>
        </is>
      </c>
      <c r="G1890">
        <f>_xludf.IMAGE("https://www.shelhealth.com/cdn/shop/products/nature-made-iron-65-mg-365-tablets-shelhealth-913.jpg?v=1663337824&amp;width=1946")</f>
        <v/>
      </c>
      <c r="H1890">
        <f>_xludf.IMAGE("https://m.media-amazon.com/images/I/51zFfMCeuDL._AC_UL320_.jpg")</f>
        <v/>
      </c>
      <c r="K1890" t="inlineStr">
        <is>
          <t>15.99</t>
        </is>
      </c>
      <c r="L1890" t="n">
        <v>25.3</v>
      </c>
      <c r="M1890" s="1" t="inlineStr">
        <is>
          <t>58.22%</t>
        </is>
      </c>
      <c r="N1890" s="3" t="n">
        <v>58.22</v>
      </c>
      <c r="O1890" t="n">
        <v>4.7</v>
      </c>
      <c r="P1890" t="n">
        <v>67</v>
      </c>
      <c r="R1890" t="inlineStr">
        <is>
          <t>InStock</t>
        </is>
      </c>
      <c r="S1890" t="inlineStr">
        <is>
          <t>15.99</t>
        </is>
      </c>
      <c r="T1890" t="inlineStr">
        <is>
          <t>3778756050996</t>
        </is>
      </c>
    </row>
    <row r="1891" hidden="1" ht="15.75" customHeight="1">
      <c r="A1891" s="2">
        <f>HYPERLINK("https://www.shelhealth.com/products/nature-made-iron-65-mg-365-tablets", "https://www.shelhealth.com/products/nature-made-iron-65-mg-365-tablets")</f>
        <v/>
      </c>
      <c r="B1891" s="2">
        <f>HYPERLINK("https://www.shelhealth.com/products/nature-made-iron-65-mg-365-tablets", "https://www.shelhealth.com/products/nature-made-iron-65-mg-365-tablets")</f>
        <v/>
      </c>
      <c r="C1891" t="inlineStr">
        <is>
          <t>Nature Made Iron 65 mg, 365 Tablets</t>
        </is>
      </c>
      <c r="D1891" t="inlineStr">
        <is>
          <t>Nature Made Iron 65 mg (325 mg Ferrous Sulfate) Tablets, Dietary Supplement for Red Blood Cell Support (Pack of 1), 365 Tablets, 365 Day Supply+GabrenzSticker</t>
        </is>
      </c>
      <c r="E1891" s="2">
        <f>HYPERLINK("https://www.amazon.com/Ferrous-Sulfate-Tablets-Supplement-GabrenzSticker/dp/B0CDFYWC5N/ref=sr_1_5?keywords=Nature+Made+Iron+65+mg%2C+365+Tablets&amp;qid=1695170673&amp;sr=8-5", "https://www.amazon.com/Ferrous-Sulfate-Tablets-Supplement-GabrenzSticker/dp/B0CDFYWC5N/ref=sr_1_5?keywords=Nature+Made+Iron+65+mg%2C+365+Tablets&amp;qid=1695170673&amp;sr=8-5")</f>
        <v/>
      </c>
      <c r="F1891" t="inlineStr">
        <is>
          <t>B0CDFYWC5N</t>
        </is>
      </c>
      <c r="G1891">
        <f>_xludf.IMAGE("https://www.shelhealth.com/cdn/shop/products/nature-made-iron-65-mg-365-tablets-shelhealth-913.jpg?v=1663337824&amp;width=1946")</f>
        <v/>
      </c>
      <c r="H1891">
        <f>_xludf.IMAGE("https://m.media-amazon.com/images/I/61faeYirFFL._AC_UL320_.jpg")</f>
        <v/>
      </c>
      <c r="K1891" t="inlineStr">
        <is>
          <t>15.99</t>
        </is>
      </c>
      <c r="L1891" t="n">
        <v>25.29</v>
      </c>
      <c r="M1891" s="1" t="inlineStr">
        <is>
          <t>58.16%</t>
        </is>
      </c>
      <c r="N1891" s="3" t="n">
        <v>58.16</v>
      </c>
      <c r="O1891" t="n">
        <v>5</v>
      </c>
      <c r="P1891" t="n">
        <v>1</v>
      </c>
      <c r="R1891" t="inlineStr">
        <is>
          <t>InStock</t>
        </is>
      </c>
      <c r="S1891" t="inlineStr">
        <is>
          <t>15.99</t>
        </is>
      </c>
      <c r="T1891" t="inlineStr">
        <is>
          <t>3778756050996</t>
        </is>
      </c>
    </row>
    <row r="1892" hidden="1" ht="15.75" customHeight="1">
      <c r="A1892" s="2">
        <f>HYPERLINK("https://www.shelhealth.com/products/nature-made-400mg-high-potency-magnesium-liquid-softgels-150-ct", "https://www.shelhealth.com/products/nature-made-400mg-high-potency-magnesium-liquid-softgels-150-ct")</f>
        <v/>
      </c>
      <c r="B1892" s="2">
        <f>HYPERLINK("https://www.shelhealth.com/products/nature-made-400mg-high-potency-magnesium-liquid-softgels-150-ct", "https://www.shelhealth.com/products/nature-made-400mg-high-potency-magnesium-liquid-softgels-150-ct")</f>
        <v/>
      </c>
      <c r="C1892" t="inlineStr">
        <is>
          <t>Nature Made 400mg High Potency Magnesium Liquid Softgels, 150 ct.</t>
        </is>
      </c>
      <c r="D1892" t="inlineStr">
        <is>
          <t>Nature Made High Potency Magnesium 400 mg - 150 Liquid Softgels,(Pack of 2)</t>
        </is>
      </c>
      <c r="E1892" s="2">
        <f>HYPERLINK("https://www.amazon.com/Nature-Made-High-Potency-Magnesium/dp/B00LE27M40/ref=sr_1_2?keywords=Nature+Made+400mg+High+Potency+Magnesium+Liquid+Softgels%2C+150+ct.&amp;qid=1695170659&amp;sr=8-2", "https://www.amazon.com/Nature-Made-High-Potency-Magnesium/dp/B00LE27M40/ref=sr_1_2?keywords=Nature+Made+400mg+High+Potency+Magnesium+Liquid+Softgels%2C+150+ct.&amp;qid=1695170659&amp;sr=8-2")</f>
        <v/>
      </c>
      <c r="F1892" t="inlineStr">
        <is>
          <t>B00LE27M40</t>
        </is>
      </c>
      <c r="G1892">
        <f>_xludf.IMAGE("https://www.shelhealth.com/cdn/shop/products/nature-made-400mg-high-potency-magnesium-liquid-softgels-150-ct-shelhealth-434.jpg?v=1663351681&amp;width=1946")</f>
        <v/>
      </c>
      <c r="H1892">
        <f>_xludf.IMAGE("https://m.media-amazon.com/images/I/8115mc+JJEL._AC_UL320_.jpg")</f>
        <v/>
      </c>
      <c r="K1892" t="inlineStr">
        <is>
          <t>21.99</t>
        </is>
      </c>
      <c r="L1892" t="n">
        <v>33.67</v>
      </c>
      <c r="M1892" s="1" t="inlineStr">
        <is>
          <t>53.12%</t>
        </is>
      </c>
      <c r="N1892" s="3" t="n">
        <v>53.12</v>
      </c>
      <c r="O1892" t="n">
        <v>4.7</v>
      </c>
      <c r="P1892" t="n">
        <v>977</v>
      </c>
      <c r="R1892" t="inlineStr">
        <is>
          <t>InStock</t>
        </is>
      </c>
      <c r="S1892" t="inlineStr">
        <is>
          <t>21.99</t>
        </is>
      </c>
      <c r="T1892" t="inlineStr">
        <is>
          <t>4111942516788</t>
        </is>
      </c>
    </row>
    <row r="1893" hidden="1" ht="15.75" customHeight="1">
      <c r="A1893" s="2">
        <f>HYPERLINK("https://www.shelhealth.com/products/765462005368-liquid-health-calcium-and-magnesium-32-oz", "https://www.shelhealth.com/products/765462005368-liquid-health-calcium-and-magnesium-32-oz")</f>
        <v/>
      </c>
      <c r="B1893" s="2">
        <f>HYPERLINK("https://www.shelhealth.com/products/765462005368-liquid-health-calcium-and-magnesium-32-oz", "https://www.shelhealth.com/products/765462005368-liquid-health-calcium-and-magnesium-32-oz")</f>
        <v/>
      </c>
      <c r="C1893" t="inlineStr">
        <is>
          <t>Liquid Health Calcium And Magnesium, 32 Oz</t>
        </is>
      </c>
      <c r="D1893" t="inlineStr">
        <is>
          <t>Liquid Ionic Calcium Magnesium Supplement (32oz) Healthy Bones, Hair, Nails and Body. Doctor Formulated. Zero Calories. Zero Sugar. by Eniva Health.</t>
        </is>
      </c>
      <c r="E1893" s="2">
        <f>HYPERLINK("https://www.amazon.com/Magnesium-Supplement-Formulated-Calories-Eniva/dp/B00KPK0T74/ref=sr_1_1?keywords=Liquid+Health+Calcium+And+Magnesium%2C+32+Oz&amp;qid=1695170659&amp;sr=8-1", "https://www.amazon.com/Magnesium-Supplement-Formulated-Calories-Eniva/dp/B00KPK0T74/ref=sr_1_1?keywords=Liquid+Health+Calcium+And+Magnesium%2C+32+Oz&amp;qid=1695170659&amp;sr=8-1")</f>
        <v/>
      </c>
      <c r="F1893" t="inlineStr">
        <is>
          <t>B00KPK0T74</t>
        </is>
      </c>
      <c r="G1893">
        <f>_xludf.IMAGE("https://www.shelhealth.com/cdn/shop/files/liquid-health-calcium-and-magnesium-32-oz-supplements-shelhealth-870.jpg?v=1686142286&amp;width=1946")</f>
        <v/>
      </c>
      <c r="H1893">
        <f>_xludf.IMAGE("https://m.media-amazon.com/images/I/61fN994DDBL._AC_UL320_.jpg")</f>
        <v/>
      </c>
      <c r="K1893" t="inlineStr">
        <is>
          <t>27.99</t>
        </is>
      </c>
      <c r="L1893" t="n">
        <v>39.92</v>
      </c>
      <c r="M1893" s="1" t="inlineStr">
        <is>
          <t>42.62%</t>
        </is>
      </c>
      <c r="N1893" s="3" t="n">
        <v>42.62</v>
      </c>
      <c r="O1893" t="n">
        <v>4.4</v>
      </c>
      <c r="P1893" t="n">
        <v>62</v>
      </c>
      <c r="R1893" t="inlineStr">
        <is>
          <t>OutOfStock</t>
        </is>
      </c>
      <c r="S1893" t="inlineStr">
        <is>
          <t>27.99</t>
        </is>
      </c>
      <c r="T1893" t="inlineStr">
        <is>
          <t>7241790914748</t>
        </is>
      </c>
    </row>
    <row r="1894" hidden="1" ht="15.75" customHeight="1">
      <c r="A1894" s="2">
        <f>HYPERLINK("https://www.shelhealth.com/products/nature-made-iron-65-mg-365-tablets", "https://www.shelhealth.com/products/nature-made-iron-65-mg-365-tablets")</f>
        <v/>
      </c>
      <c r="B1894" s="2">
        <f>HYPERLINK("https://www.shelhealth.com/products/nature-made-iron-65-mg-365-tablets", "https://www.shelhealth.com/products/nature-made-iron-65-mg-365-tablets")</f>
        <v/>
      </c>
      <c r="C1894" t="inlineStr">
        <is>
          <t>Nature Made Iron 65 mg, 365 Tablets</t>
        </is>
      </c>
      <c r="D1894" t="inlineStr">
        <is>
          <t>Nature Made Iron 65 mg (325 mg Ferrous Sulfate) Tablets, Dietary Supplement for Red Blood Cell Support, 365 Tablets, 365 Day Supply Bunde with Weekly Pill Organizer</t>
        </is>
      </c>
      <c r="E1894" s="2">
        <f>HYPERLINK("https://www.amazon.com/Ferrous-Sulfate-Tablets-Supplement-Organizer/dp/B0C74THL2P/ref=sr_1_2?keywords=Nature+Made+Iron+65+mg%2C+365+Tablets&amp;qid=1695170673&amp;sr=8-2", "https://www.amazon.com/Ferrous-Sulfate-Tablets-Supplement-Organizer/dp/B0C74THL2P/ref=sr_1_2?keywords=Nature+Made+Iron+65+mg%2C+365+Tablets&amp;qid=1695170673&amp;sr=8-2")</f>
        <v/>
      </c>
      <c r="F1894" t="inlineStr">
        <is>
          <t>B0C74THL2P</t>
        </is>
      </c>
      <c r="G1894">
        <f>_xludf.IMAGE("https://www.shelhealth.com/cdn/shop/products/nature-made-iron-65-mg-365-tablets-shelhealth-913.jpg?v=1663337824&amp;width=1946")</f>
        <v/>
      </c>
      <c r="H1894">
        <f>_xludf.IMAGE("https://m.media-amazon.com/images/I/41E3CR5wbVL._AC_UL320_.jpg")</f>
        <v/>
      </c>
      <c r="K1894" t="inlineStr">
        <is>
          <t>15.99</t>
        </is>
      </c>
      <c r="L1894" t="n">
        <v>19.99</v>
      </c>
      <c r="M1894" s="1" t="inlineStr">
        <is>
          <t>25.02%</t>
        </is>
      </c>
      <c r="N1894" s="3" t="n">
        <v>25.02</v>
      </c>
      <c r="O1894" t="n">
        <v>5</v>
      </c>
      <c r="P1894" t="n">
        <v>6</v>
      </c>
      <c r="R1894" t="inlineStr">
        <is>
          <t>InStock</t>
        </is>
      </c>
      <c r="S1894" t="inlineStr">
        <is>
          <t>15.99</t>
        </is>
      </c>
      <c r="T1894" t="inlineStr">
        <is>
          <t>3778756050996</t>
        </is>
      </c>
    </row>
    <row r="1895" hidden="1" ht="15.75" customHeight="1">
      <c r="A1895" s="2">
        <f>HYPERLINK("https://www.shelhealth.com/products/viactiv-calcium-plus-d-vitamin-chews-180-count", "https://www.shelhealth.com/products/viactiv-calcium-plus-d-vitamin-chews-180-count")</f>
        <v/>
      </c>
      <c r="B1895" s="2">
        <f>HYPERLINK("https://www.shelhealth.com/products/viactiv-calcium-plus-d-vitamin-chews-180-count", "https://www.shelhealth.com/products/viactiv-calcium-plus-d-vitamin-chews-180-count")</f>
        <v/>
      </c>
      <c r="C1895" t="inlineStr">
        <is>
          <t>Viactiv Calcium Plus D Vitamin Chews, 180 Count</t>
        </is>
      </c>
      <c r="D1895" t="inlineStr">
        <is>
          <t>Viactiv Calcium Plus Vitamin D Supplement Soft Chews, Brown, Milk Chocolate, 180 Count</t>
        </is>
      </c>
      <c r="E1895" s="2">
        <f>HYPERLINK("https://www.amazon.com/Viactiv-Calcium-Vitamin-Chews-Count/dp/B016BAOR2E/ref=sr_1_1?keywords=Viactiv+Calcium+Plus+D+Vitamin+Chews%2C+180+Count&amp;qid=1695170660&amp;sr=8-1", "https://www.amazon.com/Viactiv-Calcium-Vitamin-Chews-Count/dp/B016BAOR2E/ref=sr_1_1?keywords=Viactiv+Calcium+Plus+D+Vitamin+Chews%2C+180+Count&amp;qid=1695170660&amp;sr=8-1")</f>
        <v/>
      </c>
      <c r="F1895" t="inlineStr">
        <is>
          <t>B016BAOR2E</t>
        </is>
      </c>
      <c r="G1895">
        <f>_xludf.IMAGE("https://www.shelhealth.com/cdn/shop/products/viactiv-calcium-plus-d-vitamin-chews-180-count-shelhealth-617.jpg?v=1663351824&amp;width=1946")</f>
        <v/>
      </c>
      <c r="H1895">
        <f>_xludf.IMAGE("https://m.media-amazon.com/images/I/91MW+G3hUmL._AC_UL320_.jpg")</f>
        <v/>
      </c>
      <c r="K1895" t="inlineStr">
        <is>
          <t>19.99</t>
        </is>
      </c>
      <c r="L1895" t="n">
        <v>24.99</v>
      </c>
      <c r="M1895" s="1" t="inlineStr">
        <is>
          <t>25.01%</t>
        </is>
      </c>
      <c r="N1895" s="3" t="n">
        <v>25.01</v>
      </c>
      <c r="O1895" t="n">
        <v>4.7</v>
      </c>
      <c r="P1895" t="n">
        <v>3970</v>
      </c>
      <c r="R1895" t="inlineStr">
        <is>
          <t>OutOfStock</t>
        </is>
      </c>
      <c r="S1895" t="inlineStr">
        <is>
          <t>19.99</t>
        </is>
      </c>
      <c r="T1895" t="inlineStr">
        <is>
          <t>4113033560116</t>
        </is>
      </c>
    </row>
    <row r="1896" hidden="1" ht="15.75" customHeight="1">
      <c r="A1896" s="2">
        <f>HYPERLINK("https://www.shelhealth.com/products/765462005368-liquid-health-calcium-and-magnesium-32-oz", "https://www.shelhealth.com/products/765462005368-liquid-health-calcium-and-magnesium-32-oz")</f>
        <v/>
      </c>
      <c r="B1896" s="2">
        <f>HYPERLINK("https://www.shelhealth.com/products/765462005368-liquid-health-calcium-and-magnesium-32-oz", "https://www.shelhealth.com/products/765462005368-liquid-health-calcium-and-magnesium-32-oz")</f>
        <v/>
      </c>
      <c r="C1896" t="inlineStr">
        <is>
          <t>Liquid Health Calcium And Magnesium, 32 Oz</t>
        </is>
      </c>
      <c r="D1896" t="inlineStr">
        <is>
          <t>LIQUIDHEALTH 32 Fl Oz Calcium and Magnesium Liquid Supplement Joint and Bones Tissue Support, Citrate Vegetarian Natural Non GMO, Vitamin D3</t>
        </is>
      </c>
      <c r="E1896" s="2">
        <f>HYPERLINK("https://www.amazon.com/Liquid-Health-Products-Calcium-Magnesium/dp/B0002PU5QW/ref=sr_1_6?keywords=Liquid+Health+Calcium+And+Magnesium%2C+32+Oz&amp;qid=1695170659&amp;sr=8-6", "https://www.amazon.com/Liquid-Health-Products-Calcium-Magnesium/dp/B0002PU5QW/ref=sr_1_6?keywords=Liquid+Health+Calcium+And+Magnesium%2C+32+Oz&amp;qid=1695170659&amp;sr=8-6")</f>
        <v/>
      </c>
      <c r="F1896" t="inlineStr">
        <is>
          <t>B0002PU5QW</t>
        </is>
      </c>
      <c r="G1896">
        <f>_xludf.IMAGE("https://www.shelhealth.com/cdn/shop/files/liquid-health-calcium-and-magnesium-32-oz-supplements-shelhealth-870.jpg?v=1686142286&amp;width=1946")</f>
        <v/>
      </c>
      <c r="H1896">
        <f>_xludf.IMAGE("https://m.media-amazon.com/images/I/71ed2Uil+TL._AC_UL320_.jpg")</f>
        <v/>
      </c>
      <c r="K1896" t="inlineStr">
        <is>
          <t>27.99</t>
        </is>
      </c>
      <c r="L1896" t="n">
        <v>34.95</v>
      </c>
      <c r="M1896" s="1" t="inlineStr">
        <is>
          <t>24.87%</t>
        </is>
      </c>
      <c r="N1896" s="3" t="n">
        <v>24.87</v>
      </c>
      <c r="O1896" t="n">
        <v>4.6</v>
      </c>
      <c r="P1896" t="n">
        <v>285</v>
      </c>
      <c r="R1896" t="inlineStr">
        <is>
          <t>OutOfStock</t>
        </is>
      </c>
      <c r="S1896" t="inlineStr">
        <is>
          <t>27.99</t>
        </is>
      </c>
      <c r="T1896" t="inlineStr">
        <is>
          <t>7241790914748</t>
        </is>
      </c>
    </row>
    <row r="1897" hidden="1" ht="15.75" customHeight="1">
      <c r="A1897" s="2">
        <f>HYPERLINK("https://www.shelhealth.com/products/765462005368-liquid-health-calcium-and-magnesium-32-oz", "https://www.shelhealth.com/products/765462005368-liquid-health-calcium-and-magnesium-32-oz")</f>
        <v/>
      </c>
      <c r="B1897" s="2">
        <f>HYPERLINK("https://www.shelhealth.com/products/765462005368-liquid-health-calcium-and-magnesium-32-oz", "https://www.shelhealth.com/products/765462005368-liquid-health-calcium-and-magnesium-32-oz")</f>
        <v/>
      </c>
      <c r="C1897" t="inlineStr">
        <is>
          <t>Liquid Health Calcium And Magnesium, 32 Oz</t>
        </is>
      </c>
      <c r="D1897" t="inlineStr">
        <is>
          <t>Premium Liquid Calcium Magnesium Citrate - Natural formula w/ support for strong bones - Liquid Vitamin Supplement w/ Calcium, Magnesium, Boron &amp; Vitamin D3 – Up to 98% Absorption Rate- 32oz, 64 Serv</t>
        </is>
      </c>
      <c r="E1897" s="2">
        <f>HYPERLINK("https://www.amazon.com/Tropical-Oasis-Liquid-Calcium-Magnesium/dp/B000JZY2HS/ref=sr_1_8?keywords=Liquid+Health+Calcium+And+Magnesium%2C+32+Oz&amp;qid=1695170659&amp;sr=8-8", "https://www.amazon.com/Tropical-Oasis-Liquid-Calcium-Magnesium/dp/B000JZY2HS/ref=sr_1_8?keywords=Liquid+Health+Calcium+And+Magnesium%2C+32+Oz&amp;qid=1695170659&amp;sr=8-8")</f>
        <v/>
      </c>
      <c r="F1897" t="inlineStr">
        <is>
          <t>B000JZY2HS</t>
        </is>
      </c>
      <c r="G1897">
        <f>_xludf.IMAGE("https://www.shelhealth.com/cdn/shop/files/liquid-health-calcium-and-magnesium-32-oz-supplements-shelhealth-870.jpg?v=1686142286&amp;width=1946")</f>
        <v/>
      </c>
      <c r="H1897">
        <f>_xludf.IMAGE("https://m.media-amazon.com/images/I/71dmWMOt90L._AC_UL320_.jpg")</f>
        <v/>
      </c>
      <c r="K1897" t="inlineStr">
        <is>
          <t>27.99</t>
        </is>
      </c>
      <c r="L1897" t="n">
        <v>34.95</v>
      </c>
      <c r="M1897" s="1" t="inlineStr">
        <is>
          <t>24.87%</t>
        </is>
      </c>
      <c r="N1897" s="3" t="n">
        <v>24.87</v>
      </c>
      <c r="O1897" t="n">
        <v>4.4</v>
      </c>
      <c r="P1897" t="n">
        <v>560</v>
      </c>
      <c r="R1897" t="inlineStr">
        <is>
          <t>OutOfStock</t>
        </is>
      </c>
      <c r="S1897" t="inlineStr">
        <is>
          <t>27.99</t>
        </is>
      </c>
      <c r="T1897" t="inlineStr">
        <is>
          <t>7241790914748</t>
        </is>
      </c>
    </row>
    <row r="1898" hidden="1" ht="15.75" customHeight="1">
      <c r="A1898" s="2">
        <f>HYPERLINK("https://www.shelhealth.com/products/nature-made-iron-65-mg-365-tablets", "https://www.shelhealth.com/products/nature-made-iron-65-mg-365-tablets")</f>
        <v/>
      </c>
      <c r="B1898" s="2">
        <f>HYPERLINK("https://www.shelhealth.com/products/nature-made-iron-65-mg-365-tablets", "https://www.shelhealth.com/products/nature-made-iron-65-mg-365-tablets")</f>
        <v/>
      </c>
      <c r="C1898" t="inlineStr">
        <is>
          <t>Nature Made Iron 65 mg, 365 Tablets</t>
        </is>
      </c>
      <c r="D1898" t="inlineStr">
        <is>
          <t>Nature Made 65mg Iron Tablets, 300 ct. AS</t>
        </is>
      </c>
      <c r="E1898" s="2">
        <f>HYPERLINK("https://www.amazon.com/Nature-Made-65mg-Iron-Tablets/dp/B076554C5Y/ref=sr_1_6?keywords=Nature+Made+Iron+65+mg%2C+365+Tablets&amp;qid=1695170673&amp;sr=8-6", "https://www.amazon.com/Nature-Made-65mg-Iron-Tablets/dp/B076554C5Y/ref=sr_1_6?keywords=Nature+Made+Iron+65+mg%2C+365+Tablets&amp;qid=1695170673&amp;sr=8-6")</f>
        <v/>
      </c>
      <c r="F1898" t="inlineStr">
        <is>
          <t>B076554C5Y</t>
        </is>
      </c>
      <c r="G1898">
        <f>_xludf.IMAGE("https://www.shelhealth.com/cdn/shop/products/nature-made-iron-65-mg-365-tablets-shelhealth-913.jpg?v=1663337824&amp;width=1946")</f>
        <v/>
      </c>
      <c r="H1898">
        <f>_xludf.IMAGE("https://m.media-amazon.com/images/I/41dxqPWhKRL._AC_UL320_.jpg")</f>
        <v/>
      </c>
      <c r="K1898" t="inlineStr">
        <is>
          <t>15.99</t>
        </is>
      </c>
      <c r="L1898" t="n">
        <v>19.5</v>
      </c>
      <c r="M1898" s="1" t="inlineStr">
        <is>
          <t>21.95%</t>
        </is>
      </c>
      <c r="N1898" s="3" t="n">
        <v>21.95</v>
      </c>
      <c r="O1898" t="n">
        <v>5</v>
      </c>
      <c r="P1898" t="n">
        <v>1</v>
      </c>
      <c r="R1898" t="inlineStr">
        <is>
          <t>InStock</t>
        </is>
      </c>
      <c r="S1898" t="inlineStr">
        <is>
          <t>15.99</t>
        </is>
      </c>
      <c r="T1898" t="inlineStr">
        <is>
          <t>3778756050996</t>
        </is>
      </c>
    </row>
    <row r="1899" hidden="1" ht="15.75" customHeight="1">
      <c r="A1899" s="2">
        <f>HYPERLINK("https://www.shelhealth.com/products/nature-made-iron-65-mg-365-tablets", "https://www.shelhealth.com/products/nature-made-iron-65-mg-365-tablets")</f>
        <v/>
      </c>
      <c r="B1899" s="2">
        <f>HYPERLINK("https://www.shelhealth.com/products/nature-made-iron-65-mg-365-tablets", "https://www.shelhealth.com/products/nature-made-iron-65-mg-365-tablets")</f>
        <v/>
      </c>
      <c r="C1899" t="inlineStr">
        <is>
          <t>Nature Made Iron 65 mg, 365 Tablets</t>
        </is>
      </c>
      <c r="D1899" t="inlineStr">
        <is>
          <t>Nature’s Bounty Iron 65mg, 325 mg Ferrous Sulfate, Cellular Energy Support, Promotes Normal Red Blood Cell Production, 100 Tablets - Pack of 2</t>
        </is>
      </c>
      <c r="E1899" s="2">
        <f>HYPERLINK("https://www.amazon.com/Natures-Bounty-Cellular-Promotes-Production/dp/B0C4Q7NYPQ/ref=sr_1_8?keywords=Nature+Made+Iron+65+mg%2C+365+Tablets&amp;qid=1695170673&amp;sr=8-8", "https://www.amazon.com/Natures-Bounty-Cellular-Promotes-Production/dp/B0C4Q7NYPQ/ref=sr_1_8?keywords=Nature+Made+Iron+65+mg%2C+365+Tablets&amp;qid=1695170673&amp;sr=8-8")</f>
        <v/>
      </c>
      <c r="F1899" t="inlineStr">
        <is>
          <t>B0C4Q7NYPQ</t>
        </is>
      </c>
      <c r="G1899">
        <f>_xludf.IMAGE("https://www.shelhealth.com/cdn/shop/products/nature-made-iron-65-mg-365-tablets-shelhealth-913.jpg?v=1663337824&amp;width=1946")</f>
        <v/>
      </c>
      <c r="H1899">
        <f>_xludf.IMAGE("https://m.media-amazon.com/images/I/71UGfDKM7QL._AC_UL320_.jpg")</f>
        <v/>
      </c>
      <c r="K1899" t="inlineStr">
        <is>
          <t>15.99</t>
        </is>
      </c>
      <c r="L1899" t="n">
        <v>14.98</v>
      </c>
      <c r="M1899" s="1" t="inlineStr">
        <is>
          <t>-6.32%</t>
        </is>
      </c>
      <c r="N1899" s="3" t="n">
        <v>-6.32</v>
      </c>
      <c r="O1899" t="n">
        <v>4.7</v>
      </c>
      <c r="P1899" t="n">
        <v>9</v>
      </c>
      <c r="R1899" t="inlineStr">
        <is>
          <t>InStock</t>
        </is>
      </c>
      <c r="S1899" t="inlineStr">
        <is>
          <t>15.99</t>
        </is>
      </c>
      <c r="T1899" t="inlineStr">
        <is>
          <t>3778756050996</t>
        </is>
      </c>
    </row>
    <row r="1900" hidden="1" ht="15.75" customHeight="1">
      <c r="A1900" s="2">
        <f>HYPERLINK("https://www.shelhealth.com/products/nature-made-iron-65-mg-365-tablets", "https://www.shelhealth.com/products/nature-made-iron-65-mg-365-tablets")</f>
        <v/>
      </c>
      <c r="B1900" s="2">
        <f>HYPERLINK("https://www.shelhealth.com/products/nature-made-iron-65-mg-365-tablets", "https://www.shelhealth.com/products/nature-made-iron-65-mg-365-tablets")</f>
        <v/>
      </c>
      <c r="C1900" t="inlineStr">
        <is>
          <t>Nature Made Iron 65 mg, 365 Tablets</t>
        </is>
      </c>
      <c r="D1900" t="inlineStr">
        <is>
          <t>Nature Made Iron, 65mg, Tablets by Naruekrit</t>
        </is>
      </c>
      <c r="E1900" s="2">
        <f>HYPERLINK("https://www.amazon.com/Nature-Made-Iron-Tablets-Naruekrit/dp/B00EYC8H0K/ref=sr_1_10?keywords=Nature+Made+Iron+65+mg%2C+365+Tablets&amp;qid=1695170673&amp;sr=8-10", "https://www.amazon.com/Nature-Made-Iron-Tablets-Naruekrit/dp/B00EYC8H0K/ref=sr_1_10?keywords=Nature+Made+Iron+65+mg%2C+365+Tablets&amp;qid=1695170673&amp;sr=8-10")</f>
        <v/>
      </c>
      <c r="F1900" t="inlineStr">
        <is>
          <t>B00EYC8H0K</t>
        </is>
      </c>
      <c r="G1900">
        <f>_xludf.IMAGE("https://www.shelhealth.com/cdn/shop/products/nature-made-iron-65-mg-365-tablets-shelhealth-913.jpg?v=1663337824&amp;width=1946")</f>
        <v/>
      </c>
      <c r="H1900">
        <f>_xludf.IMAGE("https://m.media-amazon.com/images/I/61bbniBq6DL._AC_UL320_.jpg")</f>
        <v/>
      </c>
      <c r="K1900" t="inlineStr">
        <is>
          <t>15.99</t>
        </is>
      </c>
      <c r="L1900" t="n">
        <v>14.2</v>
      </c>
      <c r="M1900" s="1" t="inlineStr">
        <is>
          <t>-11.19%</t>
        </is>
      </c>
      <c r="N1900" s="3" t="n">
        <v>-11.19</v>
      </c>
      <c r="O1900" t="n">
        <v>4.7</v>
      </c>
      <c r="P1900" t="n">
        <v>28</v>
      </c>
      <c r="R1900" t="inlineStr">
        <is>
          <t>InStock</t>
        </is>
      </c>
      <c r="S1900" t="inlineStr">
        <is>
          <t>15.99</t>
        </is>
      </c>
      <c r="T1900" t="inlineStr">
        <is>
          <t>3778756050996</t>
        </is>
      </c>
    </row>
    <row r="1901" hidden="1" ht="15.75" customHeight="1">
      <c r="A1901" s="2">
        <f>HYPERLINK("https://www.shelhealth.com/products/kirkland-signature-chewable-calcium-with-vitamin-d3-adult-gummies-120-ct-x-2-bottles", "https://www.shelhealth.com/products/kirkland-signature-chewable-calcium-with-vitamin-d3-adult-gummies-120-ct-x-2-bottles")</f>
        <v/>
      </c>
      <c r="B1901" s="2">
        <f>HYPERLINK("https://www.shelhealth.com/products/kirkland-signature-chewable-calcium-with-vitamin-d3-adult-gummies-120-ct-x-2-bottles", "https://www.shelhealth.com/products/kirkland-signature-chewable-calcium-with-vitamin-d3-adult-gummies-120-ct-x-2-bottles")</f>
        <v/>
      </c>
      <c r="C1901" t="inlineStr">
        <is>
          <t>Kirkland Signature Chewable Calcium with Vitamin D3 Adult Gummies, 120 ct x 2 Bottles</t>
        </is>
      </c>
      <c r="D1901" t="inlineStr">
        <is>
          <t>Kirkland Signature Chewable Calcium with Vitamin D3 Adult Gummies, 120 ct x 1 Bottle</t>
        </is>
      </c>
      <c r="E1901" s="2">
        <f>HYPERLINK("https://www.amazon.com/Kirkland-Signature-Chewable-Calcium-Vitamin/dp/B00F4MD808/ref=sr_1_1?keywords=Kirkland+Signature+Chewable+Calcium+with+Vitamin+D3+Adult+Gummies%2C+120+ct+x+2+Bottles&amp;qid=1695170667&amp;sr=8-1", "https://www.amazon.com/Kirkland-Signature-Chewable-Calcium-Vitamin/dp/B00F4MD808/ref=sr_1_1?keywords=Kirkland+Signature+Chewable+Calcium+with+Vitamin+D3+Adult+Gummies%2C+120+ct+x+2+Bottles&amp;qid=1695170667&amp;sr=8-1")</f>
        <v/>
      </c>
      <c r="F1901" t="inlineStr">
        <is>
          <t>B00F4MD808</t>
        </is>
      </c>
      <c r="G1901">
        <f>_xludf.IMAGE("https://www.shelhealth.com/cdn/shop/products/kirkland-signature-chewable-calcium-with-vitamin-d3-adult-gummies-120-ct-x-2-bottles-shelhealth-648.jpg?v=1663337540&amp;width=1946")</f>
        <v/>
      </c>
      <c r="H1901">
        <f>_xludf.IMAGE("https://m.media-amazon.com/images/I/71iROI3I6JL._AC_UL320_.jpg")</f>
        <v/>
      </c>
      <c r="K1901" t="inlineStr">
        <is>
          <t>20.99</t>
        </is>
      </c>
      <c r="L1901" t="n">
        <v>15.96</v>
      </c>
      <c r="M1901" s="1" t="inlineStr">
        <is>
          <t>-23.96%</t>
        </is>
      </c>
      <c r="N1901" s="3" t="n">
        <v>-23.96</v>
      </c>
      <c r="O1901" t="n">
        <v>4.6</v>
      </c>
      <c r="P1901" t="n">
        <v>1920</v>
      </c>
      <c r="R1901" t="inlineStr">
        <is>
          <t>InStock</t>
        </is>
      </c>
      <c r="S1901" t="inlineStr">
        <is>
          <t>20.99</t>
        </is>
      </c>
      <c r="T1901" t="inlineStr">
        <is>
          <t>3774376345652</t>
        </is>
      </c>
    </row>
    <row r="1902" hidden="1" ht="15.75" customHeight="1">
      <c r="A1902" s="2">
        <f>HYPERLINK("https://www.shelhealth.com/products/765462005368-liquid-health-calcium-and-magnesium-32-oz", "https://www.shelhealth.com/products/765462005368-liquid-health-calcium-and-magnesium-32-oz")</f>
        <v/>
      </c>
      <c r="B1902" s="2">
        <f>HYPERLINK("https://www.shelhealth.com/products/765462005368-liquid-health-calcium-and-magnesium-32-oz", "https://www.shelhealth.com/products/765462005368-liquid-health-calcium-and-magnesium-32-oz")</f>
        <v/>
      </c>
      <c r="C1902" t="inlineStr">
        <is>
          <t>Liquid Health Calcium And Magnesium, 32 Oz</t>
        </is>
      </c>
      <c r="D1902" t="inlineStr">
        <is>
          <t>Dynamic Health Coral Calcium Complex | Bone Health &amp; PH Level Support | Easier Than Capsules, Liquid Supplement | with Magnesium | 32oz, 32 Serv</t>
        </is>
      </c>
      <c r="E1902" s="2">
        <f>HYPERLINK("https://www.amazon.com/Dynamic-Health-Coral-Calcium-Complex/dp/B00153965G/ref=sr_1_2?keywords=Liquid+Health+Calcium+And+Magnesium%2C+32+Oz&amp;qid=1695170659&amp;sr=8-2", "https://www.amazon.com/Dynamic-Health-Coral-Calcium-Complex/dp/B00153965G/ref=sr_1_2?keywords=Liquid+Health+Calcium+And+Magnesium%2C+32+Oz&amp;qid=1695170659&amp;sr=8-2")</f>
        <v/>
      </c>
      <c r="F1902" t="inlineStr">
        <is>
          <t>B00153965G</t>
        </is>
      </c>
      <c r="G1902">
        <f>_xludf.IMAGE("https://www.shelhealth.com/cdn/shop/files/liquid-health-calcium-and-magnesium-32-oz-supplements-shelhealth-870.jpg?v=1686142286&amp;width=1946")</f>
        <v/>
      </c>
      <c r="H1902">
        <f>_xludf.IMAGE("https://m.media-amazon.com/images/I/51KswWO9fsL._AC_UL320_.jpg")</f>
        <v/>
      </c>
      <c r="K1902" t="inlineStr">
        <is>
          <t>27.99</t>
        </is>
      </c>
      <c r="L1902" t="n">
        <v>18.99</v>
      </c>
      <c r="M1902" s="1" t="inlineStr">
        <is>
          <t>-32.15%</t>
        </is>
      </c>
      <c r="N1902" s="3" t="n">
        <v>-32.15</v>
      </c>
      <c r="O1902" t="n">
        <v>4.2</v>
      </c>
      <c r="P1902" t="n">
        <v>89</v>
      </c>
      <c r="R1902" t="inlineStr">
        <is>
          <t>OutOfStock</t>
        </is>
      </c>
      <c r="S1902" t="inlineStr">
        <is>
          <t>27.99</t>
        </is>
      </c>
      <c r="T1902" t="inlineStr">
        <is>
          <t>7241790914748</t>
        </is>
      </c>
    </row>
    <row r="1903" hidden="1" ht="15.75" customHeight="1">
      <c r="A1903" s="2">
        <f>HYPERLINK("https://www.shelhealth.com/products/lil-critters-kids-calcium-gummy-bears-with-vitamin-d3-supplement-250-ct-gummies", "https://www.shelhealth.com/products/lil-critters-kids-calcium-gummy-bears-with-vitamin-d3-supplement-250-ct-gummies")</f>
        <v/>
      </c>
      <c r="B1903" s="2">
        <f>HYPERLINK("https://www.shelhealth.com/products/lil-critters-kids-calcium-gummy-bears-with-vitamin-d3-supplement-250-ct-gummies", "https://www.shelhealth.com/products/lil-critters-kids-calcium-gummy-bears-with-vitamin-d3-supplement-250-ct-gummies")</f>
        <v/>
      </c>
      <c r="C1903" t="inlineStr">
        <is>
          <t>L'il Critters Kids Calcium Gummy Bears with Vitamin D3 Supplement, 250 Ct Gummies</t>
        </is>
      </c>
      <c r="D1903" t="inlineStr">
        <is>
          <t>L'il Critters Kids Calcium Gummy Bears with Vitamin D3, 150ct</t>
        </is>
      </c>
      <c r="E1903" s="2">
        <f>HYPERLINK("https://www.amazon.com/Lil-Critters-Calcium-Vitamin-Supplement/dp/B00421MNIU/ref=sr_1_2?keywords=Lil+Critters+Kids+Calcium+Gummy+Bears+with+Vitamin+D3+Supplement%2C+250+Ct+Gummies&amp;qid=1695170665&amp;sr=8-2", "https://www.amazon.com/Lil-Critters-Calcium-Vitamin-Supplement/dp/B00421MNIU/ref=sr_1_2?keywords=Lil+Critters+Kids+Calcium+Gummy+Bears+with+Vitamin+D3+Supplement%2C+250+Ct+Gummies&amp;qid=1695170665&amp;sr=8-2")</f>
        <v/>
      </c>
      <c r="F1903" t="inlineStr">
        <is>
          <t>B00421MNIU</t>
        </is>
      </c>
      <c r="G1903">
        <f>_xludf.IMAGE("https://www.shelhealth.com/cdn/shop/products/lil-critters-kids-calcium-gummy-bears-with-vitamin-d3-supplement-250-ct-gummies-shelhealth-532.jpg?v=1663337727&amp;width=1946")</f>
        <v/>
      </c>
      <c r="H1903">
        <f>_xludf.IMAGE("https://m.media-amazon.com/images/I/71KIG1hB+8L._AC_UL320_.jpg")</f>
        <v/>
      </c>
      <c r="K1903" t="inlineStr">
        <is>
          <t>18.99</t>
        </is>
      </c>
      <c r="L1903" t="n">
        <v>10.72</v>
      </c>
      <c r="M1903" s="1" t="inlineStr">
        <is>
          <t>-43.55%</t>
        </is>
      </c>
      <c r="N1903" s="3" t="n">
        <v>-43.55</v>
      </c>
      <c r="O1903" t="n">
        <v>4.7</v>
      </c>
      <c r="P1903" t="n">
        <v>7117</v>
      </c>
      <c r="R1903" t="inlineStr">
        <is>
          <t>OutOfStock</t>
        </is>
      </c>
      <c r="S1903" t="inlineStr">
        <is>
          <t>18.99</t>
        </is>
      </c>
      <c r="T1903" t="inlineStr">
        <is>
          <t>3778270199860</t>
        </is>
      </c>
    </row>
    <row r="1904" hidden="1" ht="15.75" customHeight="1">
      <c r="A1904" s="2">
        <f>HYPERLINK("https://www.shelhealth.com/products/citracal-maximum-calcium-citrate-d3-280-caplets", "https://www.shelhealth.com/products/citracal-maximum-calcium-citrate-d3-280-caplets")</f>
        <v/>
      </c>
      <c r="B1904" s="2">
        <f>HYPERLINK("https://www.shelhealth.com/products/citracal-maximum-calcium-citrate-d3-280-caplets", "https://www.shelhealth.com/products/citracal-maximum-calcium-citrate-d3-280-caplets")</f>
        <v/>
      </c>
      <c r="C1904" t="inlineStr">
        <is>
          <t>Citracal Maximum Calcium Citrate + D3, 280 Caplets</t>
        </is>
      </c>
      <c r="D1904" t="inlineStr">
        <is>
          <t>Citracal Maximum Plus, Highly Soluble, Easily Digested, 650 mg Calcium Citrate With 1000 IU Vitamin D3, Bone Health Supplement for Adults, Caplets, 120 Count</t>
        </is>
      </c>
      <c r="E1904" s="2">
        <f>HYPERLINK("https://www.amazon.com/Citracal-Maximum-Soluble-Digested-Supplement/dp/B002NUNDK4/ref=sr_1_1?keywords=Citracal+Maximum+Calcium+Citrate+D3%2C+280+Caplets&amp;qid=1695170691&amp;sr=8-1", "https://www.amazon.com/Citracal-Maximum-Soluble-Digested-Supplement/dp/B002NUNDK4/ref=sr_1_1?keywords=Citracal+Maximum+Calcium+Citrate+D3%2C+280+Caplets&amp;qid=1695170691&amp;sr=8-1")</f>
        <v/>
      </c>
      <c r="F1904" t="inlineStr">
        <is>
          <t>B002NUNDK4</t>
        </is>
      </c>
      <c r="G1904">
        <f>_xludf.IMAGE("https://www.shelhealth.com/cdn/shop/products/citracal-maximum-calcium-citrate-d3-280-caplets-shelhealth-255.jpg?v=1663337809&amp;width=1946")</f>
        <v/>
      </c>
      <c r="H1904">
        <f>_xludf.IMAGE("https://m.media-amazon.com/images/I/71qqi5bGBQL._AC_UL320_.jpg")</f>
        <v/>
      </c>
      <c r="K1904" t="inlineStr">
        <is>
          <t>23.99</t>
        </is>
      </c>
      <c r="L1904" t="n">
        <v>12.95</v>
      </c>
      <c r="M1904" s="1" t="inlineStr">
        <is>
          <t>-46.02%</t>
        </is>
      </c>
      <c r="N1904" s="3" t="n">
        <v>-46.02</v>
      </c>
      <c r="O1904" t="n">
        <v>4.7</v>
      </c>
      <c r="P1904" t="n">
        <v>3552</v>
      </c>
      <c r="R1904" t="inlineStr">
        <is>
          <t>InStock</t>
        </is>
      </c>
      <c r="S1904" t="inlineStr">
        <is>
          <t>23.99</t>
        </is>
      </c>
      <c r="T1904" t="inlineStr">
        <is>
          <t>3778722201652</t>
        </is>
      </c>
    </row>
    <row r="1905" hidden="1" ht="15.75" customHeight="1">
      <c r="A1905" s="2">
        <f>HYPERLINK("https://www.shelhealth.com/products/765462005368-liquid-health-calcium-and-magnesium-32-oz", "https://www.shelhealth.com/products/765462005368-liquid-health-calcium-and-magnesium-32-oz")</f>
        <v/>
      </c>
      <c r="B1905" s="2">
        <f>HYPERLINK("https://www.shelhealth.com/products/765462005368-liquid-health-calcium-and-magnesium-32-oz", "https://www.shelhealth.com/products/765462005368-liquid-health-calcium-and-magnesium-32-oz")</f>
        <v/>
      </c>
      <c r="C1905" t="inlineStr">
        <is>
          <t>Liquid Health Calcium And Magnesium, 32 Oz</t>
        </is>
      </c>
      <c r="D1905" t="inlineStr">
        <is>
          <t>Bluebonnet Nutrition Liquid Calcium Citrate Calcium Citrate, Magnesium Citrate, Vitamin D3, Bone Health, Gluten Free, Soy Free, Milk Free, Kosher, 32 Servings, Strawberry Flavor, 16 Fl Oz (Pack of 1)</t>
        </is>
      </c>
      <c r="E1905" s="2">
        <f>HYPERLINK("https://www.amazon.com/Bluebonnet-Nutrition-Magnesium-Servings-Strawberry/dp/B000BD2KN6/ref=sr_1_4?keywords=Liquid+Health+Calcium+And+Magnesium%2C+32+Oz&amp;qid=1695170659&amp;sr=8-4", "https://www.amazon.com/Bluebonnet-Nutrition-Magnesium-Servings-Strawberry/dp/B000BD2KN6/ref=sr_1_4?keywords=Liquid+Health+Calcium+And+Magnesium%2C+32+Oz&amp;qid=1695170659&amp;sr=8-4")</f>
        <v/>
      </c>
      <c r="F1905" t="inlineStr">
        <is>
          <t>B000BD2KN6</t>
        </is>
      </c>
      <c r="G1905">
        <f>_xludf.IMAGE("https://www.shelhealth.com/cdn/shop/files/liquid-health-calcium-and-magnesium-32-oz-supplements-shelhealth-870.jpg?v=1686142286&amp;width=1946")</f>
        <v/>
      </c>
      <c r="H1905">
        <f>_xludf.IMAGE("https://m.media-amazon.com/images/I/61HWvHaY+qL._AC_UL320_.jpg")</f>
        <v/>
      </c>
      <c r="K1905" t="inlineStr">
        <is>
          <t>27.99</t>
        </is>
      </c>
      <c r="L1905" t="n">
        <v>14</v>
      </c>
      <c r="M1905" s="1" t="inlineStr">
        <is>
          <t>-49.98%</t>
        </is>
      </c>
      <c r="N1905" s="3" t="n">
        <v>-49.98</v>
      </c>
      <c r="O1905" t="n">
        <v>4.4</v>
      </c>
      <c r="P1905" t="n">
        <v>4856</v>
      </c>
      <c r="R1905" t="inlineStr">
        <is>
          <t>OutOfStock</t>
        </is>
      </c>
      <c r="S1905" t="inlineStr">
        <is>
          <t>27.99</t>
        </is>
      </c>
      <c r="T1905" t="inlineStr">
        <is>
          <t>7241790914748</t>
        </is>
      </c>
    </row>
    <row r="1906" hidden="1" ht="15.75" customHeight="1">
      <c r="A1906" s="2">
        <f>HYPERLINK("https://www.shelhealth.com/products/765462005368-liquid-health-calcium-and-magnesium-32-oz", "https://www.shelhealth.com/products/765462005368-liquid-health-calcium-and-magnesium-32-oz")</f>
        <v/>
      </c>
      <c r="B1906" s="2">
        <f>HYPERLINK("https://www.shelhealth.com/products/765462005368-liquid-health-calcium-and-magnesium-32-oz", "https://www.shelhealth.com/products/765462005368-liquid-health-calcium-and-magnesium-32-oz")</f>
        <v/>
      </c>
      <c r="C1906" t="inlineStr">
        <is>
          <t>Liquid Health Calcium And Magnesium, 32 Oz</t>
        </is>
      </c>
      <c r="D1906" t="inlineStr">
        <is>
          <t>Bluebonnet Bluebonnet Nutrition Liquid Calcium Citrate Magnesium Citrate, Vitamin D3, Bone Health, Gluten Free, Soy free, milk free, kosher, 32 Servings, Raspberry Flavor, 16 Fl Oz (Pack of 1)</t>
        </is>
      </c>
      <c r="E1906" s="2">
        <f>HYPERLINK("https://www.amazon.com/Bluebonnet-Nutrition-Magnesium-Servings-Raspberry/dp/B0025PVWGO/ref=sr_1_3?keywords=Liquid+Health+Calcium+And+Magnesium%2C+32+Oz&amp;qid=1695170659&amp;sr=8-3", "https://www.amazon.com/Bluebonnet-Nutrition-Magnesium-Servings-Raspberry/dp/B0025PVWGO/ref=sr_1_3?keywords=Liquid+Health+Calcium+And+Magnesium%2C+32+Oz&amp;qid=1695170659&amp;sr=8-3")</f>
        <v/>
      </c>
      <c r="F1906" t="inlineStr">
        <is>
          <t>B0025PVWGO</t>
        </is>
      </c>
      <c r="G1906">
        <f>_xludf.IMAGE("https://www.shelhealth.com/cdn/shop/files/liquid-health-calcium-and-magnesium-32-oz-supplements-shelhealth-870.jpg?v=1686142286&amp;width=1946")</f>
        <v/>
      </c>
      <c r="H1906">
        <f>_xludf.IMAGE("https://m.media-amazon.com/images/I/61oe6rM5-fL._AC_UL320_.jpg")</f>
        <v/>
      </c>
      <c r="K1906" t="inlineStr">
        <is>
          <t>27.99</t>
        </is>
      </c>
      <c r="L1906" t="n">
        <v>14</v>
      </c>
      <c r="M1906" s="1" t="inlineStr">
        <is>
          <t>-49.98%</t>
        </is>
      </c>
      <c r="N1906" s="3" t="n">
        <v>-49.98</v>
      </c>
      <c r="O1906" t="n">
        <v>4.5</v>
      </c>
      <c r="P1906" t="n">
        <v>314</v>
      </c>
      <c r="R1906" t="inlineStr">
        <is>
          <t>OutOfStock</t>
        </is>
      </c>
      <c r="S1906" t="inlineStr">
        <is>
          <t>27.99</t>
        </is>
      </c>
      <c r="T1906" t="inlineStr">
        <is>
          <t>7241790914748</t>
        </is>
      </c>
    </row>
    <row r="1907" hidden="1" ht="15.75" customHeight="1">
      <c r="A1907" s="2">
        <f>HYPERLINK("https://www.shelhealth.com/products/nature-made-iron-65-mg-365-tablets", "https://www.shelhealth.com/products/nature-made-iron-65-mg-365-tablets")</f>
        <v/>
      </c>
      <c r="B1907" s="2">
        <f>HYPERLINK("https://www.shelhealth.com/products/nature-made-iron-65-mg-365-tablets", "https://www.shelhealth.com/products/nature-made-iron-65-mg-365-tablets")</f>
        <v/>
      </c>
      <c r="C1907" t="inlineStr">
        <is>
          <t>Nature Made Iron 65 mg, 365 Tablets</t>
        </is>
      </c>
      <c r="D1907" t="inlineStr">
        <is>
          <t>Nature Made Iron 65 mg (325 mg Ferrous Sulfate) Tablets, Dietary Supplement for Red Blood Cell Support, 180 Tablets, 180 Day Supply</t>
        </is>
      </c>
      <c r="E1907" s="2">
        <f>HYPERLINK("https://www.amazon.com/Nature-Made-Ferrous-Sulfate-Tablets/dp/B003PGJLRO/ref=sr_1_1?keywords=Nature+Made+Iron+65+mg%2C+365+Tablets&amp;qid=1695170673&amp;sr=8-1", "https://www.amazon.com/Nature-Made-Ferrous-Sulfate-Tablets/dp/B003PGJLRO/ref=sr_1_1?keywords=Nature+Made+Iron+65+mg%2C+365+Tablets&amp;qid=1695170673&amp;sr=8-1")</f>
        <v/>
      </c>
      <c r="F1907" t="inlineStr">
        <is>
          <t>B003PGJLRO</t>
        </is>
      </c>
      <c r="G1907">
        <f>_xludf.IMAGE("https://www.shelhealth.com/cdn/shop/products/nature-made-iron-65-mg-365-tablets-shelhealth-913.jpg?v=1663337824&amp;width=1946")</f>
        <v/>
      </c>
      <c r="H1907">
        <f>_xludf.IMAGE("https://m.media-amazon.com/images/I/71Rz6C64mCL._AC_UL320_.jpg")</f>
        <v/>
      </c>
      <c r="K1907" t="inlineStr">
        <is>
          <t>15.99</t>
        </is>
      </c>
      <c r="L1907" t="n">
        <v>7.06</v>
      </c>
      <c r="M1907" s="1" t="inlineStr">
        <is>
          <t>-55.85%</t>
        </is>
      </c>
      <c r="N1907" s="3" t="n">
        <v>-55.85</v>
      </c>
      <c r="O1907" t="n">
        <v>4.7</v>
      </c>
      <c r="P1907" t="n">
        <v>40852</v>
      </c>
      <c r="R1907" t="inlineStr">
        <is>
          <t>InStock</t>
        </is>
      </c>
      <c r="S1907" t="inlineStr">
        <is>
          <t>15.99</t>
        </is>
      </c>
      <c r="T1907" t="inlineStr">
        <is>
          <t>3778756050996</t>
        </is>
      </c>
    </row>
    <row r="1908" hidden="1" ht="15.75" customHeight="1">
      <c r="A1908" s="2">
        <f>HYPERLINK("https://www.shelhealth.com/products/nature-made-iron-65-mg-365-tablets", "https://www.shelhealth.com/products/nature-made-iron-65-mg-365-tablets")</f>
        <v/>
      </c>
      <c r="B1908" s="2">
        <f>HYPERLINK("https://www.shelhealth.com/products/nature-made-iron-65-mg-365-tablets", "https://www.shelhealth.com/products/nature-made-iron-65-mg-365-tablets")</f>
        <v/>
      </c>
      <c r="C1908" t="inlineStr">
        <is>
          <t>Nature Made Iron 65 mg, 365 Tablets</t>
        </is>
      </c>
      <c r="D1908" t="inlineStr">
        <is>
          <t>Nature's Bounty Iron 65mg, 325 mg Ferrous Sulfate, Cellular Energy Support, Promotes Normal Red Blood Cell Production, 100 Tablets</t>
        </is>
      </c>
      <c r="E1908" s="2">
        <f>HYPERLINK("https://www.amazon.com/Natures-Bounty-Ferrous-Sulfate-Tablets/dp/B006QQRY2O/ref=sr_1_9?keywords=Nature+Made+Iron+65+mg%2C+365+Tablets&amp;qid=1695170673&amp;sr=8-9", "https://www.amazon.com/Natures-Bounty-Ferrous-Sulfate-Tablets/dp/B006QQRY2O/ref=sr_1_9?keywords=Nature+Made+Iron+65+mg%2C+365+Tablets&amp;qid=1695170673&amp;sr=8-9")</f>
        <v/>
      </c>
      <c r="F1908" t="inlineStr">
        <is>
          <t>B006QQRY2O</t>
        </is>
      </c>
      <c r="G1908">
        <f>_xludf.IMAGE("https://www.shelhealth.com/cdn/shop/products/nature-made-iron-65-mg-365-tablets-shelhealth-913.jpg?v=1663337824&amp;width=1946")</f>
        <v/>
      </c>
      <c r="H1908">
        <f>_xludf.IMAGE("https://m.media-amazon.com/images/I/71nY3ndyc8L._AC_UL320_.jpg")</f>
        <v/>
      </c>
      <c r="K1908" t="inlineStr">
        <is>
          <t>15.99</t>
        </is>
      </c>
      <c r="L1908" t="n">
        <v>5.45</v>
      </c>
      <c r="M1908" s="1" t="inlineStr">
        <is>
          <t>-65.92%</t>
        </is>
      </c>
      <c r="N1908" s="3" t="n">
        <v>-65.92</v>
      </c>
      <c r="O1908" t="n">
        <v>4.7</v>
      </c>
      <c r="P1908" t="n">
        <v>25229</v>
      </c>
      <c r="R1908" t="inlineStr">
        <is>
          <t>InStock</t>
        </is>
      </c>
      <c r="S1908" t="inlineStr">
        <is>
          <t>15.99</t>
        </is>
      </c>
      <c r="T1908" t="inlineStr">
        <is>
          <t>3778756050996</t>
        </is>
      </c>
    </row>
    <row r="1909" ht="75" customHeight="1">
      <c r="A1909" s="2">
        <f>HYPERLINK("https://www.shelhealth.com/products/787647101887-medinatura-clearlife-allergy-relief-spray-0-68-oz", "https://www.shelhealth.com/products/787647101887-medinatura-clearlife-allergy-relief-spray-0-68-oz")</f>
        <v/>
      </c>
      <c r="B1909" s="2">
        <f>HYPERLINK("https://www.shelhealth.com/products/787647101887-medinatura-clearlife-allergy-relief-spray-0-68-oz", "https://www.shelhealth.com/products/787647101887-medinatura-clearlife-allergy-relief-spray-0-68-oz")</f>
        <v/>
      </c>
      <c r="C1909" t="inlineStr">
        <is>
          <t>Medinatura Clearlife Allergy Relief Spray, 0.68 Oz</t>
        </is>
      </c>
      <c r="D1909" t="inlineStr">
        <is>
          <t>ClearLife Extra Strength Multi Symptom Allergy Relief Bundle Homeopathic Nasal Spray - 0.68 oz + Natural Allergy Relief Tablets - 60 Count</t>
        </is>
      </c>
      <c r="E1909" s="2">
        <f>HYPERLINK("https://www.amazon.com/ClearLife-Strength-Symptom-Allergy-Homeopathic/dp/B0C53PM55Y/ref=sr_1_1?keywords=Medinatura+Clearlife+Allergy+Relief+Spray%2C+0.68+Oz&amp;qid=1695170697&amp;sr=8-1", "https://www.amazon.com/ClearLife-Strength-Symptom-Allergy-Homeopathic/dp/B0C53PM55Y/ref=sr_1_1?keywords=Medinatura+Clearlife+Allergy+Relief+Spray%2C+0.68+Oz&amp;qid=1695170697&amp;sr=8-1")</f>
        <v/>
      </c>
      <c r="F1909" t="inlineStr">
        <is>
          <t>B0C53PM55Y</t>
        </is>
      </c>
      <c r="G1909">
        <f>_xlfn.IMAGE("https://www.shelhealth.com/cdn/shop/files/medinatura-clearlife-allergy-relief-spray-0-68-oz-homeopathic-medicine-respiratory-shelhealth-245.jpg?v=1686531279&amp;width=1946")</f>
        <v/>
      </c>
      <c r="H1909">
        <f>_xlfn.IMAGE("https://m.media-amazon.com/images/I/81k8P8PqbZL._AC_UL320_.jpg")</f>
        <v/>
      </c>
      <c r="K1909" t="inlineStr">
        <is>
          <t>12.99</t>
        </is>
      </c>
      <c r="L1909" t="n">
        <v>23.38</v>
      </c>
      <c r="M1909" s="1" t="inlineStr">
        <is>
          <t>79.98%</t>
        </is>
      </c>
      <c r="N1909" s="3" t="n">
        <v>79.98</v>
      </c>
      <c r="O1909" t="n">
        <v>5</v>
      </c>
      <c r="P1909" t="n">
        <v>1</v>
      </c>
      <c r="R1909" t="inlineStr">
        <is>
          <t>OutOfStock</t>
        </is>
      </c>
      <c r="S1909" t="inlineStr">
        <is>
          <t>12.99</t>
        </is>
      </c>
      <c r="T1909" t="inlineStr">
        <is>
          <t>7241814081724</t>
        </is>
      </c>
    </row>
    <row r="1910" ht="75" customHeight="1">
      <c r="A1910" s="2">
        <f>HYPERLINK("https://www.shelhealth.com/products/787647101887-medinatura-clearlife-allergy-relief-spray-0-68-oz", "https://www.shelhealth.com/products/787647101887-medinatura-clearlife-allergy-relief-spray-0-68-oz")</f>
        <v/>
      </c>
      <c r="B1910" s="2">
        <f>HYPERLINK("https://www.shelhealth.com/products/787647101887-medinatura-clearlife-allergy-relief-spray-0-68-oz", "https://www.shelhealth.com/products/787647101887-medinatura-clearlife-allergy-relief-spray-0-68-oz")</f>
        <v/>
      </c>
      <c r="C1910" t="inlineStr">
        <is>
          <t>Medinatura Clearlife Allergy Relief Spray, 0.68 Oz</t>
        </is>
      </c>
      <c r="D1910" t="inlineStr">
        <is>
          <t>MediNatura ReBoost Decongestion Nasal 0.68oz Spray and ClearLife Extra Strength Allergy Nasal 0.68 oz Spray Bundle</t>
        </is>
      </c>
      <c r="E1910" s="2">
        <f>HYPERLINK("https://www.amazon.com/MediNatura-ReBoost-Decongestion-ClearLife-Strength/dp/B09XKSXFH6/ref=sr_1_2?keywords=Medinatura+Clearlife+Allergy+Relief+Spray%2C+0.68+Oz&amp;qid=1695170697&amp;sr=8-2", "https://www.amazon.com/MediNatura-ReBoost-Decongestion-ClearLife-Strength/dp/B09XKSXFH6/ref=sr_1_2?keywords=Medinatura+Clearlife+Allergy+Relief+Spray%2C+0.68+Oz&amp;qid=1695170697&amp;sr=8-2")</f>
        <v/>
      </c>
      <c r="F1910" t="inlineStr">
        <is>
          <t>B09XKSXFH6</t>
        </is>
      </c>
      <c r="G1910">
        <f>_xlfn.IMAGE("https://www.shelhealth.com/cdn/shop/files/medinatura-clearlife-allergy-relief-spray-0-68-oz-homeopathic-medicine-respiratory-shelhealth-245.jpg?v=1686531279&amp;width=1946")</f>
        <v/>
      </c>
      <c r="H1910">
        <f>_xlfn.IMAGE("https://m.media-amazon.com/images/I/81iJH4PnkPL._AC_UL320_.jpg")</f>
        <v/>
      </c>
      <c r="K1910" t="inlineStr">
        <is>
          <t>12.99</t>
        </is>
      </c>
      <c r="L1910" t="n">
        <v>23.38</v>
      </c>
      <c r="M1910" s="1" t="inlineStr">
        <is>
          <t>79.98%</t>
        </is>
      </c>
      <c r="N1910" s="3" t="n">
        <v>79.98</v>
      </c>
      <c r="O1910" t="n">
        <v>5</v>
      </c>
      <c r="P1910" t="n">
        <v>4</v>
      </c>
      <c r="R1910" t="inlineStr">
        <is>
          <t>OutOfStock</t>
        </is>
      </c>
      <c r="S1910" t="inlineStr">
        <is>
          <t>12.99</t>
        </is>
      </c>
      <c r="T1910" t="inlineStr">
        <is>
          <t>7241814081724</t>
        </is>
      </c>
    </row>
    <row r="1911" ht="75" customHeight="1">
      <c r="A1911" s="2">
        <f>HYPERLINK("https://www.shelhealth.com/products/breathe-right-extra-nasal-strips-72-count", "https://www.shelhealth.com/products/breathe-right-extra-nasal-strips-72-count")</f>
        <v/>
      </c>
      <c r="B1911" s="2">
        <f>HYPERLINK("https://www.shelhealth.com/products/breathe-right-extra-nasal-strips-72-count", "https://www.shelhealth.com/products/breathe-right-extra-nasal-strips-72-count")</f>
        <v/>
      </c>
      <c r="C1911" t="inlineStr">
        <is>
          <t>Breathe Right Extra Strength Nasal Strips | 72 Count.</t>
        </is>
      </c>
      <c r="D1911" t="inlineStr">
        <is>
          <t>Breathe Right Extra Nasal Strips (72 Count)</t>
        </is>
      </c>
      <c r="E1911" s="2">
        <f>HYPERLINK("https://www.amazon.com/Breathe-Right-Extra-Nasal-Strips/dp/B07V1Y3Y8R/ref=sr_1_1?keywords=Breathe+Right+Extra+Strength+Nasal+Strips+%7C+72+Count.&amp;qid=1695170697&amp;sr=8-1", "https://www.amazon.com/Breathe-Right-Extra-Nasal-Strips/dp/B07V1Y3Y8R/ref=sr_1_1?keywords=Breathe+Right+Extra+Strength+Nasal+Strips+%7C+72+Count.&amp;qid=1695170697&amp;sr=8-1")</f>
        <v/>
      </c>
      <c r="F1911" t="inlineStr">
        <is>
          <t>B07V1Y3Y8R</t>
        </is>
      </c>
      <c r="G1911">
        <f>_xlfn.IMAGE("https://www.shelhealth.com/cdn/shop/products/breathe-right-extra-strength-nasal-strips-72-count-shelhealth-382.jpg?v=1663337137&amp;width=1946")</f>
        <v/>
      </c>
      <c r="H1911">
        <f>_xlfn.IMAGE("https://m.media-amazon.com/images/I/71eIctERONL._AC_UL320_.jpg")</f>
        <v/>
      </c>
      <c r="K1911" t="inlineStr">
        <is>
          <t>29.99</t>
        </is>
      </c>
      <c r="L1911" t="n">
        <v>50.99</v>
      </c>
      <c r="M1911" s="1" t="inlineStr">
        <is>
          <t>70.02%</t>
        </is>
      </c>
      <c r="N1911" s="3" t="n">
        <v>70.02</v>
      </c>
      <c r="O1911" t="n">
        <v>4.8</v>
      </c>
      <c r="P1911" t="n">
        <v>537</v>
      </c>
      <c r="R1911" t="inlineStr">
        <is>
          <t>InStock</t>
        </is>
      </c>
      <c r="S1911" t="inlineStr">
        <is>
          <t>29.99</t>
        </is>
      </c>
      <c r="T1911" t="inlineStr">
        <is>
          <t>3745409073204</t>
        </is>
      </c>
    </row>
    <row r="1912" hidden="1" ht="15.75" customHeight="1">
      <c r="A1912" s="2">
        <f>HYPERLINK("https://www.shelhealth.com/products/neilmed-sinus-rinse-2-bottles-250-premixed-packets", "https://www.shelhealth.com/products/neilmed-sinus-rinse-2-bottles-250-premixed-packets")</f>
        <v/>
      </c>
      <c r="B1912" s="2">
        <f>HYPERLINK("https://www.shelhealth.com/products/neilmed-sinus-rinse-2-bottles-250-premixed-packets", "https://www.shelhealth.com/products/neilmed-sinus-rinse-2-bottles-250-premixed-packets")</f>
        <v/>
      </c>
      <c r="C1912" t="inlineStr">
        <is>
          <t>NeilMed Sinus Rinse - 2 Bottles - 250 Premixed Packets</t>
        </is>
      </c>
      <c r="D1912" t="inlineStr">
        <is>
          <t>NeilMed Sinus Rinse All Natural Relief Premixed Refill Packets 250 Count</t>
        </is>
      </c>
      <c r="E1912" s="2">
        <f>HYPERLINK("https://www.amazon.com/NeilMed-Natural-Relief-Premixed-Packets/dp/B07YZMGNZS/ref=sr_1_4?keywords=NeilMed+Sinus+Rinse+-+2+Bottles+-+250+Premixed+Packets&amp;qid=1695170697&amp;sr=8-4", "https://www.amazon.com/NeilMed-Natural-Relief-Premixed-Packets/dp/B07YZMGNZS/ref=sr_1_4?keywords=NeilMed+Sinus+Rinse+-+2+Bottles+-+250+Premixed+Packets&amp;qid=1695170697&amp;sr=8-4")</f>
        <v/>
      </c>
      <c r="F1912" t="inlineStr">
        <is>
          <t>B07YZMGNZS</t>
        </is>
      </c>
      <c r="G1912">
        <f>_xludf.IMAGE("https://www.shelhealth.com/cdn/shop/products/neilmed-sinus-rinse-2-bottles-250-premixed-packets-shelhealth-548.jpg?v=1663337961&amp;width=1946")</f>
        <v/>
      </c>
      <c r="H1912">
        <f>_xludf.IMAGE("https://m.media-amazon.com/images/I/91gjoM5r0wL._AC_UL320_.jpg")</f>
        <v/>
      </c>
      <c r="K1912" t="inlineStr">
        <is>
          <t>31.99</t>
        </is>
      </c>
      <c r="L1912" t="n">
        <v>37.53</v>
      </c>
      <c r="M1912" s="1" t="inlineStr">
        <is>
          <t>17.32%</t>
        </is>
      </c>
      <c r="N1912" s="3" t="n">
        <v>17.32</v>
      </c>
      <c r="O1912" t="n">
        <v>4.8</v>
      </c>
      <c r="P1912" t="n">
        <v>457</v>
      </c>
      <c r="R1912" t="inlineStr">
        <is>
          <t>InStock</t>
        </is>
      </c>
      <c r="S1912" t="inlineStr">
        <is>
          <t>31.99</t>
        </is>
      </c>
      <c r="T1912" t="inlineStr">
        <is>
          <t>3782019743796</t>
        </is>
      </c>
    </row>
    <row r="1913" hidden="1" ht="15.75" customHeight="1">
      <c r="A1913" s="2">
        <f>HYPERLINK("https://www.shelhealth.com/products/787647101887-medinatura-clearlife-allergy-relief-spray-0-68-oz", "https://www.shelhealth.com/products/787647101887-medinatura-clearlife-allergy-relief-spray-0-68-oz")</f>
        <v/>
      </c>
      <c r="B1913" s="2">
        <f>HYPERLINK("https://www.shelhealth.com/products/787647101887-medinatura-clearlife-allergy-relief-spray-0-68-oz", "https://www.shelhealth.com/products/787647101887-medinatura-clearlife-allergy-relief-spray-0-68-oz")</f>
        <v/>
      </c>
      <c r="C1913" t="inlineStr">
        <is>
          <t>Medinatura Clearlife Allergy Relief Spray, 0.68 Oz</t>
        </is>
      </c>
      <c r="D1913" t="inlineStr">
        <is>
          <t>ClearLife Extra Strength Multi-System Allergy Relieving Nasal Spray Mist - 8 Powerful Homeopathic Actives Provide Potent Maximum Congestion, Itchiness &amp; Sinus Pressure Relief - Non-Drowsy - 0.68 oz</t>
        </is>
      </c>
      <c r="E1913" s="2">
        <f>HYPERLINK("https://www.amazon.com/ClearLife-Allergy-Relief-Nasal-Spray/dp/B0010BRAOW/ref=sr_1_3?keywords=Medinatura+Clearlife+Allergy+Relief+Spray%2C+0.68+Oz&amp;qid=1695170697&amp;sr=8-3", "https://www.amazon.com/ClearLife-Allergy-Relief-Nasal-Spray/dp/B0010BRAOW/ref=sr_1_3?keywords=Medinatura+Clearlife+Allergy+Relief+Spray%2C+0.68+Oz&amp;qid=1695170697&amp;sr=8-3")</f>
        <v/>
      </c>
      <c r="F1913" t="inlineStr">
        <is>
          <t>B0010BRAOW</t>
        </is>
      </c>
      <c r="G1913">
        <f>_xludf.IMAGE("https://www.shelhealth.com/cdn/shop/files/medinatura-clearlife-allergy-relief-spray-0-68-oz-homeopathic-medicine-respiratory-shelhealth-245.jpg?v=1686531279&amp;width=1946")</f>
        <v/>
      </c>
      <c r="H1913">
        <f>_xludf.IMAGE("https://m.media-amazon.com/images/I/51BkouUtFSL._AC_UL320_.jpg")</f>
        <v/>
      </c>
      <c r="K1913" t="inlineStr">
        <is>
          <t>12.99</t>
        </is>
      </c>
      <c r="L1913" t="n">
        <v>13.99</v>
      </c>
      <c r="M1913" s="1" t="inlineStr">
        <is>
          <t>7.70%</t>
        </is>
      </c>
      <c r="N1913" s="3" t="n">
        <v>7.7</v>
      </c>
      <c r="O1913" t="n">
        <v>4.5</v>
      </c>
      <c r="P1913" t="n">
        <v>529</v>
      </c>
      <c r="R1913" t="inlineStr">
        <is>
          <t>OutOfStock</t>
        </is>
      </c>
      <c r="S1913" t="inlineStr">
        <is>
          <t>12.99</t>
        </is>
      </c>
      <c r="T1913" t="inlineStr">
        <is>
          <t>7241814081724</t>
        </is>
      </c>
    </row>
    <row r="1914" hidden="1" ht="15.75" customHeight="1">
      <c r="A1914" s="2">
        <f>HYPERLINK("https://www.shelhealth.com/products/neilmed-sinus-rinse-2-bottles-250-premixed-packets", "https://www.shelhealth.com/products/neilmed-sinus-rinse-2-bottles-250-premixed-packets")</f>
        <v/>
      </c>
      <c r="B1914" s="2">
        <f>HYPERLINK("https://www.shelhealth.com/products/neilmed-sinus-rinse-2-bottles-250-premixed-packets", "https://www.shelhealth.com/products/neilmed-sinus-rinse-2-bottles-250-premixed-packets")</f>
        <v/>
      </c>
      <c r="C1914" t="inlineStr">
        <is>
          <t>NeilMed Sinus Rinse - 2 Bottles - 250 Premixed Packets</t>
        </is>
      </c>
      <c r="D1914" t="inlineStr">
        <is>
          <t>NeilMed Sinus Rinse 100 Salt Premixed Packets for Allergies &amp; Sinus (Pack of 2)</t>
        </is>
      </c>
      <c r="E1914" s="2">
        <f>HYPERLINK("https://www.amazon.com/NeilMed-Sinus-Premixed-Packets-Allergies/dp/B00DMAI9MG/ref=sr_1_7?keywords=NeilMed+Sinus+Rinse+-+2+Bottles+-+250+Premixed+Packets&amp;qid=1695170697&amp;sr=8-7", "https://www.amazon.com/NeilMed-Sinus-Premixed-Packets-Allergies/dp/B00DMAI9MG/ref=sr_1_7?keywords=NeilMed+Sinus+Rinse+-+2+Bottles+-+250+Premixed+Packets&amp;qid=1695170697&amp;sr=8-7")</f>
        <v/>
      </c>
      <c r="F1914" t="inlineStr">
        <is>
          <t>B00DMAI9MG</t>
        </is>
      </c>
      <c r="G1914">
        <f>_xludf.IMAGE("https://www.shelhealth.com/cdn/shop/products/neilmed-sinus-rinse-2-bottles-250-premixed-packets-shelhealth-548.jpg?v=1663337961&amp;width=1946")</f>
        <v/>
      </c>
      <c r="H1914">
        <f>_xludf.IMAGE("https://m.media-amazon.com/images/I/71PXSJe6n0L._AC_UL320_.jpg")</f>
        <v/>
      </c>
      <c r="K1914" t="inlineStr">
        <is>
          <t>31.99</t>
        </is>
      </c>
      <c r="L1914" t="n">
        <v>29.52</v>
      </c>
      <c r="M1914" s="1" t="inlineStr">
        <is>
          <t>-7.72%</t>
        </is>
      </c>
      <c r="N1914" s="3" t="n">
        <v>-7.72</v>
      </c>
      <c r="O1914" t="n">
        <v>4.8</v>
      </c>
      <c r="P1914" t="n">
        <v>837</v>
      </c>
      <c r="R1914" t="inlineStr">
        <is>
          <t>InStock</t>
        </is>
      </c>
      <c r="S1914" t="inlineStr">
        <is>
          <t>31.99</t>
        </is>
      </c>
      <c r="T1914" t="inlineStr">
        <is>
          <t>3782019743796</t>
        </is>
      </c>
    </row>
    <row r="1915" hidden="1" ht="15.75" customHeight="1">
      <c r="A1915" s="2">
        <f>HYPERLINK("https://www.shelhealth.com/products/breathe-right-extra-nasal-strips-72-count", "https://www.shelhealth.com/products/breathe-right-extra-nasal-strips-72-count")</f>
        <v/>
      </c>
      <c r="B1915" s="2">
        <f>HYPERLINK("https://www.shelhealth.com/products/breathe-right-extra-nasal-strips-72-count", "https://www.shelhealth.com/products/breathe-right-extra-nasal-strips-72-count")</f>
        <v/>
      </c>
      <c r="C1915" t="inlineStr">
        <is>
          <t>Breathe Right Extra Strength Nasal Strips | 72 Count.</t>
        </is>
      </c>
      <c r="D1915" t="inlineStr">
        <is>
          <t>Breathe Right KsfmlU Extra Strength Clear Drug-Free Nasal Strips for Congestion Relief, 26 Count (2 Pack)</t>
        </is>
      </c>
      <c r="E1915" s="2">
        <f>HYPERLINK("https://www.amazon.com/Breathe-Right-Strength-Drug-Free-Congestion/dp/B078J6VZ1X/ref=sr_1_3?keywords=Breathe+Right+Extra+Strength+Nasal+Strips+%7C+72+Count.&amp;qid=1695170697&amp;sr=8-3", "https://www.amazon.com/Breathe-Right-Strength-Drug-Free-Congestion/dp/B078J6VZ1X/ref=sr_1_3?keywords=Breathe+Right+Extra+Strength+Nasal+Strips+%7C+72+Count.&amp;qid=1695170697&amp;sr=8-3")</f>
        <v/>
      </c>
      <c r="F1915" t="inlineStr">
        <is>
          <t>B078J6VZ1X</t>
        </is>
      </c>
      <c r="G1915">
        <f>_xludf.IMAGE("https://www.shelhealth.com/cdn/shop/products/breathe-right-extra-strength-nasal-strips-72-count-shelhealth-382.jpg?v=1663337137&amp;width=1946")</f>
        <v/>
      </c>
      <c r="H1915">
        <f>_xludf.IMAGE("https://m.media-amazon.com/images/I/713U29N0HVL._AC_UL320_.jpg")</f>
        <v/>
      </c>
      <c r="K1915" t="inlineStr">
        <is>
          <t>29.99</t>
        </is>
      </c>
      <c r="L1915" t="n">
        <v>25.98</v>
      </c>
      <c r="M1915" s="1" t="inlineStr">
        <is>
          <t>-13.37%</t>
        </is>
      </c>
      <c r="N1915" s="3" t="n">
        <v>-13.37</v>
      </c>
      <c r="O1915" t="n">
        <v>4.5</v>
      </c>
      <c r="P1915" t="n">
        <v>6</v>
      </c>
      <c r="R1915" t="inlineStr">
        <is>
          <t>InStock</t>
        </is>
      </c>
      <c r="S1915" t="inlineStr">
        <is>
          <t>29.99</t>
        </is>
      </c>
      <c r="T1915" t="inlineStr">
        <is>
          <t>3745409073204</t>
        </is>
      </c>
    </row>
    <row r="1916" hidden="1" ht="15.75" customHeight="1">
      <c r="A1916" s="2">
        <f>HYPERLINK("https://www.shelhealth.com/products/neilmed-sinus-rinse-2-bottles-250-premixed-packets", "https://www.shelhealth.com/products/neilmed-sinus-rinse-2-bottles-250-premixed-packets")</f>
        <v/>
      </c>
      <c r="B1916" s="2">
        <f>HYPERLINK("https://www.shelhealth.com/products/neilmed-sinus-rinse-2-bottles-250-premixed-packets", "https://www.shelhealth.com/products/neilmed-sinus-rinse-2-bottles-250-premixed-packets")</f>
        <v/>
      </c>
      <c r="C1916" t="inlineStr">
        <is>
          <t>NeilMed Sinus Rinse - 2 Bottles - 250 Premixed Packets</t>
        </is>
      </c>
      <c r="D1916" t="inlineStr">
        <is>
          <t>NeilMed's Sinus Rinse Extra Strength Pre-Mixed Hypertonic Packets-for Sinus Relief, 70 Count Box (Pack of 2)</t>
        </is>
      </c>
      <c r="E1916" s="2">
        <f>HYPERLINK("https://www.amazon.com/NeilMeds-Strength-Pre-Mixed-Hypertonic-70-Count/dp/B001G7QN1G/ref=sr_1_10?keywords=NeilMed+Sinus+Rinse+-+2+Bottles+-+250+Premixed+Packets&amp;qid=1695170697&amp;sr=8-10", "https://www.amazon.com/NeilMeds-Strength-Pre-Mixed-Hypertonic-70-Count/dp/B001G7QN1G/ref=sr_1_10?keywords=NeilMed+Sinus+Rinse+-+2+Bottles+-+250+Premixed+Packets&amp;qid=1695170697&amp;sr=8-10")</f>
        <v/>
      </c>
      <c r="F1916" t="inlineStr">
        <is>
          <t>B001G7QN1G</t>
        </is>
      </c>
      <c r="G1916">
        <f>_xludf.IMAGE("https://www.shelhealth.com/cdn/shop/products/neilmed-sinus-rinse-2-bottles-250-premixed-packets-shelhealth-548.jpg?v=1663337961&amp;width=1946")</f>
        <v/>
      </c>
      <c r="H1916">
        <f>_xludf.IMAGE("https://m.media-amazon.com/images/I/71HtcbR4BoL._AC_UL320_.jpg")</f>
        <v/>
      </c>
      <c r="K1916" t="inlineStr">
        <is>
          <t>31.99</t>
        </is>
      </c>
      <c r="L1916" t="n">
        <v>26.98</v>
      </c>
      <c r="M1916" s="1" t="inlineStr">
        <is>
          <t>-15.66%</t>
        </is>
      </c>
      <c r="N1916" s="3" t="n">
        <v>-15.66</v>
      </c>
      <c r="O1916" t="n">
        <v>4.7</v>
      </c>
      <c r="P1916" t="n">
        <v>1098</v>
      </c>
      <c r="R1916" t="inlineStr">
        <is>
          <t>InStock</t>
        </is>
      </c>
      <c r="S1916" t="inlineStr">
        <is>
          <t>31.99</t>
        </is>
      </c>
      <c r="T1916" t="inlineStr">
        <is>
          <t>3782019743796</t>
        </is>
      </c>
    </row>
    <row r="1917" hidden="1" ht="15.75" customHeight="1">
      <c r="A1917" s="2">
        <f>HYPERLINK("https://www.shelhealth.com/products/breathe-right-extra-nasal-strips-72-count", "https://www.shelhealth.com/products/breathe-right-extra-nasal-strips-72-count")</f>
        <v/>
      </c>
      <c r="B1917" s="2">
        <f>HYPERLINK("https://www.shelhealth.com/products/breathe-right-extra-nasal-strips-72-count", "https://www.shelhealth.com/products/breathe-right-extra-nasal-strips-72-count")</f>
        <v/>
      </c>
      <c r="C1917" t="inlineStr">
        <is>
          <t>Breathe Right Extra Strength Nasal Strips | 72 Count.</t>
        </is>
      </c>
      <c r="D1917" t="inlineStr">
        <is>
          <t>Breathe Right Extra Strength Nasal Strips, 72 Strips</t>
        </is>
      </c>
      <c r="E1917" s="2">
        <f>HYPERLINK("https://www.amazon.com/Breathe-Right-Extra-Strength-Strips/dp/B0BB3BFSJ7/ref=sr_1_5?keywords=Breathe+Right+Extra+Strength+Nasal+Strips+%7C+72+Count.&amp;qid=1695170697&amp;sr=8-5", "https://www.amazon.com/Breathe-Right-Extra-Strength-Strips/dp/B0BB3BFSJ7/ref=sr_1_5?keywords=Breathe+Right+Extra+Strength+Nasal+Strips+%7C+72+Count.&amp;qid=1695170697&amp;sr=8-5")</f>
        <v/>
      </c>
      <c r="F1917" t="inlineStr">
        <is>
          <t>B0BB3BFSJ7</t>
        </is>
      </c>
      <c r="G1917">
        <f>_xludf.IMAGE("https://www.shelhealth.com/cdn/shop/products/breathe-right-extra-strength-nasal-strips-72-count-shelhealth-382.jpg?v=1663337137&amp;width=1946")</f>
        <v/>
      </c>
      <c r="H1917">
        <f>_xludf.IMAGE("https://m.media-amazon.com/images/I/71qClWaFLIL._AC_UL320_.jpg")</f>
        <v/>
      </c>
      <c r="K1917" t="inlineStr">
        <is>
          <t>29.99</t>
        </is>
      </c>
      <c r="L1917" t="n">
        <v>22.99</v>
      </c>
      <c r="M1917" s="1" t="inlineStr">
        <is>
          <t>-23.34%</t>
        </is>
      </c>
      <c r="N1917" s="3" t="n">
        <v>-23.34</v>
      </c>
      <c r="O1917" t="n">
        <v>4.7</v>
      </c>
      <c r="P1917" t="n">
        <v>202</v>
      </c>
      <c r="R1917" t="inlineStr">
        <is>
          <t>InStock</t>
        </is>
      </c>
      <c r="S1917" t="inlineStr">
        <is>
          <t>29.99</t>
        </is>
      </c>
      <c r="T1917" t="inlineStr">
        <is>
          <t>3745409073204</t>
        </is>
      </c>
    </row>
    <row r="1918" hidden="1" ht="15.75" customHeight="1">
      <c r="A1918" s="2">
        <f>HYPERLINK("https://www.shelhealth.com/products/afrin-no-drip-sever-congestion-nasal-spray-3-x-20-ml", "https://www.shelhealth.com/products/afrin-no-drip-sever-congestion-nasal-spray-3-x-20-ml")</f>
        <v/>
      </c>
      <c r="B1918" s="2">
        <f>HYPERLINK("https://www.shelhealth.com/products/afrin-no-drip-sever-congestion-nasal-spray-3-x-20-ml", "https://www.shelhealth.com/products/afrin-no-drip-sever-congestion-nasal-spray-3-x-20-ml")</f>
        <v/>
      </c>
      <c r="C1918" t="inlineStr">
        <is>
          <t>Afrin No Drip Sever Congestion Nasal Spray, 3 x 20 ml.</t>
        </is>
      </c>
      <c r="D1918" t="inlineStr">
        <is>
          <t>Afrin No Drip Severe Congestion Pump Mist Nasal Spray 12 Hour Relief 20 mL Bottle (Pack of 2)</t>
        </is>
      </c>
      <c r="E1918" s="2">
        <f>HYPERLINK("https://www.amazon.com/Afrin-Severe-Congestion-Relief-Bottle/dp/B004V4OMLY/ref=sr_1_2?keywords=afrin+no+drip+severe+congestion+nasal+spray%2C+3+x+20+ml.&amp;qid=1695170697&amp;sr=8-2", "https://www.amazon.com/Afrin-Severe-Congestion-Relief-Bottle/dp/B004V4OMLY/ref=sr_1_2?keywords=afrin+no+drip+severe+congestion+nasal+spray%2C+3+x+20+ml.&amp;qid=1695170697&amp;sr=8-2")</f>
        <v/>
      </c>
      <c r="F1918" t="inlineStr">
        <is>
          <t>B004V4OMLY</t>
        </is>
      </c>
      <c r="G1918">
        <f>_xludf.IMAGE("https://www.shelhealth.com/cdn/shop/products/afrin-no-drip-sever-congestion-nasal-spray-3-x-20-ml-shelhealth-157.jpg?v=1663885748&amp;width=1946")</f>
        <v/>
      </c>
      <c r="H1918">
        <f>_xludf.IMAGE("https://m.media-amazon.com/images/I/61C4CXa77KL._AC_UL320_.jpg")</f>
        <v/>
      </c>
      <c r="K1918" t="inlineStr">
        <is>
          <t>21.99</t>
        </is>
      </c>
      <c r="L1918" t="n">
        <v>16.77</v>
      </c>
      <c r="M1918" s="1" t="inlineStr">
        <is>
          <t>-23.74%</t>
        </is>
      </c>
      <c r="N1918" s="3" t="n">
        <v>-23.74</v>
      </c>
      <c r="O1918" t="n">
        <v>4.8</v>
      </c>
      <c r="P1918" t="n">
        <v>1246</v>
      </c>
      <c r="R1918" t="inlineStr">
        <is>
          <t>InStock</t>
        </is>
      </c>
      <c r="S1918" t="inlineStr">
        <is>
          <t>21.99</t>
        </is>
      </c>
      <c r="T1918" t="inlineStr">
        <is>
          <t>7934459707624</t>
        </is>
      </c>
    </row>
    <row r="1919" hidden="1" ht="15.75" customHeight="1">
      <c r="A1919" s="2">
        <f>HYPERLINK("https://www.shelhealth.com/products/astepro-allergy-steroid-free-antihistamine-nasal-spray-3-pk", "https://www.shelhealth.com/products/astepro-allergy-steroid-free-antihistamine-nasal-spray-3-pk")</f>
        <v/>
      </c>
      <c r="B1919" s="2">
        <f>HYPERLINK("https://www.shelhealth.com/products/astepro-allergy-steroid-free-antihistamine-nasal-spray-3-pk", "https://www.shelhealth.com/products/astepro-allergy-steroid-free-antihistamine-nasal-spray-3-pk")</f>
        <v/>
      </c>
      <c r="C1919" t="inlineStr">
        <is>
          <t>Astepro Allergy Steroid Free Antihistamine Nasal Spray, 3 pk.</t>
        </is>
      </c>
      <c r="D1919" t="inlineStr">
        <is>
          <t>Astepro Allergy Steroid Free Antihistamine Nasal Spray, 360 Metered Sprays</t>
        </is>
      </c>
      <c r="E1919" s="2">
        <f>HYPERLINK("https://www.amazon.com/Astepro-Allergy-Steroid-Antihistamine-Metered/dp/B0BTVJ4Y7F/ref=sr_1_2?keywords=Astepro+Allergy+Steroid+Free+Antihistamine+Nasal+Spray%2C+3+pk.&amp;qid=1695170697&amp;sr=8-2", "https://www.amazon.com/Astepro-Allergy-Steroid-Antihistamine-Metered/dp/B0BTVJ4Y7F/ref=sr_1_2?keywords=Astepro+Allergy+Steroid+Free+Antihistamine+Nasal+Spray%2C+3+pk.&amp;qid=1695170697&amp;sr=8-2")</f>
        <v/>
      </c>
      <c r="F1919" t="inlineStr">
        <is>
          <t>B0BTVJ4Y7F</t>
        </is>
      </c>
      <c r="G1919">
        <f>_xludf.IMAGE("https://www.shelhealth.com/cdn/shop/files/astepro-allergy-steroid-free-antihistamine-nasal-spray-3-pk-health-beautymedicine-cabinet-shelhealth-744.jpg?v=1686284210&amp;width=1946")</f>
        <v/>
      </c>
      <c r="H1919">
        <f>_xludf.IMAGE("https://m.media-amazon.com/images/I/61e2C0jDCVL._AC_UL320_.jpg")</f>
        <v/>
      </c>
      <c r="K1919" t="inlineStr">
        <is>
          <t>81.99</t>
        </is>
      </c>
      <c r="L1919" t="n">
        <v>49.1</v>
      </c>
      <c r="M1919" s="1" t="inlineStr">
        <is>
          <t>-40.11%</t>
        </is>
      </c>
      <c r="N1919" s="3" t="n">
        <v>-40.11</v>
      </c>
      <c r="O1919" t="n">
        <v>4.1</v>
      </c>
      <c r="P1919" t="n">
        <v>26</v>
      </c>
      <c r="R1919" t="inlineStr">
        <is>
          <t>InStock</t>
        </is>
      </c>
      <c r="S1919" t="inlineStr">
        <is>
          <t>81.99</t>
        </is>
      </c>
      <c r="T1919" t="inlineStr">
        <is>
          <t>8039040876776</t>
        </is>
      </c>
    </row>
    <row r="1920" hidden="1" ht="15.75" customHeight="1">
      <c r="A1920" s="2">
        <f>HYPERLINK("https://www.shelhealth.com/products/breathe-right-extra-nasal-strips-72-count", "https://www.shelhealth.com/products/breathe-right-extra-nasal-strips-72-count")</f>
        <v/>
      </c>
      <c r="B1920" s="2">
        <f>HYPERLINK("https://www.shelhealth.com/products/breathe-right-extra-nasal-strips-72-count", "https://www.shelhealth.com/products/breathe-right-extra-nasal-strips-72-count")</f>
        <v/>
      </c>
      <c r="C1920" t="inlineStr">
        <is>
          <t>Breathe Right Extra Strength Nasal Strips | 72 Count.</t>
        </is>
      </c>
      <c r="D1920" t="inlineStr">
        <is>
          <t>Breathe Right Nasal Strips | Extra Strength | Clear | For Sensitive Skin I Drug-Free Snoring Solution &amp; Nasal Congestion Relief Caused by Colds &amp; Allergies | 44 Count (Packaging May Vary)</t>
        </is>
      </c>
      <c r="E1920" s="2">
        <f>HYPERLINK("https://www.amazon.com/Breathe-Right-Drug-Free-Strips-Congestion/dp/B07FHM225F/ref=sr_1_2?keywords=Breathe+Right+Extra+Strength+Nasal+Strips+%7C+72+Count.&amp;qid=1695170697&amp;rdc=1&amp;sr=8-2", "https://www.amazon.com/Breathe-Right-Drug-Free-Strips-Congestion/dp/B07FHM225F/ref=sr_1_2?keywords=Breathe+Right+Extra+Strength+Nasal+Strips+%7C+72+Count.&amp;qid=1695170697&amp;rdc=1&amp;sr=8-2")</f>
        <v/>
      </c>
      <c r="F1920" t="inlineStr">
        <is>
          <t>B07FHM225F</t>
        </is>
      </c>
      <c r="G1920">
        <f>_xludf.IMAGE("https://www.shelhealth.com/cdn/shop/products/breathe-right-extra-strength-nasal-strips-72-count-shelhealth-382.jpg?v=1663337137&amp;width=1946")</f>
        <v/>
      </c>
      <c r="H1920">
        <f>_xludf.IMAGE("https://m.media-amazon.com/images/I/81B2BU2juEL._AC_UL320_.jpg")</f>
        <v/>
      </c>
      <c r="K1920" t="inlineStr">
        <is>
          <t>29.99</t>
        </is>
      </c>
      <c r="L1920" t="n">
        <v>16.69</v>
      </c>
      <c r="M1920" s="1" t="inlineStr">
        <is>
          <t>-44.35%</t>
        </is>
      </c>
      <c r="N1920" s="3" t="n">
        <v>-44.35</v>
      </c>
      <c r="O1920" t="n">
        <v>4.4</v>
      </c>
      <c r="P1920" t="n">
        <v>9178</v>
      </c>
      <c r="R1920" t="inlineStr">
        <is>
          <t>InStock</t>
        </is>
      </c>
      <c r="S1920" t="inlineStr">
        <is>
          <t>29.99</t>
        </is>
      </c>
      <c r="T1920" t="inlineStr">
        <is>
          <t>3745409073204</t>
        </is>
      </c>
    </row>
    <row r="1921" hidden="1" ht="15.75" customHeight="1">
      <c r="A1921" s="2">
        <f>HYPERLINK("https://www.shelhealth.com/products/breathe-right-extra-nasal-strips-72-count", "https://www.shelhealth.com/products/breathe-right-extra-nasal-strips-72-count")</f>
        <v/>
      </c>
      <c r="B1921" s="2">
        <f>HYPERLINK("https://www.shelhealth.com/products/breathe-right-extra-nasal-strips-72-count", "https://www.shelhealth.com/products/breathe-right-extra-nasal-strips-72-count")</f>
        <v/>
      </c>
      <c r="C1921" t="inlineStr">
        <is>
          <t>Breathe Right Extra Strength Nasal Strips | 72 Count.</t>
        </is>
      </c>
      <c r="D1921" t="inlineStr">
        <is>
          <t>Breathe Right Extra Strength Tan Nasal Strips, Nasal Congestion Relief due to Colds &amp; Allergies, Reduces Nasal Snoring caused by Nasal Congestion, Drug-Free, 44 count</t>
        </is>
      </c>
      <c r="E1921" s="2">
        <f>HYPERLINK("https://www.amazon.com/Breathe-Right-Extra-Count-Strips/dp/B07WNQY2SL/ref=sr_1_9?keywords=Breathe+Right+Extra+Strength+Nasal+Strips+%7C+72+Count.&amp;qid=1695170697&amp;sr=8-9", "https://www.amazon.com/Breathe-Right-Extra-Count-Strips/dp/B07WNQY2SL/ref=sr_1_9?keywords=Breathe+Right+Extra+Strength+Nasal+Strips+%7C+72+Count.&amp;qid=1695170697&amp;sr=8-9")</f>
        <v/>
      </c>
      <c r="F1921" t="inlineStr">
        <is>
          <t>B07WNQY2SL</t>
        </is>
      </c>
      <c r="G1921">
        <f>_xludf.IMAGE("https://www.shelhealth.com/cdn/shop/products/breathe-right-extra-strength-nasal-strips-72-count-shelhealth-382.jpg?v=1663337137&amp;width=1946")</f>
        <v/>
      </c>
      <c r="H1921">
        <f>_xludf.IMAGE("https://m.media-amazon.com/images/I/71cKESKILFL._AC_UL320_.jpg")</f>
        <v/>
      </c>
      <c r="K1921" t="inlineStr">
        <is>
          <t>29.99</t>
        </is>
      </c>
      <c r="L1921" t="n">
        <v>16.69</v>
      </c>
      <c r="M1921" s="1" t="inlineStr">
        <is>
          <t>-44.35%</t>
        </is>
      </c>
      <c r="N1921" s="3" t="n">
        <v>-44.35</v>
      </c>
      <c r="O1921" t="n">
        <v>4.5</v>
      </c>
      <c r="P1921" t="n">
        <v>298</v>
      </c>
      <c r="R1921" t="inlineStr">
        <is>
          <t>InStock</t>
        </is>
      </c>
      <c r="S1921" t="inlineStr">
        <is>
          <t>29.99</t>
        </is>
      </c>
      <c r="T1921" t="inlineStr">
        <is>
          <t>3745409073204</t>
        </is>
      </c>
    </row>
    <row r="1922" hidden="1" ht="15.75" customHeight="1">
      <c r="A1922" s="2">
        <f>HYPERLINK("https://www.shelhealth.com/products/neilmed-sinus-rinse-2-bottles-250-premixed-packets", "https://www.shelhealth.com/products/neilmed-sinus-rinse-2-bottles-250-premixed-packets")</f>
        <v/>
      </c>
      <c r="B1922" s="2">
        <f>HYPERLINK("https://www.shelhealth.com/products/neilmed-sinus-rinse-2-bottles-250-premixed-packets", "https://www.shelhealth.com/products/neilmed-sinus-rinse-2-bottles-250-premixed-packets")</f>
        <v/>
      </c>
      <c r="C1922" t="inlineStr">
        <is>
          <t>NeilMed Sinus Rinse - 2 Bottles - 250 Premixed Packets</t>
        </is>
      </c>
      <c r="D1922" t="inlineStr">
        <is>
          <t>NeilMed Sinus Rinse All Natural Relief Premixed Refill Packets 100 Count (Pack of 1)</t>
        </is>
      </c>
      <c r="E1922" s="2">
        <f>HYPERLINK("https://www.amazon.com/NeilMed-Natural-Relief-Premixed-Packets/dp/B00TU5P33K/ref=sr_1_1?keywords=NeilMed+Sinus+Rinse+-+2+Bottles+-+250+Premixed+Packets&amp;qid=1695170697&amp;sr=8-1", "https://www.amazon.com/NeilMed-Natural-Relief-Premixed-Packets/dp/B00TU5P33K/ref=sr_1_1?keywords=NeilMed+Sinus+Rinse+-+2+Bottles+-+250+Premixed+Packets&amp;qid=1695170697&amp;sr=8-1")</f>
        <v/>
      </c>
      <c r="F1922" t="inlineStr">
        <is>
          <t>B00TU5P33K</t>
        </is>
      </c>
      <c r="G1922">
        <f>_xludf.IMAGE("https://www.shelhealth.com/cdn/shop/products/neilmed-sinus-rinse-2-bottles-250-premixed-packets-shelhealth-548.jpg?v=1663337961&amp;width=1946")</f>
        <v/>
      </c>
      <c r="H1922">
        <f>_xludf.IMAGE("https://m.media-amazon.com/images/I/71Ic4QpokvL._AC_UL320_.jpg")</f>
        <v/>
      </c>
      <c r="K1922" t="inlineStr">
        <is>
          <t>31.99</t>
        </is>
      </c>
      <c r="L1922" t="n">
        <v>12.99</v>
      </c>
      <c r="M1922" s="1" t="inlineStr">
        <is>
          <t>-59.39%</t>
        </is>
      </c>
      <c r="N1922" s="3" t="n">
        <v>-59.39</v>
      </c>
      <c r="O1922" t="n">
        <v>4.8</v>
      </c>
      <c r="P1922" t="n">
        <v>35071</v>
      </c>
      <c r="R1922" t="inlineStr">
        <is>
          <t>InStock</t>
        </is>
      </c>
      <c r="S1922" t="inlineStr">
        <is>
          <t>31.99</t>
        </is>
      </c>
      <c r="T1922" t="inlineStr">
        <is>
          <t>3782019743796</t>
        </is>
      </c>
    </row>
    <row r="1923" hidden="1" ht="15.75" customHeight="1">
      <c r="A1923" s="2">
        <f>HYPERLINK("https://www.shelhealth.com/products/breathe-right-extra-nasal-strips-72-count", "https://www.shelhealth.com/products/breathe-right-extra-nasal-strips-72-count")</f>
        <v/>
      </c>
      <c r="B1923" s="2">
        <f>HYPERLINK("https://www.shelhealth.com/products/breathe-right-extra-nasal-strips-72-count", "https://www.shelhealth.com/products/breathe-right-extra-nasal-strips-72-count")</f>
        <v/>
      </c>
      <c r="C1923" t="inlineStr">
        <is>
          <t>Breathe Right Extra Strength Nasal Strips | 72 Count.</t>
        </is>
      </c>
      <c r="D1923" t="inlineStr">
        <is>
          <t>Breathe Right Nasal Strips Extra Strength Tan Nasal Strips Help Stop Snoring Drug-Free Snoring Solution &amp; Instant Nasal Congestion Relief Caused by Colds &amp; Allergies 26ct (packaging may vary)</t>
        </is>
      </c>
      <c r="E1923" s="2">
        <f>HYPERLINK("https://www.amazon.com/Breathe-Right-Strips-Snoring-Drug-Free/dp/B002GU5YCG/ref=sr_1_10?keywords=Breathe+Right+Extra+Strength+Nasal+Strips+%7C+72+Count.&amp;qid=1695170697&amp;sr=8-10", "https://www.amazon.com/Breathe-Right-Strips-Snoring-Drug-Free/dp/B002GU5YCG/ref=sr_1_10?keywords=Breathe+Right+Extra+Strength+Nasal+Strips+%7C+72+Count.&amp;qid=1695170697&amp;sr=8-10")</f>
        <v/>
      </c>
      <c r="F1923" t="inlineStr">
        <is>
          <t>B002GU5YCG</t>
        </is>
      </c>
      <c r="G1923">
        <f>_xludf.IMAGE("https://www.shelhealth.com/cdn/shop/products/breathe-right-extra-strength-nasal-strips-72-count-shelhealth-382.jpg?v=1663337137&amp;width=1946")</f>
        <v/>
      </c>
      <c r="H1923">
        <f>_xludf.IMAGE("https://m.media-amazon.com/images/I/81EBHHOj0GL._AC_UL320_.jpg")</f>
        <v/>
      </c>
      <c r="K1923" t="inlineStr">
        <is>
          <t>29.99</t>
        </is>
      </c>
      <c r="L1923" t="n">
        <v>10.69</v>
      </c>
      <c r="M1923" s="1" t="inlineStr">
        <is>
          <t>-64.35%</t>
        </is>
      </c>
      <c r="N1923" s="3" t="n">
        <v>-64.34999999999999</v>
      </c>
      <c r="O1923" t="n">
        <v>4.2</v>
      </c>
      <c r="P1923" t="n">
        <v>9878</v>
      </c>
      <c r="R1923" t="inlineStr">
        <is>
          <t>InStock</t>
        </is>
      </c>
      <c r="S1923" t="inlineStr">
        <is>
          <t>29.99</t>
        </is>
      </c>
      <c r="T1923" t="inlineStr">
        <is>
          <t>3745409073204</t>
        </is>
      </c>
    </row>
    <row r="1924" hidden="1" ht="15.75" customHeight="1">
      <c r="A1924" s="2">
        <f>HYPERLINK("https://www.shelhealth.com/products/astepro-allergy-steroid-free-antihistamine-nasal-spray-3-pk", "https://www.shelhealth.com/products/astepro-allergy-steroid-free-antihistamine-nasal-spray-3-pk")</f>
        <v/>
      </c>
      <c r="B1924" s="2">
        <f>HYPERLINK("https://www.shelhealth.com/products/astepro-allergy-steroid-free-antihistamine-nasal-spray-3-pk", "https://www.shelhealth.com/products/astepro-allergy-steroid-free-antihistamine-nasal-spray-3-pk")</f>
        <v/>
      </c>
      <c r="C1924" t="inlineStr">
        <is>
          <t>Astepro Allergy Steroid Free Antihistamine Nasal Spray, 3 pk.</t>
        </is>
      </c>
      <c r="D1924" t="inlineStr">
        <is>
          <t>Astepro Allergy Nasal Spray, 24-Hour Allergy Relief, Steroid-Free Antihistamine, Nasal Congestion, Runny Nose, Itchy Nose, For Adults and Children 6 Years and Older, 200 Metered Sprays (1 Bottle)</t>
        </is>
      </c>
      <c r="E1924" s="2">
        <f>HYPERLINK("https://www.amazon.com/Astepro-Allergy-24-Hour-Steroid-Free-Antihistamine/dp/B0B59NJFNX/ref=sr_1_1?keywords=Astepro+Allergy+Steroid+Free+Antihistamine+Nasal+Spray%2C+3+pk.&amp;qid=1695170697&amp;rdc=1&amp;sr=8-1", "https://www.amazon.com/Astepro-Allergy-24-Hour-Steroid-Free-Antihistamine/dp/B0B59NJFNX/ref=sr_1_1?keywords=Astepro+Allergy+Steroid+Free+Antihistamine+Nasal+Spray%2C+3+pk.&amp;qid=1695170697&amp;rdc=1&amp;sr=8-1")</f>
        <v/>
      </c>
      <c r="F1924" t="inlineStr">
        <is>
          <t>B0B59NJFNX</t>
        </is>
      </c>
      <c r="G1924">
        <f>_xludf.IMAGE("https://www.shelhealth.com/cdn/shop/files/astepro-allergy-steroid-free-antihistamine-nasal-spray-3-pk-health-beautymedicine-cabinet-shelhealth-744.jpg?v=1686284210&amp;width=1946")</f>
        <v/>
      </c>
      <c r="H1924">
        <f>_xludf.IMAGE("https://m.media-amazon.com/images/I/81hBGJwpsNL._AC_UL320_.jpg")</f>
        <v/>
      </c>
      <c r="K1924" t="inlineStr">
        <is>
          <t>81.99</t>
        </is>
      </c>
      <c r="L1924" t="n">
        <v>29.21</v>
      </c>
      <c r="M1924" s="1" t="inlineStr">
        <is>
          <t>-64.37%</t>
        </is>
      </c>
      <c r="N1924" s="3" t="n">
        <v>-64.37</v>
      </c>
      <c r="O1924" t="n">
        <v>4.3</v>
      </c>
      <c r="P1924" t="n">
        <v>1184</v>
      </c>
      <c r="R1924" t="inlineStr">
        <is>
          <t>InStock</t>
        </is>
      </c>
      <c r="S1924" t="inlineStr">
        <is>
          <t>81.99</t>
        </is>
      </c>
      <c r="T1924" t="inlineStr">
        <is>
          <t>8039040876776</t>
        </is>
      </c>
    </row>
    <row r="1925" hidden="1" ht="15.75" customHeight="1">
      <c r="A1925" s="2">
        <f>HYPERLINK("https://www.shelhealth.com/products/huggies-little-snugglers-plus-diapers-size-2-174-count", "https://www.shelhealth.com/products/huggies-little-snugglers-plus-diapers-size-2-174-count")</f>
        <v/>
      </c>
      <c r="B1925" s="2">
        <f>HYPERLINK("https://www.shelhealth.com/products/huggies-little-snugglers-plus-diapers-size-2-174-count", "https://www.shelhealth.com/products/huggies-little-snugglers-plus-diapers-size-2-174-count")</f>
        <v/>
      </c>
      <c r="C1925" t="inlineStr">
        <is>
          <t>Huggies Little Snugglers Plus Diapers Size 2 - 174 Count</t>
        </is>
      </c>
      <c r="D1925" t="inlineStr">
        <is>
          <t>Huggies Little Snugglers Baby Diapers, Size 1, 198 Ct, One Month Supply (2Pack) with Gift Card</t>
        </is>
      </c>
      <c r="E1925" s="2">
        <f>HYPERLINK("https://www.amazon.com/Huggies-Little-Snugglers-Diapers-Supply/dp/B08NYCM13F/ref=sr_1_4?keywords=Huggies+Little+Snugglers+Plus+Diapers+Size+2+-+174+Count&amp;qid=1695170704&amp;sr=8-4", "https://www.amazon.com/Huggies-Little-Snugglers-Diapers-Supply/dp/B08NYCM13F/ref=sr_1_4?keywords=Huggies+Little+Snugglers+Plus+Diapers+Size+2+-+174+Count&amp;qid=1695170704&amp;sr=8-4")</f>
        <v/>
      </c>
      <c r="F1925" t="inlineStr">
        <is>
          <t>B08NYCM13F</t>
        </is>
      </c>
      <c r="G1925">
        <f>_xludf.IMAGE("https://www.shelhealth.com/cdn/shop/products/huggies-little-snugglers-plus-diapers-size-2-174-count-shelhealth-264.jpg?v=1663343587&amp;width=1946")</f>
        <v/>
      </c>
      <c r="H1925">
        <f>_xludf.IMAGE("https://m.media-amazon.com/images/I/61zewrNjwoL._AC_UL320_.jpg")</f>
        <v/>
      </c>
      <c r="K1925" t="inlineStr">
        <is>
          <t>88.99</t>
        </is>
      </c>
      <c r="L1925" t="n">
        <v>125.98</v>
      </c>
      <c r="M1925" s="1" t="inlineStr">
        <is>
          <t>41.57%</t>
        </is>
      </c>
      <c r="N1925" s="3" t="n">
        <v>41.57</v>
      </c>
      <c r="O1925" t="n">
        <v>5</v>
      </c>
      <c r="P1925" t="n">
        <v>1</v>
      </c>
      <c r="R1925" t="inlineStr">
        <is>
          <t>InStock</t>
        </is>
      </c>
      <c r="S1925" t="inlineStr">
        <is>
          <t>88.99</t>
        </is>
      </c>
      <c r="T1925" t="inlineStr">
        <is>
          <t>3821609779252</t>
        </is>
      </c>
    </row>
    <row r="1926" hidden="1" ht="15.75" customHeight="1">
      <c r="A1926" s="2">
        <f>HYPERLINK("https://www.shelhealth.com/products/huggies-little-snugglers-plus-diapers-size-2-174-count", "https://www.shelhealth.com/products/huggies-little-snugglers-plus-diapers-size-2-174-count")</f>
        <v/>
      </c>
      <c r="B1926" s="2">
        <f>HYPERLINK("https://www.shelhealth.com/products/huggies-little-snugglers-plus-diapers-size-2-174-count", "https://www.shelhealth.com/products/huggies-little-snugglers-plus-diapers-size-2-174-count")</f>
        <v/>
      </c>
      <c r="C1926" t="inlineStr">
        <is>
          <t>Huggies Little Snugglers Plus Diapers Size 2 - 174 Count</t>
        </is>
      </c>
      <c r="D1926" t="inlineStr">
        <is>
          <t>Huggies Little Snugglers Baby Diapers, Size 1, 198 Ct &amp; Size 2, 180 Ct, One Month Supply with Gift Card</t>
        </is>
      </c>
      <c r="E1926" s="2">
        <f>HYPERLINK("https://www.amazon.com/Huggies-Little-Snugglers-Diapers-Supply/dp/B08NY9Q519/ref=sr_1_2?keywords=Huggies+Little+Snugglers+Plus+Diapers+Size+2+-+174+Count&amp;qid=1695170704&amp;sr=8-2", "https://www.amazon.com/Huggies-Little-Snugglers-Diapers-Supply/dp/B08NY9Q519/ref=sr_1_2?keywords=Huggies+Little+Snugglers+Plus+Diapers+Size+2+-+174+Count&amp;qid=1695170704&amp;sr=8-2")</f>
        <v/>
      </c>
      <c r="F1926" t="inlineStr">
        <is>
          <t>B08NY9Q519</t>
        </is>
      </c>
      <c r="G1926">
        <f>_xludf.IMAGE("https://www.shelhealth.com/cdn/shop/products/huggies-little-snugglers-plus-diapers-size-2-174-count-shelhealth-264.jpg?v=1663343587&amp;width=1946")</f>
        <v/>
      </c>
      <c r="H1926">
        <f>_xludf.IMAGE("https://m.media-amazon.com/images/I/61ToV-q0VAL._AC_UL320_.jpg")</f>
        <v/>
      </c>
      <c r="K1926" t="inlineStr">
        <is>
          <t>88.99</t>
        </is>
      </c>
      <c r="L1926" t="n">
        <v>125.97</v>
      </c>
      <c r="M1926" s="1" t="inlineStr">
        <is>
          <t>41.56%</t>
        </is>
      </c>
      <c r="N1926" s="3" t="n">
        <v>41.56</v>
      </c>
      <c r="O1926" t="n">
        <v>5</v>
      </c>
      <c r="P1926" t="n">
        <v>4</v>
      </c>
      <c r="R1926" t="inlineStr">
        <is>
          <t>InStock</t>
        </is>
      </c>
      <c r="S1926" t="inlineStr">
        <is>
          <t>88.99</t>
        </is>
      </c>
      <c r="T1926" t="inlineStr">
        <is>
          <t>3821609779252</t>
        </is>
      </c>
    </row>
    <row r="1927" hidden="1" ht="15.75" customHeight="1">
      <c r="A1927" s="2">
        <f>HYPERLINK("https://www.shelhealth.com/products/huggies-little-snugglers-plus-diapers-size-2-174-count", "https://www.shelhealth.com/products/huggies-little-snugglers-plus-diapers-size-2-174-count")</f>
        <v/>
      </c>
      <c r="B1927" s="2">
        <f>HYPERLINK("https://www.shelhealth.com/products/huggies-little-snugglers-plus-diapers-size-2-174-count", "https://www.shelhealth.com/products/huggies-little-snugglers-plus-diapers-size-2-174-count")</f>
        <v/>
      </c>
      <c r="C1927" t="inlineStr">
        <is>
          <t>Huggies Little Snugglers Plus Diapers Size 2 - 174 Count</t>
        </is>
      </c>
      <c r="D1927" t="inlineStr">
        <is>
          <t>Huggies Little Snugglers Baby Diapers, Size 2, 180 Ct &amp; Size 3, 156 Ct, One Month Supply with Gift Card</t>
        </is>
      </c>
      <c r="E1927" s="2">
        <f>HYPERLINK("https://www.amazon.com/Huggies-Little-Snugglers-Diapers-Supply/dp/B08NYD33SY/ref=sr_1_1?keywords=Huggies+Little+Snugglers+Plus+Diapers+Size+2+-+174+Count&amp;qid=1695170704&amp;sr=8-1", "https://www.amazon.com/Huggies-Little-Snugglers-Diapers-Supply/dp/B08NYD33SY/ref=sr_1_1?keywords=Huggies+Little+Snugglers+Plus+Diapers+Size+2+-+174+Count&amp;qid=1695170704&amp;sr=8-1")</f>
        <v/>
      </c>
      <c r="F1927" t="inlineStr">
        <is>
          <t>B08NYD33SY</t>
        </is>
      </c>
      <c r="G1927">
        <f>_xludf.IMAGE("https://www.shelhealth.com/cdn/shop/products/huggies-little-snugglers-plus-diapers-size-2-174-count-shelhealth-264.jpg?v=1663343587&amp;width=1946")</f>
        <v/>
      </c>
      <c r="H1927">
        <f>_xludf.IMAGE("https://m.media-amazon.com/images/I/61xwxFK7kvL._AC_UL320_.jpg")</f>
        <v/>
      </c>
      <c r="K1927" t="inlineStr">
        <is>
          <t>88.99</t>
        </is>
      </c>
      <c r="L1927" t="n">
        <v>124.94</v>
      </c>
      <c r="M1927" s="1" t="inlineStr">
        <is>
          <t>40.40%</t>
        </is>
      </c>
      <c r="N1927" s="3" t="n">
        <v>40.4</v>
      </c>
      <c r="O1927" t="n">
        <v>5</v>
      </c>
      <c r="P1927" t="n">
        <v>10</v>
      </c>
      <c r="R1927" t="inlineStr">
        <is>
          <t>InStock</t>
        </is>
      </c>
      <c r="S1927" t="inlineStr">
        <is>
          <t>88.99</t>
        </is>
      </c>
      <c r="T1927" t="inlineStr">
        <is>
          <t>3821609779252</t>
        </is>
      </c>
    </row>
    <row r="1928" hidden="1" ht="15.75" customHeight="1">
      <c r="A1928" s="2">
        <f>HYPERLINK("https://www.shelhealth.com/products/huggies-little-snugglers-plus-diapers-size-2-174-count", "https://www.shelhealth.com/products/huggies-little-snugglers-plus-diapers-size-2-174-count")</f>
        <v/>
      </c>
      <c r="B1928" s="2">
        <f>HYPERLINK("https://www.shelhealth.com/products/huggies-little-snugglers-plus-diapers-size-2-174-count", "https://www.shelhealth.com/products/huggies-little-snugglers-plus-diapers-size-2-174-count")</f>
        <v/>
      </c>
      <c r="C1928" t="inlineStr">
        <is>
          <t>Huggies Little Snugglers Plus Diapers Size 2 - 174 Count</t>
        </is>
      </c>
      <c r="D1928" t="inlineStr">
        <is>
          <t>Huggies Little Snugglers Baby Diapers, Size 3, 156 Ct, One Month Supply (2Pack) with Gift Card</t>
        </is>
      </c>
      <c r="E1928" s="2">
        <f>HYPERLINK("https://www.amazon.com/Huggies-Little-Snugglers-Diapers-Supply/dp/B08NYC1QTF/ref=sr_1_3?keywords=Huggies+Little+Snugglers+Plus+Diapers+Size+2+-+174+Count&amp;qid=1695170704&amp;sr=8-3", "https://www.amazon.com/Huggies-Little-Snugglers-Diapers-Supply/dp/B08NYC1QTF/ref=sr_1_3?keywords=Huggies+Little+Snugglers+Plus+Diapers+Size+2+-+174+Count&amp;qid=1695170704&amp;sr=8-3")</f>
        <v/>
      </c>
      <c r="F1928" t="inlineStr">
        <is>
          <t>B08NYC1QTF</t>
        </is>
      </c>
      <c r="G1928">
        <f>_xludf.IMAGE("https://www.shelhealth.com/cdn/shop/products/huggies-little-snugglers-plus-diapers-size-2-174-count-shelhealth-264.jpg?v=1663343587&amp;width=1946")</f>
        <v/>
      </c>
      <c r="H1928">
        <f>_xludf.IMAGE("https://m.media-amazon.com/images/I/61dIQE-TicL._AC_UL320_.jpg")</f>
        <v/>
      </c>
      <c r="K1928" t="inlineStr">
        <is>
          <t>88.99</t>
        </is>
      </c>
      <c r="L1928" t="n">
        <v>123.92</v>
      </c>
      <c r="M1928" s="1" t="inlineStr">
        <is>
          <t>39.25%</t>
        </is>
      </c>
      <c r="N1928" s="3" t="n">
        <v>39.25</v>
      </c>
      <c r="O1928" t="n">
        <v>5</v>
      </c>
      <c r="P1928" t="n">
        <v>2</v>
      </c>
      <c r="R1928" t="inlineStr">
        <is>
          <t>InStock</t>
        </is>
      </c>
      <c r="S1928" t="inlineStr">
        <is>
          <t>88.99</t>
        </is>
      </c>
      <c r="T1928" t="inlineStr">
        <is>
          <t>3821609779252</t>
        </is>
      </c>
    </row>
    <row r="1929" hidden="1" ht="15.75" customHeight="1">
      <c r="A1929" s="2">
        <f>HYPERLINK("https://www.shelhealth.com/products/kirkland-signature-supreme-diapers-size-2-174-count", "https://www.shelhealth.com/products/kirkland-signature-supreme-diapers-size-2-174-count")</f>
        <v/>
      </c>
      <c r="B1929" s="2">
        <f>HYPERLINK("https://www.shelhealth.com/products/kirkland-signature-supreme-diapers-size-2-174-count", "https://www.shelhealth.com/products/kirkland-signature-supreme-diapers-size-2-174-count")</f>
        <v/>
      </c>
      <c r="C1929" t="inlineStr">
        <is>
          <t>Kirkland Signature Supreme Diapers - Size 2 - 174 Count</t>
        </is>
      </c>
      <c r="D1929" t="inlineStr">
        <is>
          <t>Kirkland Signature Diapers Size 2; Quantity: 174</t>
        </is>
      </c>
      <c r="E1929" s="2">
        <f>HYPERLINK("https://www.amazon.com/Kirkland-SignatureTM-Supreme-Diapers-Quantity/dp/B0160RVEDI/ref=sr_1_3?keywords=Kirkland+Signature+Supreme+Diapers+-+Size+2+-+174+Count&amp;qid=1695170709&amp;sr=8-3", "https://www.amazon.com/Kirkland-SignatureTM-Supreme-Diapers-Quantity/dp/B0160RVEDI/ref=sr_1_3?keywords=Kirkland+Signature+Supreme+Diapers+-+Size+2+-+174+Count&amp;qid=1695170709&amp;sr=8-3")</f>
        <v/>
      </c>
      <c r="F1929" t="inlineStr">
        <is>
          <t>B0160RVEDI</t>
        </is>
      </c>
      <c r="G1929">
        <f>_xludf.IMAGE("https://www.shelhealth.com/cdn/shop/products/kirkland-signature-supreme-diapers-size-2-174-count-shelhealth-683.jpg?v=1663343618&amp;width=1946")</f>
        <v/>
      </c>
      <c r="H1929">
        <f>_xludf.IMAGE("https://m.media-amazon.com/images/I/71llGzQFREL._AC_UL320_.jpg")</f>
        <v/>
      </c>
      <c r="K1929" t="inlineStr">
        <is>
          <t>66.99</t>
        </is>
      </c>
      <c r="L1929" t="n">
        <v>69.98999999999999</v>
      </c>
      <c r="M1929" s="1" t="inlineStr">
        <is>
          <t>4.48%</t>
        </is>
      </c>
      <c r="N1929" s="3" t="n">
        <v>4.48</v>
      </c>
      <c r="O1929" t="n">
        <v>4.8</v>
      </c>
      <c r="P1929" t="n">
        <v>26</v>
      </c>
      <c r="R1929" t="inlineStr">
        <is>
          <t>InStock</t>
        </is>
      </c>
      <c r="S1929" t="inlineStr">
        <is>
          <t>66.99</t>
        </is>
      </c>
      <c r="T1929" t="inlineStr">
        <is>
          <t>3821615448116</t>
        </is>
      </c>
    </row>
    <row r="1930" hidden="1" ht="15.75" customHeight="1">
      <c r="A1930" s="2">
        <f>HYPERLINK("https://www.shelhealth.com/products/kirkland-signature-supreme-diaper-size-1-192-count", "https://www.shelhealth.com/products/kirkland-signature-supreme-diaper-size-1-192-count")</f>
        <v/>
      </c>
      <c r="B1930" s="2">
        <f>HYPERLINK("https://www.shelhealth.com/products/kirkland-signature-supreme-diaper-size-1-192-count", "https://www.shelhealth.com/products/kirkland-signature-supreme-diaper-size-1-192-count")</f>
        <v/>
      </c>
      <c r="C1930" t="inlineStr">
        <is>
          <t>Kirkland Signature Supreme Diaper - Size 1 - 192 Count</t>
        </is>
      </c>
      <c r="D1930" t="inlineStr">
        <is>
          <t>Kirkland Signature Super Absorbent, Wetness Indicator Supreme Diapers: Size 2 (12-18lbs) - 174 Ct</t>
        </is>
      </c>
      <c r="E1930" s="2">
        <f>HYPERLINK("https://www.amazon.com/Kirkland-Signature-Absorbent-Wetness-Indicator/dp/B07HM9F3VG/ref=sr_1_3?keywords=Kirkland+Signature+Supreme+Diaper+-+Size+1+-+192+Count&amp;qid=1695170709&amp;sr=8-3", "https://www.amazon.com/Kirkland-Signature-Absorbent-Wetness-Indicator/dp/B07HM9F3VG/ref=sr_1_3?keywords=Kirkland+Signature+Supreme+Diaper+-+Size+1+-+192+Count&amp;qid=1695170709&amp;sr=8-3")</f>
        <v/>
      </c>
      <c r="F1930" t="inlineStr">
        <is>
          <t>B07HM9F3VG</t>
        </is>
      </c>
      <c r="G1930">
        <f>_xludf.IMAGE("https://www.shelhealth.com/cdn/shop/products/kirkland-signature-supreme-diaper-size-1-192-count-shelhealth-490.jpg?v=1663343597&amp;width=1946")</f>
        <v/>
      </c>
      <c r="H1930">
        <f>_xludf.IMAGE("https://m.media-amazon.com/images/I/51HruaNikVL._AC_UL320_.jpg")</f>
        <v/>
      </c>
      <c r="K1930" t="inlineStr">
        <is>
          <t>66.99</t>
        </is>
      </c>
      <c r="L1930" t="n">
        <v>65</v>
      </c>
      <c r="M1930" s="1" t="inlineStr">
        <is>
          <t>-2.97%</t>
        </is>
      </c>
      <c r="N1930" s="3" t="n">
        <v>-2.97</v>
      </c>
      <c r="O1930" t="n">
        <v>5</v>
      </c>
      <c r="P1930" t="n">
        <v>1</v>
      </c>
      <c r="R1930" t="inlineStr">
        <is>
          <t>InStock</t>
        </is>
      </c>
      <c r="S1930" t="inlineStr">
        <is>
          <t>66.99</t>
        </is>
      </c>
      <c r="T1930" t="inlineStr">
        <is>
          <t>3821612400692</t>
        </is>
      </c>
    </row>
    <row r="1931" hidden="1" ht="15.75" customHeight="1">
      <c r="A1931" s="2">
        <f>HYPERLINK("https://www.shelhealth.com/products/kirkland-signature-supreme-diapers-size-2-174-count", "https://www.shelhealth.com/products/kirkland-signature-supreme-diapers-size-2-174-count")</f>
        <v/>
      </c>
      <c r="B1931" s="2">
        <f>HYPERLINK("https://www.shelhealth.com/products/kirkland-signature-supreme-diapers-size-2-174-count", "https://www.shelhealth.com/products/kirkland-signature-supreme-diapers-size-2-174-count")</f>
        <v/>
      </c>
      <c r="C1931" t="inlineStr">
        <is>
          <t>Kirkland Signature Supreme Diapers - Size 2 - 174 Count</t>
        </is>
      </c>
      <c r="D1931" t="inlineStr">
        <is>
          <t>Kirkland Signature Super Absorbent, Wetness Indicator Supreme Diapers: Size 2 (12-18lbs) - 174 Ct</t>
        </is>
      </c>
      <c r="E1931" s="2">
        <f>HYPERLINK("https://www.amazon.com/Kirkland-Signature-Absorbent-Wetness-Indicator/dp/B07HM9F3VG/ref=sr_1_1?keywords=Kirkland+Signature+Supreme+Diapers+-+Size+2+-+174+Count&amp;qid=1695170709&amp;sr=8-1", "https://www.amazon.com/Kirkland-Signature-Absorbent-Wetness-Indicator/dp/B07HM9F3VG/ref=sr_1_1?keywords=Kirkland+Signature+Supreme+Diapers+-+Size+2+-+174+Count&amp;qid=1695170709&amp;sr=8-1")</f>
        <v/>
      </c>
      <c r="F1931" t="inlineStr">
        <is>
          <t>B07HM9F3VG</t>
        </is>
      </c>
      <c r="G1931">
        <f>_xludf.IMAGE("https://www.shelhealth.com/cdn/shop/products/kirkland-signature-supreme-diapers-size-2-174-count-shelhealth-683.jpg?v=1663343618&amp;width=1946")</f>
        <v/>
      </c>
      <c r="H1931">
        <f>_xludf.IMAGE("https://m.media-amazon.com/images/I/51HruaNikVL._AC_UL320_.jpg")</f>
        <v/>
      </c>
      <c r="K1931" t="inlineStr">
        <is>
          <t>66.99</t>
        </is>
      </c>
      <c r="L1931" t="n">
        <v>65</v>
      </c>
      <c r="M1931" s="1" t="inlineStr">
        <is>
          <t>-2.97%</t>
        </is>
      </c>
      <c r="N1931" s="3" t="n">
        <v>-2.97</v>
      </c>
      <c r="O1931" t="n">
        <v>5</v>
      </c>
      <c r="P1931" t="n">
        <v>1</v>
      </c>
      <c r="R1931" t="inlineStr">
        <is>
          <t>InStock</t>
        </is>
      </c>
      <c r="S1931" t="inlineStr">
        <is>
          <t>66.99</t>
        </is>
      </c>
      <c r="T1931" t="inlineStr">
        <is>
          <t>3821615448116</t>
        </is>
      </c>
    </row>
    <row r="1932" hidden="1" ht="15.75" customHeight="1">
      <c r="A1932" s="2">
        <f>HYPERLINK("https://www.shelhealth.com/products/pampers-cruisers-disposable-baby-diapers-diapers-size-6-112-count", "https://www.shelhealth.com/products/pampers-cruisers-disposable-baby-diapers-diapers-size-6-112-count")</f>
        <v/>
      </c>
      <c r="B1932" s="2">
        <f>HYPERLINK("https://www.shelhealth.com/products/pampers-cruisers-disposable-baby-diapers-diapers-size-6-112-count", "https://www.shelhealth.com/products/pampers-cruisers-disposable-baby-diapers-diapers-size-6-112-count")</f>
        <v/>
      </c>
      <c r="C1932" t="inlineStr">
        <is>
          <t>Pampers Cruisers Disposable Baby Diapers, Diapers Size 6, 112 Count</t>
        </is>
      </c>
      <c r="D1932" t="inlineStr">
        <is>
          <t>Pampers Pull On Diapers Size 6 and Baby Wipes, Cruisers 360° Fit Disposable Baby Diapers with Stretchy Waistband, 104 Count ONE MONTH SUPPLY with Baby Wipes 6X Pop-Top Packs, 336 Count</t>
        </is>
      </c>
      <c r="E1932" s="2">
        <f>HYPERLINK("https://www.amazon.com/Pampers-Cruisers-Disposable-Stretchy-Waistband/dp/B08WP3N2LH/ref=sr_1_3?keywords=Pampers+Cruisers+Disposable+Baby+Diapers%2C+Diapers+Size+6%2C+112+Count&amp;qid=1695170705&amp;sr=8-3", "https://www.amazon.com/Pampers-Cruisers-Disposable-Stretchy-Waistband/dp/B08WP3N2LH/ref=sr_1_3?keywords=Pampers+Cruisers+Disposable+Baby+Diapers%2C+Diapers+Size+6%2C+112+Count&amp;qid=1695170705&amp;sr=8-3")</f>
        <v/>
      </c>
      <c r="F1932" t="inlineStr">
        <is>
          <t>B08WP3N2LH</t>
        </is>
      </c>
      <c r="G1932">
        <f>_xludf.IMAGE("https://www.shelhealth.com/cdn/shop/products/pampers-cruisers-disposable-baby-diapers-size-6-112-count-shelhealth-383.jpg?v=1663357925&amp;width=1946")</f>
        <v/>
      </c>
      <c r="H1932">
        <f>_xludf.IMAGE("https://m.media-amazon.com/images/I/81MdS2cqjKL._AC_UL320_.jpg")</f>
        <v/>
      </c>
      <c r="K1932" t="inlineStr">
        <is>
          <t>71.99</t>
        </is>
      </c>
      <c r="L1932" t="n">
        <v>68.95999999999999</v>
      </c>
      <c r="M1932" s="1" t="inlineStr">
        <is>
          <t>-4.21%</t>
        </is>
      </c>
      <c r="N1932" s="3" t="n">
        <v>-4.21</v>
      </c>
      <c r="O1932" t="n">
        <v>4.9</v>
      </c>
      <c r="P1932" t="n">
        <v>1881</v>
      </c>
      <c r="R1932" t="inlineStr">
        <is>
          <t>InStock</t>
        </is>
      </c>
      <c r="S1932" t="inlineStr">
        <is>
          <t>71.99</t>
        </is>
      </c>
      <c r="T1932" t="inlineStr">
        <is>
          <t>4291926655065</t>
        </is>
      </c>
    </row>
    <row r="1933" hidden="1" ht="15.75" customHeight="1">
      <c r="A1933" s="2">
        <f>HYPERLINK("https://www.shelhealth.com/products/pampers-cruisers-disposable-baby-diapers-diapers-size-6-112-count", "https://www.shelhealth.com/products/pampers-cruisers-disposable-baby-diapers-diapers-size-6-112-count")</f>
        <v/>
      </c>
      <c r="B1933" s="2">
        <f>HYPERLINK("https://www.shelhealth.com/products/pampers-cruisers-disposable-baby-diapers-diapers-size-6-112-count", "https://www.shelhealth.com/products/pampers-cruisers-disposable-baby-diapers-diapers-size-6-112-count")</f>
        <v/>
      </c>
      <c r="C1933" t="inlineStr">
        <is>
          <t>Pampers Cruisers Disposable Baby Diapers, Diapers Size 6, 112 Count</t>
        </is>
      </c>
      <c r="D1933" t="inlineStr">
        <is>
          <t>Diapers Size 6, 108 Count and Baby Wipes - Pampers Cruisers Disposable Baby Diapers and Water Baby Wipes Sensitive Pop-Top Packs, 336 Count (Packaging May Vary)</t>
        </is>
      </c>
      <c r="E1933" s="2">
        <f>HYPERLINK("https://www.amazon.com/Pampers-Cruisers-Disposable-Diapers-Sensitive/dp/B07HCZDV6Z/ref=sr_1_4?keywords=Pampers+Cruisers+Disposable+Baby+Diapers%2C+Diapers+Size+6%2C+112+Count&amp;qid=1695170705&amp;sr=8-4", "https://www.amazon.com/Pampers-Cruisers-Disposable-Diapers-Sensitive/dp/B07HCZDV6Z/ref=sr_1_4?keywords=Pampers+Cruisers+Disposable+Baby+Diapers%2C+Diapers+Size+6%2C+112+Count&amp;qid=1695170705&amp;sr=8-4")</f>
        <v/>
      </c>
      <c r="F1933" t="inlineStr">
        <is>
          <t>B07HCZDV6Z</t>
        </is>
      </c>
      <c r="G1933">
        <f>_xludf.IMAGE("https://www.shelhealth.com/cdn/shop/products/pampers-cruisers-disposable-baby-diapers-size-6-112-count-shelhealth-383.jpg?v=1663357925&amp;width=1946")</f>
        <v/>
      </c>
      <c r="H1933">
        <f>_xludf.IMAGE("https://m.media-amazon.com/images/I/71One+ap22L._AC_UL320_.jpg")</f>
        <v/>
      </c>
      <c r="K1933" t="inlineStr">
        <is>
          <t>71.99</t>
        </is>
      </c>
      <c r="L1933" t="n">
        <v>68.93000000000001</v>
      </c>
      <c r="M1933" s="1" t="inlineStr">
        <is>
          <t>-4.25%</t>
        </is>
      </c>
      <c r="N1933" s="3" t="n">
        <v>-4.25</v>
      </c>
      <c r="O1933" t="n">
        <v>4.9</v>
      </c>
      <c r="P1933" t="n">
        <v>1385</v>
      </c>
      <c r="R1933" t="inlineStr">
        <is>
          <t>InStock</t>
        </is>
      </c>
      <c r="S1933" t="inlineStr">
        <is>
          <t>71.99</t>
        </is>
      </c>
      <c r="T1933" t="inlineStr">
        <is>
          <t>4291926655065</t>
        </is>
      </c>
    </row>
    <row r="1934" hidden="1" ht="15.75" customHeight="1">
      <c r="A1934" s="2">
        <f>HYPERLINK("https://www.shelhealth.com/products/kirkland-signature-supreme-diapers-size-2-174-count", "https://www.shelhealth.com/products/kirkland-signature-supreme-diapers-size-2-174-count")</f>
        <v/>
      </c>
      <c r="B1934" s="2">
        <f>HYPERLINK("https://www.shelhealth.com/products/kirkland-signature-supreme-diapers-size-2-174-count", "https://www.shelhealth.com/products/kirkland-signature-supreme-diapers-size-2-174-count")</f>
        <v/>
      </c>
      <c r="C1934" t="inlineStr">
        <is>
          <t>Kirkland Signature Supreme Diapers - Size 2 - 174 Count</t>
        </is>
      </c>
      <c r="D1934" t="inlineStr">
        <is>
          <t>Kirkland Diapers - Size 2-174 ct</t>
        </is>
      </c>
      <c r="E1934" s="2">
        <f>HYPERLINK("https://www.amazon.com/Kirkland-Signature-Diapers-Size-174/dp/B016U6VJE8/ref=sr_1_4?keywords=Kirkland+Signature+Supreme+Diapers+-+Size+2+-+174+Count&amp;qid=1695170709&amp;sr=8-4", "https://www.amazon.com/Kirkland-Signature-Diapers-Size-174/dp/B016U6VJE8/ref=sr_1_4?keywords=Kirkland+Signature+Supreme+Diapers+-+Size+2+-+174+Count&amp;qid=1695170709&amp;sr=8-4")</f>
        <v/>
      </c>
      <c r="F1934" t="inlineStr">
        <is>
          <t>B016U6VJE8</t>
        </is>
      </c>
      <c r="G1934">
        <f>_xludf.IMAGE("https://www.shelhealth.com/cdn/shop/products/kirkland-signature-supreme-diapers-size-2-174-count-shelhealth-683.jpg?v=1663343618&amp;width=1946")</f>
        <v/>
      </c>
      <c r="H1934">
        <f>_xludf.IMAGE("https://m.media-amazon.com/images/I/71gTn8g97UL._AC_UL320_.jpg")</f>
        <v/>
      </c>
      <c r="K1934" t="inlineStr">
        <is>
          <t>66.99</t>
        </is>
      </c>
      <c r="L1934" t="n">
        <v>62.81</v>
      </c>
      <c r="M1934" s="1" t="inlineStr">
        <is>
          <t>-6.24%</t>
        </is>
      </c>
      <c r="N1934" s="3" t="n">
        <v>-6.24</v>
      </c>
      <c r="O1934" t="n">
        <v>4.6</v>
      </c>
      <c r="P1934" t="n">
        <v>115</v>
      </c>
      <c r="R1934" t="inlineStr">
        <is>
          <t>InStock</t>
        </is>
      </c>
      <c r="S1934" t="inlineStr">
        <is>
          <t>66.99</t>
        </is>
      </c>
      <c r="T1934" t="inlineStr">
        <is>
          <t>3821615448116</t>
        </is>
      </c>
    </row>
    <row r="1935" hidden="1" ht="15.75" customHeight="1">
      <c r="A1935" s="2">
        <f>HYPERLINK("https://www.shelhealth.com/products/pampers-cruisers-disposable-baby-diapers-diapers-size-6-112-count", "https://www.shelhealth.com/products/pampers-cruisers-disposable-baby-diapers-diapers-size-6-112-count")</f>
        <v/>
      </c>
      <c r="B1935" s="2">
        <f>HYPERLINK("https://www.shelhealth.com/products/pampers-cruisers-disposable-baby-diapers-diapers-size-6-112-count", "https://www.shelhealth.com/products/pampers-cruisers-disposable-baby-diapers-diapers-size-6-112-count")</f>
        <v/>
      </c>
      <c r="C1935" t="inlineStr">
        <is>
          <t>Pampers Cruisers Disposable Baby Diapers, Diapers Size 6, 112 Count</t>
        </is>
      </c>
      <c r="D1935" t="inlineStr">
        <is>
          <t>Diapers Size 6, 92 Count - Pampers Pull On Cruisers 360° Fit Disposable Baby Diapers with Stretchy Waistband, ONE MONTH SUPPLY (Packaging May Vary)</t>
        </is>
      </c>
      <c r="E1935" s="2">
        <f>HYPERLINK("https://www.amazon.com/Pampers-Pull-Diapers-Size-Disposable/dp/B07KGR8W8N/ref=sr_1_5?keywords=Pampers+Cruisers+Disposable+Baby+Diapers%2C+Diapers+Size+6%2C+112+Count&amp;qid=1695170705&amp;sr=8-5", "https://www.amazon.com/Pampers-Pull-Diapers-Size-Disposable/dp/B07KGR8W8N/ref=sr_1_5?keywords=Pampers+Cruisers+Disposable+Baby+Diapers%2C+Diapers+Size+6%2C+112+Count&amp;qid=1695170705&amp;sr=8-5")</f>
        <v/>
      </c>
      <c r="F1935" t="inlineStr">
        <is>
          <t>B07KGR8W8N</t>
        </is>
      </c>
      <c r="G1935">
        <f>_xludf.IMAGE("https://www.shelhealth.com/cdn/shop/products/pampers-cruisers-disposable-baby-diapers-size-6-112-count-shelhealth-383.jpg?v=1663357925&amp;width=1946")</f>
        <v/>
      </c>
      <c r="H1935">
        <f>_xludf.IMAGE("https://m.media-amazon.com/images/I/71nZyyXLQ+L._AC_UL320_.jpg")</f>
        <v/>
      </c>
      <c r="K1935" t="inlineStr">
        <is>
          <t>71.99</t>
        </is>
      </c>
      <c r="L1935" t="n">
        <v>64.98999999999999</v>
      </c>
      <c r="M1935" s="1" t="inlineStr">
        <is>
          <t>-9.72%</t>
        </is>
      </c>
      <c r="N1935" s="3" t="n">
        <v>-9.720000000000001</v>
      </c>
      <c r="O1935" t="n">
        <v>4.8</v>
      </c>
      <c r="P1935" t="n">
        <v>13944</v>
      </c>
      <c r="R1935" t="inlineStr">
        <is>
          <t>InStock</t>
        </is>
      </c>
      <c r="S1935" t="inlineStr">
        <is>
          <t>71.99</t>
        </is>
      </c>
      <c r="T1935" t="inlineStr">
        <is>
          <t>4291926655065</t>
        </is>
      </c>
    </row>
    <row r="1936" hidden="1" ht="15.75" customHeight="1">
      <c r="A1936" s="2">
        <f>HYPERLINK("https://www.shelhealth.com/products/pampers-cruisers-disposable-baby-diapers-diapers-size-3-192-count", "https://www.shelhealth.com/products/pampers-cruisers-disposable-baby-diapers-diapers-size-3-192-count")</f>
        <v/>
      </c>
      <c r="B1936" s="2">
        <f>HYPERLINK("https://www.shelhealth.com/products/pampers-cruisers-disposable-baby-diapers-diapers-size-3-192-count", "https://www.shelhealth.com/products/pampers-cruisers-disposable-baby-diapers-diapers-size-3-192-count")</f>
        <v/>
      </c>
      <c r="C1936" t="inlineStr">
        <is>
          <t>Pampers Cruisers Disposable Baby Diapers, Diapers Size 3, 176 Count</t>
        </is>
      </c>
      <c r="D1936" t="inlineStr">
        <is>
          <t>Pampers Cruisers Disposable Diapers Size 3, 92 Count, SUPER</t>
        </is>
      </c>
      <c r="E1936" s="2">
        <f>HYPERLINK("https://www.amazon.com/Pampers-Cruisers-Disposable-Diapers-Count/dp/B00FMWX8EQ/ref=sr_1_6?keywords=Pampers+Cruisers+Disposable+Baby+Diapers%2C+Diapers+Size+3%2C+176+Count&amp;qid=1695170704&amp;sr=8-6", "https://www.amazon.com/Pampers-Cruisers-Disposable-Diapers-Count/dp/B00FMWX8EQ/ref=sr_1_6?keywords=Pampers+Cruisers+Disposable+Baby+Diapers%2C+Diapers+Size+3%2C+176+Count&amp;qid=1695170704&amp;sr=8-6")</f>
        <v/>
      </c>
      <c r="F1936" t="inlineStr">
        <is>
          <t>B00FMWX8EQ</t>
        </is>
      </c>
      <c r="G1936">
        <f>_xludf.IMAGE("https://www.shelhealth.com/cdn/shop/products/pampers-cruisers-disposable-baby-diapers-size-3-176-count-shelhealth-938.jpg?v=1663357931&amp;width=1946")</f>
        <v/>
      </c>
      <c r="H1936">
        <f>_xludf.IMAGE("https://m.media-amazon.com/images/I/71wTY8but4L._AC_UL320_.jpg")</f>
        <v/>
      </c>
      <c r="K1936" t="inlineStr">
        <is>
          <t>77.99</t>
        </is>
      </c>
      <c r="L1936" t="n">
        <v>69.98999999999999</v>
      </c>
      <c r="M1936" s="1" t="inlineStr">
        <is>
          <t>-10.26%</t>
        </is>
      </c>
      <c r="N1936" s="3" t="n">
        <v>-10.26</v>
      </c>
      <c r="O1936" t="n">
        <v>4.2</v>
      </c>
      <c r="P1936" t="n">
        <v>67</v>
      </c>
      <c r="R1936" t="inlineStr">
        <is>
          <t>InStock</t>
        </is>
      </c>
      <c r="S1936" t="inlineStr">
        <is>
          <t>77.99</t>
        </is>
      </c>
      <c r="T1936" t="inlineStr">
        <is>
          <t>4291929342041</t>
        </is>
      </c>
    </row>
    <row r="1937" hidden="1" ht="15.75" customHeight="1">
      <c r="A1937" s="2">
        <f>HYPERLINK("https://www.shelhealth.com/products/pampers-cruisers-disposable-baby-diapers-diapers-size-3-192-count", "https://www.shelhealth.com/products/pampers-cruisers-disposable-baby-diapers-diapers-size-3-192-count")</f>
        <v/>
      </c>
      <c r="B1937" s="2">
        <f>HYPERLINK("https://www.shelhealth.com/products/pampers-cruisers-disposable-baby-diapers-diapers-size-3-192-count", "https://www.shelhealth.com/products/pampers-cruisers-disposable-baby-diapers-diapers-size-3-192-count")</f>
        <v/>
      </c>
      <c r="C1937" t="inlineStr">
        <is>
          <t>Pampers Cruisers Disposable Baby Diapers, Diapers Size 3, 176 Count</t>
        </is>
      </c>
      <c r="D1937" t="inlineStr">
        <is>
          <t>Pampers Pull On Diapers Size 3 and Baby Wipes, Cruisers 360° Fit Disposable Baby Diapers with Stretchy Waistband, 168 Count ONE MONTH SUPPLY with Baby Wipes 6X Pop-Top Packs, 336 Count</t>
        </is>
      </c>
      <c r="E1937" s="2">
        <f>HYPERLINK("https://www.amazon.com/Pampers-Cruisers-Disposable-Stretchy-Waistband/dp/B08WP9BSM1/ref=sr_1_3?keywords=Pampers+Cruisers+Disposable+Baby+Diapers%2C+Diapers+Size+3%2C+176+Count&amp;qid=1695170704&amp;sr=8-3", "https://www.amazon.com/Pampers-Cruisers-Disposable-Stretchy-Waistband/dp/B08WP9BSM1/ref=sr_1_3?keywords=Pampers+Cruisers+Disposable+Baby+Diapers%2C+Diapers+Size+3%2C+176+Count&amp;qid=1695170704&amp;sr=8-3")</f>
        <v/>
      </c>
      <c r="F1937" t="inlineStr">
        <is>
          <t>B08WP9BSM1</t>
        </is>
      </c>
      <c r="G1937">
        <f>_xludf.IMAGE("https://www.shelhealth.com/cdn/shop/products/pampers-cruisers-disposable-baby-diapers-size-3-176-count-shelhealth-938.jpg?v=1663357931&amp;width=1946")</f>
        <v/>
      </c>
      <c r="H1937">
        <f>_xludf.IMAGE("https://m.media-amazon.com/images/I/81lICR8qDAL._AC_UL320_.jpg")</f>
        <v/>
      </c>
      <c r="K1937" t="inlineStr">
        <is>
          <t>77.99</t>
        </is>
      </c>
      <c r="L1937" t="n">
        <v>68.95999999999999</v>
      </c>
      <c r="M1937" s="1" t="inlineStr">
        <is>
          <t>-11.58%</t>
        </is>
      </c>
      <c r="N1937" s="3" t="n">
        <v>-11.58</v>
      </c>
      <c r="O1937" t="n">
        <v>4.9</v>
      </c>
      <c r="P1937" t="n">
        <v>1881</v>
      </c>
      <c r="R1937" t="inlineStr">
        <is>
          <t>InStock</t>
        </is>
      </c>
      <c r="S1937" t="inlineStr">
        <is>
          <t>77.99</t>
        </is>
      </c>
      <c r="T1937" t="inlineStr">
        <is>
          <t>4291929342041</t>
        </is>
      </c>
    </row>
    <row r="1938" hidden="1" ht="15.75" customHeight="1">
      <c r="A1938" s="2">
        <f>HYPERLINK("https://www.shelhealth.com/products/pampers-cruisers-disposable-baby-diapers-diapers-size-3-192-count", "https://www.shelhealth.com/products/pampers-cruisers-disposable-baby-diapers-diapers-size-3-192-count")</f>
        <v/>
      </c>
      <c r="B1938" s="2">
        <f>HYPERLINK("https://www.shelhealth.com/products/pampers-cruisers-disposable-baby-diapers-diapers-size-3-192-count", "https://www.shelhealth.com/products/pampers-cruisers-disposable-baby-diapers-diapers-size-3-192-count")</f>
        <v/>
      </c>
      <c r="C1938" t="inlineStr">
        <is>
          <t>Pampers Cruisers Disposable Baby Diapers, Diapers Size 3, 176 Count</t>
        </is>
      </c>
      <c r="D1938" t="inlineStr">
        <is>
          <t>Diapers Size 3, 174 Count and Baby Wipes - Pampers Cruisers Disposable Baby Diapers and Water Baby Wipes Sensitive Pop-Top Packs, 336 Count (Packaging May Vary)</t>
        </is>
      </c>
      <c r="E1938" s="2">
        <f>HYPERLINK("https://www.amazon.com/Pampers-Cruisers-Disposable-Diapers-Sensitive/dp/B07HCY881C/ref=sr_1_4?keywords=Pampers+Cruisers+Disposable+Baby+Diapers%2C+Diapers+Size+3%2C+176+Count&amp;qid=1695170704&amp;sr=8-4", "https://www.amazon.com/Pampers-Cruisers-Disposable-Diapers-Sensitive/dp/B07HCY881C/ref=sr_1_4?keywords=Pampers+Cruisers+Disposable+Baby+Diapers%2C+Diapers+Size+3%2C+176+Count&amp;qid=1695170704&amp;sr=8-4")</f>
        <v/>
      </c>
      <c r="F1938" t="inlineStr">
        <is>
          <t>B07HCY881C</t>
        </is>
      </c>
      <c r="G1938">
        <f>_xludf.IMAGE("https://www.shelhealth.com/cdn/shop/products/pampers-cruisers-disposable-baby-diapers-size-3-176-count-shelhealth-938.jpg?v=1663357931&amp;width=1946")</f>
        <v/>
      </c>
      <c r="H1938">
        <f>_xludf.IMAGE("https://m.media-amazon.com/images/I/71afnUQvBcL._AC_UL320_.jpg")</f>
        <v/>
      </c>
      <c r="K1938" t="inlineStr">
        <is>
          <t>77.99</t>
        </is>
      </c>
      <c r="L1938" t="n">
        <v>68.93000000000001</v>
      </c>
      <c r="M1938" s="1" t="inlineStr">
        <is>
          <t>-11.62%</t>
        </is>
      </c>
      <c r="N1938" s="3" t="n">
        <v>-11.62</v>
      </c>
      <c r="O1938" t="n">
        <v>4.9</v>
      </c>
      <c r="P1938" t="n">
        <v>1385</v>
      </c>
      <c r="R1938" t="inlineStr">
        <is>
          <t>InStock</t>
        </is>
      </c>
      <c r="S1938" t="inlineStr">
        <is>
          <t>77.99</t>
        </is>
      </c>
      <c r="T1938" t="inlineStr">
        <is>
          <t>4291929342041</t>
        </is>
      </c>
    </row>
    <row r="1939" hidden="1" ht="15.75" customHeight="1">
      <c r="A1939" s="2">
        <f>HYPERLINK("https://www.shelhealth.com/products/pampers-cruisers-disposable-baby-diapers-diapers-size-3-192-count", "https://www.shelhealth.com/products/pampers-cruisers-disposable-baby-diapers-diapers-size-3-192-count")</f>
        <v/>
      </c>
      <c r="B1939" s="2">
        <f>HYPERLINK("https://www.shelhealth.com/products/pampers-cruisers-disposable-baby-diapers-diapers-size-3-192-count", "https://www.shelhealth.com/products/pampers-cruisers-disposable-baby-diapers-diapers-size-3-192-count")</f>
        <v/>
      </c>
      <c r="C1939" t="inlineStr">
        <is>
          <t>Pampers Cruisers Disposable Baby Diapers, Diapers Size 3, 176 Count</t>
        </is>
      </c>
      <c r="D1939" t="inlineStr">
        <is>
          <t>Pampers Cruisers Disposable Diapers Size 3, 140 Count, ECONOMY</t>
        </is>
      </c>
      <c r="E1939" s="2">
        <f>HYPERLINK("https://www.amazon.com/Pampers-Cruisers-Disposable-Diapers-ECONOMY/dp/B00MK10CPA/ref=sr_1_7?keywords=Pampers+Cruisers+Disposable+Baby+Diapers%2C+Diapers+Size+3%2C+176+Count&amp;qid=1695170704&amp;sr=8-7", "https://www.amazon.com/Pampers-Cruisers-Disposable-Diapers-ECONOMY/dp/B00MK10CPA/ref=sr_1_7?keywords=Pampers+Cruisers+Disposable+Baby+Diapers%2C+Diapers+Size+3%2C+176+Count&amp;qid=1695170704&amp;sr=8-7")</f>
        <v/>
      </c>
      <c r="F1939" t="inlineStr">
        <is>
          <t>B00MK10CPA</t>
        </is>
      </c>
      <c r="G1939">
        <f>_xludf.IMAGE("https://www.shelhealth.com/cdn/shop/products/pampers-cruisers-disposable-baby-diapers-size-3-176-count-shelhealth-938.jpg?v=1663357931&amp;width=1946")</f>
        <v/>
      </c>
      <c r="H1939">
        <f>_xludf.IMAGE("https://m.media-amazon.com/images/I/71IpXw4TlaL._AC_UL320_.jpg")</f>
        <v/>
      </c>
      <c r="K1939" t="inlineStr">
        <is>
          <t>77.99</t>
        </is>
      </c>
      <c r="L1939" t="n">
        <v>68.48</v>
      </c>
      <c r="M1939" s="1" t="inlineStr">
        <is>
          <t>-12.19%</t>
        </is>
      </c>
      <c r="N1939" s="3" t="n">
        <v>-12.19</v>
      </c>
      <c r="O1939" t="n">
        <v>4.7</v>
      </c>
      <c r="P1939" t="n">
        <v>17</v>
      </c>
      <c r="R1939" t="inlineStr">
        <is>
          <t>InStock</t>
        </is>
      </c>
      <c r="S1939" t="inlineStr">
        <is>
          <t>77.99</t>
        </is>
      </c>
      <c r="T1939" t="inlineStr">
        <is>
          <t>4291929342041</t>
        </is>
      </c>
    </row>
    <row r="1940" hidden="1" ht="15.75" customHeight="1">
      <c r="A1940" s="2">
        <f>HYPERLINK("https://www.shelhealth.com/products/huggies-little-movers-plus-size-5-150-pack", "https://www.shelhealth.com/products/huggies-little-movers-plus-size-5-150-pack")</f>
        <v/>
      </c>
      <c r="B1940" s="2">
        <f>HYPERLINK("https://www.shelhealth.com/products/huggies-little-movers-plus-size-5-150-pack", "https://www.shelhealth.com/products/huggies-little-movers-plus-size-5-150-pack")</f>
        <v/>
      </c>
      <c r="C1940" t="inlineStr">
        <is>
          <t>Huggies Little Movers Plus Size 5, 150 Pack</t>
        </is>
      </c>
      <c r="D1940" t="inlineStr">
        <is>
          <t>Huggies Little Movers Plus Diapers Size 5, 150 Count</t>
        </is>
      </c>
      <c r="E1940" s="2">
        <f>HYPERLINK("https://www.amazon.com/Huggies-Little-Movers-Diapers-Count/dp/B06VW3H4CY/ref=sr_1_5?keywords=Huggies+Little+Movers+Plus+Size+5%2C+150+Pack&amp;qid=1695170705&amp;sr=8-5", "https://www.amazon.com/Huggies-Little-Movers-Diapers-Count/dp/B06VW3H4CY/ref=sr_1_5?keywords=Huggies+Little+Movers+Plus+Size+5%2C+150+Pack&amp;qid=1695170705&amp;sr=8-5")</f>
        <v/>
      </c>
      <c r="F1940" t="inlineStr">
        <is>
          <t>B06VW3H4CY</t>
        </is>
      </c>
      <c r="G1940">
        <f>_xludf.IMAGE("https://www.shelhealth.com/cdn/shop/products/huggies-little-movers-plus-size-5-150-pack-shelhealth-153.jpg?v=1663339858&amp;width=1946")</f>
        <v/>
      </c>
      <c r="H1940">
        <f>_xludf.IMAGE("https://m.media-amazon.com/images/I/61CqvvL3uKS._AC_UL320_.jpg")</f>
        <v/>
      </c>
      <c r="K1940" t="inlineStr">
        <is>
          <t>88.99</t>
        </is>
      </c>
      <c r="L1940" t="n">
        <v>77.98999999999999</v>
      </c>
      <c r="M1940" s="1" t="inlineStr">
        <is>
          <t>-12.36%</t>
        </is>
      </c>
      <c r="N1940" s="3" t="n">
        <v>-12.36</v>
      </c>
      <c r="O1940" t="n">
        <v>4.6</v>
      </c>
      <c r="P1940" t="n">
        <v>3170</v>
      </c>
      <c r="R1940" t="inlineStr">
        <is>
          <t>OutOfStock</t>
        </is>
      </c>
      <c r="S1940" t="inlineStr">
        <is>
          <t>88.99</t>
        </is>
      </c>
      <c r="T1940" t="inlineStr">
        <is>
          <t>3800077238324</t>
        </is>
      </c>
    </row>
    <row r="1941" hidden="1" ht="15.75" customHeight="1">
      <c r="A1941" s="2">
        <f>HYPERLINK("https://www.shelhealth.com/products/kirkland-signature-supreme-diapers-size-6-120-count", "https://www.shelhealth.com/products/kirkland-signature-supreme-diapers-size-6-120-count")</f>
        <v/>
      </c>
      <c r="B1941" s="2">
        <f>HYPERLINK("https://www.shelhealth.com/products/kirkland-signature-supreme-diapers-size-6-120-count", "https://www.shelhealth.com/products/kirkland-signature-supreme-diapers-size-6-120-count")</f>
        <v/>
      </c>
      <c r="C1941" t="inlineStr">
        <is>
          <t>Kirkland Signature Supreme Diapers - Size 6 - 120 Count</t>
        </is>
      </c>
      <c r="D1941" t="inlineStr">
        <is>
          <t>Kirkland Signature Super Absorbent, Wetness Indicator Supreme Diapers: Size 2 (12-18lbs) - 174 Ct</t>
        </is>
      </c>
      <c r="E1941" s="2">
        <f>HYPERLINK("https://www.amazon.com/Kirkland-Signature-Absorbent-Wetness-Indicator/dp/B07HM9F3VG/ref=sr_1_5?keywords=Kirkland+Signature+Supreme+Diapers+-+Size+6+-+120+Count&amp;qid=1695170710&amp;sr=8-5", "https://www.amazon.com/Kirkland-Signature-Absorbent-Wetness-Indicator/dp/B07HM9F3VG/ref=sr_1_5?keywords=Kirkland+Signature+Supreme+Diapers+-+Size+6+-+120+Count&amp;qid=1695170710&amp;sr=8-5")</f>
        <v/>
      </c>
      <c r="F1941" t="inlineStr">
        <is>
          <t>B07HM9F3VG</t>
        </is>
      </c>
      <c r="G1941">
        <f>_xludf.IMAGE("https://www.shelhealth.com/cdn/shop/products/kirkland-signature-supreme-diapers-size-6-120-count-shelhealth-947.jpg?v=1663343607&amp;width=1946")</f>
        <v/>
      </c>
      <c r="H1941">
        <f>_xludf.IMAGE("https://m.media-amazon.com/images/I/51HruaNikVL._AC_UL320_.jpg")</f>
        <v/>
      </c>
      <c r="K1941" t="inlineStr">
        <is>
          <t>77.99</t>
        </is>
      </c>
      <c r="L1941" t="n">
        <v>65</v>
      </c>
      <c r="M1941" s="1" t="inlineStr">
        <is>
          <t>-16.66%</t>
        </is>
      </c>
      <c r="N1941" s="3" t="n">
        <v>-16.66</v>
      </c>
      <c r="O1941" t="n">
        <v>5</v>
      </c>
      <c r="P1941" t="n">
        <v>1</v>
      </c>
      <c r="R1941" t="inlineStr">
        <is>
          <t>InStock</t>
        </is>
      </c>
      <c r="S1941" t="inlineStr">
        <is>
          <t>77.99</t>
        </is>
      </c>
      <c r="T1941" t="inlineStr">
        <is>
          <t>3821613678644</t>
        </is>
      </c>
    </row>
    <row r="1942" hidden="1" ht="15.75" customHeight="1">
      <c r="A1942" s="2">
        <f>HYPERLINK("https://www.shelhealth.com/products/kirkland-signature-supreme-diapers-size-6-120-count", "https://www.shelhealth.com/products/kirkland-signature-supreme-diapers-size-6-120-count")</f>
        <v/>
      </c>
      <c r="B1942" s="2">
        <f>HYPERLINK("https://www.shelhealth.com/products/kirkland-signature-supreme-diapers-size-6-120-count", "https://www.shelhealth.com/products/kirkland-signature-supreme-diapers-size-6-120-count")</f>
        <v/>
      </c>
      <c r="C1942" t="inlineStr">
        <is>
          <t>Kirkland Signature Supreme Diapers - Size 6 - 120 Count</t>
        </is>
      </c>
      <c r="D1942" t="inlineStr">
        <is>
          <t>Kirkland Signature Diapers Size 6 Quantity 120</t>
        </is>
      </c>
      <c r="E1942" s="2">
        <f>HYPERLINK("https://www.amazon.com/Kirkland-Signature-Supreme-Diapers-Quantity/dp/B012BSSX0C/ref=sr_1_3?keywords=Kirkland+Signature+Supreme+Diapers+-+Size+6+-+120+Count&amp;qid=1695170710&amp;sr=8-3", "https://www.amazon.com/Kirkland-Signature-Supreme-Diapers-Quantity/dp/B012BSSX0C/ref=sr_1_3?keywords=Kirkland+Signature+Supreme+Diapers+-+Size+6+-+120+Count&amp;qid=1695170710&amp;sr=8-3")</f>
        <v/>
      </c>
      <c r="F1942" t="inlineStr">
        <is>
          <t>B012BSSX0C</t>
        </is>
      </c>
      <c r="G1942">
        <f>_xludf.IMAGE("https://www.shelhealth.com/cdn/shop/products/kirkland-signature-supreme-diapers-size-6-120-count-shelhealth-947.jpg?v=1663343607&amp;width=1946")</f>
        <v/>
      </c>
      <c r="H1942">
        <f>_xludf.IMAGE("https://m.media-amazon.com/images/I/51RRjqk0jcL._AC_UL320_.jpg")</f>
        <v/>
      </c>
      <c r="K1942" t="inlineStr">
        <is>
          <t>77.99</t>
        </is>
      </c>
      <c r="L1942" t="n">
        <v>65</v>
      </c>
      <c r="M1942" s="1" t="inlineStr">
        <is>
          <t>-16.66%</t>
        </is>
      </c>
      <c r="N1942" s="3" t="n">
        <v>-16.66</v>
      </c>
      <c r="O1942" t="n">
        <v>4.7</v>
      </c>
      <c r="P1942" t="n">
        <v>522</v>
      </c>
      <c r="R1942" t="inlineStr">
        <is>
          <t>InStock</t>
        </is>
      </c>
      <c r="S1942" t="inlineStr">
        <is>
          <t>77.99</t>
        </is>
      </c>
      <c r="T1942" t="inlineStr">
        <is>
          <t>3821613678644</t>
        </is>
      </c>
    </row>
    <row r="1943" hidden="1" ht="15.75" customHeight="1">
      <c r="A1943" s="2">
        <f>HYPERLINK("https://www.shelhealth.com/products/huggies-natural-care-unscented-baby-wipes-sensitive-880-total-wipes", "https://www.shelhealth.com/products/huggies-natural-care-unscented-baby-wipes-sensitive-880-total-wipes")</f>
        <v/>
      </c>
      <c r="B1943" s="2">
        <f>HYPERLINK("https://www.shelhealth.com/products/huggies-natural-care-unscented-baby-wipes-sensitive-880-total-wipes", "https://www.shelhealth.com/products/huggies-natural-care-unscented-baby-wipes-sensitive-880-total-wipes")</f>
        <v/>
      </c>
      <c r="C1943" t="inlineStr">
        <is>
          <t>HUGGIES Natural Care Unscented Baby Wipes, Sensitive, 880 Total Wipes</t>
        </is>
      </c>
      <c r="D1943" t="inlineStr">
        <is>
          <t>Huggies Natural Care Sensitive Baby Wipes, Unscented, 48 Count (Pack of 6)</t>
        </is>
      </c>
      <c r="E1943" s="2">
        <f>HYPERLINK("https://www.amazon.com/HUGGIES-Natural-Unscented-Sensitive-Refill/dp/B07M6XVCBY/ref=sr_1_8?keywords=HUGGIES+Natural+Care+Unscented+Baby+Wipes%2C+Sensitive%2C+880+Total+Wipes&amp;qid=1695170724&amp;sr=8-8", "https://www.amazon.com/HUGGIES-Natural-Unscented-Sensitive-Refill/dp/B07M6XVCBY/ref=sr_1_8?keywords=HUGGIES+Natural+Care+Unscented+Baby+Wipes%2C+Sensitive%2C+880+Total+Wipes&amp;qid=1695170724&amp;sr=8-8")</f>
        <v/>
      </c>
      <c r="F1943" t="inlineStr">
        <is>
          <t>B07M6XVCBY</t>
        </is>
      </c>
      <c r="G1943">
        <f>_xludf.IMAGE("https://www.shelhealth.com/cdn/shop/products/huggies-natural-care-unscented-baby-wipes-sensitive-880-total-shelhealth-584.jpg?v=1663357952&amp;width=1946")</f>
        <v/>
      </c>
      <c r="H1943">
        <f>_xludf.IMAGE("https://m.media-amazon.com/images/I/81L66EMRfSL._AC_UL320_.jpg")</f>
        <v/>
      </c>
      <c r="K1943" t="inlineStr">
        <is>
          <t>43.99</t>
        </is>
      </c>
      <c r="L1943" t="n">
        <v>35</v>
      </c>
      <c r="M1943" s="1" t="inlineStr">
        <is>
          <t>-20.44%</t>
        </is>
      </c>
      <c r="N1943" s="3" t="n">
        <v>-20.44</v>
      </c>
      <c r="O1943" t="n">
        <v>4.8</v>
      </c>
      <c r="P1943" t="n">
        <v>39444</v>
      </c>
      <c r="R1943" t="inlineStr">
        <is>
          <t>InStock</t>
        </is>
      </c>
      <c r="S1943" t="inlineStr">
        <is>
          <t>43.99</t>
        </is>
      </c>
      <c r="T1943" t="inlineStr">
        <is>
          <t>4291951198297</t>
        </is>
      </c>
    </row>
    <row r="1944" hidden="1" ht="15.75" customHeight="1">
      <c r="A1944" s="2">
        <f>HYPERLINK("https://www.shelhealth.com/products/huggies-little-snugglers-plus-diapers-size-2-174-count", "https://www.shelhealth.com/products/huggies-little-snugglers-plus-diapers-size-2-174-count")</f>
        <v/>
      </c>
      <c r="B1944" s="2">
        <f>HYPERLINK("https://www.shelhealth.com/products/huggies-little-snugglers-plus-diapers-size-2-174-count", "https://www.shelhealth.com/products/huggies-little-snugglers-plus-diapers-size-2-174-count")</f>
        <v/>
      </c>
      <c r="C1944" t="inlineStr">
        <is>
          <t>Huggies Little Snugglers Plus Diapers Size 2 - 174 Count</t>
        </is>
      </c>
      <c r="D1944" t="inlineStr">
        <is>
          <t>Huggies Little Snugglers Diapers Economy Plus, Size 2, 204 Count</t>
        </is>
      </c>
      <c r="E1944" s="2">
        <f>HYPERLINK("https://www.amazon.com/Huggies-Little-Snugglers-Diapers-Economy/dp/B0089VO3K0/ref=sr_1_9?keywords=Huggies+Little+Snugglers+Plus+Diapers+Size+2+-+174+Count&amp;qid=1695170704&amp;sr=8-9", "https://www.amazon.com/Huggies-Little-Snugglers-Diapers-Economy/dp/B0089VO3K0/ref=sr_1_9?keywords=Huggies+Little+Snugglers+Plus+Diapers+Size+2+-+174+Count&amp;qid=1695170704&amp;sr=8-9")</f>
        <v/>
      </c>
      <c r="F1944" t="inlineStr">
        <is>
          <t>B0089VO3K0</t>
        </is>
      </c>
      <c r="G1944">
        <f>_xludf.IMAGE("https://www.shelhealth.com/cdn/shop/products/huggies-little-snugglers-plus-diapers-size-2-174-count-shelhealth-264.jpg?v=1663343587&amp;width=1946")</f>
        <v/>
      </c>
      <c r="H1944">
        <f>_xludf.IMAGE("https://m.media-amazon.com/images/I/81qIoOdf4kL._AC_UL320_.jpg")</f>
        <v/>
      </c>
      <c r="K1944" t="inlineStr">
        <is>
          <t>88.99</t>
        </is>
      </c>
      <c r="L1944" t="n">
        <v>69.98</v>
      </c>
      <c r="M1944" s="1" t="inlineStr">
        <is>
          <t>-21.36%</t>
        </is>
      </c>
      <c r="N1944" s="3" t="n">
        <v>-21.36</v>
      </c>
      <c r="O1944" t="n">
        <v>4.4</v>
      </c>
      <c r="P1944" t="n">
        <v>194</v>
      </c>
      <c r="R1944" t="inlineStr">
        <is>
          <t>InStock</t>
        </is>
      </c>
      <c r="S1944" t="inlineStr">
        <is>
          <t>88.99</t>
        </is>
      </c>
      <c r="T1944" t="inlineStr">
        <is>
          <t>3821609779252</t>
        </is>
      </c>
    </row>
    <row r="1945" hidden="1" ht="15.75" customHeight="1">
      <c r="A1945" s="2">
        <f>HYPERLINK("https://www.shelhealth.com/products/kirkland-signature-supreme-diapers-size-6-120-count", "https://www.shelhealth.com/products/kirkland-signature-supreme-diapers-size-6-120-count")</f>
        <v/>
      </c>
      <c r="B1945" s="2">
        <f>HYPERLINK("https://www.shelhealth.com/products/kirkland-signature-supreme-diapers-size-6-120-count", "https://www.shelhealth.com/products/kirkland-signature-supreme-diapers-size-6-120-count")</f>
        <v/>
      </c>
      <c r="C1945" t="inlineStr">
        <is>
          <t>Kirkland Signature Supreme Diapers - Size 6 - 120 Count</t>
        </is>
      </c>
      <c r="D1945" t="inlineStr">
        <is>
          <t>Kirkland Signature Diapers Size 6 (35 lbs +) 120 Count W/ Exclusive Health and Outdoors Wipes</t>
        </is>
      </c>
      <c r="E1945" s="2">
        <f>HYPERLINK("https://www.amazon.com/Kirkland-Signature-Diapers-Exclusive-Outdoors/dp/B08FQ3VSSX/ref=sr_1_2?keywords=Kirkland+Signature+Supreme+Diapers+-+Size+6+-+120+Count&amp;qid=1695170710&amp;sr=8-2", "https://www.amazon.com/Kirkland-Signature-Diapers-Exclusive-Outdoors/dp/B08FQ3VSSX/ref=sr_1_2?keywords=Kirkland+Signature+Supreme+Diapers+-+Size+6+-+120+Count&amp;qid=1695170710&amp;sr=8-2")</f>
        <v/>
      </c>
      <c r="F1945" t="inlineStr">
        <is>
          <t>B08FQ3VSSX</t>
        </is>
      </c>
      <c r="G1945">
        <f>_xludf.IMAGE("https://www.shelhealth.com/cdn/shop/products/kirkland-signature-supreme-diapers-size-6-120-count-shelhealth-947.jpg?v=1663343607&amp;width=1946")</f>
        <v/>
      </c>
      <c r="H1945">
        <f>_xludf.IMAGE("https://m.media-amazon.com/images/I/713wju6o1RL._AC_UL320_.jpg")</f>
        <v/>
      </c>
      <c r="K1945" t="inlineStr">
        <is>
          <t>77.99</t>
        </is>
      </c>
      <c r="L1945" t="n">
        <v>59.88</v>
      </c>
      <c r="M1945" s="1" t="inlineStr">
        <is>
          <t>-23.22%</t>
        </is>
      </c>
      <c r="N1945" s="3" t="n">
        <v>-23.22</v>
      </c>
      <c r="O1945" t="n">
        <v>4.7</v>
      </c>
      <c r="P1945" t="n">
        <v>589</v>
      </c>
      <c r="R1945" t="inlineStr">
        <is>
          <t>InStock</t>
        </is>
      </c>
      <c r="S1945" t="inlineStr">
        <is>
          <t>77.99</t>
        </is>
      </c>
      <c r="T1945" t="inlineStr">
        <is>
          <t>3821613678644</t>
        </is>
      </c>
    </row>
    <row r="1946" hidden="1" ht="15.75" customHeight="1">
      <c r="A1946" s="2">
        <f>HYPERLINK("https://www.shelhealth.com/products/huggies-natural-care-unscented-baby-wipes-sensitive-880-total-wipes", "https://www.shelhealth.com/products/huggies-natural-care-unscented-baby-wipes-sensitive-880-total-wipes")</f>
        <v/>
      </c>
      <c r="B1946" s="2">
        <f>HYPERLINK("https://www.shelhealth.com/products/huggies-natural-care-unscented-baby-wipes-sensitive-880-total-wipes", "https://www.shelhealth.com/products/huggies-natural-care-unscented-baby-wipes-sensitive-880-total-wipes")</f>
        <v/>
      </c>
      <c r="C1946" t="inlineStr">
        <is>
          <t>HUGGIES Natural Care Unscented Baby Wipes, Sensitive, 880 Total Wipes</t>
        </is>
      </c>
      <c r="D1946" t="inlineStr">
        <is>
          <t>Huggies Natural Care Fragrance Free Baby Wipes, 552 Total Wipes 184 Count (Pack of 3), Packaging May Vary</t>
        </is>
      </c>
      <c r="E1946" s="2">
        <f>HYPERLINK("https://www.amazon.com/Huggies-Natural-Fragrance-Wipes-Packaging/dp/B006LX8QOC/ref=sr_1_10?keywords=HUGGIES+Natural+Care+Unscented+Baby+Wipes%2C+Sensitive%2C+880+Total+Wipes&amp;qid=1695170724&amp;sr=8-10", "https://www.amazon.com/Huggies-Natural-Fragrance-Wipes-Packaging/dp/B006LX8QOC/ref=sr_1_10?keywords=HUGGIES+Natural+Care+Unscented+Baby+Wipes%2C+Sensitive%2C+880+Total+Wipes&amp;qid=1695170724&amp;sr=8-10")</f>
        <v/>
      </c>
      <c r="F1946" t="inlineStr">
        <is>
          <t>B006LX8QOC</t>
        </is>
      </c>
      <c r="G1946">
        <f>_xludf.IMAGE("https://www.shelhealth.com/cdn/shop/products/huggies-natural-care-unscented-baby-wipes-sensitive-880-total-shelhealth-584.jpg?v=1663357952&amp;width=1946")</f>
        <v/>
      </c>
      <c r="H1946">
        <f>_xludf.IMAGE("https://m.media-amazon.com/images/I/81hU36KyDGL._AC_UL320_.jpg")</f>
        <v/>
      </c>
      <c r="K1946" t="inlineStr">
        <is>
          <t>43.99</t>
        </is>
      </c>
      <c r="L1946" t="n">
        <v>32</v>
      </c>
      <c r="M1946" s="1" t="inlineStr">
        <is>
          <t>-27.26%</t>
        </is>
      </c>
      <c r="N1946" s="3" t="n">
        <v>-27.26</v>
      </c>
      <c r="O1946" t="n">
        <v>4.4</v>
      </c>
      <c r="P1946" t="n">
        <v>431</v>
      </c>
      <c r="R1946" t="inlineStr">
        <is>
          <t>InStock</t>
        </is>
      </c>
      <c r="S1946" t="inlineStr">
        <is>
          <t>43.99</t>
        </is>
      </c>
      <c r="T1946" t="inlineStr">
        <is>
          <t>4291951198297</t>
        </is>
      </c>
    </row>
    <row r="1947" hidden="1" ht="15.75" customHeight="1">
      <c r="A1947" s="2">
        <f>HYPERLINK("https://www.shelhealth.com/products/kirkland-signature-supreme-diapers-size-2-174-count", "https://www.shelhealth.com/products/kirkland-signature-supreme-diapers-size-2-174-count")</f>
        <v/>
      </c>
      <c r="B1947" s="2">
        <f>HYPERLINK("https://www.shelhealth.com/products/kirkland-signature-supreme-diapers-size-2-174-count", "https://www.shelhealth.com/products/kirkland-signature-supreme-diapers-size-2-174-count")</f>
        <v/>
      </c>
      <c r="C1947" t="inlineStr">
        <is>
          <t>Kirkland Signature Supreme Diapers - Size 2 - 174 Count</t>
        </is>
      </c>
      <c r="D1947" t="inlineStr">
        <is>
          <t>Kirkland Signature Diapers Size 2 (12lbs - 18 lbs) 174 Count W/ Exclusive Health and Outdoors Wipes</t>
        </is>
      </c>
      <c r="E1947" s="2">
        <f>HYPERLINK("https://www.amazon.com/Kirkland-Signature-Diapers-Size-12lbs/dp/B08FPLZVS2/ref=sr_1_2?keywords=Kirkland+Signature+Supreme+Diapers+-+Size+2+-+174+Count&amp;qid=1695170709&amp;sr=8-2", "https://www.amazon.com/Kirkland-Signature-Diapers-Size-12lbs/dp/B08FPLZVS2/ref=sr_1_2?keywords=Kirkland+Signature+Supreme+Diapers+-+Size+2+-+174+Count&amp;qid=1695170709&amp;sr=8-2")</f>
        <v/>
      </c>
      <c r="F1947" t="inlineStr">
        <is>
          <t>B08FPLZVS2</t>
        </is>
      </c>
      <c r="G1947">
        <f>_xludf.IMAGE("https://www.shelhealth.com/cdn/shop/products/kirkland-signature-supreme-diapers-size-2-174-count-shelhealth-683.jpg?v=1663343618&amp;width=1946")</f>
        <v/>
      </c>
      <c r="H1947">
        <f>_xludf.IMAGE("https://m.media-amazon.com/images/I/71UhjrbucWL._AC_UL320_.jpg")</f>
        <v/>
      </c>
      <c r="K1947" t="inlineStr">
        <is>
          <t>66.99</t>
        </is>
      </c>
      <c r="L1947" t="n">
        <v>45.97</v>
      </c>
      <c r="M1947" s="1" t="inlineStr">
        <is>
          <t>-31.38%</t>
        </is>
      </c>
      <c r="N1947" s="3" t="n">
        <v>-31.38</v>
      </c>
      <c r="O1947" t="n">
        <v>4.7</v>
      </c>
      <c r="P1947" t="n">
        <v>589</v>
      </c>
      <c r="R1947" t="inlineStr">
        <is>
          <t>InStock</t>
        </is>
      </c>
      <c r="S1947" t="inlineStr">
        <is>
          <t>66.99</t>
        </is>
      </c>
      <c r="T1947" t="inlineStr">
        <is>
          <t>3821615448116</t>
        </is>
      </c>
    </row>
    <row r="1948" hidden="1" ht="15.75" customHeight="1">
      <c r="A1948" s="2">
        <f>HYPERLINK("https://www.shelhealth.com/products/kirkland-signature-supreme-diaper-size-1-192-count", "https://www.shelhealth.com/products/kirkland-signature-supreme-diaper-size-1-192-count")</f>
        <v/>
      </c>
      <c r="B1948" s="2">
        <f>HYPERLINK("https://www.shelhealth.com/products/kirkland-signature-supreme-diaper-size-1-192-count", "https://www.shelhealth.com/products/kirkland-signature-supreme-diaper-size-1-192-count")</f>
        <v/>
      </c>
      <c r="C1948" t="inlineStr">
        <is>
          <t>Kirkland Signature Supreme Diaper - Size 1 - 192 Count</t>
        </is>
      </c>
      <c r="D1948" t="inlineStr">
        <is>
          <t>Kirkland Signature Diapers Size 2 (12lbs - 18 lbs) 174 Count W/ Exclusive Health and Outdoors Wipes</t>
        </is>
      </c>
      <c r="E1948" s="2">
        <f>HYPERLINK("https://www.amazon.com/Kirkland-Signature-Diapers-Size-12lbs/dp/B08FPLZVS2/ref=sr_1_2?keywords=Kirkland+Signature+Supreme+Diaper+-+Size+1+-+192+Count&amp;qid=1695170709&amp;sr=8-2", "https://www.amazon.com/Kirkland-Signature-Diapers-Size-12lbs/dp/B08FPLZVS2/ref=sr_1_2?keywords=Kirkland+Signature+Supreme+Diaper+-+Size+1+-+192+Count&amp;qid=1695170709&amp;sr=8-2")</f>
        <v/>
      </c>
      <c r="F1948" t="inlineStr">
        <is>
          <t>B08FPLZVS2</t>
        </is>
      </c>
      <c r="G1948">
        <f>_xludf.IMAGE("https://www.shelhealth.com/cdn/shop/products/kirkland-signature-supreme-diaper-size-1-192-count-shelhealth-490.jpg?v=1663343597&amp;width=1946")</f>
        <v/>
      </c>
      <c r="H1948">
        <f>_xludf.IMAGE("https://m.media-amazon.com/images/I/71UhjrbucWL._AC_UL320_.jpg")</f>
        <v/>
      </c>
      <c r="K1948" t="inlineStr">
        <is>
          <t>66.99</t>
        </is>
      </c>
      <c r="L1948" t="n">
        <v>45.97</v>
      </c>
      <c r="M1948" s="1" t="inlineStr">
        <is>
          <t>-31.38%</t>
        </is>
      </c>
      <c r="N1948" s="3" t="n">
        <v>-31.38</v>
      </c>
      <c r="O1948" t="n">
        <v>4.7</v>
      </c>
      <c r="P1948" t="n">
        <v>589</v>
      </c>
      <c r="R1948" t="inlineStr">
        <is>
          <t>InStock</t>
        </is>
      </c>
      <c r="S1948" t="inlineStr">
        <is>
          <t>66.99</t>
        </is>
      </c>
      <c r="T1948" t="inlineStr">
        <is>
          <t>3821612400692</t>
        </is>
      </c>
    </row>
    <row r="1949" hidden="1" ht="15.75" customHeight="1">
      <c r="A1949" s="2">
        <f>HYPERLINK("https://www.shelhealth.com/products/huggies-natural-care-unscented-baby-wipes-sensitive-880-total-wipes", "https://www.shelhealth.com/products/huggies-natural-care-unscented-baby-wipes-sensitive-880-total-wipes")</f>
        <v/>
      </c>
      <c r="B1949" s="2">
        <f>HYPERLINK("https://www.shelhealth.com/products/huggies-natural-care-unscented-baby-wipes-sensitive-880-total-wipes", "https://www.shelhealth.com/products/huggies-natural-care-unscented-baby-wipes-sensitive-880-total-wipes")</f>
        <v/>
      </c>
      <c r="C1949" t="inlineStr">
        <is>
          <t>HUGGIES Natural Care Unscented Baby Wipes, Sensitive, 880 Total Wipes</t>
        </is>
      </c>
      <c r="D1949" t="inlineStr">
        <is>
          <t>Baby Wipes Bundle: Huggies Natural Care Sensitive Baby Wipes, Unscented, 8 Flip-Top Packs (448 Wipes Total) and 3 Refill Packs (528 Wipes Total)</t>
        </is>
      </c>
      <c r="E1949" s="2">
        <f>HYPERLINK("https://www.amazon.com/Baby-Wipes-Bundle-Sensitive-Unscented/dp/B0B6DF8F3W/ref=sr_1_7?keywords=HUGGIES+Natural+Care+Unscented+Baby+Wipes%2C+Sensitive%2C+880+Total+Wipes&amp;qid=1695170724&amp;sr=8-7", "https://www.amazon.com/Baby-Wipes-Bundle-Sensitive-Unscented/dp/B0B6DF8F3W/ref=sr_1_7?keywords=HUGGIES+Natural+Care+Unscented+Baby+Wipes%2C+Sensitive%2C+880+Total+Wipes&amp;qid=1695170724&amp;sr=8-7")</f>
        <v/>
      </c>
      <c r="F1949" t="inlineStr">
        <is>
          <t>B0B6DF8F3W</t>
        </is>
      </c>
      <c r="G1949">
        <f>_xludf.IMAGE("https://www.shelhealth.com/cdn/shop/products/huggies-natural-care-unscented-baby-wipes-sensitive-880-total-shelhealth-584.jpg?v=1663357952&amp;width=1946")</f>
        <v/>
      </c>
      <c r="H1949">
        <f>_xludf.IMAGE("https://m.media-amazon.com/images/I/61dJDTjTnyL._AC_UL320_.jpg")</f>
        <v/>
      </c>
      <c r="K1949" t="inlineStr">
        <is>
          <t>43.99</t>
        </is>
      </c>
      <c r="L1949" t="n">
        <v>29.49</v>
      </c>
      <c r="M1949" s="1" t="inlineStr">
        <is>
          <t>-32.96%</t>
        </is>
      </c>
      <c r="N1949" s="3" t="n">
        <v>-32.96</v>
      </c>
      <c r="O1949" t="n">
        <v>4.8</v>
      </c>
      <c r="P1949" t="n">
        <v>103</v>
      </c>
      <c r="R1949" t="inlineStr">
        <is>
          <t>InStock</t>
        </is>
      </c>
      <c r="S1949" t="inlineStr">
        <is>
          <t>43.99</t>
        </is>
      </c>
      <c r="T1949" t="inlineStr">
        <is>
          <t>4291951198297</t>
        </is>
      </c>
    </row>
    <row r="1950" hidden="1" ht="15.75" customHeight="1">
      <c r="A1950" s="2">
        <f>HYPERLINK("https://www.shelhealth.com/products/pampers-cruisers-disposable-baby-diapers-diapers-size-3-192-count", "https://www.shelhealth.com/products/pampers-cruisers-disposable-baby-diapers-diapers-size-3-192-count")</f>
        <v/>
      </c>
      <c r="B1950" s="2">
        <f>HYPERLINK("https://www.shelhealth.com/products/pampers-cruisers-disposable-baby-diapers-diapers-size-3-192-count", "https://www.shelhealth.com/products/pampers-cruisers-disposable-baby-diapers-diapers-size-3-192-count")</f>
        <v/>
      </c>
      <c r="C1950" t="inlineStr">
        <is>
          <t>Pampers Cruisers Disposable Baby Diapers, Diapers Size 3, 176 Count</t>
        </is>
      </c>
      <c r="D1950" t="inlineStr">
        <is>
          <t>Diapers Size 3, 150 Count - Pampers Cruisers Disposable Baby Diapers, Enormous Pack, Plus Bonus Diapers</t>
        </is>
      </c>
      <c r="E1950" s="2">
        <f>HYPERLINK("https://www.amazon.com/Diapers-Size-150-Count-Disposable/dp/B07TLLXZ7V/ref=sr_1_2?keywords=Pampers+Cruisers+Disposable+Baby+Diapers%2C+Diapers+Size+3%2C+176+Count&amp;qid=1695170704&amp;sr=8-2", "https://www.amazon.com/Diapers-Size-150-Count-Disposable/dp/B07TLLXZ7V/ref=sr_1_2?keywords=Pampers+Cruisers+Disposable+Baby+Diapers%2C+Diapers+Size+3%2C+176+Count&amp;qid=1695170704&amp;sr=8-2")</f>
        <v/>
      </c>
      <c r="F1950" t="inlineStr">
        <is>
          <t>B07TLLXZ7V</t>
        </is>
      </c>
      <c r="G1950">
        <f>_xludf.IMAGE("https://www.shelhealth.com/cdn/shop/products/pampers-cruisers-disposable-baby-diapers-size-3-176-count-shelhealth-938.jpg?v=1663357931&amp;width=1946")</f>
        <v/>
      </c>
      <c r="H1950">
        <f>_xludf.IMAGE("https://m.media-amazon.com/images/I/81eTpnC-0iL._AC_UL320_.jpg")</f>
        <v/>
      </c>
      <c r="K1950" t="inlineStr">
        <is>
          <t>77.99</t>
        </is>
      </c>
      <c r="L1950" t="n">
        <v>49.98</v>
      </c>
      <c r="M1950" s="1" t="inlineStr">
        <is>
          <t>-35.91%</t>
        </is>
      </c>
      <c r="N1950" s="3" t="n">
        <v>-35.91</v>
      </c>
      <c r="O1950" t="n">
        <v>4.5</v>
      </c>
      <c r="P1950" t="n">
        <v>201</v>
      </c>
      <c r="R1950" t="inlineStr">
        <is>
          <t>InStock</t>
        </is>
      </c>
      <c r="S1950" t="inlineStr">
        <is>
          <t>77.99</t>
        </is>
      </c>
      <c r="T1950" t="inlineStr">
        <is>
          <t>4291929342041</t>
        </is>
      </c>
    </row>
    <row r="1951" hidden="1" ht="15.75" customHeight="1">
      <c r="A1951" s="2">
        <f>HYPERLINK("https://www.shelhealth.com/products/pampers-cruisers-disposable-baby-diapers-diapers-size-6-112-count", "https://www.shelhealth.com/products/pampers-cruisers-disposable-baby-diapers-diapers-size-6-112-count")</f>
        <v/>
      </c>
      <c r="B1951" s="2">
        <f>HYPERLINK("https://www.shelhealth.com/products/pampers-cruisers-disposable-baby-diapers-diapers-size-6-112-count", "https://www.shelhealth.com/products/pampers-cruisers-disposable-baby-diapers-diapers-size-6-112-count")</f>
        <v/>
      </c>
      <c r="C1951" t="inlineStr">
        <is>
          <t>Pampers Cruisers Disposable Baby Diapers, Diapers Size 6, 112 Count</t>
        </is>
      </c>
      <c r="D1951" t="inlineStr">
        <is>
          <t>Pampers Cruisers 360 Diapers Size 6, 80 count - Disposable Diapers</t>
        </is>
      </c>
      <c r="E1951" s="2">
        <f>HYPERLINK("https://www.amazon.com/Pampers-Cruisers-Disposable-Waistband-Packaging/dp/B08PX48C39/ref=sr_1_10?keywords=Pampers+Cruisers+Disposable+Baby+Diapers%2C+Diapers+Size+6%2C+112+Count&amp;qid=1695170705&amp;sr=8-10", "https://www.amazon.com/Pampers-Cruisers-Disposable-Waistband-Packaging/dp/B08PX48C39/ref=sr_1_10?keywords=Pampers+Cruisers+Disposable+Baby+Diapers%2C+Diapers+Size+6%2C+112+Count&amp;qid=1695170705&amp;sr=8-10")</f>
        <v/>
      </c>
      <c r="F1951" t="inlineStr">
        <is>
          <t>B08PX48C39</t>
        </is>
      </c>
      <c r="G1951">
        <f>_xludf.IMAGE("https://www.shelhealth.com/cdn/shop/products/pampers-cruisers-disposable-baby-diapers-size-6-112-count-shelhealth-383.jpg?v=1663357925&amp;width=1946")</f>
        <v/>
      </c>
      <c r="H1951">
        <f>_xludf.IMAGE("https://m.media-amazon.com/images/I/61soMwzGPfL._AC_UL320_.jpg")</f>
        <v/>
      </c>
      <c r="K1951" t="inlineStr">
        <is>
          <t>71.99</t>
        </is>
      </c>
      <c r="L1951" t="n">
        <v>45.99</v>
      </c>
      <c r="M1951" s="1" t="inlineStr">
        <is>
          <t>-36.12%</t>
        </is>
      </c>
      <c r="N1951" s="3" t="n">
        <v>-36.12</v>
      </c>
      <c r="O1951" t="n">
        <v>4.8</v>
      </c>
      <c r="P1951" t="n">
        <v>19751</v>
      </c>
      <c r="R1951" t="inlineStr">
        <is>
          <t>InStock</t>
        </is>
      </c>
      <c r="S1951" t="inlineStr">
        <is>
          <t>71.99</t>
        </is>
      </c>
      <c r="T1951" t="inlineStr">
        <is>
          <t>4291926655065</t>
        </is>
      </c>
    </row>
    <row r="1952" hidden="1" ht="15.75" customHeight="1">
      <c r="A1952" s="2">
        <f>HYPERLINK("https://www.shelhealth.com/products/pampers-cruisers-disposable-baby-diapers-diapers-size-6-112-count", "https://www.shelhealth.com/products/pampers-cruisers-disposable-baby-diapers-diapers-size-6-112-count")</f>
        <v/>
      </c>
      <c r="B1952" s="2">
        <f>HYPERLINK("https://www.shelhealth.com/products/pampers-cruisers-disposable-baby-diapers-diapers-size-6-112-count", "https://www.shelhealth.com/products/pampers-cruisers-disposable-baby-diapers-diapers-size-6-112-count")</f>
        <v/>
      </c>
      <c r="C1952" t="inlineStr">
        <is>
          <t>Pampers Cruisers Disposable Baby Diapers, Diapers Size 6, 112 Count</t>
        </is>
      </c>
      <c r="D1952" t="inlineStr">
        <is>
          <t>Pampers Baby Dry Diapers Size 6, 112 count - Disposable Diapers</t>
        </is>
      </c>
      <c r="E1952" s="2">
        <f>HYPERLINK("https://www.amazon.com/Pampers-Baby-Diapers-Size-Count/dp/B01N1ZJMUW/ref=sr_1_7?keywords=Pampers+Cruisers+Disposable+Baby+Diapers%2C+Diapers+Size+6%2C+112+Count&amp;qid=1695170705&amp;sr=8-7", "https://www.amazon.com/Pampers-Baby-Diapers-Size-Count/dp/B01N1ZJMUW/ref=sr_1_7?keywords=Pampers+Cruisers+Disposable+Baby+Diapers%2C+Diapers+Size+6%2C+112+Count&amp;qid=1695170705&amp;sr=8-7")</f>
        <v/>
      </c>
      <c r="F1952" t="inlineStr">
        <is>
          <t>B01N1ZJMUW</t>
        </is>
      </c>
      <c r="G1952">
        <f>_xludf.IMAGE("https://www.shelhealth.com/cdn/shop/products/pampers-cruisers-disposable-baby-diapers-size-6-112-count-shelhealth-383.jpg?v=1663357925&amp;width=1946")</f>
        <v/>
      </c>
      <c r="H1952">
        <f>_xludf.IMAGE("https://m.media-amazon.com/images/I/81MrAi1Jg+L._AC_UL320_.jpg")</f>
        <v/>
      </c>
      <c r="K1952" t="inlineStr">
        <is>
          <t>71.99</t>
        </is>
      </c>
      <c r="L1952" t="n">
        <v>44.97</v>
      </c>
      <c r="M1952" s="1" t="inlineStr">
        <is>
          <t>-37.53%</t>
        </is>
      </c>
      <c r="N1952" s="3" t="n">
        <v>-37.53</v>
      </c>
      <c r="O1952" t="n">
        <v>4.8</v>
      </c>
      <c r="P1952" t="n">
        <v>30848</v>
      </c>
      <c r="R1952" t="inlineStr">
        <is>
          <t>InStock</t>
        </is>
      </c>
      <c r="S1952" t="inlineStr">
        <is>
          <t>71.99</t>
        </is>
      </c>
      <c r="T1952" t="inlineStr">
        <is>
          <t>4291926655065</t>
        </is>
      </c>
    </row>
    <row r="1953" hidden="1" ht="15.75" customHeight="1">
      <c r="A1953" s="2">
        <f>HYPERLINK("https://www.shelhealth.com/products/pampers-cruisers-disposable-baby-diapers-diapers-size-6-112-count", "https://www.shelhealth.com/products/pampers-cruisers-disposable-baby-diapers-diapers-size-6-112-count")</f>
        <v/>
      </c>
      <c r="B1953" s="2">
        <f>HYPERLINK("https://www.shelhealth.com/products/pampers-cruisers-disposable-baby-diapers-diapers-size-6-112-count", "https://www.shelhealth.com/products/pampers-cruisers-disposable-baby-diapers-diapers-size-6-112-count")</f>
        <v/>
      </c>
      <c r="C1953" t="inlineStr">
        <is>
          <t>Pampers Cruisers Disposable Baby Diapers, Diapers Size 6, 112 Count</t>
        </is>
      </c>
      <c r="D1953" t="inlineStr">
        <is>
          <t>Pampers Cruisers Diapers Size 6, 86 count - Disposable Diapers</t>
        </is>
      </c>
      <c r="E1953" s="2">
        <f>HYPERLINK("https://www.amazon.com/Pampers-Cruisers-Diapers-Count-Count/dp/B07PMW1XF9/ref=sr_1_1?keywords=Pampers+Cruisers+Disposable+Baby+Diapers%2C+Diapers+Size+6%2C+112+Count&amp;qid=1695170705&amp;sr=8-1", "https://www.amazon.com/Pampers-Cruisers-Diapers-Count-Count/dp/B07PMW1XF9/ref=sr_1_1?keywords=Pampers+Cruisers+Disposable+Baby+Diapers%2C+Diapers+Size+6%2C+112+Count&amp;qid=1695170705&amp;sr=8-1")</f>
        <v/>
      </c>
      <c r="F1953" t="inlineStr">
        <is>
          <t>B07PMW1XF9</t>
        </is>
      </c>
      <c r="G1953">
        <f>_xludf.IMAGE("https://www.shelhealth.com/cdn/shop/products/pampers-cruisers-disposable-baby-diapers-size-6-112-count-shelhealth-383.jpg?v=1663357925&amp;width=1946")</f>
        <v/>
      </c>
      <c r="H1953">
        <f>_xludf.IMAGE("https://m.media-amazon.com/images/I/81p-VaGHtuL._AC_UL320_.jpg")</f>
        <v/>
      </c>
      <c r="K1953" t="inlineStr">
        <is>
          <t>71.99</t>
        </is>
      </c>
      <c r="L1953" t="n">
        <v>44.94</v>
      </c>
      <c r="M1953" s="1" t="inlineStr">
        <is>
          <t>-37.57%</t>
        </is>
      </c>
      <c r="N1953" s="3" t="n">
        <v>-37.57</v>
      </c>
      <c r="O1953" t="n">
        <v>4.8</v>
      </c>
      <c r="P1953" t="n">
        <v>26848</v>
      </c>
      <c r="R1953" t="inlineStr">
        <is>
          <t>InStock</t>
        </is>
      </c>
      <c r="S1953" t="inlineStr">
        <is>
          <t>71.99</t>
        </is>
      </c>
      <c r="T1953" t="inlineStr">
        <is>
          <t>4291926655065</t>
        </is>
      </c>
    </row>
    <row r="1954" hidden="1" ht="15.75" customHeight="1">
      <c r="A1954" s="2">
        <f>HYPERLINK("https://www.shelhealth.com/products/huggies-little-snugglers-plus-diapers-size-2-174-count", "https://www.shelhealth.com/products/huggies-little-snugglers-plus-diapers-size-2-174-count")</f>
        <v/>
      </c>
      <c r="B1954" s="2">
        <f>HYPERLINK("https://www.shelhealth.com/products/huggies-little-snugglers-plus-diapers-size-2-174-count", "https://www.shelhealth.com/products/huggies-little-snugglers-plus-diapers-size-2-174-count")</f>
        <v/>
      </c>
      <c r="C1954" t="inlineStr">
        <is>
          <t>Huggies Little Snugglers Plus Diapers Size 2 - 174 Count</t>
        </is>
      </c>
      <c r="D1954" t="inlineStr">
        <is>
          <t>Huggies Size 2 Diapers, Little Snugglers Baby Diapers, Size 2 (12-18 lbs), 180 Count</t>
        </is>
      </c>
      <c r="E1954" s="2">
        <f>HYPERLINK("https://www.amazon.com/Huggies-Little-Snugglers-Diapers-Packaging/dp/B07M6FLDVZ/ref=sr_1_7?keywords=Huggies+Little+Snugglers+Plus+Diapers+Size+2+-+174+Count&amp;qid=1695170704&amp;sr=8-7", "https://www.amazon.com/Huggies-Little-Snugglers-Diapers-Packaging/dp/B07M6FLDVZ/ref=sr_1_7?keywords=Huggies+Little+Snugglers+Plus+Diapers+Size+2+-+174+Count&amp;qid=1695170704&amp;sr=8-7")</f>
        <v/>
      </c>
      <c r="F1954" t="inlineStr">
        <is>
          <t>B07M6FLDVZ</t>
        </is>
      </c>
      <c r="G1954">
        <f>_xludf.IMAGE("https://www.shelhealth.com/cdn/shop/products/huggies-little-snugglers-plus-diapers-size-2-174-count-shelhealth-264.jpg?v=1663343587&amp;width=1946")</f>
        <v/>
      </c>
      <c r="H1954">
        <f>_xludf.IMAGE("https://m.media-amazon.com/images/I/81IuuSwKhEL._AC_UL320_.jpg")</f>
        <v/>
      </c>
      <c r="K1954" t="inlineStr">
        <is>
          <t>88.99</t>
        </is>
      </c>
      <c r="L1954" t="n">
        <v>52.98</v>
      </c>
      <c r="M1954" s="1" t="inlineStr">
        <is>
          <t>-40.47%</t>
        </is>
      </c>
      <c r="N1954" s="3" t="n">
        <v>-40.47</v>
      </c>
      <c r="O1954" t="n">
        <v>4.8</v>
      </c>
      <c r="P1954" t="n">
        <v>78583</v>
      </c>
      <c r="R1954" t="inlineStr">
        <is>
          <t>InStock</t>
        </is>
      </c>
      <c r="S1954" t="inlineStr">
        <is>
          <t>88.99</t>
        </is>
      </c>
      <c r="T1954" t="inlineStr">
        <is>
          <t>3821609779252</t>
        </is>
      </c>
    </row>
    <row r="1955" hidden="1" ht="15.75" customHeight="1">
      <c r="A1955" s="2">
        <f>HYPERLINK("https://www.shelhealth.com/products/pampers-cruisers-disposable-baby-diapers-diapers-size-3-192-count", "https://www.shelhealth.com/products/pampers-cruisers-disposable-baby-diapers-diapers-size-3-192-count")</f>
        <v/>
      </c>
      <c r="B1955" s="2">
        <f>HYPERLINK("https://www.shelhealth.com/products/pampers-cruisers-disposable-baby-diapers-diapers-size-3-192-count", "https://www.shelhealth.com/products/pampers-cruisers-disposable-baby-diapers-diapers-size-3-192-count")</f>
        <v/>
      </c>
      <c r="C1955" t="inlineStr">
        <is>
          <t>Pampers Cruisers Disposable Baby Diapers, Diapers Size 3, 176 Count</t>
        </is>
      </c>
      <c r="D1955" t="inlineStr">
        <is>
          <t>Pampers Cruisers Diapers Size 3, 140 count - Disposable Diapers</t>
        </is>
      </c>
      <c r="E1955" s="2">
        <f>HYPERLINK("https://www.amazon.com/Diapers-Size-140-Count-Disposable/dp/B082QB5PHZ/ref=sr_1_1?keywords=Pampers+Cruisers+Disposable+Baby+Diapers%2C+Diapers+Size+3%2C+176+Count&amp;qid=1695170704&amp;sr=8-1", "https://www.amazon.com/Diapers-Size-140-Count-Disposable/dp/B082QB5PHZ/ref=sr_1_1?keywords=Pampers+Cruisers+Disposable+Baby+Diapers%2C+Diapers+Size+3%2C+176+Count&amp;qid=1695170704&amp;sr=8-1")</f>
        <v/>
      </c>
      <c r="F1955" t="inlineStr">
        <is>
          <t>B082QB5PHZ</t>
        </is>
      </c>
      <c r="G1955">
        <f>_xludf.IMAGE("https://www.shelhealth.com/cdn/shop/products/pampers-cruisers-disposable-baby-diapers-size-3-176-count-shelhealth-938.jpg?v=1663357931&amp;width=1946")</f>
        <v/>
      </c>
      <c r="H1955">
        <f>_xludf.IMAGE("https://m.media-amazon.com/images/I/81Z6ckU7nWL._AC_UL320_.jpg")</f>
        <v/>
      </c>
      <c r="K1955" t="inlineStr">
        <is>
          <t>77.99</t>
        </is>
      </c>
      <c r="L1955" t="n">
        <v>44.97</v>
      </c>
      <c r="M1955" s="1" t="inlineStr">
        <is>
          <t>-42.34%</t>
        </is>
      </c>
      <c r="N1955" s="3" t="n">
        <v>-42.34</v>
      </c>
      <c r="O1955" t="n">
        <v>4.8</v>
      </c>
      <c r="P1955" t="n">
        <v>26848</v>
      </c>
      <c r="R1955" t="inlineStr">
        <is>
          <t>InStock</t>
        </is>
      </c>
      <c r="S1955" t="inlineStr">
        <is>
          <t>77.99</t>
        </is>
      </c>
      <c r="T1955" t="inlineStr">
        <is>
          <t>4291929342041</t>
        </is>
      </c>
    </row>
    <row r="1956" hidden="1" ht="15.75" customHeight="1">
      <c r="A1956" s="2">
        <f>HYPERLINK("https://www.shelhealth.com/products/pampers-sensitive-water-baby-diaper-wipes-complete-clean-unscented-1152-total-wipes", "https://www.shelhealth.com/products/pampers-sensitive-water-baby-diaper-wipes-complete-clean-unscented-1152-total-wipes")</f>
        <v/>
      </c>
      <c r="B1956" s="2">
        <f>HYPERLINK("https://www.shelhealth.com/products/pampers-sensitive-water-baby-diaper-wipes-complete-clean-unscented-1152-total-wipes", "https://www.shelhealth.com/products/pampers-sensitive-water-baby-diaper-wipes-complete-clean-unscented-1152-total-wipes")</f>
        <v/>
      </c>
      <c r="C1956" t="inlineStr">
        <is>
          <t>Pampers Sensitive Water Baby Diaper Wipes, Complete Clean Unscented, 1152 Total Wipes</t>
        </is>
      </c>
      <c r="D1956" t="inlineStr">
        <is>
          <t>Baby Wipes, Pampers Sensitive Water Based Baby Diaper Wipes, Hypoallergenic and Unscented, 8 Pop-Top Packs, 576 Total Wipes (Packaging May Vary)</t>
        </is>
      </c>
      <c r="E1956" s="2">
        <f>HYPERLINK("https://www.amazon.com/Pampers-Wipes-Sensitive-Perfume-pop-top/dp/B082Q9S7ML/ref=sr_1_3?keywords=Pampers+Sensitive+Water+Baby+Diaper+Wipes%2C+Complete+Clean+Unscented%2C+1152+Total+Wipes&amp;qid=1695170708&amp;sr=8-3", "https://www.amazon.com/Pampers-Wipes-Sensitive-Perfume-pop-top/dp/B082Q9S7ML/ref=sr_1_3?keywords=Pampers+Sensitive+Water+Baby+Diaper+Wipes%2C+Complete+Clean+Unscented%2C+1152+Total+Wipes&amp;qid=1695170708&amp;sr=8-3")</f>
        <v/>
      </c>
      <c r="F1956" t="inlineStr">
        <is>
          <t>B082Q9S7ML</t>
        </is>
      </c>
      <c r="G1956">
        <f>_xludf.IMAGE("https://www.shelhealth.com/cdn/shop/products/pampers-sensitive-water-baby-diaper-wipes-complete-clean-unscented-1152-total-shelhealth-796.jpg?v=1663357912&amp;width=1946")</f>
        <v/>
      </c>
      <c r="H1956">
        <f>_xludf.IMAGE("https://m.media-amazon.com/images/I/91ttDNSowmL._AC_UL320_.jpg")</f>
        <v/>
      </c>
      <c r="K1956" t="inlineStr">
        <is>
          <t>54.99</t>
        </is>
      </c>
      <c r="L1956" t="n">
        <v>29.13</v>
      </c>
      <c r="M1956" s="1" t="inlineStr">
        <is>
          <t>-47.03%</t>
        </is>
      </c>
      <c r="N1956" s="3" t="n">
        <v>-47.03</v>
      </c>
      <c r="O1956" t="n">
        <v>4.8</v>
      </c>
      <c r="P1956" t="n">
        <v>4694</v>
      </c>
      <c r="R1956" t="inlineStr">
        <is>
          <t>InStock</t>
        </is>
      </c>
      <c r="S1956" t="inlineStr">
        <is>
          <t>54.99</t>
        </is>
      </c>
      <c r="T1956" t="inlineStr">
        <is>
          <t>4291919872089</t>
        </is>
      </c>
    </row>
    <row r="1957" hidden="1" ht="15.75" customHeight="1">
      <c r="A1957" s="2">
        <f>HYPERLINK("https://www.shelhealth.com/products/huggies-natural-care-unscented-baby-wipes-sensitive-880-total-wipes", "https://www.shelhealth.com/products/huggies-natural-care-unscented-baby-wipes-sensitive-880-total-wipes")</f>
        <v/>
      </c>
      <c r="B1957" s="2">
        <f>HYPERLINK("https://www.shelhealth.com/products/huggies-natural-care-unscented-baby-wipes-sensitive-880-total-wipes", "https://www.shelhealth.com/products/huggies-natural-care-unscented-baby-wipes-sensitive-880-total-wipes")</f>
        <v/>
      </c>
      <c r="C1957" t="inlineStr">
        <is>
          <t>HUGGIES Natural Care Unscented Baby Wipes, Sensitive, 880 Total Wipes</t>
        </is>
      </c>
      <c r="D1957" t="inlineStr">
        <is>
          <t>Huggies Natural Care Sensitive Baby Wipes, Unscented, Hypoallergenic, 99% Purified Water, 12 Flip-Top Packs (768 Wipes Total)</t>
        </is>
      </c>
      <c r="E1957" s="2">
        <f>HYPERLINK("https://www.amazon.com/HUGGIES-Natural-Unscented-Sensitive-Water-Based/dp/B07SCL613T/ref=sr_1_1?keywords=HUGGIES+Natural+Care+Unscented+Baby+Wipes%2C+Sensitive%2C+880+Total+Wipes&amp;qid=1695170724&amp;sr=8-1", "https://www.amazon.com/HUGGIES-Natural-Unscented-Sensitive-Water-Based/dp/B07SCL613T/ref=sr_1_1?keywords=HUGGIES+Natural+Care+Unscented+Baby+Wipes%2C+Sensitive%2C+880+Total+Wipes&amp;qid=1695170724&amp;sr=8-1")</f>
        <v/>
      </c>
      <c r="F1957" t="inlineStr">
        <is>
          <t>B07SCL613T</t>
        </is>
      </c>
      <c r="G1957">
        <f>_xludf.IMAGE("https://www.shelhealth.com/cdn/shop/products/huggies-natural-care-unscented-baby-wipes-sensitive-880-total-shelhealth-584.jpg?v=1663357952&amp;width=1946")</f>
        <v/>
      </c>
      <c r="H1957">
        <f>_xludf.IMAGE("https://m.media-amazon.com/images/I/81BLhPk0FSL._AC_UL320_.jpg")</f>
        <v/>
      </c>
      <c r="K1957" t="inlineStr">
        <is>
          <t>43.99</t>
        </is>
      </c>
      <c r="L1957" t="n">
        <v>22.99</v>
      </c>
      <c r="M1957" s="1" t="inlineStr">
        <is>
          <t>-47.74%</t>
        </is>
      </c>
      <c r="N1957" s="3" t="n">
        <v>-47.74</v>
      </c>
      <c r="O1957" t="n">
        <v>4.9</v>
      </c>
      <c r="P1957" t="n">
        <v>50257</v>
      </c>
      <c r="R1957" t="inlineStr">
        <is>
          <t>InStock</t>
        </is>
      </c>
      <c r="S1957" t="inlineStr">
        <is>
          <t>43.99</t>
        </is>
      </c>
      <c r="T1957" t="inlineStr">
        <is>
          <t>4291951198297</t>
        </is>
      </c>
    </row>
    <row r="1958" hidden="1" ht="15.75" customHeight="1">
      <c r="A1958" s="2">
        <f>HYPERLINK("https://www.shelhealth.com/products/huggies-natural-care-unscented-baby-wipes-sensitive-880-total-wipes", "https://www.shelhealth.com/products/huggies-natural-care-unscented-baby-wipes-sensitive-880-total-wipes")</f>
        <v/>
      </c>
      <c r="B1958" s="2">
        <f>HYPERLINK("https://www.shelhealth.com/products/huggies-natural-care-unscented-baby-wipes-sensitive-880-total-wipes", "https://www.shelhealth.com/products/huggies-natural-care-unscented-baby-wipes-sensitive-880-total-wipes")</f>
        <v/>
      </c>
      <c r="C1958" t="inlineStr">
        <is>
          <t>HUGGIES Natural Care Unscented Baby Wipes, Sensitive, 880 Total Wipes</t>
        </is>
      </c>
      <c r="D1958" t="inlineStr">
        <is>
          <t>Sensitive Baby Wipes, Huggies Natural Care Baby Diaper Wipes, Unscented, Hypoallergenic, 99% Purified Water, 2 Refill Packs, 176 Count (Pack of 4) (704 Wipes Total)</t>
        </is>
      </c>
      <c r="E1958" s="2">
        <f>HYPERLINK("https://www.amazon.com/Sensitive-Huggies-Unscented-Hypoallergenic-Purified/dp/B0BPWJXKQQ/ref=sr_1_6?keywords=HUGGIES+Natural+Care+Unscented+Baby+Wipes%2C+Sensitive%2C+880+Total+Wipes&amp;qid=1695170724&amp;sr=8-6", "https://www.amazon.com/Sensitive-Huggies-Unscented-Hypoallergenic-Purified/dp/B0BPWJXKQQ/ref=sr_1_6?keywords=HUGGIES+Natural+Care+Unscented+Baby+Wipes%2C+Sensitive%2C+880+Total+Wipes&amp;qid=1695170724&amp;sr=8-6")</f>
        <v/>
      </c>
      <c r="F1958" t="inlineStr">
        <is>
          <t>B0BPWJXKQQ</t>
        </is>
      </c>
      <c r="G1958">
        <f>_xludf.IMAGE("https://www.shelhealth.com/cdn/shop/products/huggies-natural-care-unscented-baby-wipes-sensitive-880-total-shelhealth-584.jpg?v=1663357952&amp;width=1946")</f>
        <v/>
      </c>
      <c r="H1958">
        <f>_xludf.IMAGE("https://m.media-amazon.com/images/I/51BGWA6k6aL._AC_UL320_.jpg")</f>
        <v/>
      </c>
      <c r="K1958" t="inlineStr">
        <is>
          <t>43.99</t>
        </is>
      </c>
      <c r="L1958" t="n">
        <v>17.98</v>
      </c>
      <c r="M1958" s="1" t="inlineStr">
        <is>
          <t>-59.13%</t>
        </is>
      </c>
      <c r="N1958" s="3" t="n">
        <v>-59.13</v>
      </c>
      <c r="O1958" t="n">
        <v>4.8</v>
      </c>
      <c r="P1958" t="n">
        <v>207</v>
      </c>
      <c r="R1958" t="inlineStr">
        <is>
          <t>InStock</t>
        </is>
      </c>
      <c r="S1958" t="inlineStr">
        <is>
          <t>43.99</t>
        </is>
      </c>
      <c r="T1958" t="inlineStr">
        <is>
          <t>4291951198297</t>
        </is>
      </c>
    </row>
    <row r="1959" hidden="1" ht="15.75" customHeight="1">
      <c r="A1959" s="2">
        <f>HYPERLINK("https://www.shelhealth.com/products/pampers-cruisers-disposable-baby-diapers-diapers-size-6-112-count", "https://www.shelhealth.com/products/pampers-cruisers-disposable-baby-diapers-diapers-size-6-112-count")</f>
        <v/>
      </c>
      <c r="B1959" s="2">
        <f>HYPERLINK("https://www.shelhealth.com/products/pampers-cruisers-disposable-baby-diapers-diapers-size-6-112-count", "https://www.shelhealth.com/products/pampers-cruisers-disposable-baby-diapers-diapers-size-6-112-count")</f>
        <v/>
      </c>
      <c r="C1959" t="inlineStr">
        <is>
          <t>Pampers Cruisers Disposable Baby Diapers, Diapers Size 6, 112 Count</t>
        </is>
      </c>
      <c r="D1959" t="inlineStr">
        <is>
          <t>Diapers Size 6, 16 Count - Pampers Cruisers Disposable Baby Diapers, Jumbo (Packaging May Vary)</t>
        </is>
      </c>
      <c r="E1959" s="2">
        <f>HYPERLINK("https://www.amazon.com/Diapers-Size-Count-Disposable-Packaging/dp/B07MVGDTRB/ref=sr_1_2?keywords=Pampers+Cruisers+Disposable+Baby+Diapers%2C+Diapers+Size+6%2C+112+Count&amp;qid=1695170705&amp;sr=8-2", "https://www.amazon.com/Diapers-Size-Count-Disposable-Packaging/dp/B07MVGDTRB/ref=sr_1_2?keywords=Pampers+Cruisers+Disposable+Baby+Diapers%2C+Diapers+Size+6%2C+112+Count&amp;qid=1695170705&amp;sr=8-2")</f>
        <v/>
      </c>
      <c r="F1959" t="inlineStr">
        <is>
          <t>B07MVGDTRB</t>
        </is>
      </c>
      <c r="G1959">
        <f>_xludf.IMAGE("https://www.shelhealth.com/cdn/shop/products/pampers-cruisers-disposable-baby-diapers-size-6-112-count-shelhealth-383.jpg?v=1663357925&amp;width=1946")</f>
        <v/>
      </c>
      <c r="H1959">
        <f>_xludf.IMAGE("https://m.media-amazon.com/images/I/71X0YTxOfSL._AC_UL320_.jpg")</f>
        <v/>
      </c>
      <c r="K1959" t="inlineStr">
        <is>
          <t>71.99</t>
        </is>
      </c>
      <c r="L1959" t="n">
        <v>27.69</v>
      </c>
      <c r="M1959" s="1" t="inlineStr">
        <is>
          <t>-61.54%</t>
        </is>
      </c>
      <c r="N1959" s="3" t="n">
        <v>-61.54</v>
      </c>
      <c r="O1959" t="n">
        <v>4.6</v>
      </c>
      <c r="P1959" t="n">
        <v>24</v>
      </c>
      <c r="R1959" t="inlineStr">
        <is>
          <t>InStock</t>
        </is>
      </c>
      <c r="S1959" t="inlineStr">
        <is>
          <t>71.99</t>
        </is>
      </c>
      <c r="T1959" t="inlineStr">
        <is>
          <t>4291926655065</t>
        </is>
      </c>
    </row>
    <row r="1960" hidden="1" ht="15.75" customHeight="1">
      <c r="A1960" s="2">
        <f>HYPERLINK("https://www.shelhealth.com/products/huggies-natural-care-unscented-baby-wipes-sensitive-880-total-wipes", "https://www.shelhealth.com/products/huggies-natural-care-unscented-baby-wipes-sensitive-880-total-wipes")</f>
        <v/>
      </c>
      <c r="B1960" s="2">
        <f>HYPERLINK("https://www.shelhealth.com/products/huggies-natural-care-unscented-baby-wipes-sensitive-880-total-wipes", "https://www.shelhealth.com/products/huggies-natural-care-unscented-baby-wipes-sensitive-880-total-wipes")</f>
        <v/>
      </c>
      <c r="C1960" t="inlineStr">
        <is>
          <t>HUGGIES Natural Care Unscented Baby Wipes, Sensitive, 880 Total Wipes</t>
        </is>
      </c>
      <c r="D1960" t="inlineStr">
        <is>
          <t>Huggies Natural Care, Baby Wipes, Unscented, 32 Count</t>
        </is>
      </c>
      <c r="E1960" s="2">
        <f>HYPERLINK("https://www.amazon.com/HUGGIES-Natural-Care-Wipes-sheets/dp/B00BMQR9UA/ref=sr_1_9?keywords=HUGGIES+Natural+Care+Unscented+Baby+Wipes%2C+Sensitive%2C+880+Total+Wipes&amp;qid=1695170724&amp;sr=8-9", "https://www.amazon.com/HUGGIES-Natural-Care-Wipes-sheets/dp/B00BMQR9UA/ref=sr_1_9?keywords=HUGGIES+Natural+Care+Unscented+Baby+Wipes%2C+Sensitive%2C+880+Total+Wipes&amp;qid=1695170724&amp;sr=8-9")</f>
        <v/>
      </c>
      <c r="F1960" t="inlineStr">
        <is>
          <t>B00BMQR9UA</t>
        </is>
      </c>
      <c r="G1960">
        <f>_xludf.IMAGE("https://www.shelhealth.com/cdn/shop/products/huggies-natural-care-unscented-baby-wipes-sensitive-880-total-shelhealth-584.jpg?v=1663357952&amp;width=1946")</f>
        <v/>
      </c>
      <c r="H1960">
        <f>_xludf.IMAGE("https://m.media-amazon.com/images/I/81dBccdXxEL._AC_UL320_.jpg")</f>
        <v/>
      </c>
      <c r="K1960" t="inlineStr">
        <is>
          <t>43.99</t>
        </is>
      </c>
      <c r="L1960" t="n">
        <v>9.380000000000001</v>
      </c>
      <c r="M1960" s="1" t="inlineStr">
        <is>
          <t>-78.68%</t>
        </is>
      </c>
      <c r="N1960" s="3" t="n">
        <v>-78.68000000000001</v>
      </c>
      <c r="O1960" t="n">
        <v>4.5</v>
      </c>
      <c r="P1960" t="n">
        <v>186</v>
      </c>
      <c r="R1960" t="inlineStr">
        <is>
          <t>InStock</t>
        </is>
      </c>
      <c r="S1960" t="inlineStr">
        <is>
          <t>43.99</t>
        </is>
      </c>
      <c r="T1960" t="inlineStr">
        <is>
          <t>4291951198297</t>
        </is>
      </c>
    </row>
    <row r="1961" ht="75" customHeight="1">
      <c r="A1961" s="2">
        <f>HYPERLINK("https://www.shelhealth.com/products/609863047049-topricin-pain-relief-and-healing-cream-4-oz", "https://www.shelhealth.com/products/609863047049-topricin-pain-relief-and-healing-cream-4-oz")</f>
        <v/>
      </c>
      <c r="B1961" s="2">
        <f>HYPERLINK("https://www.shelhealth.com/products/609863047049-topricin-pain-relief-and-healing-cream-4-oz", "https://www.shelhealth.com/products/609863047049-topricin-pain-relief-and-healing-cream-4-oz")</f>
        <v/>
      </c>
      <c r="C1961" t="inlineStr">
        <is>
          <t>Topricin Pain Relief And Healing Cream, 4 Oz</t>
        </is>
      </c>
      <c r="D1961" t="inlineStr">
        <is>
          <t>Topricin - Moisturizing cream relief for arthritis and joint pain, 4 oz ( Pack of 10)</t>
        </is>
      </c>
      <c r="E1961" s="2">
        <f>HYPERLINK("https://www.amazon.com/Topricin-Moisturizing-cream-relief-arthritis/dp/B006B04IQA/ref=sr_1_2?keywords=Topricin+Pain+Relief+And+Healing+Cream%2C+4+Oz&amp;qid=1695170742&amp;sr=8-2", "https://www.amazon.com/Topricin-Moisturizing-cream-relief-arthritis/dp/B006B04IQA/ref=sr_1_2?keywords=Topricin+Pain+Relief+And+Healing+Cream%2C+4+Oz&amp;qid=1695170742&amp;sr=8-2")</f>
        <v/>
      </c>
      <c r="F1961" t="inlineStr">
        <is>
          <t>B006B04IQA</t>
        </is>
      </c>
      <c r="G1961">
        <f>_xlfn.IMAGE("https://www.shelhealth.com/cdn/shop/files/topricin-pain-relief-and-healing-cream-4-oz-beauty-body-care-shelhealth-213.jpg?v=1689667997&amp;width=1946")</f>
        <v/>
      </c>
      <c r="H1961">
        <f>_xlfn.IMAGE("https://m.media-amazon.com/images/I/71sKmKnbFtL._AC_UL320_.jpg")</f>
        <v/>
      </c>
      <c r="K1961" t="inlineStr">
        <is>
          <t>22.99</t>
        </is>
      </c>
      <c r="L1961" t="n">
        <v>171.49</v>
      </c>
      <c r="M1961" s="1" t="inlineStr">
        <is>
          <t>645.93%</t>
        </is>
      </c>
      <c r="N1961" s="3" t="n">
        <v>645.9299999999999</v>
      </c>
      <c r="O1961" t="n">
        <v>4.8</v>
      </c>
      <c r="P1961" t="n">
        <v>7</v>
      </c>
      <c r="R1961" t="inlineStr">
        <is>
          <t>InStock</t>
        </is>
      </c>
      <c r="S1961" t="inlineStr">
        <is>
          <t>22.99</t>
        </is>
      </c>
      <c r="T1961" t="inlineStr">
        <is>
          <t>7242045554876</t>
        </is>
      </c>
    </row>
    <row r="1962" ht="75" customHeight="1">
      <c r="A1962" s="2">
        <f>HYPERLINK("https://www.shelhealth.com/products/ready-in-case-70-rubbing-alcohol-isopropyl-2x-32-ounce", "https://www.shelhealth.com/products/ready-in-case-70-rubbing-alcohol-isopropyl-2x-32-ounce")</f>
        <v/>
      </c>
      <c r="B1962" s="2">
        <f>HYPERLINK("https://www.shelhealth.com/products/ready-in-case-70-rubbing-alcohol-isopropyl-2x-32-ounce", "https://www.shelhealth.com/products/ready-in-case-70-rubbing-alcohol-isopropyl-2x-32-ounce")</f>
        <v/>
      </c>
      <c r="C1962" t="inlineStr">
        <is>
          <t>Ready In Case 70% Rubbing Alcohol Isopropyl 2x 32 Ounce</t>
        </is>
      </c>
      <c r="D1962" t="inlineStr">
        <is>
          <t>Mckesson Alcohol Isopropyl Rubbing 70% 16 Ounces - Case of 12 - Model 23-D0022</t>
        </is>
      </c>
      <c r="E1962" s="2">
        <f>HYPERLINK("https://www.amazon.com/McKesson-Alcohol-Isopropyl-Rubbing-Ounces/dp/B002C5QN2A/ref=sr_1_4?keywords=Ready+In+Case+70%25+Rubbing+Alcohol+Isopropyl+2x+32+Ounce&amp;qid=1695170734&amp;sr=8-4", "https://www.amazon.com/McKesson-Alcohol-Isopropyl-Rubbing-Ounces/dp/B002C5QN2A/ref=sr_1_4?keywords=Ready+In+Case+70%25+Rubbing+Alcohol+Isopropyl+2x+32+Ounce&amp;qid=1695170734&amp;sr=8-4")</f>
        <v/>
      </c>
      <c r="F1962" t="inlineStr">
        <is>
          <t>B002C5QN2A</t>
        </is>
      </c>
      <c r="G1962">
        <f>_xlfn.IMAGE("https://www.shelhealth.com/cdn/shop/products/ready-in-case-70-rubbing-alcohol-isopropyl-2x-32-ounce-shelhealth-731.jpg?v=1663342426&amp;width=1946")</f>
        <v/>
      </c>
      <c r="H1962">
        <f>_xlfn.IMAGE("https://m.media-amazon.com/images/I/61-YReH3nKL._AC_UY218_.jpg")</f>
        <v/>
      </c>
      <c r="K1962" t="inlineStr">
        <is>
          <t>8.99</t>
        </is>
      </c>
      <c r="L1962" t="n">
        <v>34.36</v>
      </c>
      <c r="M1962" s="1" t="inlineStr">
        <is>
          <t>282.20%</t>
        </is>
      </c>
      <c r="N1962" s="3" t="n">
        <v>282.2</v>
      </c>
      <c r="O1962" t="n">
        <v>4.9</v>
      </c>
      <c r="P1962" t="n">
        <v>21</v>
      </c>
      <c r="R1962" t="inlineStr">
        <is>
          <t>InStock</t>
        </is>
      </c>
      <c r="S1962" t="inlineStr">
        <is>
          <t>8.99</t>
        </is>
      </c>
      <c r="T1962" t="inlineStr">
        <is>
          <t>3813588598836</t>
        </is>
      </c>
    </row>
    <row r="1963" ht="75" customHeight="1">
      <c r="A1963" s="2">
        <f>HYPERLINK("https://www.shelhealth.com/products/609863047049-topricin-pain-relief-and-healing-cream-4-oz", "https://www.shelhealth.com/products/609863047049-topricin-pain-relief-and-healing-cream-4-oz")</f>
        <v/>
      </c>
      <c r="B1963" s="2">
        <f>HYPERLINK("https://www.shelhealth.com/products/609863047049-topricin-pain-relief-and-healing-cream-4-oz", "https://www.shelhealth.com/products/609863047049-topricin-pain-relief-and-healing-cream-4-oz")</f>
        <v/>
      </c>
      <c r="C1963" t="inlineStr">
        <is>
          <t>Topricin Pain Relief And Healing Cream, 4 Oz</t>
        </is>
      </c>
      <c r="D1963" t="inlineStr">
        <is>
          <t>Topricin - Moisturizing cream relief for arthritis and joint pain, 4 oz ( Pack of 4)</t>
        </is>
      </c>
      <c r="E1963" s="2">
        <f>HYPERLINK("https://www.amazon.com/Topricin-Moisturizing-cream-relief-arthritis/dp/B001FUYDK2/ref=sr_1_10?keywords=Topricin+Pain+Relief+And+Healing+Cream%2C+4+Oz&amp;qid=1695170742&amp;sr=8-10", "https://www.amazon.com/Topricin-Moisturizing-cream-relief-arthritis/dp/B001FUYDK2/ref=sr_1_10?keywords=Topricin+Pain+Relief+And+Healing+Cream%2C+4+Oz&amp;qid=1695170742&amp;sr=8-10")</f>
        <v/>
      </c>
      <c r="F1963" t="inlineStr">
        <is>
          <t>B001FUYDK2</t>
        </is>
      </c>
      <c r="G1963">
        <f>_xlfn.IMAGE("https://www.shelhealth.com/cdn/shop/files/topricin-pain-relief-and-healing-cream-4-oz-beauty-body-care-shelhealth-213.jpg?v=1689667997&amp;width=1946")</f>
        <v/>
      </c>
      <c r="H1963">
        <f>_xlfn.IMAGE("https://m.media-amazon.com/images/I/71yq4gXlOIL._AC_UL320_.jpg")</f>
        <v/>
      </c>
      <c r="K1963" t="inlineStr">
        <is>
          <t>22.99</t>
        </is>
      </c>
      <c r="L1963" t="n">
        <v>74.77</v>
      </c>
      <c r="M1963" s="1" t="inlineStr">
        <is>
          <t>225.23%</t>
        </is>
      </c>
      <c r="N1963" s="3" t="n">
        <v>225.23</v>
      </c>
      <c r="O1963" t="n">
        <v>5</v>
      </c>
      <c r="P1963" t="n">
        <v>5</v>
      </c>
      <c r="R1963" t="inlineStr">
        <is>
          <t>InStock</t>
        </is>
      </c>
      <c r="S1963" t="inlineStr">
        <is>
          <t>22.99</t>
        </is>
      </c>
      <c r="T1963" t="inlineStr">
        <is>
          <t>7242045554876</t>
        </is>
      </c>
    </row>
    <row r="1964" ht="75" customHeight="1">
      <c r="A1964" s="2">
        <f>HYPERLINK("https://www.shelhealth.com/products/635824002727-north-american-herb-spice-sinu-orega-nasal-spray-2-oz", "https://www.shelhealth.com/products/635824002727-north-american-herb-spice-sinu-orega-nasal-spray-2-oz")</f>
        <v/>
      </c>
      <c r="B1964" s="2">
        <f>HYPERLINK("https://www.shelhealth.com/products/635824002727-north-american-herb-spice-sinu-orega-nasal-spray-2-oz", "https://www.shelhealth.com/products/635824002727-north-american-herb-spice-sinu-orega-nasal-spray-2-oz")</f>
        <v/>
      </c>
      <c r="C1964" t="inlineStr">
        <is>
          <t>North American Herb &amp; Spice Sinu Orega Nasal Spray, 2 Oz</t>
        </is>
      </c>
      <c r="D1964" t="inlineStr">
        <is>
          <t>NORTH AMERICAN HERB &amp; SPICE Super Strength Oreganol P73-1 fl. oz. - Immune System Support - Certified Organic, Wild Oregano - 285% More Potent Than Regular Strength - Non-GMO - 194 Servings</t>
        </is>
      </c>
      <c r="E1964" s="2">
        <f>HYPERLINK("https://www.amazon.com/Oreganol-Oil-Super-Strength-P73/dp/B003QB7E5O/ref=sr_1_4?keywords=North+American+Herb&amp;qid=1695170739&amp;sr=8-4", "https://www.amazon.com/Oreganol-Oil-Super-Strength-P73/dp/B003QB7E5O/ref=sr_1_4?keywords=North+American+Herb&amp;qid=1695170739&amp;sr=8-4")</f>
        <v/>
      </c>
      <c r="F1964" t="inlineStr">
        <is>
          <t>B003QB7E5O</t>
        </is>
      </c>
      <c r="G1964">
        <f>_xlfn.IMAGE("https://www.shelhealth.com/cdn/shop/files/north-american-herb-spice-sinu-orega-nasal-spray-2-oz-beauty-body-care-shelhealth-255.jpg?v=1686533714&amp;width=1946")</f>
        <v/>
      </c>
      <c r="H1964">
        <f>_xlfn.IMAGE("https://m.media-amazon.com/images/I/71r31yWspBL._AC_UL320_.jpg")</f>
        <v/>
      </c>
      <c r="K1964" t="inlineStr">
        <is>
          <t>17.99</t>
        </is>
      </c>
      <c r="L1964" t="n">
        <v>41.74</v>
      </c>
      <c r="M1964" s="1" t="inlineStr">
        <is>
          <t>132.02%</t>
        </is>
      </c>
      <c r="N1964" s="3" t="n">
        <v>132.02</v>
      </c>
      <c r="O1964" t="n">
        <v>4.7</v>
      </c>
      <c r="P1964" t="n">
        <v>2750</v>
      </c>
      <c r="R1964" t="inlineStr">
        <is>
          <t>InStock</t>
        </is>
      </c>
      <c r="S1964" t="inlineStr">
        <is>
          <t>17.99</t>
        </is>
      </c>
      <c r="T1964" t="inlineStr">
        <is>
          <t>7241878438076</t>
        </is>
      </c>
    </row>
    <row r="1965" ht="75" customHeight="1">
      <c r="A1965" s="2">
        <f>HYPERLINK("https://www.shelhealth.com/products/858293002627-sea-weed-bath-company-cream-body-detox-cellulite-6-oz", "https://www.shelhealth.com/products/858293002627-sea-weed-bath-company-cream-body-detox-cellulite-6-oz")</f>
        <v/>
      </c>
      <c r="B1965" s="2">
        <f>HYPERLINK("https://www.shelhealth.com/products/858293002627-sea-weed-bath-company-cream-body-detox-cellulite-6-oz", "https://www.shelhealth.com/products/858293002627-sea-weed-bath-company-cream-body-detox-cellulite-6-oz")</f>
        <v/>
      </c>
      <c r="C1965" t="inlineStr">
        <is>
          <t>Sea Weed Bath Company Cream Body Detox Cellulite, 6 Oz</t>
        </is>
      </c>
      <c r="D1965" t="inlineStr">
        <is>
          <t>The Seaweed Bath Co. Sleep Body Cream, Calm, Nutrient-Rich Bladderwrack Seaweed, Vegan, Paraben Free, 6 fl. oz. (Pack of 2)</t>
        </is>
      </c>
      <c r="E1965" s="2">
        <f>HYPERLINK("https://www.amazon.com/Seaweed-Bath-Co-Nutrient-Rich-Bladderwrack/dp/B0BK1W42X2/ref=sr_1_9?keywords=seaweed+bath+company+cream+body+detox+cellulite%2C+6+oz&amp;qid=1695170739&amp;sr=8-9", "https://www.amazon.com/Seaweed-Bath-Co-Nutrient-Rich-Bladderwrack/dp/B0BK1W42X2/ref=sr_1_9?keywords=seaweed+bath+company+cream+body+detox+cellulite%2C+6+oz&amp;qid=1695170739&amp;sr=8-9")</f>
        <v/>
      </c>
      <c r="F1965" t="inlineStr">
        <is>
          <t>B0BK1W42X2</t>
        </is>
      </c>
      <c r="G1965">
        <f>_xlfn.IMAGE("https://www.shelhealth.com/cdn/shop/files/sea-weed-bath-company-cream-body-detox-cellulite-6-oz-beauty-care-the-seaweed-co-shelhealth-968.jpg?v=1688532759&amp;width=1946")</f>
        <v/>
      </c>
      <c r="H1965">
        <f>_xlfn.IMAGE("https://m.media-amazon.com/images/I/31vwn271M-L._AC_UL320_.jpg")</f>
        <v/>
      </c>
      <c r="K1965" t="inlineStr">
        <is>
          <t>13.99</t>
        </is>
      </c>
      <c r="L1965" t="n">
        <v>26.64</v>
      </c>
      <c r="M1965" s="1" t="inlineStr">
        <is>
          <t>90.42%</t>
        </is>
      </c>
      <c r="N1965" s="3" t="n">
        <v>90.42</v>
      </c>
      <c r="O1965" t="n">
        <v>4</v>
      </c>
      <c r="P1965" t="n">
        <v>2</v>
      </c>
      <c r="R1965" t="inlineStr">
        <is>
          <t>InStock</t>
        </is>
      </c>
      <c r="S1965" t="inlineStr">
        <is>
          <t>13.99</t>
        </is>
      </c>
      <c r="T1965" t="inlineStr">
        <is>
          <t>7241979232444</t>
        </is>
      </c>
    </row>
    <row r="1966" ht="75" customHeight="1">
      <c r="A1966" s="2">
        <f>HYPERLINK("https://www.shelhealth.com/products/635824002727-north-american-herb-spice-sinu-orega-nasal-spray-2-oz", "https://www.shelhealth.com/products/635824002727-north-american-herb-spice-sinu-orega-nasal-spray-2-oz")</f>
        <v/>
      </c>
      <c r="B1966" s="2">
        <f>HYPERLINK("https://www.shelhealth.com/products/635824002727-north-american-herb-spice-sinu-orega-nasal-spray-2-oz", "https://www.shelhealth.com/products/635824002727-north-american-herb-spice-sinu-orega-nasal-spray-2-oz")</f>
        <v/>
      </c>
      <c r="C1966" t="inlineStr">
        <is>
          <t>North American Herb &amp; Spice Sinu Orega Nasal Spray, 2 Oz</t>
        </is>
      </c>
      <c r="D1966" t="inlineStr">
        <is>
          <t>NORTH AMERICAN HERB &amp; SPICE Oreganol P73 - 1 fl. oz. - Supports Healthy Immune &amp; Inflammatory Response - Wild Oregano Oil - Non-GMO, Certified Organic - 432 Total Servings</t>
        </is>
      </c>
      <c r="E1966" s="2">
        <f>HYPERLINK("https://www.amazon.com/North-American-Herb-Spice-Oreganol/dp/B0019LWTQW/ref=sr_1_2?keywords=North+American+Herb&amp;qid=1695170739&amp;sr=8-2", "https://www.amazon.com/North-American-Herb-Spice-Oreganol/dp/B0019LWTQW/ref=sr_1_2?keywords=North+American+Herb&amp;qid=1695170739&amp;sr=8-2")</f>
        <v/>
      </c>
      <c r="F1966" t="inlineStr">
        <is>
          <t>B0019LWTQW</t>
        </is>
      </c>
      <c r="G1966">
        <f>_xlfn.IMAGE("https://www.shelhealth.com/cdn/shop/files/north-american-herb-spice-sinu-orega-nasal-spray-2-oz-beauty-body-care-shelhealth-255.jpg?v=1686533714&amp;width=1946")</f>
        <v/>
      </c>
      <c r="H1966">
        <f>_xlfn.IMAGE("https://m.media-amazon.com/images/I/51bfCu1rD-L._AC_UL320_.jpg")</f>
        <v/>
      </c>
      <c r="K1966" t="inlineStr">
        <is>
          <t>17.99</t>
        </is>
      </c>
      <c r="L1966" t="n">
        <v>33.99</v>
      </c>
      <c r="M1966" s="1" t="inlineStr">
        <is>
          <t>88.94%</t>
        </is>
      </c>
      <c r="N1966" s="3" t="n">
        <v>88.94</v>
      </c>
      <c r="O1966" t="n">
        <v>4.7</v>
      </c>
      <c r="P1966" t="n">
        <v>7835</v>
      </c>
      <c r="R1966" t="inlineStr">
        <is>
          <t>InStock</t>
        </is>
      </c>
      <c r="S1966" t="inlineStr">
        <is>
          <t>17.99</t>
        </is>
      </c>
      <c r="T1966" t="inlineStr">
        <is>
          <t>7241878438076</t>
        </is>
      </c>
    </row>
    <row r="1967" ht="75" customHeight="1">
      <c r="A1967" s="2">
        <f>HYPERLINK("https://www.shelhealth.com/products/609863600206-topricin-foot-therapy-cream-2-oz", "https://www.shelhealth.com/products/609863600206-topricin-foot-therapy-cream-2-oz")</f>
        <v/>
      </c>
      <c r="B1967" s="2">
        <f>HYPERLINK("https://www.shelhealth.com/products/609863600206-topricin-foot-therapy-cream-2-oz", "https://www.shelhealth.com/products/609863600206-topricin-foot-therapy-cream-2-oz")</f>
        <v/>
      </c>
      <c r="C1967" t="inlineStr">
        <is>
          <t>TOPRICIN Foot Therapy Cream, 2 oz</t>
        </is>
      </c>
      <c r="D1967" t="inlineStr">
        <is>
          <t>TOPRICIN Foot Therapy Cream 2 OZ, 2 Pack</t>
        </is>
      </c>
      <c r="E1967" s="2">
        <f>HYPERLINK("https://www.amazon.com/TOPRICIN-FOOT-THERAPY-CREAM-pack/dp/B003OCY3WW/ref=sr_1_1?keywords=TOPRICIN+Foot+Therapy+Cream%2C+2+oz&amp;qid=1695170741&amp;sr=8-1", "https://www.amazon.com/TOPRICIN-FOOT-THERAPY-CREAM-pack/dp/B003OCY3WW/ref=sr_1_1?keywords=TOPRICIN+Foot+Therapy+Cream%2C+2+oz&amp;qid=1695170741&amp;sr=8-1")</f>
        <v/>
      </c>
      <c r="F1967" t="inlineStr">
        <is>
          <t>B003OCY3WW</t>
        </is>
      </c>
      <c r="G1967">
        <f>_xlfn.IMAGE("https://www.shelhealth.com/cdn/shop/files/topricin-foot-therapy-cream-2-oz-beauty-body-care-shelhealth-935.jpg?v=1689706568&amp;width=1946")</f>
        <v/>
      </c>
      <c r="H1967">
        <f>_xlfn.IMAGE("https://m.media-amazon.com/images/I/619C44-8OKL._AC_UL320_.jpg")</f>
        <v/>
      </c>
      <c r="K1967" t="inlineStr">
        <is>
          <t>14.99</t>
        </is>
      </c>
      <c r="L1967" t="n">
        <v>27.13</v>
      </c>
      <c r="M1967" s="1" t="inlineStr">
        <is>
          <t>80.99%</t>
        </is>
      </c>
      <c r="N1967" s="3" t="n">
        <v>80.98999999999999</v>
      </c>
      <c r="O1967" t="n">
        <v>4.1</v>
      </c>
      <c r="P1967" t="n">
        <v>51</v>
      </c>
      <c r="R1967" t="inlineStr">
        <is>
          <t>InStock</t>
        </is>
      </c>
      <c r="S1967" t="inlineStr">
        <is>
          <t>14.99</t>
        </is>
      </c>
      <c r="T1967" t="inlineStr">
        <is>
          <t>7574343581928</t>
        </is>
      </c>
    </row>
    <row r="1968" ht="75" customHeight="1">
      <c r="A1968" s="2">
        <f>HYPERLINK("https://www.shelhealth.com/products/787647200948-t-relief-pain-relief-gel-1-76-oz", "https://www.shelhealth.com/products/787647200948-t-relief-pain-relief-gel-1-76-oz")</f>
        <v/>
      </c>
      <c r="B1968" s="2">
        <f>HYPERLINK("https://www.shelhealth.com/products/787647200948-t-relief-pain-relief-gel-1-76-oz", "https://www.shelhealth.com/products/787647200948-t-relief-pain-relief-gel-1-76-oz")</f>
        <v/>
      </c>
      <c r="C1968" t="inlineStr">
        <is>
          <t>T-Relief Pain Relief Gel, 1.76 Oz</t>
        </is>
      </c>
      <c r="D1968" t="inlineStr">
        <is>
          <t>Voltaren Arthritis Pain Gel for Powerful Topical Arthritis Pain Relief, No Prescription Needed - 5.29 oz/150 g Tube</t>
        </is>
      </c>
      <c r="E1968" s="2">
        <f>HYPERLINK("https://www.amazon.com/Voltaren-Topical-Gel-5-29-Ounce/dp/B08H4M2SD6/ref=sr_1_7?keywords=T-Relief+Pain+Relief+Gel%2C+1.76+Oz&amp;qid=1695170737&amp;rdc=1&amp;sr=8-7", "https://www.amazon.com/Voltaren-Topical-Gel-5-29-Ounce/dp/B08H4M2SD6/ref=sr_1_7?keywords=T-Relief+Pain+Relief+Gel%2C+1.76+Oz&amp;qid=1695170737&amp;rdc=1&amp;sr=8-7")</f>
        <v/>
      </c>
      <c r="F1968" t="inlineStr">
        <is>
          <t>B08H4M2SD6</t>
        </is>
      </c>
      <c r="G1968">
        <f>_xlfn.IMAGE("https://www.shelhealth.com/cdn/shop/files/t-relief-pain-gel-1-76-oz-beauty-body-care-medinatura-shelhealth-234.jpg?v=1688534489&amp;width=1946")</f>
        <v/>
      </c>
      <c r="H1968">
        <f>_xlfn.IMAGE("https://m.media-amazon.com/images/I/71hQLwj-JRL._AC_UL320_.jpg")</f>
        <v/>
      </c>
      <c r="K1968" t="inlineStr">
        <is>
          <t>12.99</t>
        </is>
      </c>
      <c r="L1968" t="n">
        <v>21.73</v>
      </c>
      <c r="M1968" s="1" t="inlineStr">
        <is>
          <t>67.28%</t>
        </is>
      </c>
      <c r="N1968" s="3" t="n">
        <v>67.28</v>
      </c>
      <c r="O1968" t="n">
        <v>4.6</v>
      </c>
      <c r="P1968" t="n">
        <v>5179</v>
      </c>
      <c r="R1968" t="inlineStr">
        <is>
          <t>InStock</t>
        </is>
      </c>
      <c r="S1968" t="inlineStr">
        <is>
          <t>12.99</t>
        </is>
      </c>
      <c r="T1968" t="inlineStr">
        <is>
          <t>7242026614972</t>
        </is>
      </c>
    </row>
    <row r="1969" ht="75" customHeight="1">
      <c r="A1969" s="2">
        <f>HYPERLINK("https://www.shelhealth.com/products/715486500226-olbas-aromatherapy-massage-oil-and-inhalant-0-95-oz", "https://www.shelhealth.com/products/715486500226-olbas-aromatherapy-massage-oil-and-inhalant-0-95-oz")</f>
        <v/>
      </c>
      <c r="B1969" s="2">
        <f>HYPERLINK("https://www.shelhealth.com/products/715486500226-olbas-aromatherapy-massage-oil-and-inhalant-0-95-oz", "https://www.shelhealth.com/products/715486500226-olbas-aromatherapy-massage-oil-and-inhalant-0-95-oz")</f>
        <v/>
      </c>
      <c r="C1969" t="inlineStr">
        <is>
          <t>Olbas Aromatherapy Massage Oil And Inhalant, 0.95 Oz</t>
        </is>
      </c>
      <c r="D1969" t="inlineStr">
        <is>
          <t>Olbas Oil Aromatherapy Inhalant and Aromatic Massage Oil, 1.65 Fl Oz</t>
        </is>
      </c>
      <c r="E1969" s="2">
        <f>HYPERLINK("https://www.amazon.com/Olbas-Aromatherapy-Inhalant-Massage-1-65/dp/B00011FTQ8/ref=sr_1_2?keywords=Olbas+Aromatherapy+Massage+Oil+And+Inhalant%2C+0.95+Oz&amp;qid=1695170734&amp;sr=8-2", "https://www.amazon.com/Olbas-Aromatherapy-Inhalant-Massage-1-65/dp/B00011FTQ8/ref=sr_1_2?keywords=Olbas+Aromatherapy+Massage+Oil+And+Inhalant%2C+0.95+Oz&amp;qid=1695170734&amp;sr=8-2")</f>
        <v/>
      </c>
      <c r="F1969" t="inlineStr">
        <is>
          <t>B00011FTQ8</t>
        </is>
      </c>
      <c r="G1969">
        <f>_xlfn.IMAGE("https://www.shelhealth.com/cdn/shop/files/olbas-aromatherapy-massage-oil-and-inhalant-0-95-oz-beauty-body-care-shelhealth-916.jpg?v=1693359813&amp;width=1946")</f>
        <v/>
      </c>
      <c r="H1969">
        <f>_xlfn.IMAGE("https://m.media-amazon.com/images/I/71cWBBAZRcL._AC_UL320_.jpg")</f>
        <v/>
      </c>
      <c r="K1969" t="inlineStr">
        <is>
          <t>17.99</t>
        </is>
      </c>
      <c r="L1969" t="n">
        <v>30.09</v>
      </c>
      <c r="M1969" s="1" t="inlineStr">
        <is>
          <t>67.26%</t>
        </is>
      </c>
      <c r="N1969" s="3" t="n">
        <v>67.26000000000001</v>
      </c>
      <c r="O1969" t="n">
        <v>4.8</v>
      </c>
      <c r="P1969" t="n">
        <v>1514</v>
      </c>
      <c r="R1969" t="inlineStr">
        <is>
          <t>OutOfStock</t>
        </is>
      </c>
      <c r="S1969" t="inlineStr">
        <is>
          <t>17.99</t>
        </is>
      </c>
      <c r="T1969" t="inlineStr">
        <is>
          <t>7241893150908</t>
        </is>
      </c>
    </row>
    <row r="1970" ht="75" customHeight="1">
      <c r="A1970" s="2">
        <f>HYPERLINK("https://www.shelhealth.com/products/787647101771-t-relief-pain-relief-ointment-1-76-oz", "https://www.shelhealth.com/products/787647101771-t-relief-pain-relief-ointment-1-76-oz")</f>
        <v/>
      </c>
      <c r="B1970" s="2">
        <f>HYPERLINK("https://www.shelhealth.com/products/787647101771-t-relief-pain-relief-ointment-1-76-oz", "https://www.shelhealth.com/products/787647101771-t-relief-pain-relief-ointment-1-76-oz")</f>
        <v/>
      </c>
      <c r="C1970" t="inlineStr">
        <is>
          <t>T-Relief Pain Relief Ointment, 1.76 Oz (Case of 2)</t>
        </is>
      </c>
      <c r="D1970" t="inlineStr">
        <is>
          <t>T-Relief Pain Relief Ointment, [114g] 4 oz (Pack of 2)2</t>
        </is>
      </c>
      <c r="E1970" s="2">
        <f>HYPERLINK("https://www.amazon.com/T-Relief-Pain-Relief-Ointment-114g/dp/B01EIJEIW4/ref=sr_1_fkmr1_1?keywords=T-Relief+Pain+Relief+Ointment%2C+1.76+Oz+%28Case+of+2%29&amp;qid=1695170738&amp;sr=8-1-fkmr1", "https://www.amazon.com/T-Relief-Pain-Relief-Ointment-114g/dp/B01EIJEIW4/ref=sr_1_fkmr1_1?keywords=T-Relief+Pain+Relief+Ointment%2C+1.76+Oz+%28Case+of+2%29&amp;qid=1695170738&amp;sr=8-1-fkmr1")</f>
        <v/>
      </c>
      <c r="F1970" t="inlineStr">
        <is>
          <t>B01EIJEIW4</t>
        </is>
      </c>
      <c r="G1970">
        <f>_xlfn.IMAGE("https://www.shelhealth.com/cdn/shop/files/t-relief-pain-ointment-1-76-oz-case-of-2-beauty-body-care-medinatura-shelhealth-814.jpg?v=1686202826&amp;width=1946")</f>
        <v/>
      </c>
      <c r="H1970">
        <f>_xlfn.IMAGE("https://m.media-amazon.com/images/I/610PCgzfXXL._AC_UL320_.jpg")</f>
        <v/>
      </c>
      <c r="K1970" t="inlineStr">
        <is>
          <t>26.99</t>
        </is>
      </c>
      <c r="L1970" t="n">
        <v>44.79</v>
      </c>
      <c r="M1970" s="1" t="inlineStr">
        <is>
          <t>65.95%</t>
        </is>
      </c>
      <c r="N1970" s="3" t="n">
        <v>65.95</v>
      </c>
      <c r="O1970" t="n">
        <v>5</v>
      </c>
      <c r="P1970" t="n">
        <v>3</v>
      </c>
      <c r="R1970" t="inlineStr">
        <is>
          <t>OutOfStock</t>
        </is>
      </c>
      <c r="S1970" t="inlineStr">
        <is>
          <t>26.99</t>
        </is>
      </c>
      <c r="T1970" t="inlineStr">
        <is>
          <t>7242026647740</t>
        </is>
      </c>
    </row>
    <row r="1971" ht="75" customHeight="1">
      <c r="A1971" s="2">
        <f>HYPERLINK("https://www.shelhealth.com/products/718334220277-desert-essence-australian-tea-tree-oil-2-oz", "https://www.shelhealth.com/products/718334220277-desert-essence-australian-tea-tree-oil-2-oz")</f>
        <v/>
      </c>
      <c r="B1971" s="2">
        <f>HYPERLINK("https://www.shelhealth.com/products/718334220277-desert-essence-australian-tea-tree-oil-2-oz", "https://www.shelhealth.com/products/718334220277-desert-essence-australian-tea-tree-oil-2-oz")</f>
        <v/>
      </c>
      <c r="C1971" t="inlineStr">
        <is>
          <t>Desert Essence Australian Tea Tree Oil, 2 Oz</t>
        </is>
      </c>
      <c r="D1971" t="inlineStr">
        <is>
          <t>Desert Essence 100 Percent Pure Australian Tea Tree Oil, 1 Ounce - 3 per case.</t>
        </is>
      </c>
      <c r="E1971" s="2">
        <f>HYPERLINK("https://www.amazon.com/Desert-Essence-Percent-Australian-Ounce/dp/B001E11AMQ/ref=sr_1_3?keywords=Desert+Essence+Australian+Tea+Tree+Oil%2C+2+Oz&amp;qid=1695170751&amp;sr=8-3", "https://www.amazon.com/Desert-Essence-Percent-Australian-Ounce/dp/B001E11AMQ/ref=sr_1_3?keywords=Desert+Essence+Australian+Tea+Tree+Oil%2C+2+Oz&amp;qid=1695170751&amp;sr=8-3")</f>
        <v/>
      </c>
      <c r="F1971" t="inlineStr">
        <is>
          <t>B001E11AMQ</t>
        </is>
      </c>
      <c r="G1971">
        <f>_xlfn.IMAGE("https://www.shelhealth.com/cdn/shop/files/desert-essence-australian-tea-tree-oil-2-oz-beauty-body-care-shelhealth-190.jpg?v=1689654177&amp;width=1946")</f>
        <v/>
      </c>
      <c r="H1971">
        <f>_xlfn.IMAGE("https://m.media-amazon.com/images/I/51fV2rTRBnL._AC_UL320_.jpg")</f>
        <v/>
      </c>
      <c r="K1971" t="inlineStr">
        <is>
          <t>18.99</t>
        </is>
      </c>
      <c r="L1971" t="n">
        <v>30.9</v>
      </c>
      <c r="M1971" s="1" t="inlineStr">
        <is>
          <t>62.72%</t>
        </is>
      </c>
      <c r="N1971" s="3" t="n">
        <v>62.72</v>
      </c>
      <c r="O1971" t="n">
        <v>4.5</v>
      </c>
      <c r="P1971" t="n">
        <v>7</v>
      </c>
      <c r="R1971" t="inlineStr">
        <is>
          <t>InStock</t>
        </is>
      </c>
      <c r="S1971" t="inlineStr">
        <is>
          <t>18.99</t>
        </is>
      </c>
      <c r="T1971" t="inlineStr">
        <is>
          <t>7241586442428</t>
        </is>
      </c>
    </row>
    <row r="1972" ht="75" customHeight="1">
      <c r="A1972" s="2">
        <f>HYPERLINK("https://www.shelhealth.com/products/858293002627-sea-weed-bath-company-cream-body-detox-cellulite-6-oz", "https://www.shelhealth.com/products/858293002627-sea-weed-bath-company-cream-body-detox-cellulite-6-oz")</f>
        <v/>
      </c>
      <c r="B1972" s="2">
        <f>HYPERLINK("https://www.shelhealth.com/products/858293002627-sea-weed-bath-company-cream-body-detox-cellulite-6-oz", "https://www.shelhealth.com/products/858293002627-sea-weed-bath-company-cream-body-detox-cellulite-6-oz")</f>
        <v/>
      </c>
      <c r="C1972" t="inlineStr">
        <is>
          <t>Sea Weed Bath Company Cream Body Detox Cellulite, 6 Oz</t>
        </is>
      </c>
      <c r="D1972" t="inlineStr">
        <is>
          <t>The Seaweed Bath Co. Rosemary &amp; Mint 12oz Body Wash and 6oz Body Cream, Natural Organic Bladderwrack Seaweed, Paraben Free</t>
        </is>
      </c>
      <c r="E1972" s="2">
        <f>HYPERLINK("https://www.amazon.com/Seaweed-Bath-Co-Rosemary-Bladderwrack/dp/B091NLKK8R/ref=sr_1_1?keywords=seaweed+bath+company+cream+body+detox+cellulite%2C+6+oz&amp;qid=1695170739&amp;sr=8-1", "https://www.amazon.com/Seaweed-Bath-Co-Rosemary-Bladderwrack/dp/B091NLKK8R/ref=sr_1_1?keywords=seaweed+bath+company+cream+body+detox+cellulite%2C+6+oz&amp;qid=1695170739&amp;sr=8-1")</f>
        <v/>
      </c>
      <c r="F1972" t="inlineStr">
        <is>
          <t>B091NLKK8R</t>
        </is>
      </c>
      <c r="G1972">
        <f>_xlfn.IMAGE("https://www.shelhealth.com/cdn/shop/files/sea-weed-bath-company-cream-body-detox-cellulite-6-oz-beauty-care-the-seaweed-co-shelhealth-968.jpg?v=1688532759&amp;width=1946")</f>
        <v/>
      </c>
      <c r="H1972">
        <f>_xlfn.IMAGE("https://m.media-amazon.com/images/I/61xqDZ3ER1S._AC_UL320_.jpg")</f>
        <v/>
      </c>
      <c r="K1972" t="inlineStr">
        <is>
          <t>13.99</t>
        </is>
      </c>
      <c r="L1972" t="n">
        <v>22.48</v>
      </c>
      <c r="M1972" s="1" t="inlineStr">
        <is>
          <t>60.69%</t>
        </is>
      </c>
      <c r="N1972" s="3" t="n">
        <v>60.69</v>
      </c>
      <c r="O1972" t="n">
        <v>4.5</v>
      </c>
      <c r="P1972" t="n">
        <v>31</v>
      </c>
      <c r="R1972" t="inlineStr">
        <is>
          <t>InStock</t>
        </is>
      </c>
      <c r="S1972" t="inlineStr">
        <is>
          <t>13.99</t>
        </is>
      </c>
      <c r="T1972" t="inlineStr">
        <is>
          <t>7241979232444</t>
        </is>
      </c>
    </row>
    <row r="1973" hidden="1" ht="15.75" customHeight="1">
      <c r="A1973" s="2">
        <f>HYPERLINK("https://www.shelhealth.com/products/858293002627-sea-weed-bath-company-cream-body-detox-cellulite-6-oz", "https://www.shelhealth.com/products/858293002627-sea-weed-bath-company-cream-body-detox-cellulite-6-oz")</f>
        <v/>
      </c>
      <c r="B1973" s="2">
        <f>HYPERLINK("https://www.shelhealth.com/products/858293002627-sea-weed-bath-company-cream-body-detox-cellulite-6-oz", "https://www.shelhealth.com/products/858293002627-sea-weed-bath-company-cream-body-detox-cellulite-6-oz")</f>
        <v/>
      </c>
      <c r="C1973" t="inlineStr">
        <is>
          <t>Sea Weed Bath Company Cream Body Detox Cellulite, 6 Oz</t>
        </is>
      </c>
      <c r="D1973" t="inlineStr">
        <is>
          <t>The Seaweed Bath Co. Detox Exfoliating Body Scrub, Refresh Scent (Orange, Eucalyptus &amp; Cedar), with French Clay &amp; Coffee Extract, 6 Oz</t>
        </is>
      </c>
      <c r="E1973" s="2">
        <f>HYPERLINK("https://www.amazon.com/Seaweed-Bath-Co-Exfoliating-Eucalyptus/dp/B0B76FWFPG/ref=sr_1_10?keywords=seaweed+bath+company+cream+body+detox+cellulite%2C+6+oz&amp;qid=1695170739&amp;sr=8-10", "https://www.amazon.com/Seaweed-Bath-Co-Exfoliating-Eucalyptus/dp/B0B76FWFPG/ref=sr_1_10?keywords=seaweed+bath+company+cream+body+detox+cellulite%2C+6+oz&amp;qid=1695170739&amp;sr=8-10")</f>
        <v/>
      </c>
      <c r="F1973" t="inlineStr">
        <is>
          <t>B0B76FWFPG</t>
        </is>
      </c>
      <c r="G1973">
        <f>_xludf.IMAGE("https://www.shelhealth.com/cdn/shop/files/sea-weed-bath-company-cream-body-detox-cellulite-6-oz-beauty-care-the-seaweed-co-shelhealth-968.jpg?v=1688532759&amp;width=1946")</f>
        <v/>
      </c>
      <c r="H1973">
        <f>_xludf.IMAGE("https://m.media-amazon.com/images/I/71EfIiYqp2L._AC_UL320_.jpg")</f>
        <v/>
      </c>
      <c r="K1973" t="inlineStr">
        <is>
          <t>13.99</t>
        </is>
      </c>
      <c r="L1973" t="n">
        <v>19.95</v>
      </c>
      <c r="M1973" s="1" t="inlineStr">
        <is>
          <t>42.60%</t>
        </is>
      </c>
      <c r="N1973" s="3" t="n">
        <v>42.6</v>
      </c>
      <c r="O1973" t="n">
        <v>4.4</v>
      </c>
      <c r="P1973" t="n">
        <v>6</v>
      </c>
      <c r="R1973" t="inlineStr">
        <is>
          <t>InStock</t>
        </is>
      </c>
      <c r="S1973" t="inlineStr">
        <is>
          <t>13.99</t>
        </is>
      </c>
      <c r="T1973" t="inlineStr">
        <is>
          <t>7241979232444</t>
        </is>
      </c>
    </row>
    <row r="1974" hidden="1" ht="15.75" customHeight="1">
      <c r="A1974" s="2">
        <f>HYPERLINK("https://www.shelhealth.com/products/787647200948-t-relief-pain-relief-gel-1-76-oz", "https://www.shelhealth.com/products/787647200948-t-relief-pain-relief-gel-1-76-oz")</f>
        <v/>
      </c>
      <c r="B1974" s="2">
        <f>HYPERLINK("https://www.shelhealth.com/products/787647200948-t-relief-pain-relief-gel-1-76-oz", "https://www.shelhealth.com/products/787647200948-t-relief-pain-relief-gel-1-76-oz")</f>
        <v/>
      </c>
      <c r="C1974" t="inlineStr">
        <is>
          <t>T-Relief Pain Relief Gel, 1.76 Oz</t>
        </is>
      </c>
      <c r="D1974" t="inlineStr">
        <is>
          <t>Voltaren Arthritis Pain Gel For Powerful Topical Arthritis Pain Relief, Amazon Exclusive - 3.5 Oz/100 g Tube And 0.71 Oz/20 g Travel Size Tube</t>
        </is>
      </c>
      <c r="E1974" s="2">
        <f>HYPERLINK("https://www.amazon.com/Voltaren-Topical-Arthritis-Pain-Relief/dp/B084ZN7TVV/ref=sr_1_9?keywords=T-Relief+Pain+Relief+Gel%2C+1.76+Oz&amp;qid=1695170737&amp;rdc=1&amp;sr=8-9", "https://www.amazon.com/Voltaren-Topical-Arthritis-Pain-Relief/dp/B084ZN7TVV/ref=sr_1_9?keywords=T-Relief+Pain+Relief+Gel%2C+1.76+Oz&amp;qid=1695170737&amp;rdc=1&amp;sr=8-9")</f>
        <v/>
      </c>
      <c r="F1974" t="inlineStr">
        <is>
          <t>B084ZN7TVV</t>
        </is>
      </c>
      <c r="G1974">
        <f>_xludf.IMAGE("https://www.shelhealth.com/cdn/shop/files/t-relief-pain-gel-1-76-oz-beauty-body-care-medinatura-shelhealth-234.jpg?v=1688534489&amp;width=1946")</f>
        <v/>
      </c>
      <c r="H1974">
        <f>_xludf.IMAGE("https://m.media-amazon.com/images/I/71V3oO5EVgS._AC_UL320_.jpg")</f>
        <v/>
      </c>
      <c r="K1974" t="inlineStr">
        <is>
          <t>12.99</t>
        </is>
      </c>
      <c r="L1974" t="n">
        <v>18.48</v>
      </c>
      <c r="M1974" s="1" t="inlineStr">
        <is>
          <t>42.26%</t>
        </is>
      </c>
      <c r="N1974" s="3" t="n">
        <v>42.26</v>
      </c>
      <c r="O1974" t="n">
        <v>4.4</v>
      </c>
      <c r="P1974" t="n">
        <v>15628</v>
      </c>
      <c r="R1974" t="inlineStr">
        <is>
          <t>InStock</t>
        </is>
      </c>
      <c r="S1974" t="inlineStr">
        <is>
          <t>12.99</t>
        </is>
      </c>
      <c r="T1974" t="inlineStr">
        <is>
          <t>7242026614972</t>
        </is>
      </c>
    </row>
    <row r="1975" hidden="1" ht="15.75" customHeight="1">
      <c r="A1975" s="2">
        <f>HYPERLINK("https://www.shelhealth.com/products/715486500226-olbas-aromatherapy-massage-oil-and-inhalant-0-95-oz", "https://www.shelhealth.com/products/715486500226-olbas-aromatherapy-massage-oil-and-inhalant-0-95-oz")</f>
        <v/>
      </c>
      <c r="B1975" s="2">
        <f>HYPERLINK("https://www.shelhealth.com/products/715486500226-olbas-aromatherapy-massage-oil-and-inhalant-0-95-oz", "https://www.shelhealth.com/products/715486500226-olbas-aromatherapy-massage-oil-and-inhalant-0-95-oz")</f>
        <v/>
      </c>
      <c r="C1975" t="inlineStr">
        <is>
          <t>Olbas Aromatherapy Massage Oil And Inhalant, 0.95 Oz</t>
        </is>
      </c>
      <c r="D1975" t="inlineStr">
        <is>
          <t>Olbas Oil Aromatherapy Inhalant and Aromatic Massage Oil, 0.95 Fl Oz</t>
        </is>
      </c>
      <c r="E1975" s="2">
        <f>HYPERLINK("https://www.amazon.com/Olbas-Cold-Medication-Fluid-Ounce/dp/B00BGVIGOO/ref=sr_1_3?keywords=Olbas+Aromatherapy+Massage+Oil+And+Inhalant%2C+0.95+Oz&amp;qid=1695170734&amp;sr=8-3", "https://www.amazon.com/Olbas-Cold-Medication-Fluid-Ounce/dp/B00BGVIGOO/ref=sr_1_3?keywords=Olbas+Aromatherapy+Massage+Oil+And+Inhalant%2C+0.95+Oz&amp;qid=1695170734&amp;sr=8-3")</f>
        <v/>
      </c>
      <c r="F1975" t="inlineStr">
        <is>
          <t>B00BGVIGOO</t>
        </is>
      </c>
      <c r="G1975">
        <f>_xludf.IMAGE("https://www.shelhealth.com/cdn/shop/files/olbas-aromatherapy-massage-oil-and-inhalant-0-95-oz-beauty-body-care-shelhealth-916.jpg?v=1693359813&amp;width=1946")</f>
        <v/>
      </c>
      <c r="H1975">
        <f>_xludf.IMAGE("https://m.media-amazon.com/images/I/71NDP7oqHkL._AC_UL320_.jpg")</f>
        <v/>
      </c>
      <c r="K1975" t="inlineStr">
        <is>
          <t>17.99</t>
        </is>
      </c>
      <c r="L1975" t="n">
        <v>22.55</v>
      </c>
      <c r="M1975" s="1" t="inlineStr">
        <is>
          <t>25.35%</t>
        </is>
      </c>
      <c r="N1975" s="3" t="n">
        <v>25.35</v>
      </c>
      <c r="O1975" t="n">
        <v>4.7</v>
      </c>
      <c r="P1975" t="n">
        <v>413</v>
      </c>
      <c r="R1975" t="inlineStr">
        <is>
          <t>OutOfStock</t>
        </is>
      </c>
      <c r="S1975" t="inlineStr">
        <is>
          <t>17.99</t>
        </is>
      </c>
      <c r="T1975" t="inlineStr">
        <is>
          <t>7241893150908</t>
        </is>
      </c>
    </row>
    <row r="1976" hidden="1" ht="15.75" customHeight="1">
      <c r="A1976" s="2">
        <f>HYPERLINK("https://www.shelhealth.com/products/welly-first-aid-bravery-bandage-kids-kit", "https://www.shelhealth.com/products/welly-first-aid-bravery-bandage-kids-kit")</f>
        <v/>
      </c>
      <c r="B1976" s="2">
        <f>HYPERLINK("https://www.shelhealth.com/products/welly-first-aid-bravery-bandage-kids-kit", "https://www.shelhealth.com/products/welly-first-aid-bravery-bandage-kids-kit")</f>
        <v/>
      </c>
      <c r="C1976" t="inlineStr">
        <is>
          <t>Welly First Aid Bravery Bandage Kids Kit.</t>
        </is>
      </c>
      <c r="D1976" t="inlineStr">
        <is>
          <t>Keep Going Travel First Aid Kit for Kids – 130 Pc. First Aid Kit for Car, Purse, Diaper Bag, Backpack, &amp; Suitcase, with Latex-Free Bandages – 7 x 5 x 2 in. TSA-Approved</t>
        </is>
      </c>
      <c r="E1976" s="2">
        <f>HYPERLINK("https://www.amazon.com/Keep-Going-Travel-First-Kids/dp/B0BLNRCQ3T/ref=sr_1_5?keywords=Welly+First+Aid+Bravery+Bandage+Kids+Kit.&amp;qid=1695170754&amp;sr=8-5", "https://www.amazon.com/Keep-Going-Travel-First-Kids/dp/B0BLNRCQ3T/ref=sr_1_5?keywords=Welly+First+Aid+Bravery+Bandage+Kids+Kit.&amp;qid=1695170754&amp;sr=8-5")</f>
        <v/>
      </c>
      <c r="F1976" t="inlineStr">
        <is>
          <t>B0BLNRCQ3T</t>
        </is>
      </c>
      <c r="G1976">
        <f>_xludf.IMAGE("https://www.shelhealth.com/cdn/shop/products/welly-first-aid-bravery-bandage-kids-kit-shelhealth-941.jpg?v=1663373973&amp;width=1946")</f>
        <v/>
      </c>
      <c r="H1976">
        <f>_xludf.IMAGE("https://m.media-amazon.com/images/I/81j0QyIINqL._AC_UL320_.jpg")</f>
        <v/>
      </c>
      <c r="K1976" t="inlineStr">
        <is>
          <t>27.99</t>
        </is>
      </c>
      <c r="L1976" t="n">
        <v>33.96</v>
      </c>
      <c r="M1976" s="1" t="inlineStr">
        <is>
          <t>21.33%</t>
        </is>
      </c>
      <c r="N1976" s="3" t="n">
        <v>21.33</v>
      </c>
      <c r="O1976" t="n">
        <v>4.9</v>
      </c>
      <c r="P1976" t="n">
        <v>553</v>
      </c>
      <c r="R1976" t="inlineStr">
        <is>
          <t>OutOfStock</t>
        </is>
      </c>
      <c r="S1976" t="inlineStr">
        <is>
          <t>27.99</t>
        </is>
      </c>
      <c r="T1976" t="inlineStr">
        <is>
          <t>4711395983449</t>
        </is>
      </c>
    </row>
    <row r="1977" hidden="1" ht="15.75" customHeight="1">
      <c r="A1977" s="2">
        <f>HYPERLINK("https://www.shelhealth.com/products/787647101764-medinatura-t-relief-pain-relief-ointment-3-53-oz", "https://www.shelhealth.com/products/787647101764-medinatura-t-relief-pain-relief-ointment-3-53-oz")</f>
        <v/>
      </c>
      <c r="B1977" s="2">
        <f>HYPERLINK("https://www.shelhealth.com/products/787647101764-medinatura-t-relief-pain-relief-ointment-3-53-oz", "https://www.shelhealth.com/products/787647101764-medinatura-t-relief-pain-relief-ointment-3-53-oz")</f>
        <v/>
      </c>
      <c r="C1977" t="inlineStr">
        <is>
          <t>Medinatura T-Relief Pain Relief Ointment, 3.53 Oz</t>
        </is>
      </c>
      <c r="D1977" t="inlineStr">
        <is>
          <t>MediNatura Traumeel Ointment Topical Pain Relief for Muscle Joint Back Arthritis Injury or Exercise Related Pain &amp; Soreness Arnica + 13 Active Ingredients - Made in Germany - 3.53 oz</t>
        </is>
      </c>
      <c r="E1977" s="2">
        <f>HYPERLINK("https://www.amazon.com/MediNatura-Traumeel-Ointment-Arthritis-Ingredients/dp/B09LKVTPFT/ref=sr_1_2?keywords=Medinatura+T-Relief+Pain+Relief+Ointment%2C+3.53+Oz&amp;qid=1695170735&amp;sr=8-2", "https://www.amazon.com/MediNatura-Traumeel-Ointment-Arthritis-Ingredients/dp/B09LKVTPFT/ref=sr_1_2?keywords=Medinatura+T-Relief+Pain+Relief+Ointment%2C+3.53+Oz&amp;qid=1695170735&amp;sr=8-2")</f>
        <v/>
      </c>
      <c r="F1977" t="inlineStr">
        <is>
          <t>B09LKVTPFT</t>
        </is>
      </c>
      <c r="G1977">
        <f>_xludf.IMAGE("https://www.shelhealth.com/cdn/shop/files/medinatura-t-relief-pain-ointment-3-53-oz-beauty-body-care-shelhealth-881.jpg?v=1691424893&amp;width=1946")</f>
        <v/>
      </c>
      <c r="H1977">
        <f>_xludf.IMAGE("https://m.media-amazon.com/images/I/71kPBomHpiL._AC_UL320_.jpg")</f>
        <v/>
      </c>
      <c r="K1977" t="inlineStr">
        <is>
          <t>23.99</t>
        </is>
      </c>
      <c r="L1977" t="n">
        <v>26.99</v>
      </c>
      <c r="M1977" s="1" t="inlineStr">
        <is>
          <t>12.51%</t>
        </is>
      </c>
      <c r="N1977" s="3" t="n">
        <v>12.51</v>
      </c>
      <c r="O1977" t="n">
        <v>4.5</v>
      </c>
      <c r="P1977" t="n">
        <v>501</v>
      </c>
      <c r="R1977" t="inlineStr">
        <is>
          <t>InStock</t>
        </is>
      </c>
      <c r="S1977" t="inlineStr">
        <is>
          <t>23.99</t>
        </is>
      </c>
      <c r="T1977" t="inlineStr">
        <is>
          <t>7241814868156</t>
        </is>
      </c>
    </row>
    <row r="1978" hidden="1" ht="15.75" customHeight="1">
      <c r="A1978" s="2">
        <f>HYPERLINK("https://www.shelhealth.com/products/787647101764-medinatura-t-relief-pain-relief-ointment-3-53-oz", "https://www.shelhealth.com/products/787647101764-medinatura-t-relief-pain-relief-ointment-3-53-oz")</f>
        <v/>
      </c>
      <c r="B1978" s="2">
        <f>HYPERLINK("https://www.shelhealth.com/products/787647101764-medinatura-t-relief-pain-relief-ointment-3-53-oz", "https://www.shelhealth.com/products/787647101764-medinatura-t-relief-pain-relief-ointment-3-53-oz")</f>
        <v/>
      </c>
      <c r="C1978" t="inlineStr">
        <is>
          <t>Medinatura T-Relief Pain Relief Ointment, 3.53 Oz</t>
        </is>
      </c>
      <c r="D1978" t="inlineStr">
        <is>
          <t>MediNatura Zeel Ointment Topical Relief of Arthritis Pain and Joint Stiffness - Arnica + 14 Active Ingredients - Made in Germany - 3.53 oz</t>
        </is>
      </c>
      <c r="E1978" s="2">
        <f>HYPERLINK("https://www.amazon.com/MediNatura-Ointment-Topical-Arthritis-Stiffness/dp/B0B9P43825/ref=sr_1_1?keywords=Medinatura+T-Relief+Pain+Relief+Ointment%2C+3.53+Oz&amp;qid=1695170735&amp;sr=8-1", "https://www.amazon.com/MediNatura-Ointment-Topical-Arthritis-Stiffness/dp/B0B9P43825/ref=sr_1_1?keywords=Medinatura+T-Relief+Pain+Relief+Ointment%2C+3.53+Oz&amp;qid=1695170735&amp;sr=8-1")</f>
        <v/>
      </c>
      <c r="F1978" t="inlineStr">
        <is>
          <t>B0B9P43825</t>
        </is>
      </c>
      <c r="G1978">
        <f>_xludf.IMAGE("https://www.shelhealth.com/cdn/shop/files/medinatura-t-relief-pain-ointment-3-53-oz-beauty-body-care-shelhealth-881.jpg?v=1691424893&amp;width=1946")</f>
        <v/>
      </c>
      <c r="H1978">
        <f>_xludf.IMAGE("https://m.media-amazon.com/images/I/71eRGjdzKRL._AC_UL320_.jpg")</f>
        <v/>
      </c>
      <c r="K1978" t="inlineStr">
        <is>
          <t>23.99</t>
        </is>
      </c>
      <c r="L1978" t="n">
        <v>26.99</v>
      </c>
      <c r="M1978" s="1" t="inlineStr">
        <is>
          <t>12.51%</t>
        </is>
      </c>
      <c r="N1978" s="3" t="n">
        <v>12.51</v>
      </c>
      <c r="O1978" t="n">
        <v>3.8</v>
      </c>
      <c r="P1978" t="n">
        <v>35</v>
      </c>
      <c r="R1978" t="inlineStr">
        <is>
          <t>InStock</t>
        </is>
      </c>
      <c r="S1978" t="inlineStr">
        <is>
          <t>23.99</t>
        </is>
      </c>
      <c r="T1978" t="inlineStr">
        <is>
          <t>7241814868156</t>
        </is>
      </c>
    </row>
    <row r="1979" hidden="1" ht="15.75" customHeight="1">
      <c r="A1979" s="2">
        <f>HYPERLINK("https://www.shelhealth.com/products/berkley-jensen-triple-antibiotic-ointment-2-pk-1-oz", "https://www.shelhealth.com/products/berkley-jensen-triple-antibiotic-ointment-2-pk-1-oz")</f>
        <v/>
      </c>
      <c r="B1979" s="2">
        <f>HYPERLINK("https://www.shelhealth.com/products/berkley-jensen-triple-antibiotic-ointment-2-pk-1-oz", "https://www.shelhealth.com/products/berkley-jensen-triple-antibiotic-ointment-2-pk-1-oz")</f>
        <v/>
      </c>
      <c r="C1979" t="inlineStr">
        <is>
          <t>Berkley Jensen Triple Antibiotic Ointment, 2 pk./1 oz.</t>
        </is>
      </c>
      <c r="D1979" t="inlineStr">
        <is>
          <t>Berkley Jensen Triple Antibiotic Ointment, 2 pk./1 oz.</t>
        </is>
      </c>
      <c r="E1979" s="2">
        <f>HYPERLINK("https://www.amazon.com/Berkley-Jensen-Triple-Antibiotic-Ointment/dp/B072L3J14G/ref=sr_1_1?keywords=Berkley+Jensen+Triple+Antibiotic+Ointment%2C+2+pk.%2F1+oz.&amp;qid=1695170744&amp;sr=8-1", "https://www.amazon.com/Berkley-Jensen-Triple-Antibiotic-Ointment/dp/B072L3J14G/ref=sr_1_1?keywords=Berkley+Jensen+Triple+Antibiotic+Ointment%2C+2+pk.%2F1+oz.&amp;qid=1695170744&amp;sr=8-1")</f>
        <v/>
      </c>
      <c r="F1979" t="inlineStr">
        <is>
          <t>B072L3J14G</t>
        </is>
      </c>
      <c r="G1979">
        <f>_xludf.IMAGE("https://www.shelhealth.com/cdn/shop/files/berkley-jensen-triple-antibiotic-ointment-2-pk-1-oz-health-beautymedicine-cabinet-shelhealth-956.jpg?v=1686284261&amp;width=1946")</f>
        <v/>
      </c>
      <c r="H1979">
        <f>_xludf.IMAGE("https://m.media-amazon.com/images/I/714+SNPZglL._AC_UY218_.jpg")</f>
        <v/>
      </c>
      <c r="K1979" t="inlineStr">
        <is>
          <t>8.99</t>
        </is>
      </c>
      <c r="L1979" t="n">
        <v>9.949999999999999</v>
      </c>
      <c r="M1979" s="1" t="inlineStr">
        <is>
          <t>10.68%</t>
        </is>
      </c>
      <c r="N1979" s="3" t="n">
        <v>10.68</v>
      </c>
      <c r="O1979" t="n">
        <v>4.6</v>
      </c>
      <c r="P1979" t="n">
        <v>11</v>
      </c>
      <c r="R1979" t="inlineStr">
        <is>
          <t>InStock</t>
        </is>
      </c>
      <c r="S1979" t="inlineStr">
        <is>
          <t>8.99</t>
        </is>
      </c>
      <c r="T1979" t="inlineStr">
        <is>
          <t>4706395521113</t>
        </is>
      </c>
    </row>
    <row r="1980" hidden="1" ht="15.75" customHeight="1">
      <c r="A1980" s="2">
        <f>HYPERLINK("https://www.shelhealth.com/products/787647200948-t-relief-pain-relief-gel-1-76-oz", "https://www.shelhealth.com/products/787647200948-t-relief-pain-relief-gel-1-76-oz")</f>
        <v/>
      </c>
      <c r="B1980" s="2">
        <f>HYPERLINK("https://www.shelhealth.com/products/787647200948-t-relief-pain-relief-gel-1-76-oz", "https://www.shelhealth.com/products/787647200948-t-relief-pain-relief-gel-1-76-oz")</f>
        <v/>
      </c>
      <c r="C1980" t="inlineStr">
        <is>
          <t>T-Relief Pain Relief Gel, 1.76 Oz</t>
        </is>
      </c>
      <c r="D1980" t="inlineStr">
        <is>
          <t>Boiron Arnicare Gel for Relief of Joint Pain, Muscle Pain, Muscle Soreness, and Swelling from Bruises or Injury - Non-greasy and Fragrance-Free - 4.2 oz</t>
        </is>
      </c>
      <c r="E1980" s="2">
        <f>HYPERLINK("https://www.amazon.com/Boiron-Arnicare-Homeopathic-Medicine-Bruises/dp/B012ROWQ0I/ref=sr_1_10?keywords=T-Relief+Pain+Relief+Gel%2C+1.76+Oz&amp;qid=1695170737&amp;sr=8-10", "https://www.amazon.com/Boiron-Arnicare-Homeopathic-Medicine-Bruises/dp/B012ROWQ0I/ref=sr_1_10?keywords=T-Relief+Pain+Relief+Gel%2C+1.76+Oz&amp;qid=1695170737&amp;sr=8-10")</f>
        <v/>
      </c>
      <c r="F1980" t="inlineStr">
        <is>
          <t>B012ROWQ0I</t>
        </is>
      </c>
      <c r="G1980">
        <f>_xludf.IMAGE("https://www.shelhealth.com/cdn/shop/files/t-relief-pain-gel-1-76-oz-beauty-body-care-medinatura-shelhealth-234.jpg?v=1688534489&amp;width=1946")</f>
        <v/>
      </c>
      <c r="H1980">
        <f>_xludf.IMAGE("https://m.media-amazon.com/images/I/81vrkmCUwKL._AC_UL320_.jpg")</f>
        <v/>
      </c>
      <c r="K1980" t="inlineStr">
        <is>
          <t>12.99</t>
        </is>
      </c>
      <c r="L1980" t="n">
        <v>14.28</v>
      </c>
      <c r="M1980" s="1" t="inlineStr">
        <is>
          <t>9.93%</t>
        </is>
      </c>
      <c r="N1980" s="3" t="n">
        <v>9.93</v>
      </c>
      <c r="O1980" t="n">
        <v>4.7</v>
      </c>
      <c r="P1980" t="n">
        <v>23232</v>
      </c>
      <c r="R1980" t="inlineStr">
        <is>
          <t>InStock</t>
        </is>
      </c>
      <c r="S1980" t="inlineStr">
        <is>
          <t>12.99</t>
        </is>
      </c>
      <c r="T1980" t="inlineStr">
        <is>
          <t>7242026614972</t>
        </is>
      </c>
    </row>
    <row r="1981" hidden="1" ht="15.75" customHeight="1">
      <c r="A1981" s="2">
        <f>HYPERLINK("https://www.shelhealth.com/products/787647200948-t-relief-pain-relief-gel-1-76-oz", "https://www.shelhealth.com/products/787647200948-t-relief-pain-relief-gel-1-76-oz")</f>
        <v/>
      </c>
      <c r="B1981" s="2">
        <f>HYPERLINK("https://www.shelhealth.com/products/787647200948-t-relief-pain-relief-gel-1-76-oz", "https://www.shelhealth.com/products/787647200948-t-relief-pain-relief-gel-1-76-oz")</f>
        <v/>
      </c>
      <c r="C1981" t="inlineStr">
        <is>
          <t>T-Relief Pain Relief Gel, 1.76 Oz</t>
        </is>
      </c>
      <c r="D1981" t="inlineStr">
        <is>
          <t>T-Relief, Gel,Pain Relief,Arnica 1.76 OZ</t>
        </is>
      </c>
      <c r="E1981" s="2">
        <f>HYPERLINK("https://www.amazon.com/T-RELIEF-PAIN-RELIEF-ARNICA-1-76/dp/B001FV18SQ/ref=sr_1_1?keywords=T-Relief+Pain+Relief+Gel%2C+1.76+Oz&amp;qid=1695170737&amp;sr=8-1", "https://www.amazon.com/T-RELIEF-PAIN-RELIEF-ARNICA-1-76/dp/B001FV18SQ/ref=sr_1_1?keywords=T-Relief+Pain+Relief+Gel%2C+1.76+Oz&amp;qid=1695170737&amp;sr=8-1")</f>
        <v/>
      </c>
      <c r="F1981" t="inlineStr">
        <is>
          <t>B001FV18SQ</t>
        </is>
      </c>
      <c r="G1981">
        <f>_xludf.IMAGE("https://www.shelhealth.com/cdn/shop/files/t-relief-pain-gel-1-76-oz-beauty-body-care-medinatura-shelhealth-234.jpg?v=1688534489&amp;width=1946")</f>
        <v/>
      </c>
      <c r="H1981">
        <f>_xludf.IMAGE("https://m.media-amazon.com/images/I/61sSil8s6rL._AC_UL320_.jpg")</f>
        <v/>
      </c>
      <c r="K1981" t="inlineStr">
        <is>
          <t>12.99</t>
        </is>
      </c>
      <c r="L1981" t="n">
        <v>14.02</v>
      </c>
      <c r="M1981" s="1" t="inlineStr">
        <is>
          <t>7.93%</t>
        </is>
      </c>
      <c r="N1981" s="3" t="n">
        <v>7.93</v>
      </c>
      <c r="O1981" t="n">
        <v>4.2</v>
      </c>
      <c r="P1981" t="n">
        <v>90</v>
      </c>
      <c r="R1981" t="inlineStr">
        <is>
          <t>InStock</t>
        </is>
      </c>
      <c r="S1981" t="inlineStr">
        <is>
          <t>12.99</t>
        </is>
      </c>
      <c r="T1981" t="inlineStr">
        <is>
          <t>7242026614972</t>
        </is>
      </c>
    </row>
    <row r="1982" hidden="1" ht="15.75" customHeight="1">
      <c r="A1982" s="2">
        <f>HYPERLINK("https://www.shelhealth.com/products/318858560011-home-health-natural-vitamin-e-oil-9000-iu-0-5-oz", "https://www.shelhealth.com/products/318858560011-home-health-natural-vitamin-e-oil-9000-iu-0-5-oz")</f>
        <v/>
      </c>
      <c r="B1982" s="2">
        <f>HYPERLINK("https://www.shelhealth.com/products/318858560011-home-health-natural-vitamin-e-oil-9000-iu-0-5-oz", "https://www.shelhealth.com/products/318858560011-home-health-natural-vitamin-e-oil-9000-iu-0-5-oz")</f>
        <v/>
      </c>
      <c r="C1982" t="inlineStr">
        <is>
          <t>Home Health Natural Vitamin E Oil 9000 Iu, 0.5 Oz (Case of 4)</t>
        </is>
      </c>
      <c r="D1982" t="inlineStr">
        <is>
          <t>Home Health Natural Vitamin E, Skin Beauty Oil 9000 IU, 0.5-Ounces (Pack of 4)</t>
        </is>
      </c>
      <c r="E1982" s="2">
        <f>HYPERLINK("https://www.amazon.com/Home-Health-Natural-Vitamin-0-5-Ounces/dp/B001ECQ3UE/ref=sr_1_1?keywords=Home+Health+Natural+Vitamin+E+Oil+9000+Iu%2C+0.5+Oz+%28Case+of+4%29&amp;qid=1695170751&amp;sr=8-1", "https://www.amazon.com/Home-Health-Natural-Vitamin-0-5-Ounces/dp/B001ECQ3UE/ref=sr_1_1?keywords=Home+Health+Natural+Vitamin+E+Oil+9000+Iu%2C+0.5+Oz+%28Case+of+4%29&amp;qid=1695170751&amp;sr=8-1")</f>
        <v/>
      </c>
      <c r="F1982" t="inlineStr">
        <is>
          <t>B001ECQ3UE</t>
        </is>
      </c>
      <c r="G1982">
        <f>_xludf.IMAGE("https://www.shelhealth.com/cdn/shop/files/home-health-natural-vitamin-e-oil-9000-iu-0-5-oz-case-of-4-beauty-body-care-shelhealth-734.jpg?v=1686196834&amp;width=1946")</f>
        <v/>
      </c>
      <c r="H1982">
        <f>_xludf.IMAGE("https://m.media-amazon.com/images/I/41StOmVnWQL._AC_UL320_.jpg")</f>
        <v/>
      </c>
      <c r="K1982" t="inlineStr">
        <is>
          <t>24.99</t>
        </is>
      </c>
      <c r="L1982" t="n">
        <v>25.47</v>
      </c>
      <c r="M1982" s="1" t="inlineStr">
        <is>
          <t>1.92%</t>
        </is>
      </c>
      <c r="N1982" s="3" t="n">
        <v>1.92</v>
      </c>
      <c r="O1982" t="n">
        <v>4.4</v>
      </c>
      <c r="P1982" t="n">
        <v>90</v>
      </c>
      <c r="R1982" t="inlineStr">
        <is>
          <t>OutOfStock</t>
        </is>
      </c>
      <c r="S1982" t="inlineStr">
        <is>
          <t>24.99</t>
        </is>
      </c>
      <c r="T1982" t="inlineStr">
        <is>
          <t>7241703588028</t>
        </is>
      </c>
    </row>
    <row r="1983" hidden="1" ht="15.75" customHeight="1">
      <c r="A1983" s="2">
        <f>HYPERLINK("https://www.shelhealth.com/products/306969047781-boiron-arnicare-arnica-cream-for-pain-relief-blue-tube-value-pack-2-5-oz", "https://www.shelhealth.com/products/306969047781-boiron-arnicare-arnica-cream-for-pain-relief-blue-tube-value-pack-2-5-oz")</f>
        <v/>
      </c>
      <c r="B1983" s="2">
        <f>HYPERLINK("https://www.shelhealth.com/products/306969047781-boiron-arnicare-arnica-cream-for-pain-relief-blue-tube-value-pack-2-5-oz", "https://www.shelhealth.com/products/306969047781-boiron-arnicare-arnica-cream-for-pain-relief-blue-tube-value-pack-2-5-oz")</f>
        <v/>
      </c>
      <c r="C1983" t="inlineStr">
        <is>
          <t>Boiron Arnicare Arnica Cream For Pain Relief &amp; Blue Tube Value Pack, 2.5 Oz</t>
        </is>
      </c>
      <c r="D1983" t="inlineStr">
        <is>
          <t>Boiron Arnicare Arthritis Cream with Devil’s Claw for Pain Relief of Knees, Hands, Wrists, Elbows, Joints &amp; Muscles – Quickly Absorbed &amp; Fragrance-Free – 2.5 oz</t>
        </is>
      </c>
      <c r="E1983" s="2">
        <f>HYPERLINK("https://www.amazon.com/Boiron-Arnicare-Arthritis-Devils-Muscles/dp/B0BMW5L4KP/ref=sr_1_2?keywords=Boiron+Arnicare+Arnica+Cream+For+Pain+Relief&amp;qid=1695170739&amp;sr=8-2", "https://www.amazon.com/Boiron-Arnicare-Arthritis-Devils-Muscles/dp/B0BMW5L4KP/ref=sr_1_2?keywords=Boiron+Arnicare+Arnica+Cream+For+Pain+Relief&amp;qid=1695170739&amp;sr=8-2")</f>
        <v/>
      </c>
      <c r="F1983" t="inlineStr">
        <is>
          <t>B0BMW5L4KP</t>
        </is>
      </c>
      <c r="G1983">
        <f>_xludf.IMAGE("https://www.shelhealth.com/cdn/shop/files/boiron-arnicare-arnica-cream-for-pain-relief-blue-tube-value-pack-2-5-oz-beauty-body-care-shelhealth-519.jpg?v=1689652712&amp;width=1946")</f>
        <v/>
      </c>
      <c r="H1983">
        <f>_xludf.IMAGE("https://m.media-amazon.com/images/I/81-cuQUfVoL._AC_UL320_.jpg")</f>
        <v/>
      </c>
      <c r="K1983" t="inlineStr">
        <is>
          <t>14.99</t>
        </is>
      </c>
      <c r="L1983" t="n">
        <v>14.99</v>
      </c>
      <c r="M1983" s="1" t="inlineStr">
        <is>
          <t>0.00%</t>
        </is>
      </c>
      <c r="N1983" s="3" t="n">
        <v>0</v>
      </c>
      <c r="O1983" t="n">
        <v>4.4</v>
      </c>
      <c r="P1983" t="n">
        <v>386</v>
      </c>
      <c r="R1983" t="inlineStr">
        <is>
          <t>InStock</t>
        </is>
      </c>
      <c r="S1983" t="inlineStr">
        <is>
          <t>14.99</t>
        </is>
      </c>
      <c r="T1983" t="inlineStr">
        <is>
          <t>7241530802364</t>
        </is>
      </c>
    </row>
    <row r="1984" hidden="1" ht="15.75" customHeight="1">
      <c r="A1984" s="2">
        <f>HYPERLINK("https://www.shelhealth.com/products/718334220277-desert-essence-australian-tea-tree-oil-2-oz", "https://www.shelhealth.com/products/718334220277-desert-essence-australian-tea-tree-oil-2-oz")</f>
        <v/>
      </c>
      <c r="B1984" s="2">
        <f>HYPERLINK("https://www.shelhealth.com/products/718334220277-desert-essence-australian-tea-tree-oil-2-oz", "https://www.shelhealth.com/products/718334220277-desert-essence-australian-tea-tree-oil-2-oz")</f>
        <v/>
      </c>
      <c r="C1984" t="inlineStr">
        <is>
          <t>Desert Essence Australian Tea Tree Oil, 2 Oz</t>
        </is>
      </c>
      <c r="D1984" t="inlineStr">
        <is>
          <t>Desert Essence 100% Australian Tea Tree Oil, 2 fl oz - Gluten Free, Vegan, Non-GMO - Steam-Distilled Pure Essential Oil with Inherent Cleansing Properties</t>
        </is>
      </c>
      <c r="E1984" s="2">
        <f>HYPERLINK("https://www.amazon.com/Desert-Essence-100-Australian-Tree/dp/B000UJHRKM/ref=sr_1_1?keywords=Desert+Essence+Australian+Tea+Tree+Oil%2C+2+Oz&amp;qid=1695170751&amp;sr=8-1", "https://www.amazon.com/Desert-Essence-100-Australian-Tree/dp/B000UJHRKM/ref=sr_1_1?keywords=Desert+Essence+Australian+Tea+Tree+Oil%2C+2+Oz&amp;qid=1695170751&amp;sr=8-1")</f>
        <v/>
      </c>
      <c r="F1984" t="inlineStr">
        <is>
          <t>B000UJHRKM</t>
        </is>
      </c>
      <c r="G1984">
        <f>_xludf.IMAGE("https://www.shelhealth.com/cdn/shop/files/desert-essence-australian-tea-tree-oil-2-oz-beauty-body-care-shelhealth-190.jpg?v=1689654177&amp;width=1946")</f>
        <v/>
      </c>
      <c r="H1984">
        <f>_xludf.IMAGE("https://m.media-amazon.com/images/I/71ReDplzt0L._AC_UL320_.jpg")</f>
        <v/>
      </c>
      <c r="K1984" t="inlineStr">
        <is>
          <t>18.99</t>
        </is>
      </c>
      <c r="L1984" t="n">
        <v>18.54</v>
      </c>
      <c r="M1984" s="1" t="inlineStr">
        <is>
          <t>-2.37%</t>
        </is>
      </c>
      <c r="N1984" s="3" t="n">
        <v>-2.37</v>
      </c>
      <c r="O1984" t="n">
        <v>4.7</v>
      </c>
      <c r="P1984" t="n">
        <v>933</v>
      </c>
      <c r="R1984" t="inlineStr">
        <is>
          <t>InStock</t>
        </is>
      </c>
      <c r="S1984" t="inlineStr">
        <is>
          <t>18.99</t>
        </is>
      </c>
      <c r="T1984" t="inlineStr">
        <is>
          <t>7241586442428</t>
        </is>
      </c>
    </row>
    <row r="1985" hidden="1" ht="15.75" customHeight="1">
      <c r="A1985" s="2">
        <f>HYPERLINK("https://www.shelhealth.com/products/609863600206-topricin-foot-therapy-cream-2-oz", "https://www.shelhealth.com/products/609863600206-topricin-foot-therapy-cream-2-oz")</f>
        <v/>
      </c>
      <c r="B1985" s="2">
        <f>HYPERLINK("https://www.shelhealth.com/products/609863600206-topricin-foot-therapy-cream-2-oz", "https://www.shelhealth.com/products/609863600206-topricin-foot-therapy-cream-2-oz")</f>
        <v/>
      </c>
      <c r="C1985" t="inlineStr">
        <is>
          <t>TOPRICIN Foot Therapy Cream, 2 oz</t>
        </is>
      </c>
      <c r="D1985" t="inlineStr">
        <is>
          <t>Topricin Foot Pain Relief Cream, 2 OZ</t>
        </is>
      </c>
      <c r="E1985" s="2">
        <f>HYPERLINK("https://www.amazon.com/TOPRICIN-Topricin-Foot-Therapy-Cream/dp/B06Y41BHVP/ref=sr_1_4?keywords=TOPRICIN+Foot+Therapy+Cream%2C+2+oz&amp;qid=1695170741&amp;sr=8-4", "https://www.amazon.com/TOPRICIN-Topricin-Foot-Therapy-Cream/dp/B06Y41BHVP/ref=sr_1_4?keywords=TOPRICIN+Foot+Therapy+Cream%2C+2+oz&amp;qid=1695170741&amp;sr=8-4")</f>
        <v/>
      </c>
      <c r="F1985" t="inlineStr">
        <is>
          <t>B06Y41BHVP</t>
        </is>
      </c>
      <c r="G1985">
        <f>_xludf.IMAGE("https://www.shelhealth.com/cdn/shop/files/topricin-foot-therapy-cream-2-oz-beauty-body-care-shelhealth-935.jpg?v=1689706568&amp;width=1946")</f>
        <v/>
      </c>
      <c r="H1985">
        <f>_xludf.IMAGE("https://m.media-amazon.com/images/I/51pfep7r1GL._AC_UL320_.jpg")</f>
        <v/>
      </c>
      <c r="K1985" t="inlineStr">
        <is>
          <t>14.99</t>
        </is>
      </c>
      <c r="L1985" t="n">
        <v>13.99</v>
      </c>
      <c r="M1985" s="1" t="inlineStr">
        <is>
          <t>-6.67%</t>
        </is>
      </c>
      <c r="N1985" s="3" t="n">
        <v>-6.67</v>
      </c>
      <c r="O1985" t="n">
        <v>4.3</v>
      </c>
      <c r="P1985" t="n">
        <v>47</v>
      </c>
      <c r="R1985" t="inlineStr">
        <is>
          <t>InStock</t>
        </is>
      </c>
      <c r="S1985" t="inlineStr">
        <is>
          <t>14.99</t>
        </is>
      </c>
      <c r="T1985" t="inlineStr">
        <is>
          <t>7574343581928</t>
        </is>
      </c>
    </row>
    <row r="1986" hidden="1" ht="15.75" customHeight="1">
      <c r="A1986" s="2">
        <f>HYPERLINK("https://www.shelhealth.com/products/858293002627-sea-weed-bath-company-cream-body-detox-cellulite-6-oz", "https://www.shelhealth.com/products/858293002627-sea-weed-bath-company-cream-body-detox-cellulite-6-oz")</f>
        <v/>
      </c>
      <c r="B1986" s="2">
        <f>HYPERLINK("https://www.shelhealth.com/products/858293002627-sea-weed-bath-company-cream-body-detox-cellulite-6-oz", "https://www.shelhealth.com/products/858293002627-sea-weed-bath-company-cream-body-detox-cellulite-6-oz")</f>
        <v/>
      </c>
      <c r="C1986" t="inlineStr">
        <is>
          <t>Sea Weed Bath Company Cream Body Detox Cellulite, 6 Oz</t>
        </is>
      </c>
      <c r="D1986" t="inlineStr">
        <is>
          <t>The Seaweed Bath Co. Hydrating Soothing Body Cream, Eucalyptus &amp; Peppermint Scent, Nutrient Rich Seaweed, Argan Oil, Aloe, Vegan, Paraben Free, 6 Oz (Pack of 1)</t>
        </is>
      </c>
      <c r="E1986" s="2">
        <f>HYPERLINK("https://www.amazon.com/Seaweed-Bath-Co-Eucalyptus-Peppermint/dp/B0BJ7MRY5Q/ref=sr_1_7?keywords=seaweed+bath+company+cream+body+detox+cellulite%2C+6+oz&amp;qid=1695170739&amp;sr=8-7", "https://www.amazon.com/Seaweed-Bath-Co-Eucalyptus-Peppermint/dp/B0BJ7MRY5Q/ref=sr_1_7?keywords=seaweed+bath+company+cream+body+detox+cellulite%2C+6+oz&amp;qid=1695170739&amp;sr=8-7")</f>
        <v/>
      </c>
      <c r="F1986" t="inlineStr">
        <is>
          <t>B0BJ7MRY5Q</t>
        </is>
      </c>
      <c r="G1986">
        <f>_xludf.IMAGE("https://www.shelhealth.com/cdn/shop/files/sea-weed-bath-company-cream-body-detox-cellulite-6-oz-beauty-care-the-seaweed-co-shelhealth-968.jpg?v=1688532759&amp;width=1946")</f>
        <v/>
      </c>
      <c r="H1986">
        <f>_xludf.IMAGE("https://m.media-amazon.com/images/I/71nhQ2ONfFL._AC_UL320_.jpg")</f>
        <v/>
      </c>
      <c r="K1986" t="inlineStr">
        <is>
          <t>13.99</t>
        </is>
      </c>
      <c r="L1986" t="n">
        <v>11.99</v>
      </c>
      <c r="M1986" s="1" t="inlineStr">
        <is>
          <t>-14.30%</t>
        </is>
      </c>
      <c r="N1986" s="3" t="n">
        <v>-14.3</v>
      </c>
      <c r="O1986" t="n">
        <v>4.6</v>
      </c>
      <c r="P1986" t="n">
        <v>39</v>
      </c>
      <c r="R1986" t="inlineStr">
        <is>
          <t>InStock</t>
        </is>
      </c>
      <c r="S1986" t="inlineStr">
        <is>
          <t>13.99</t>
        </is>
      </c>
      <c r="T1986" t="inlineStr">
        <is>
          <t>7241979232444</t>
        </is>
      </c>
    </row>
    <row r="1987" hidden="1" ht="15.75" customHeight="1">
      <c r="A1987" s="2">
        <f>HYPERLINK("https://www.shelhealth.com/products/609280000108-wally-s-natural-products-organic-ear-oil-1-oz", "https://www.shelhealth.com/products/609280000108-wally-s-natural-products-organic-ear-oil-1-oz")</f>
        <v/>
      </c>
      <c r="B1987" s="2">
        <f>HYPERLINK("https://www.shelhealth.com/products/609280000108-wally-s-natural-products-organic-ear-oil-1-oz", "https://www.shelhealth.com/products/609280000108-wally-s-natural-products-organic-ear-oil-1-oz")</f>
        <v/>
      </c>
      <c r="C1987" t="inlineStr">
        <is>
          <t>Wally'S Natural Products Organic Ear Oil, 1 Oz (Case of 2)</t>
        </is>
      </c>
      <c r="D1987" t="inlineStr">
        <is>
          <t>Wally's Natural Products Organic Ear Oil, 1 Fl. Oz (Pack of 2)</t>
        </is>
      </c>
      <c r="E1987" s="2">
        <f>HYPERLINK("https://www.amazon.com/Wallys-Natural-Products-Organic-Pack/dp/B0BV6CH4QT/ref=sr_1_1?keywords=WallyS+Natural+Products+Organic+Ear+Oil%2C+1+Oz+%28Case+of+2%29&amp;qid=1695170744&amp;sr=8-1", "https://www.amazon.com/Wallys-Natural-Products-Organic-Pack/dp/B0BV6CH4QT/ref=sr_1_1?keywords=WallyS+Natural+Products+Organic+Ear+Oil%2C+1+Oz+%28Case+of+2%29&amp;qid=1695170744&amp;sr=8-1")</f>
        <v/>
      </c>
      <c r="F1987" t="inlineStr">
        <is>
          <t>B0BV6CH4QT</t>
        </is>
      </c>
      <c r="G1987">
        <f>_xludf.IMAGE("https://www.shelhealth.com/cdn/shop/files/wallys-natural-products-organic-ear-oil-1-oz-case-of-2-beauty-body-care-shelhealth-159.jpg?v=1689668348&amp;width=1946")</f>
        <v/>
      </c>
      <c r="H1987">
        <f>_xludf.IMAGE("https://m.media-amazon.com/images/I/61nEJm-zjYL._AC_UL320_.jpg")</f>
        <v/>
      </c>
      <c r="K1987" t="inlineStr">
        <is>
          <t>22.99</t>
        </is>
      </c>
      <c r="L1987" t="n">
        <v>19.64</v>
      </c>
      <c r="M1987" s="1" t="inlineStr">
        <is>
          <t>-14.57%</t>
        </is>
      </c>
      <c r="N1987" s="3" t="n">
        <v>-14.57</v>
      </c>
      <c r="O1987" t="n">
        <v>4.2</v>
      </c>
      <c r="P1987" t="n">
        <v>3416</v>
      </c>
      <c r="R1987" t="inlineStr">
        <is>
          <t>InStock</t>
        </is>
      </c>
      <c r="S1987" t="inlineStr">
        <is>
          <t>22.99</t>
        </is>
      </c>
      <c r="T1987" t="inlineStr">
        <is>
          <t>7242067673276</t>
        </is>
      </c>
    </row>
    <row r="1988" hidden="1" ht="15.75" customHeight="1">
      <c r="A1988" s="2">
        <f>HYPERLINK("https://www.shelhealth.com/products/318858501243-home-health-castor-oil-cold-pressed-cold-processed-8-oz", "https://www.shelhealth.com/products/318858501243-home-health-castor-oil-cold-pressed-cold-processed-8-oz")</f>
        <v/>
      </c>
      <c r="B1988" s="2">
        <f>HYPERLINK("https://www.shelhealth.com/products/318858501243-home-health-castor-oil-cold-pressed-cold-processed-8-oz", "https://www.shelhealth.com/products/318858501243-home-health-castor-oil-cold-pressed-cold-processed-8-oz")</f>
        <v/>
      </c>
      <c r="C1988" t="inlineStr">
        <is>
          <t>Home Health Castor Oil Cold Pressed &amp; Cold Processed, 8 Oz (Case of 4)</t>
        </is>
      </c>
      <c r="D1988" t="inlineStr">
        <is>
          <t>Home Health Castor Oil Cold Pressed &amp; Cold Processed, 8 Oz</t>
        </is>
      </c>
      <c r="E1988" s="2">
        <f>HYPERLINK("https://www.amazon.com/Home-Health-Castor-Oil-Ounce/dp/B00028F05K/ref=sr_1_5?keywords=Home+Health+Castor+Oil+Cold+Pressed&amp;qid=1695170741&amp;sr=8-5", "https://www.amazon.com/Home-Health-Castor-Oil-Ounce/dp/B00028F05K/ref=sr_1_5?keywords=Home+Health+Castor+Oil+Cold+Pressed&amp;qid=1695170741&amp;sr=8-5")</f>
        <v/>
      </c>
      <c r="F1988" t="inlineStr">
        <is>
          <t>B00028F05K</t>
        </is>
      </c>
      <c r="G1988">
        <f>_xludf.IMAGE("https://www.shelhealth.com/cdn/shop/files/home-health-castor-oil-cold-pressed-processed-8-oz-case-of-4-beauty-body-care-shelhealth-856.jpg?v=1693355571&amp;width=1946")</f>
        <v/>
      </c>
      <c r="H1988">
        <f>_xludf.IMAGE("https://m.media-amazon.com/images/I/71iU4bv5kTL._AC_UL320_.jpg")</f>
        <v/>
      </c>
      <c r="K1988" t="inlineStr">
        <is>
          <t>24.99</t>
        </is>
      </c>
      <c r="L1988" t="n">
        <v>20.52</v>
      </c>
      <c r="M1988" s="1" t="inlineStr">
        <is>
          <t>-17.89%</t>
        </is>
      </c>
      <c r="N1988" s="3" t="n">
        <v>-17.89</v>
      </c>
      <c r="O1988" t="n">
        <v>4.6</v>
      </c>
      <c r="P1988" t="n">
        <v>398</v>
      </c>
      <c r="R1988" t="inlineStr">
        <is>
          <t>OutOfStock</t>
        </is>
      </c>
      <c r="S1988" t="inlineStr">
        <is>
          <t>24.99</t>
        </is>
      </c>
      <c r="T1988" t="inlineStr">
        <is>
          <t>7241703030972</t>
        </is>
      </c>
    </row>
    <row r="1989" hidden="1" ht="15.75" customHeight="1">
      <c r="A1989" s="2">
        <f>HYPERLINK("https://www.shelhealth.com/products/787647200948-t-relief-pain-relief-gel-1-76-oz", "https://www.shelhealth.com/products/787647200948-t-relief-pain-relief-gel-1-76-oz")</f>
        <v/>
      </c>
      <c r="B1989" s="2">
        <f>HYPERLINK("https://www.shelhealth.com/products/787647200948-t-relief-pain-relief-gel-1-76-oz", "https://www.shelhealth.com/products/787647200948-t-relief-pain-relief-gel-1-76-oz")</f>
        <v/>
      </c>
      <c r="C1989" t="inlineStr">
        <is>
          <t>T-Relief Pain Relief Gel, 1.76 Oz</t>
        </is>
      </c>
      <c r="D1989" t="inlineStr">
        <is>
          <t>Voltaren Arthritis Pain Gel for Powerful Topical Arthritis Pain Relief, No Prescription Needed - 1.7 oz/50 g Tube</t>
        </is>
      </c>
      <c r="E1989" s="2">
        <f>HYPERLINK("https://www.amazon.com/Voltaren-Arthritis-Topical-Pain-Relief/dp/B086Q3ZMZJ/ref=sr_1_4?keywords=T-Relief+Pain+Relief+Gel%2C+1.76+Oz&amp;qid=1695170737&amp;sr=8-4", "https://www.amazon.com/Voltaren-Arthritis-Topical-Pain-Relief/dp/B086Q3ZMZJ/ref=sr_1_4?keywords=T-Relief+Pain+Relief+Gel%2C+1.76+Oz&amp;qid=1695170737&amp;sr=8-4")</f>
        <v/>
      </c>
      <c r="F1989" t="inlineStr">
        <is>
          <t>B086Q3ZMZJ</t>
        </is>
      </c>
      <c r="G1989">
        <f>_xludf.IMAGE("https://www.shelhealth.com/cdn/shop/files/t-relief-pain-gel-1-76-oz-beauty-body-care-medinatura-shelhealth-234.jpg?v=1688534489&amp;width=1946")</f>
        <v/>
      </c>
      <c r="H1989">
        <f>_xludf.IMAGE("https://m.media-amazon.com/images/I/71JlOBf8DvL._AC_UL320_.jpg")</f>
        <v/>
      </c>
      <c r="K1989" t="inlineStr">
        <is>
          <t>12.99</t>
        </is>
      </c>
      <c r="L1989" t="n">
        <v>10.46</v>
      </c>
      <c r="M1989" s="1" t="inlineStr">
        <is>
          <t>-19.48%</t>
        </is>
      </c>
      <c r="N1989" s="3" t="n">
        <v>-19.48</v>
      </c>
      <c r="O1989" t="n">
        <v>4.3</v>
      </c>
      <c r="P1989" t="n">
        <v>4604</v>
      </c>
      <c r="R1989" t="inlineStr">
        <is>
          <t>InStock</t>
        </is>
      </c>
      <c r="S1989" t="inlineStr">
        <is>
          <t>12.99</t>
        </is>
      </c>
      <c r="T1989" t="inlineStr">
        <is>
          <t>7242026614972</t>
        </is>
      </c>
    </row>
    <row r="1990" hidden="1" ht="15.75" customHeight="1">
      <c r="A1990" s="2">
        <f>HYPERLINK("https://www.shelhealth.com/products/kirkland-signature-nitrile-exam-gloves-s-m-l-400-count", "https://www.shelhealth.com/products/kirkland-signature-nitrile-exam-gloves-s-m-l-400-count")</f>
        <v/>
      </c>
      <c r="B1990" s="2">
        <f>HYPERLINK("https://www.shelhealth.com/products/kirkland-signature-nitrile-exam-gloves-s-m-l-400-count", "https://www.shelhealth.com/products/kirkland-signature-nitrile-exam-gloves-s-m-l-400-count")</f>
        <v/>
      </c>
      <c r="C1990" t="inlineStr">
        <is>
          <t>Kirkland Signature Nitrile Exam Gloves, S/M/L 400-Count</t>
        </is>
      </c>
      <c r="D1990" t="inlineStr">
        <is>
          <t>Kirkland Signature Nitrile Exam Gloves</t>
        </is>
      </c>
      <c r="E1990" s="2">
        <f>HYPERLINK("https://www.amazon.com/Kirkland-Signature-Nitrile-Multi-Purpose-Latex-free/dp/B0786RVL9D/ref=sr_1_2?keywords=Kirkland+Signature+Nitrile+Exam+Gloves%2C+S%2FM%2FL+400-Count&amp;qid=1695170752&amp;sr=8-2", "https://www.amazon.com/Kirkland-Signature-Nitrile-Multi-Purpose-Latex-free/dp/B0786RVL9D/ref=sr_1_2?keywords=Kirkland+Signature+Nitrile+Exam+Gloves%2C+S%2FM%2FL+400-Count&amp;qid=1695170752&amp;sr=8-2")</f>
        <v/>
      </c>
      <c r="F1990" t="inlineStr">
        <is>
          <t>B0786RVL9D</t>
        </is>
      </c>
      <c r="G1990">
        <f>_xludf.IMAGE("https://www.shelhealth.com/cdn/shop/products/kirkland-signature-nitrile-exam-gloves-sml-400-count-shelhealth-244.jpg?v=1663339022&amp;width=1946")</f>
        <v/>
      </c>
      <c r="H1990">
        <f>_xludf.IMAGE("https://m.media-amazon.com/images/I/612yuAv-8gL._AC_UY218_.jpg")</f>
        <v/>
      </c>
      <c r="K1990" t="inlineStr">
        <is>
          <t>49.99</t>
        </is>
      </c>
      <c r="L1990" t="n">
        <v>34.97</v>
      </c>
      <c r="M1990" s="1" t="inlineStr">
        <is>
          <t>-30.05%</t>
        </is>
      </c>
      <c r="N1990" s="3" t="n">
        <v>-30.05</v>
      </c>
      <c r="O1990" t="n">
        <v>4.8</v>
      </c>
      <c r="P1990" t="n">
        <v>910</v>
      </c>
      <c r="R1990" t="inlineStr">
        <is>
          <t>OutOfStock</t>
        </is>
      </c>
      <c r="S1990" t="inlineStr">
        <is>
          <t>49.99</t>
        </is>
      </c>
      <c r="T1990" t="inlineStr">
        <is>
          <t>3791601074228</t>
        </is>
      </c>
    </row>
    <row r="1991" hidden="1" ht="15.75" customHeight="1">
      <c r="A1991" s="2">
        <f>HYPERLINK("https://www.shelhealth.com/products/kirkland-signature-nitrile-exam-gloves-s-m-l-400-count", "https://www.shelhealth.com/products/kirkland-signature-nitrile-exam-gloves-s-m-l-400-count")</f>
        <v/>
      </c>
      <c r="B1991" s="2">
        <f>HYPERLINK("https://www.shelhealth.com/products/kirkland-signature-nitrile-exam-gloves-s-m-l-400-count", "https://www.shelhealth.com/products/kirkland-signature-nitrile-exam-gloves-s-m-l-400-count")</f>
        <v/>
      </c>
      <c r="C1991" t="inlineStr">
        <is>
          <t>Kirkland Signature Nitrile Exam Gloves, S/M/L 400-Count</t>
        </is>
      </c>
      <c r="D1991" t="inlineStr">
        <is>
          <t>Kirkland Signature Nitrile Exam Gloves Small, 2 of 200 Count Boxes ( 400 Gloves)</t>
        </is>
      </c>
      <c r="E1991" s="2">
        <f>HYPERLINK("https://www.amazon.com/Kirkland-Signature-Nitrile-Gloves-Small/dp/B0B7Y2PR13/ref=sr_1_1?keywords=Kirkland+Signature+Nitrile+Exam+Gloves%2C+S%2FM%2FL+400-Count&amp;qid=1695170752&amp;sr=8-1", "https://www.amazon.com/Kirkland-Signature-Nitrile-Gloves-Small/dp/B0B7Y2PR13/ref=sr_1_1?keywords=Kirkland+Signature+Nitrile+Exam+Gloves%2C+S%2FM%2FL+400-Count&amp;qid=1695170752&amp;sr=8-1")</f>
        <v/>
      </c>
      <c r="F1991" t="inlineStr">
        <is>
          <t>B0B7Y2PR13</t>
        </is>
      </c>
      <c r="G1991">
        <f>_xludf.IMAGE("https://www.shelhealth.com/cdn/shop/products/kirkland-signature-nitrile-exam-gloves-sml-400-count-shelhealth-244.jpg?v=1663339022&amp;width=1946")</f>
        <v/>
      </c>
      <c r="H1991">
        <f>_xludf.IMAGE("https://m.media-amazon.com/images/I/61DtnmO5rQL._AC_UY218_.jpg")</f>
        <v/>
      </c>
      <c r="K1991" t="inlineStr">
        <is>
          <t>49.99</t>
        </is>
      </c>
      <c r="L1991" t="n">
        <v>34.49</v>
      </c>
      <c r="M1991" s="1" t="inlineStr">
        <is>
          <t>-31.01%</t>
        </is>
      </c>
      <c r="N1991" s="3" t="n">
        <v>-31.01</v>
      </c>
      <c r="O1991" t="n">
        <v>4.9</v>
      </c>
      <c r="P1991" t="n">
        <v>16</v>
      </c>
      <c r="R1991" t="inlineStr">
        <is>
          <t>OutOfStock</t>
        </is>
      </c>
      <c r="S1991" t="inlineStr">
        <is>
          <t>49.99</t>
        </is>
      </c>
      <c r="T1991" t="inlineStr">
        <is>
          <t>3791601074228</t>
        </is>
      </c>
    </row>
    <row r="1992" hidden="1" ht="15.75" customHeight="1">
      <c r="A1992" s="2">
        <f>HYPERLINK("https://www.shelhealth.com/products/welly-portable-first-aid-kit", "https://www.shelhealth.com/products/welly-portable-first-aid-kit")</f>
        <v/>
      </c>
      <c r="B1992" s="2">
        <f>HYPERLINK("https://www.shelhealth.com/products/welly-portable-first-aid-kit", "https://www.shelhealth.com/products/welly-portable-first-aid-kit")</f>
        <v/>
      </c>
      <c r="C1992" t="inlineStr">
        <is>
          <t>Welly Portable First Aid Kit.</t>
        </is>
      </c>
      <c r="D1992" t="inlineStr">
        <is>
          <t>Johnson &amp; Johnson All-Purpose Portable Compact First Aid Kit for Minor Cuts, Scrapes, Sprains &amp; Burns, Ideal for Home, Car, Travel, Camping and Outdoor Emergencies, 160 pieces</t>
        </is>
      </c>
      <c r="E1992" s="2">
        <f>HYPERLINK("https://www.amazon.com/Johnson-All-Purpose-Portable-Compact-Emergency/dp/B09NWH8553/ref=sr_1_1?keywords=Welly+Portable+First+Aid+Kit.&amp;qid=1695170753&amp;sr=8-1", "https://www.amazon.com/Johnson-All-Purpose-Portable-Compact-Emergency/dp/B09NWH8553/ref=sr_1_1?keywords=Welly+Portable+First+Aid+Kit.&amp;qid=1695170753&amp;sr=8-1")</f>
        <v/>
      </c>
      <c r="F1992" t="inlineStr">
        <is>
          <t>B09NWH8553</t>
        </is>
      </c>
      <c r="G1992">
        <f>_xludf.IMAGE("https://www.shelhealth.com/cdn/shop/products/welly-portable-first-aid-kit-shelhealth-452.jpg?v=1663373983&amp;width=1946")</f>
        <v/>
      </c>
      <c r="H1992">
        <f>_xludf.IMAGE("https://m.media-amazon.com/images/I/817vU1ZDWGL._AC_UL320_.jpg")</f>
        <v/>
      </c>
      <c r="K1992" t="inlineStr">
        <is>
          <t>26.99</t>
        </is>
      </c>
      <c r="L1992" t="n">
        <v>17.89</v>
      </c>
      <c r="M1992" s="1" t="inlineStr">
        <is>
          <t>-33.72%</t>
        </is>
      </c>
      <c r="N1992" s="3" t="n">
        <v>-33.72</v>
      </c>
      <c r="O1992" t="n">
        <v>4.8</v>
      </c>
      <c r="P1992" t="n">
        <v>19981</v>
      </c>
      <c r="R1992" t="inlineStr">
        <is>
          <t>InStock</t>
        </is>
      </c>
      <c r="S1992" t="inlineStr">
        <is>
          <t>26.99</t>
        </is>
      </c>
      <c r="T1992" t="inlineStr">
        <is>
          <t>4711396540505</t>
        </is>
      </c>
    </row>
    <row r="1993" hidden="1" ht="15.75" customHeight="1">
      <c r="A1993" s="2">
        <f>HYPERLINK("https://www.shelhealth.com/products/787647200948-t-relief-pain-relief-gel-1-76-oz", "https://www.shelhealth.com/products/787647200948-t-relief-pain-relief-gel-1-76-oz")</f>
        <v/>
      </c>
      <c r="B1993" s="2">
        <f>HYPERLINK("https://www.shelhealth.com/products/787647200948-t-relief-pain-relief-gel-1-76-oz", "https://www.shelhealth.com/products/787647200948-t-relief-pain-relief-gel-1-76-oz")</f>
        <v/>
      </c>
      <c r="C1993" t="inlineStr">
        <is>
          <t>T-Relief Pain Relief Gel, 1.76 Oz</t>
        </is>
      </c>
      <c r="D1993" t="inlineStr">
        <is>
          <t>Boiron Arnicare Gel for Soothing Relief of Joint Pain, Muscle Pain, Muscle Soreness, and Swelling from Bruises or Injury - Non-greasy and Fragrance-Free - 2.6 oz</t>
        </is>
      </c>
      <c r="E1993" s="2">
        <f>HYPERLINK("https://www.amazon.com/Boiron-Arnicare-Ounce-Topical-Relief/dp/B00HCQEYCK/ref=sr_1_3?keywords=T-Relief+Pain+Relief+Gel%2C+1.76+Oz&amp;qid=1695170737&amp;sr=8-3", "https://www.amazon.com/Boiron-Arnicare-Ounce-Topical-Relief/dp/B00HCQEYCK/ref=sr_1_3?keywords=T-Relief+Pain+Relief+Gel%2C+1.76+Oz&amp;qid=1695170737&amp;sr=8-3")</f>
        <v/>
      </c>
      <c r="F1993" t="inlineStr">
        <is>
          <t>B00HCQEYCK</t>
        </is>
      </c>
      <c r="G1993">
        <f>_xludf.IMAGE("https://www.shelhealth.com/cdn/shop/files/t-relief-pain-gel-1-76-oz-beauty-body-care-medinatura-shelhealth-234.jpg?v=1688534489&amp;width=1946")</f>
        <v/>
      </c>
      <c r="H1993">
        <f>_xludf.IMAGE("https://m.media-amazon.com/images/I/81UerPhBrsL._AC_UL320_.jpg")</f>
        <v/>
      </c>
      <c r="K1993" t="inlineStr">
        <is>
          <t>12.99</t>
        </is>
      </c>
      <c r="L1993" t="n">
        <v>8.539999999999999</v>
      </c>
      <c r="M1993" s="1" t="inlineStr">
        <is>
          <t>-34.26%</t>
        </is>
      </c>
      <c r="N1993" s="3" t="n">
        <v>-34.26</v>
      </c>
      <c r="O1993" t="n">
        <v>4.6</v>
      </c>
      <c r="P1993" t="n">
        <v>28166</v>
      </c>
      <c r="R1993" t="inlineStr">
        <is>
          <t>InStock</t>
        </is>
      </c>
      <c r="S1993" t="inlineStr">
        <is>
          <t>12.99</t>
        </is>
      </c>
      <c r="T1993" t="inlineStr">
        <is>
          <t>7242026614972</t>
        </is>
      </c>
    </row>
    <row r="1994" hidden="1" ht="15.75" customHeight="1">
      <c r="A1994" s="2">
        <f>HYPERLINK("https://www.shelhealth.com/products/welly-first-aid-bravery-bandage-kids-kit", "https://www.shelhealth.com/products/welly-first-aid-bravery-bandage-kids-kit")</f>
        <v/>
      </c>
      <c r="B1994" s="2">
        <f>HYPERLINK("https://www.shelhealth.com/products/welly-first-aid-bravery-bandage-kids-kit", "https://www.shelhealth.com/products/welly-first-aid-bravery-bandage-kids-kit")</f>
        <v/>
      </c>
      <c r="C1994" t="inlineStr">
        <is>
          <t>Welly First Aid Bravery Bandage Kids Kit.</t>
        </is>
      </c>
      <c r="D1994" t="inlineStr">
        <is>
          <t>Welly Bandages | Adhesive Flexible Fabric Bravery Badges | Assorted Shapes for Minor Cuts, Scrapes, and Wounds | Colorful and Fun First Aid Tin | Monster Patterns - 48 Count</t>
        </is>
      </c>
      <c r="E1994" s="2">
        <f>HYPERLINK("https://www.amazon.com/Bravery-Badges-Assorted-Monster-Bandages/dp/B07RHQDNWL/ref=sr_1_7?keywords=Welly+First+Aid+Bravery+Bandage+Kids+Kit.&amp;qid=1695170754&amp;sr=8-7", "https://www.amazon.com/Bravery-Badges-Assorted-Monster-Bandages/dp/B07RHQDNWL/ref=sr_1_7?keywords=Welly+First+Aid+Bravery+Bandage+Kids+Kit.&amp;qid=1695170754&amp;sr=8-7")</f>
        <v/>
      </c>
      <c r="F1994" t="inlineStr">
        <is>
          <t>B07RHQDNWL</t>
        </is>
      </c>
      <c r="G1994">
        <f>_xludf.IMAGE("https://www.shelhealth.com/cdn/shop/products/welly-first-aid-bravery-bandage-kids-kit-shelhealth-941.jpg?v=1663373973&amp;width=1946")</f>
        <v/>
      </c>
      <c r="H1994">
        <f>_xludf.IMAGE("https://m.media-amazon.com/images/I/81BhCMsP1eL._AC_UL320_.jpg")</f>
        <v/>
      </c>
      <c r="K1994" t="inlineStr">
        <is>
          <t>27.99</t>
        </is>
      </c>
      <c r="L1994" t="n">
        <v>17.99</v>
      </c>
      <c r="M1994" s="1" t="inlineStr">
        <is>
          <t>-35.73%</t>
        </is>
      </c>
      <c r="N1994" s="3" t="n">
        <v>-35.73</v>
      </c>
      <c r="O1994" t="n">
        <v>4.8</v>
      </c>
      <c r="P1994" t="n">
        <v>22472</v>
      </c>
      <c r="R1994" t="inlineStr">
        <is>
          <t>OutOfStock</t>
        </is>
      </c>
      <c r="S1994" t="inlineStr">
        <is>
          <t>27.99</t>
        </is>
      </c>
      <c r="T1994" t="inlineStr">
        <is>
          <t>4711395983449</t>
        </is>
      </c>
    </row>
    <row r="1995" hidden="1" ht="15.75" customHeight="1">
      <c r="A1995" s="2">
        <f>HYPERLINK("https://www.shelhealth.com/products/welly-first-aid-bravery-bandage-kids-kit", "https://www.shelhealth.com/products/welly-first-aid-bravery-bandage-kids-kit")</f>
        <v/>
      </c>
      <c r="B1995" s="2">
        <f>HYPERLINK("https://www.shelhealth.com/products/welly-first-aid-bravery-bandage-kids-kit", "https://www.shelhealth.com/products/welly-first-aid-bravery-bandage-kids-kit")</f>
        <v/>
      </c>
      <c r="C1995" t="inlineStr">
        <is>
          <t>Welly First Aid Bravery Bandage Kids Kit.</t>
        </is>
      </c>
      <c r="D1995" t="inlineStr">
        <is>
          <t>Welly Bandages | Adhesive Flexible Fabric Bravery Badges | Assorted Shapes for Minor Cuts, Scrapes, and Wounds | Colorful and Fun First Aid Tin | Block Geo Patterns - 48 Count</t>
        </is>
      </c>
      <c r="E1995" s="2">
        <f>HYPERLINK("https://www.amazon.com/Welly-Bandages-Adhesive-Flexible-Assorted/dp/B08XWLVJ9S/ref=sr_1_6?keywords=Welly+First+Aid+Bravery+Bandage+Kids+Kit.&amp;qid=1695170754&amp;sr=8-6", "https://www.amazon.com/Welly-Bandages-Adhesive-Flexible-Assorted/dp/B08XWLVJ9S/ref=sr_1_6?keywords=Welly+First+Aid+Bravery+Bandage+Kids+Kit.&amp;qid=1695170754&amp;sr=8-6")</f>
        <v/>
      </c>
      <c r="F1995" t="inlineStr">
        <is>
          <t>B08XWLVJ9S</t>
        </is>
      </c>
      <c r="G1995">
        <f>_xludf.IMAGE("https://www.shelhealth.com/cdn/shop/products/welly-first-aid-bravery-bandage-kids-kit-shelhealth-941.jpg?v=1663373973&amp;width=1946")</f>
        <v/>
      </c>
      <c r="H1995">
        <f>_xludf.IMAGE("https://m.media-amazon.com/images/I/91Odd+3cj1L._AC_UL320_.jpg")</f>
        <v/>
      </c>
      <c r="K1995" t="inlineStr">
        <is>
          <t>27.99</t>
        </is>
      </c>
      <c r="L1995" t="n">
        <v>17.99</v>
      </c>
      <c r="M1995" s="1" t="inlineStr">
        <is>
          <t>-35.73%</t>
        </is>
      </c>
      <c r="N1995" s="3" t="n">
        <v>-35.73</v>
      </c>
      <c r="O1995" t="n">
        <v>4.8</v>
      </c>
      <c r="P1995" t="n">
        <v>993</v>
      </c>
      <c r="R1995" t="inlineStr">
        <is>
          <t>OutOfStock</t>
        </is>
      </c>
      <c r="S1995" t="inlineStr">
        <is>
          <t>27.99</t>
        </is>
      </c>
      <c r="T1995" t="inlineStr">
        <is>
          <t>4711395983449</t>
        </is>
      </c>
    </row>
    <row r="1996" hidden="1" ht="15.75" customHeight="1">
      <c r="A1996" s="2">
        <f>HYPERLINK("https://www.shelhealth.com/products/welly-portable-first-aid-kit", "https://www.shelhealth.com/products/welly-portable-first-aid-kit")</f>
        <v/>
      </c>
      <c r="B1996" s="2">
        <f>HYPERLINK("https://www.shelhealth.com/products/welly-portable-first-aid-kit", "https://www.shelhealth.com/products/welly-portable-first-aid-kit")</f>
        <v/>
      </c>
      <c r="C1996" t="inlineStr">
        <is>
          <t>Welly Portable First Aid Kit.</t>
        </is>
      </c>
      <c r="D1996" t="inlineStr">
        <is>
          <t>Super Mom First Aid Kit, 85 Piece Set, Compact and Portable for Home, Camping, Vehicle, Emergency or Travel Safety, Treat Cuts, Scrapes, Burns and Small Injuries</t>
        </is>
      </c>
      <c r="E1996" s="2">
        <f>HYPERLINK("https://www.amazon.com/Compact-Portable-Camping-Emergency-Injuries/dp/B0826MNXLS/ref=sr_1_10?keywords=Welly+Portable+First+Aid+Kit.&amp;qid=1695170753&amp;sr=8-10", "https://www.amazon.com/Compact-Portable-Camping-Emergency-Injuries/dp/B0826MNXLS/ref=sr_1_10?keywords=Welly+Portable+First+Aid+Kit.&amp;qid=1695170753&amp;sr=8-10")</f>
        <v/>
      </c>
      <c r="F1996" t="inlineStr">
        <is>
          <t>B0826MNXLS</t>
        </is>
      </c>
      <c r="G1996">
        <f>_xludf.IMAGE("https://www.shelhealth.com/cdn/shop/products/welly-portable-first-aid-kit-shelhealth-452.jpg?v=1663373983&amp;width=1946")</f>
        <v/>
      </c>
      <c r="H1996">
        <f>_xludf.IMAGE("https://m.media-amazon.com/images/I/81dkigj-NBL._AC_UL320_.jpg")</f>
        <v/>
      </c>
      <c r="K1996" t="inlineStr">
        <is>
          <t>26.99</t>
        </is>
      </c>
      <c r="L1996" t="n">
        <v>16.99</v>
      </c>
      <c r="M1996" s="1" t="inlineStr">
        <is>
          <t>-37.05%</t>
        </is>
      </c>
      <c r="N1996" s="3" t="n">
        <v>-37.05</v>
      </c>
      <c r="O1996" t="n">
        <v>4.6</v>
      </c>
      <c r="P1996" t="n">
        <v>205</v>
      </c>
      <c r="R1996" t="inlineStr">
        <is>
          <t>InStock</t>
        </is>
      </c>
      <c r="S1996" t="inlineStr">
        <is>
          <t>26.99</t>
        </is>
      </c>
      <c r="T1996" t="inlineStr">
        <is>
          <t>4711396540505</t>
        </is>
      </c>
    </row>
    <row r="1997" hidden="1" ht="15.75" customHeight="1">
      <c r="A1997" s="2">
        <f>HYPERLINK("https://www.shelhealth.com/products/318858501243-home-health-castor-oil-cold-pressed-cold-processed-8-oz", "https://www.shelhealth.com/products/318858501243-home-health-castor-oil-cold-pressed-cold-processed-8-oz")</f>
        <v/>
      </c>
      <c r="B1997" s="2">
        <f>HYPERLINK("https://www.shelhealth.com/products/318858501243-home-health-castor-oil-cold-pressed-cold-processed-8-oz", "https://www.shelhealth.com/products/318858501243-home-health-castor-oil-cold-pressed-cold-processed-8-oz")</f>
        <v/>
      </c>
      <c r="C1997" t="inlineStr">
        <is>
          <t>Home Health Castor Oil Cold Pressed &amp; Cold Processed, 8 Oz (Case of 4)</t>
        </is>
      </c>
      <c r="D1997" t="inlineStr">
        <is>
          <t>Home Health Castor Oil - 8 fl oz - Conditioning Oil for Body, Skin &amp; Brows - Non-GMO, USDA-Certified Organic - Cold Pressed - Solvent &amp; Hexane Free</t>
        </is>
      </c>
      <c r="E1997" s="2">
        <f>HYPERLINK("https://www.amazon.com/Home-Health-Castor-Oil/dp/B013HCIPMM/ref=sr_1_6?keywords=Home+Health+Castor+Oil+Cold+Pressed&amp;qid=1695170741&amp;sr=8-6", "https://www.amazon.com/Home-Health-Castor-Oil/dp/B013HCIPMM/ref=sr_1_6?keywords=Home+Health+Castor+Oil+Cold+Pressed&amp;qid=1695170741&amp;sr=8-6")</f>
        <v/>
      </c>
      <c r="F1997" t="inlineStr">
        <is>
          <t>B013HCIPMM</t>
        </is>
      </c>
      <c r="G1997">
        <f>_xludf.IMAGE("https://www.shelhealth.com/cdn/shop/files/home-health-castor-oil-cold-pressed-processed-8-oz-case-of-4-beauty-body-care-shelhealth-856.jpg?v=1693355571&amp;width=1946")</f>
        <v/>
      </c>
      <c r="H1997">
        <f>_xludf.IMAGE("https://m.media-amazon.com/images/I/61HbB6An6EL._AC_UL320_.jpg")</f>
        <v/>
      </c>
      <c r="K1997" t="inlineStr">
        <is>
          <t>24.99</t>
        </is>
      </c>
      <c r="L1997" t="n">
        <v>15.42</v>
      </c>
      <c r="M1997" s="1" t="inlineStr">
        <is>
          <t>-38.30%</t>
        </is>
      </c>
      <c r="N1997" s="3" t="n">
        <v>-38.3</v>
      </c>
      <c r="O1997" t="n">
        <v>4.6</v>
      </c>
      <c r="P1997" t="n">
        <v>878</v>
      </c>
      <c r="R1997" t="inlineStr">
        <is>
          <t>OutOfStock</t>
        </is>
      </c>
      <c r="S1997" t="inlineStr">
        <is>
          <t>24.99</t>
        </is>
      </c>
      <c r="T1997" t="inlineStr">
        <is>
          <t>7241703030972</t>
        </is>
      </c>
    </row>
    <row r="1998" hidden="1" ht="15.75" customHeight="1">
      <c r="A1998" s="2">
        <f>HYPERLINK("https://www.shelhealth.com/products/welly-portable-first-aid-kit", "https://www.shelhealth.com/products/welly-portable-first-aid-kit")</f>
        <v/>
      </c>
      <c r="B1998" s="2">
        <f>HYPERLINK("https://www.shelhealth.com/products/welly-portable-first-aid-kit", "https://www.shelhealth.com/products/welly-portable-first-aid-kit")</f>
        <v/>
      </c>
      <c r="C1998" t="inlineStr">
        <is>
          <t>Welly Portable First Aid Kit.</t>
        </is>
      </c>
      <c r="D1998" t="inlineStr">
        <is>
          <t>Welly Quick Fix Colorwash, On The Go First Aid Kit, Assorted Bandages, Ointments, and Hand Sanitizer, Tie Dye Patterns, 2 Pack</t>
        </is>
      </c>
      <c r="E1998" s="2">
        <f>HYPERLINK("https://www.amazon.com/Welly-Colorwash-Assorted-Ointments-Sanitizer/dp/B08QTX1Q59/ref=sr_1_2?keywords=Welly+Portable+First+Aid+Kit.&amp;qid=1695170753&amp;sr=8-2", "https://www.amazon.com/Welly-Colorwash-Assorted-Ointments-Sanitizer/dp/B08QTX1Q59/ref=sr_1_2?keywords=Welly+Portable+First+Aid+Kit.&amp;qid=1695170753&amp;sr=8-2")</f>
        <v/>
      </c>
      <c r="F1998" t="inlineStr">
        <is>
          <t>B08QTX1Q59</t>
        </is>
      </c>
      <c r="G1998">
        <f>_xludf.IMAGE("https://www.shelhealth.com/cdn/shop/products/welly-portable-first-aid-kit-shelhealth-452.jpg?v=1663373983&amp;width=1946")</f>
        <v/>
      </c>
      <c r="H1998">
        <f>_xludf.IMAGE("https://m.media-amazon.com/images/I/81zYiEIo9OL._AC_UL320_.jpg")</f>
        <v/>
      </c>
      <c r="K1998" t="inlineStr">
        <is>
          <t>26.99</t>
        </is>
      </c>
      <c r="L1998" t="n">
        <v>13.98</v>
      </c>
      <c r="M1998" s="1" t="inlineStr">
        <is>
          <t>-48.20%</t>
        </is>
      </c>
      <c r="N1998" s="3" t="n">
        <v>-48.2</v>
      </c>
      <c r="O1998" t="n">
        <v>4.9</v>
      </c>
      <c r="P1998" t="n">
        <v>690</v>
      </c>
      <c r="R1998" t="inlineStr">
        <is>
          <t>InStock</t>
        </is>
      </c>
      <c r="S1998" t="inlineStr">
        <is>
          <t>26.99</t>
        </is>
      </c>
      <c r="T1998" t="inlineStr">
        <is>
          <t>4711396540505</t>
        </is>
      </c>
    </row>
    <row r="1999" hidden="1" ht="15.75" customHeight="1">
      <c r="A1999" s="2">
        <f>HYPERLINK("https://www.shelhealth.com/products/welly-first-aid-bravery-bandage-kids-kit", "https://www.shelhealth.com/products/welly-first-aid-bravery-bandage-kids-kit")</f>
        <v/>
      </c>
      <c r="B1999" s="2">
        <f>HYPERLINK("https://www.shelhealth.com/products/welly-first-aid-bravery-bandage-kids-kit", "https://www.shelhealth.com/products/welly-first-aid-bravery-bandage-kids-kit")</f>
        <v/>
      </c>
      <c r="C1999" t="inlineStr">
        <is>
          <t>Welly First Aid Bravery Bandage Kids Kit.</t>
        </is>
      </c>
      <c r="D1999" t="inlineStr">
        <is>
          <t>Welly Quick Fix, On The Go First Aid Kit, Assorted Bandages, Ointments, and Hand Sanitizer, Three Color Bandages - 2 Pack</t>
        </is>
      </c>
      <c r="E1999" s="2">
        <f>HYPERLINK("https://www.amazon.com/Welly-Assorted-Bandages-Ointments-Sanitizer/dp/B08S62Z8PQ/ref=sr_1_1?keywords=Welly+First+Aid+Bravery+Bandage+Kids+Kit.&amp;qid=1695170754&amp;sr=8-1", "https://www.amazon.com/Welly-Assorted-Bandages-Ointments-Sanitizer/dp/B08S62Z8PQ/ref=sr_1_1?keywords=Welly+First+Aid+Bravery+Bandage+Kids+Kit.&amp;qid=1695170754&amp;sr=8-1")</f>
        <v/>
      </c>
      <c r="F1999" t="inlineStr">
        <is>
          <t>B08S62Z8PQ</t>
        </is>
      </c>
      <c r="G1999">
        <f>_xludf.IMAGE("https://www.shelhealth.com/cdn/shop/products/welly-first-aid-bravery-bandage-kids-kit-shelhealth-941.jpg?v=1663373973&amp;width=1946")</f>
        <v/>
      </c>
      <c r="H1999">
        <f>_xludf.IMAGE("https://m.media-amazon.com/images/I/817433d5ZkL._AC_UL320_.jpg")</f>
        <v/>
      </c>
      <c r="K1999" t="inlineStr">
        <is>
          <t>27.99</t>
        </is>
      </c>
      <c r="L1999" t="n">
        <v>13.88</v>
      </c>
      <c r="M1999" s="1" t="inlineStr">
        <is>
          <t>-50.41%</t>
        </is>
      </c>
      <c r="N1999" s="3" t="n">
        <v>-50.41</v>
      </c>
      <c r="O1999" t="n">
        <v>4.9</v>
      </c>
      <c r="P1999" t="n">
        <v>690</v>
      </c>
      <c r="R1999" t="inlineStr">
        <is>
          <t>OutOfStock</t>
        </is>
      </c>
      <c r="S1999" t="inlineStr">
        <is>
          <t>27.99</t>
        </is>
      </c>
      <c r="T1999" t="inlineStr">
        <is>
          <t>4711395983449</t>
        </is>
      </c>
    </row>
    <row r="2000" hidden="1" ht="15.75" customHeight="1">
      <c r="A2000" s="2">
        <f>HYPERLINK("https://www.shelhealth.com/products/718334220277-desert-essence-australian-tea-tree-oil-2-oz", "https://www.shelhealth.com/products/718334220277-desert-essence-australian-tea-tree-oil-2-oz")</f>
        <v/>
      </c>
      <c r="B2000" s="2">
        <f>HYPERLINK("https://www.shelhealth.com/products/718334220277-desert-essence-australian-tea-tree-oil-2-oz", "https://www.shelhealth.com/products/718334220277-desert-essence-australian-tea-tree-oil-2-oz")</f>
        <v/>
      </c>
      <c r="C2000" t="inlineStr">
        <is>
          <t>Desert Essence Australian Tea Tree Oil, 2 Oz</t>
        </is>
      </c>
      <c r="D2000" t="inlineStr">
        <is>
          <t>Desert Essence 100% Australian Tea Tree Oil, 0.5 Fluid Ounce</t>
        </is>
      </c>
      <c r="E2000" s="2">
        <f>HYPERLINK("https://www.amazon.com/Desert-Essence-Australian-Fluid-Ounce/dp/B00BGNVAF4/ref=sr_1_2?keywords=Desert+Essence+Australian+Tea+Tree+Oil%2C+2+Oz&amp;qid=1695170751&amp;sr=8-2", "https://www.amazon.com/Desert-Essence-Australian-Fluid-Ounce/dp/B00BGNVAF4/ref=sr_1_2?keywords=Desert+Essence+Australian+Tea+Tree+Oil%2C+2+Oz&amp;qid=1695170751&amp;sr=8-2")</f>
        <v/>
      </c>
      <c r="F2000" t="inlineStr">
        <is>
          <t>B00BGNVAF4</t>
        </is>
      </c>
      <c r="G2000">
        <f>_xludf.IMAGE("https://www.shelhealth.com/cdn/shop/files/desert-essence-australian-tea-tree-oil-2-oz-beauty-body-care-shelhealth-190.jpg?v=1689654177&amp;width=1946")</f>
        <v/>
      </c>
      <c r="H2000">
        <f>_xludf.IMAGE("https://m.media-amazon.com/images/I/71mqjC9ERDL._AC_UL320_.jpg")</f>
        <v/>
      </c>
      <c r="K2000" t="inlineStr">
        <is>
          <t>18.99</t>
        </is>
      </c>
      <c r="L2000" t="n">
        <v>9.15</v>
      </c>
      <c r="M2000" s="1" t="inlineStr">
        <is>
          <t>-51.82%</t>
        </is>
      </c>
      <c r="N2000" s="3" t="n">
        <v>-51.82</v>
      </c>
      <c r="O2000" t="n">
        <v>4.6</v>
      </c>
      <c r="P2000" t="n">
        <v>202</v>
      </c>
      <c r="R2000" t="inlineStr">
        <is>
          <t>InStock</t>
        </is>
      </c>
      <c r="S2000" t="inlineStr">
        <is>
          <t>18.99</t>
        </is>
      </c>
      <c r="T2000" t="inlineStr">
        <is>
          <t>7241586442428</t>
        </is>
      </c>
    </row>
    <row r="2001" hidden="1" ht="15.75" customHeight="1">
      <c r="A2001" s="2">
        <f>HYPERLINK("https://www.shelhealth.com/products/318858501243-home-health-castor-oil-cold-pressed-cold-processed-8-oz", "https://www.shelhealth.com/products/318858501243-home-health-castor-oil-cold-pressed-cold-processed-8-oz")</f>
        <v/>
      </c>
      <c r="B2001" s="2">
        <f>HYPERLINK("https://www.shelhealth.com/products/318858501243-home-health-castor-oil-cold-pressed-cold-processed-8-oz", "https://www.shelhealth.com/products/318858501243-home-health-castor-oil-cold-pressed-cold-processed-8-oz")</f>
        <v/>
      </c>
      <c r="C2001" t="inlineStr">
        <is>
          <t>Home Health Castor Oil Cold Pressed &amp; Cold Processed, 8 Oz (Case of 4)</t>
        </is>
      </c>
      <c r="D2001" t="inlineStr">
        <is>
          <t>Home Health Castor Oil - 8 fl oz - Conditioning Oil for Body, Skin &amp; Brows - Non-GMO, USDA-Certified Organic - Cold Pressed - Solvent &amp; Hexane Free</t>
        </is>
      </c>
      <c r="E2001" s="2">
        <f>HYPERLINK("https://www.amazon.com/Home-Health-Original-Castor-Oil/dp/B0002JG2NI/ref=sr_1_3?keywords=Home+Health+Castor+Oil+Cold+Pressed&amp;qid=1695170741&amp;sr=8-3", "https://www.amazon.com/Home-Health-Original-Castor-Oil/dp/B0002JG2NI/ref=sr_1_3?keywords=Home+Health+Castor+Oil+Cold+Pressed&amp;qid=1695170741&amp;sr=8-3")</f>
        <v/>
      </c>
      <c r="F2001" t="inlineStr">
        <is>
          <t>B0002JG2NI</t>
        </is>
      </c>
      <c r="G2001">
        <f>_xludf.IMAGE("https://www.shelhealth.com/cdn/shop/files/home-health-castor-oil-cold-pressed-processed-8-oz-case-of-4-beauty-body-care-shelhealth-856.jpg?v=1693355571&amp;width=1946")</f>
        <v/>
      </c>
      <c r="H2001">
        <f>_xludf.IMAGE("https://m.media-amazon.com/images/I/61HbB6An6EL._AC_UL320_.jpg")</f>
        <v/>
      </c>
      <c r="K2001" t="inlineStr">
        <is>
          <t>24.99</t>
        </is>
      </c>
      <c r="L2001" t="n">
        <v>11.99</v>
      </c>
      <c r="M2001" s="1" t="inlineStr">
        <is>
          <t>-52.02%</t>
        </is>
      </c>
      <c r="N2001" s="3" t="n">
        <v>-52.02</v>
      </c>
      <c r="O2001" t="n">
        <v>4.6</v>
      </c>
      <c r="P2001" t="n">
        <v>1942</v>
      </c>
      <c r="R2001" t="inlineStr">
        <is>
          <t>OutOfStock</t>
        </is>
      </c>
      <c r="S2001" t="inlineStr">
        <is>
          <t>24.99</t>
        </is>
      </c>
      <c r="T2001" t="inlineStr">
        <is>
          <t>7241703030972</t>
        </is>
      </c>
    </row>
    <row r="2002" hidden="1" ht="15.75" customHeight="1">
      <c r="A2002" s="2">
        <f>HYPERLINK("https://www.shelhealth.com/products/kirkland-signature-nitrile-exam-gloves-s-m-l-400-count", "https://www.shelhealth.com/products/kirkland-signature-nitrile-exam-gloves-s-m-l-400-count")</f>
        <v/>
      </c>
      <c r="B2002" s="2">
        <f>HYPERLINK("https://www.shelhealth.com/products/kirkland-signature-nitrile-exam-gloves-s-m-l-400-count", "https://www.shelhealth.com/products/kirkland-signature-nitrile-exam-gloves-s-m-l-400-count")</f>
        <v/>
      </c>
      <c r="C2002" t="inlineStr">
        <is>
          <t>Kirkland Signature Nitrile Exam Gloves, S/M/L 400-Count</t>
        </is>
      </c>
      <c r="D2002" t="inlineStr">
        <is>
          <t>Disposable Black Nitrile Gloves Medium, 400 Count - Heavy Duty 4 Mil Thick - Powder Free, Rubber Latex Free, Medical Exam Grade, Cooking and Food Safe - Soft with Textured Tips</t>
        </is>
      </c>
      <c r="E2002" s="2">
        <f>HYPERLINK("https://www.amazon.com/Disposable-Black-Nitrile-Gloves-Medium/dp/B0BFJK5JTK/ref=sr_1_4?keywords=Kirkland+Signature+Nitrile+Exam+Gloves%2C+S%2FM%2FL+400-Count&amp;qid=1695170752&amp;sr=8-4", "https://www.amazon.com/Disposable-Black-Nitrile-Gloves-Medium/dp/B0BFJK5JTK/ref=sr_1_4?keywords=Kirkland+Signature+Nitrile+Exam+Gloves%2C+S%2FM%2FL+400-Count&amp;qid=1695170752&amp;sr=8-4")</f>
        <v/>
      </c>
      <c r="F2002" t="inlineStr">
        <is>
          <t>B0BFJK5JTK</t>
        </is>
      </c>
      <c r="G2002">
        <f>_xludf.IMAGE("https://www.shelhealth.com/cdn/shop/products/kirkland-signature-nitrile-exam-gloves-sml-400-count-shelhealth-244.jpg?v=1663339022&amp;width=1946")</f>
        <v/>
      </c>
      <c r="H2002">
        <f>_xludf.IMAGE("https://m.media-amazon.com/images/I/61LwKfJzAxL._AC_UY218_.jpg")</f>
        <v/>
      </c>
      <c r="K2002" t="inlineStr">
        <is>
          <t>49.99</t>
        </is>
      </c>
      <c r="L2002" t="n">
        <v>23.59</v>
      </c>
      <c r="M2002" s="1" t="inlineStr">
        <is>
          <t>-52.81%</t>
        </is>
      </c>
      <c r="N2002" s="3" t="n">
        <v>-52.81</v>
      </c>
      <c r="O2002" t="n">
        <v>4.5</v>
      </c>
      <c r="P2002" t="n">
        <v>3373</v>
      </c>
      <c r="R2002" t="inlineStr">
        <is>
          <t>OutOfStock</t>
        </is>
      </c>
      <c r="S2002" t="inlineStr">
        <is>
          <t>49.99</t>
        </is>
      </c>
      <c r="T2002" t="inlineStr">
        <is>
          <t>3791601074228</t>
        </is>
      </c>
    </row>
    <row r="2003" hidden="1" ht="15.75" customHeight="1">
      <c r="A2003" s="2">
        <f>HYPERLINK("https://www.shelhealth.com/products/neosporin-original-ointment-for-24-hour-infection-protection-2-ounces", "https://www.shelhealth.com/products/neosporin-original-ointment-for-24-hour-infection-protection-2-ounces")</f>
        <v/>
      </c>
      <c r="B2003" s="2">
        <f>HYPERLINK("https://www.shelhealth.com/products/neosporin-original-ointment-for-24-hour-infection-protection-2-ounces", "https://www.shelhealth.com/products/neosporin-original-ointment-for-24-hour-infection-protection-2-ounces")</f>
        <v/>
      </c>
      <c r="C2003" t="inlineStr">
        <is>
          <t>Neosporin Original Ointment For 24-hour Infection Protection, 2 Ounces</t>
        </is>
      </c>
      <c r="D2003" t="inlineStr">
        <is>
          <t>Neosporin Original Antibiotic Ointment, 24-Hour Infection Prevention for Minor Wound, 1 oz</t>
        </is>
      </c>
      <c r="E2003" s="2">
        <f>HYPERLINK("https://www.amazon.com/Neosporin-Original-Antibiotic-Infection-Prevention/dp/B001ECQ778/ref=sr_1_1?keywords=Neosporin+Original+Ointment+For+24-hour+Infection+Protection%2C+2+Ounces&amp;qid=1695170737&amp;sr=8-1", "https://www.amazon.com/Neosporin-Original-Antibiotic-Infection-Prevention/dp/B001ECQ778/ref=sr_1_1?keywords=Neosporin+Original+Ointment+For+24-hour+Infection+Protection%2C+2+Ounces&amp;qid=1695170737&amp;sr=8-1")</f>
        <v/>
      </c>
      <c r="F2003" t="inlineStr">
        <is>
          <t>B001ECQ778</t>
        </is>
      </c>
      <c r="G2003">
        <f>_xludf.IMAGE("https://www.shelhealth.com/cdn/shop/products/neosporin-original-ointment-for-24-hour-infection-protection-2-ounces-shelhealth-154.jpg?v=1663352401&amp;width=1946")</f>
        <v/>
      </c>
      <c r="H2003">
        <f>_xludf.IMAGE("https://m.media-amazon.com/images/I/81QNmWFHdBL._AC_UL320_.jpg")</f>
        <v/>
      </c>
      <c r="K2003" t="inlineStr">
        <is>
          <t>17.99</t>
        </is>
      </c>
      <c r="L2003" t="n">
        <v>8.119999999999999</v>
      </c>
      <c r="M2003" s="1" t="inlineStr">
        <is>
          <t>-54.86%</t>
        </is>
      </c>
      <c r="N2003" s="3" t="n">
        <v>-54.86</v>
      </c>
      <c r="O2003" t="n">
        <v>4.8</v>
      </c>
      <c r="P2003" t="n">
        <v>54150</v>
      </c>
      <c r="R2003" t="inlineStr">
        <is>
          <t>InStock</t>
        </is>
      </c>
      <c r="S2003" t="inlineStr">
        <is>
          <t>17.99</t>
        </is>
      </c>
      <c r="T2003" t="inlineStr">
        <is>
          <t>4158655496244</t>
        </is>
      </c>
    </row>
    <row r="2004" hidden="1" ht="15.75" customHeight="1">
      <c r="A2004" s="2">
        <f>HYPERLINK("https://www.shelhealth.com/products/band-aid-brand-adhesive-bandages-188-bandages", "https://www.shelhealth.com/products/band-aid-brand-adhesive-bandages-188-bandages")</f>
        <v/>
      </c>
      <c r="B2004" s="2">
        <f>HYPERLINK("https://www.shelhealth.com/products/band-aid-brand-adhesive-bandages-188-bandages", "https://www.shelhealth.com/products/band-aid-brand-adhesive-bandages-188-bandages")</f>
        <v/>
      </c>
      <c r="C2004" t="inlineStr">
        <is>
          <t>Band-aid Brand Adhesive Bandages (188 Bandages)</t>
        </is>
      </c>
      <c r="D2004" t="inlineStr">
        <is>
          <t>Band-Aid Brand Skin-Flex Adhesive Bandages for First Aid &amp; Wound Care of Minor Cuts, Scrapes &amp; Burns, Flexible Sterile Bandages Great for Fingers, Hands &amp; Knees, Assorted Sizes, 60 ct</t>
        </is>
      </c>
      <c r="E2004" s="2">
        <f>HYPERLINK("https://www.amazon.com/Band-Aid-Skin-Flex-Adhesive-Bandages-Assorted/dp/B07PSCG4ZR/ref=sr_1_9?keywords=Band-aid+Brand+Adhesive+Bandages+%28188+Bandages%29&amp;qid=1695170768&amp;sr=8-9", "https://www.amazon.com/Band-Aid-Skin-Flex-Adhesive-Bandages-Assorted/dp/B07PSCG4ZR/ref=sr_1_9?keywords=Band-aid+Brand+Adhesive+Bandages+%28188+Bandages%29&amp;qid=1695170768&amp;sr=8-9")</f>
        <v/>
      </c>
      <c r="F2004" t="inlineStr">
        <is>
          <t>B07PSCG4ZR</t>
        </is>
      </c>
      <c r="G2004">
        <f>_xludf.IMAGE("https://www.shelhealth.com/cdn/shop/products/band-aid-brand-adhesive-bandages-188-shelhealth-926.jpg?v=1663363909&amp;width=1946")</f>
        <v/>
      </c>
      <c r="H2004">
        <f>_xludf.IMAGE("https://m.media-amazon.com/images/I/81S+De8XvgL._AC_UL320_.jpg")</f>
        <v/>
      </c>
      <c r="K2004" t="inlineStr">
        <is>
          <t>21.99</t>
        </is>
      </c>
      <c r="L2004" t="n">
        <v>8.119999999999999</v>
      </c>
      <c r="M2004" s="1" t="inlineStr">
        <is>
          <t>-63.07%</t>
        </is>
      </c>
      <c r="N2004" s="3" t="n">
        <v>-63.07</v>
      </c>
      <c r="O2004" t="n">
        <v>4.8</v>
      </c>
      <c r="P2004" t="n">
        <v>520</v>
      </c>
      <c r="R2004" t="inlineStr">
        <is>
          <t>InStock</t>
        </is>
      </c>
      <c r="S2004" t="inlineStr">
        <is>
          <t>21.99</t>
        </is>
      </c>
      <c r="T2004" t="inlineStr">
        <is>
          <t>4460227854425</t>
        </is>
      </c>
    </row>
    <row r="2005" hidden="1" ht="15.75" customHeight="1">
      <c r="A2005" s="2">
        <f>HYPERLINK("https://www.shelhealth.com/products/welly-first-aid-bravery-bandage-kids-kit", "https://www.shelhealth.com/products/welly-first-aid-bravery-bandage-kids-kit")</f>
        <v/>
      </c>
      <c r="B2005" s="2">
        <f>HYPERLINK("https://www.shelhealth.com/products/welly-first-aid-bravery-bandage-kids-kit", "https://www.shelhealth.com/products/welly-first-aid-bravery-bandage-kids-kit")</f>
        <v/>
      </c>
      <c r="C2005" t="inlineStr">
        <is>
          <t>Welly First Aid Bravery Bandage Kids Kit.</t>
        </is>
      </c>
      <c r="D2005" t="inlineStr">
        <is>
          <t>BioSwiss Bandages, Skulls Shaped Self Adhesive Bandage, Latex Free Sterile Wound Care, Fun First Aid Kit Supplies for Kids, 50 Count</t>
        </is>
      </c>
      <c r="E2005" s="2">
        <f>HYPERLINK("https://www.amazon.com/BioSwiss-Novelty-Bandages-Collectable-Self-Adhesive/dp/B08LMKQDVK/ref=sr_1_9?keywords=Welly+First+Aid+Bravery+Bandage+Kids+Kit.&amp;qid=1695170754&amp;sr=8-9", "https://www.amazon.com/BioSwiss-Novelty-Bandages-Collectable-Self-Adhesive/dp/B08LMKQDVK/ref=sr_1_9?keywords=Welly+First+Aid+Bravery+Bandage+Kids+Kit.&amp;qid=1695170754&amp;sr=8-9")</f>
        <v/>
      </c>
      <c r="F2005" t="inlineStr">
        <is>
          <t>B08LMKQDVK</t>
        </is>
      </c>
      <c r="G2005">
        <f>_xludf.IMAGE("https://www.shelhealth.com/cdn/shop/products/welly-first-aid-bravery-bandage-kids-kit-shelhealth-941.jpg?v=1663373973&amp;width=1946")</f>
        <v/>
      </c>
      <c r="H2005">
        <f>_xludf.IMAGE("https://m.media-amazon.com/images/I/71HGDtvrCZL._AC_UL320_.jpg")</f>
        <v/>
      </c>
      <c r="K2005" t="inlineStr">
        <is>
          <t>27.99</t>
        </is>
      </c>
      <c r="L2005" t="n">
        <v>9.99</v>
      </c>
      <c r="M2005" s="1" t="inlineStr">
        <is>
          <t>-64.31%</t>
        </is>
      </c>
      <c r="N2005" s="3" t="n">
        <v>-64.31</v>
      </c>
      <c r="O2005" t="n">
        <v>4.5</v>
      </c>
      <c r="P2005" t="n">
        <v>8436</v>
      </c>
      <c r="R2005" t="inlineStr">
        <is>
          <t>OutOfStock</t>
        </is>
      </c>
      <c r="S2005" t="inlineStr">
        <is>
          <t>27.99</t>
        </is>
      </c>
      <c r="T2005" t="inlineStr">
        <is>
          <t>4711395983449</t>
        </is>
      </c>
    </row>
    <row r="2006" hidden="1" ht="15.75" customHeight="1">
      <c r="A2006" s="2">
        <f>HYPERLINK("https://www.shelhealth.com/products/neosporin-original-ointment-for-24-hour-infection-protection-2-ounces", "https://www.shelhealth.com/products/neosporin-original-ointment-for-24-hour-infection-protection-2-ounces")</f>
        <v/>
      </c>
      <c r="B2006" s="2">
        <f>HYPERLINK("https://www.shelhealth.com/products/neosporin-original-ointment-for-24-hour-infection-protection-2-ounces", "https://www.shelhealth.com/products/neosporin-original-ointment-for-24-hour-infection-protection-2-ounces")</f>
        <v/>
      </c>
      <c r="C2006" t="inlineStr">
        <is>
          <t>Neosporin Original Ointment For 24-hour Infection Protection, 2 Ounces</t>
        </is>
      </c>
      <c r="D2006" t="inlineStr">
        <is>
          <t>Neosporin Dual Action Burn Relief &amp; First-Aid Antibiotic Ointment for 24-Hour Infection Protection &amp; Maximum Strength Burn Pain Relief, Made with Bacitracin Zinc, Neomycin, &amp; Pramoxine HCl.5 oz</t>
        </is>
      </c>
      <c r="E2006" s="2">
        <f>HYPERLINK("https://www.amazon.com/Neosporin-First-aid-Antibiotic-Ointment-Bacitracin/dp/B07QJ22ZL6/ref=sr_1_3?keywords=Neosporin+Original+Ointment+For+24-hour+Infection+Protection%2C+2+Ounces&amp;qid=1695170737&amp;rdc=1&amp;sr=8-3", "https://www.amazon.com/Neosporin-First-aid-Antibiotic-Ointment-Bacitracin/dp/B07QJ22ZL6/ref=sr_1_3?keywords=Neosporin+Original+Ointment+For+24-hour+Infection+Protection%2C+2+Ounces&amp;qid=1695170737&amp;rdc=1&amp;sr=8-3")</f>
        <v/>
      </c>
      <c r="F2006" t="inlineStr">
        <is>
          <t>B07QJ22ZL6</t>
        </is>
      </c>
      <c r="G2006">
        <f>_xludf.IMAGE("https://www.shelhealth.com/cdn/shop/products/neosporin-original-ointment-for-24-hour-infection-protection-2-ounces-shelhealth-154.jpg?v=1663352401&amp;width=1946")</f>
        <v/>
      </c>
      <c r="H2006">
        <f>_xludf.IMAGE("https://m.media-amazon.com/images/I/81VW6UhFJSL._AC_UL320_.jpg")</f>
        <v/>
      </c>
      <c r="K2006" t="inlineStr">
        <is>
          <t>17.99</t>
        </is>
      </c>
      <c r="L2006" t="n">
        <v>6.36</v>
      </c>
      <c r="M2006" s="1" t="inlineStr">
        <is>
          <t>-64.65%</t>
        </is>
      </c>
      <c r="N2006" s="3" t="n">
        <v>-64.65000000000001</v>
      </c>
      <c r="O2006" t="n">
        <v>4.8</v>
      </c>
      <c r="P2006" t="n">
        <v>515</v>
      </c>
      <c r="R2006" t="inlineStr">
        <is>
          <t>InStock</t>
        </is>
      </c>
      <c r="S2006" t="inlineStr">
        <is>
          <t>17.99</t>
        </is>
      </c>
      <c r="T2006" t="inlineStr">
        <is>
          <t>4158655496244</t>
        </is>
      </c>
    </row>
    <row r="2007" hidden="1" ht="15.75" customHeight="1">
      <c r="A2007" s="2">
        <f>HYPERLINK("https://www.shelhealth.com/products/band-aid-brand-adhesive-bandages-188-bandages", "https://www.shelhealth.com/products/band-aid-brand-adhesive-bandages-188-bandages")</f>
        <v/>
      </c>
      <c r="B2007" s="2">
        <f>HYPERLINK("https://www.shelhealth.com/products/band-aid-brand-adhesive-bandages-188-bandages", "https://www.shelhealth.com/products/band-aid-brand-adhesive-bandages-188-bandages")</f>
        <v/>
      </c>
      <c r="C2007" t="inlineStr">
        <is>
          <t>Band-aid Brand Adhesive Bandages (188 Bandages)</t>
        </is>
      </c>
      <c r="D2007" t="inlineStr">
        <is>
          <t>Band-Aid Brand Skin-Flex Adhesive Bandages, Large, 6 Count</t>
        </is>
      </c>
      <c r="E2007" s="2">
        <f>HYPERLINK("https://www.amazon.com/Band-Aid-Skin-Flex-Adhesive-Flexible-Comfortable/dp/B08R5WCLFT/ref=sr_1_7?keywords=Band-aid+Brand+Adhesive+Bandages+%28188+Bandages%29&amp;qid=1695170768&amp;sr=8-7", "https://www.amazon.com/Band-Aid-Skin-Flex-Adhesive-Flexible-Comfortable/dp/B08R5WCLFT/ref=sr_1_7?keywords=Band-aid+Brand+Adhesive+Bandages+%28188+Bandages%29&amp;qid=1695170768&amp;sr=8-7")</f>
        <v/>
      </c>
      <c r="F2007" t="inlineStr">
        <is>
          <t>B08R5WCLFT</t>
        </is>
      </c>
      <c r="G2007">
        <f>_xludf.IMAGE("https://www.shelhealth.com/cdn/shop/products/band-aid-brand-adhesive-bandages-188-shelhealth-926.jpg?v=1663363909&amp;width=1946")</f>
        <v/>
      </c>
      <c r="H2007">
        <f>_xludf.IMAGE("https://m.media-amazon.com/images/I/81n02PgKq5L._AC_UL320_.jpg")</f>
        <v/>
      </c>
      <c r="K2007" t="inlineStr">
        <is>
          <t>21.99</t>
        </is>
      </c>
      <c r="L2007" t="n">
        <v>7.14</v>
      </c>
      <c r="M2007" s="1" t="inlineStr">
        <is>
          <t>-67.53%</t>
        </is>
      </c>
      <c r="N2007" s="3" t="n">
        <v>-67.53</v>
      </c>
      <c r="O2007" t="n">
        <v>4.6</v>
      </c>
      <c r="P2007" t="n">
        <v>797</v>
      </c>
      <c r="R2007" t="inlineStr">
        <is>
          <t>InStock</t>
        </is>
      </c>
      <c r="S2007" t="inlineStr">
        <is>
          <t>21.99</t>
        </is>
      </c>
      <c r="T2007" t="inlineStr">
        <is>
          <t>4460227854425</t>
        </is>
      </c>
    </row>
    <row r="2008" hidden="1" ht="15.75" customHeight="1">
      <c r="A2008" s="2">
        <f>HYPERLINK("https://www.shelhealth.com/products/neosporin-original-ointment-for-24-hour-infection-protection-2-ounces", "https://www.shelhealth.com/products/neosporin-original-ointment-for-24-hour-infection-protection-2-ounces")</f>
        <v/>
      </c>
      <c r="B2008" s="2">
        <f>HYPERLINK("https://www.shelhealth.com/products/neosporin-original-ointment-for-24-hour-infection-protection-2-ounces", "https://www.shelhealth.com/products/neosporin-original-ointment-for-24-hour-infection-protection-2-ounces")</f>
        <v/>
      </c>
      <c r="C2008" t="inlineStr">
        <is>
          <t>Neosporin Original Ointment For 24-hour Infection Protection, 2 Ounces</t>
        </is>
      </c>
      <c r="D2008" t="inlineStr">
        <is>
          <t>Globe Triple Antibiotic First Aid Ointment, 1 oz (2-Pack) First Aid Antibiotic Ointment, 24-Hour Infection Protection, Wound Care Treatment for Minor Scrapes, Burns and Cuts</t>
        </is>
      </c>
      <c r="E2008" s="2">
        <f>HYPERLINK("https://www.amazon.com/Triple-Antibiotic-Ointment-Compare-Neosporin/dp/B013PYKVLA/ref=sr_1_5?keywords=Neosporin+Original+Ointment+For+24-hour+Infection+Protection%2C+2+Ounces&amp;qid=1695170737&amp;sr=8-5", "https://www.amazon.com/Triple-Antibiotic-Ointment-Compare-Neosporin/dp/B013PYKVLA/ref=sr_1_5?keywords=Neosporin+Original+Ointment+For+24-hour+Infection+Protection%2C+2+Ounces&amp;qid=1695170737&amp;sr=8-5")</f>
        <v/>
      </c>
      <c r="F2008" t="inlineStr">
        <is>
          <t>B013PYKVLA</t>
        </is>
      </c>
      <c r="G2008">
        <f>_xludf.IMAGE("https://www.shelhealth.com/cdn/shop/products/neosporin-original-ointment-for-24-hour-infection-protection-2-ounces-shelhealth-154.jpg?v=1663352401&amp;width=1946")</f>
        <v/>
      </c>
      <c r="H2008">
        <f>_xludf.IMAGE("https://m.media-amazon.com/images/I/61PkmxLlc+L._AC_UL320_.jpg")</f>
        <v/>
      </c>
      <c r="K2008" t="inlineStr">
        <is>
          <t>17.99</t>
        </is>
      </c>
      <c r="L2008" t="n">
        <v>5.59</v>
      </c>
      <c r="M2008" s="1" t="inlineStr">
        <is>
          <t>-68.93%</t>
        </is>
      </c>
      <c r="N2008" s="3" t="n">
        <v>-68.93000000000001</v>
      </c>
      <c r="O2008" t="n">
        <v>4.6</v>
      </c>
      <c r="P2008" t="n">
        <v>2085</v>
      </c>
      <c r="R2008" t="inlineStr">
        <is>
          <t>InStock</t>
        </is>
      </c>
      <c r="S2008" t="inlineStr">
        <is>
          <t>17.99</t>
        </is>
      </c>
      <c r="T2008" t="inlineStr">
        <is>
          <t>4158655496244</t>
        </is>
      </c>
    </row>
    <row r="2009" hidden="1" ht="15.75" customHeight="1">
      <c r="A2009" s="2">
        <f>HYPERLINK("https://www.shelhealth.com/products/welly-first-aid-bravery-bandage-kids-kit", "https://www.shelhealth.com/products/welly-first-aid-bravery-bandage-kids-kit")</f>
        <v/>
      </c>
      <c r="B2009" s="2">
        <f>HYPERLINK("https://www.shelhealth.com/products/welly-first-aid-bravery-bandage-kids-kit", "https://www.shelhealth.com/products/welly-first-aid-bravery-bandage-kids-kit")</f>
        <v/>
      </c>
      <c r="C2009" t="inlineStr">
        <is>
          <t>Welly First Aid Bravery Bandage Kids Kit.</t>
        </is>
      </c>
      <c r="D2009" t="inlineStr">
        <is>
          <t>BioSwiss Bandages, Halloween Ghost Shaped Self Adhesive Bandage, Latex Free Sterile Wound Care, Fun First Aid Kit Supplies for Kids, 24 Count</t>
        </is>
      </c>
      <c r="E2009" s="2">
        <f>HYPERLINK("https://www.amazon.com/BioSwiss-Bandages-Halloween-Adhesive-Supplies/dp/B0CDJ2YKNL/ref=sr_1_8?keywords=Welly+First+Aid+Bravery+Bandage+Kids+Kit.&amp;qid=1695170754&amp;sr=8-8", "https://www.amazon.com/BioSwiss-Bandages-Halloween-Adhesive-Supplies/dp/B0CDJ2YKNL/ref=sr_1_8?keywords=Welly+First+Aid+Bravery+Bandage+Kids+Kit.&amp;qid=1695170754&amp;sr=8-8")</f>
        <v/>
      </c>
      <c r="F2009" t="inlineStr">
        <is>
          <t>B0CDJ2YKNL</t>
        </is>
      </c>
      <c r="G2009">
        <f>_xludf.IMAGE("https://www.shelhealth.com/cdn/shop/products/welly-first-aid-bravery-bandage-kids-kit-shelhealth-941.jpg?v=1663373973&amp;width=1946")</f>
        <v/>
      </c>
      <c r="H2009">
        <f>_xludf.IMAGE("https://m.media-amazon.com/images/I/81-9H9tWWLL._AC_UL320_.jpg")</f>
        <v/>
      </c>
      <c r="K2009" t="inlineStr">
        <is>
          <t>27.99</t>
        </is>
      </c>
      <c r="L2009" t="n">
        <v>6.99</v>
      </c>
      <c r="M2009" s="1" t="inlineStr">
        <is>
          <t>-75.03%</t>
        </is>
      </c>
      <c r="N2009" s="3" t="n">
        <v>-75.03</v>
      </c>
      <c r="O2009" t="n">
        <v>2.5</v>
      </c>
      <c r="P2009" t="n">
        <v>2</v>
      </c>
      <c r="R2009" t="inlineStr">
        <is>
          <t>OutOfStock</t>
        </is>
      </c>
      <c r="S2009" t="inlineStr">
        <is>
          <t>27.99</t>
        </is>
      </c>
      <c r="T2009" t="inlineStr">
        <is>
          <t>4711395983449</t>
        </is>
      </c>
    </row>
    <row r="2010" hidden="1" ht="15.75" customHeight="1">
      <c r="A2010" s="2">
        <f>HYPERLINK("https://www.shelhealth.com/products/welly-first-aid-bravery-bandage-kids-kit", "https://www.shelhealth.com/products/welly-first-aid-bravery-bandage-kids-kit")</f>
        <v/>
      </c>
      <c r="B2010" s="2">
        <f>HYPERLINK("https://www.shelhealth.com/products/welly-first-aid-bravery-bandage-kids-kit", "https://www.shelhealth.com/products/welly-first-aid-bravery-bandage-kids-kit")</f>
        <v/>
      </c>
      <c r="C2010" t="inlineStr">
        <is>
          <t>Welly First Aid Bravery Bandage Kids Kit.</t>
        </is>
      </c>
      <c r="D2010" t="inlineStr">
        <is>
          <t>BioSwiss Bandages, Gummy Bear Shaped Self Adhesive Bandages, Latex Free Sterile Wound Care, Fun First Aid Kit Supplies for Kids, 24 Count</t>
        </is>
      </c>
      <c r="E2010" s="2">
        <f>HYPERLINK("https://www.amazon.com/BioSwiss-Novelty-Bandages-Self-Adhesive-Funny/dp/B09C91BR47/ref=sr_1_2?keywords=Welly+First+Aid+Bravery+Bandage+Kids+Kit.&amp;qid=1695170754&amp;rdc=1&amp;sr=8-2", "https://www.amazon.com/BioSwiss-Novelty-Bandages-Self-Adhesive-Funny/dp/B09C91BR47/ref=sr_1_2?keywords=Welly+First+Aid+Bravery+Bandage+Kids+Kit.&amp;qid=1695170754&amp;rdc=1&amp;sr=8-2")</f>
        <v/>
      </c>
      <c r="F2010" t="inlineStr">
        <is>
          <t>B09C91BR47</t>
        </is>
      </c>
      <c r="G2010">
        <f>_xludf.IMAGE("https://www.shelhealth.com/cdn/shop/products/welly-first-aid-bravery-bandage-kids-kit-shelhealth-941.jpg?v=1663373973&amp;width=1946")</f>
        <v/>
      </c>
      <c r="H2010">
        <f>_xludf.IMAGE("https://m.media-amazon.com/images/I/91hHRGZBMHL._AC_UL320_.jpg")</f>
        <v/>
      </c>
      <c r="K2010" t="inlineStr">
        <is>
          <t>27.99</t>
        </is>
      </c>
      <c r="L2010" t="n">
        <v>6.99</v>
      </c>
      <c r="M2010" s="1" t="inlineStr">
        <is>
          <t>-75.03%</t>
        </is>
      </c>
      <c r="N2010" s="3" t="n">
        <v>-75.03</v>
      </c>
      <c r="O2010" t="n">
        <v>4.5</v>
      </c>
      <c r="P2010" t="n">
        <v>8436</v>
      </c>
      <c r="R2010" t="inlineStr">
        <is>
          <t>OutOfStock</t>
        </is>
      </c>
      <c r="S2010" t="inlineStr">
        <is>
          <t>27.99</t>
        </is>
      </c>
      <c r="T2010" t="inlineStr">
        <is>
          <t>4711395983449</t>
        </is>
      </c>
    </row>
    <row r="2011" hidden="1" ht="15.75" customHeight="1">
      <c r="A2011" s="2">
        <f>HYPERLINK("https://www.shelhealth.com/products/neosporin-original-ointment-for-24-hour-infection-protection-2-ounces", "https://www.shelhealth.com/products/neosporin-original-ointment-for-24-hour-infection-protection-2-ounces")</f>
        <v/>
      </c>
      <c r="B2011" s="2">
        <f>HYPERLINK("https://www.shelhealth.com/products/neosporin-original-ointment-for-24-hour-infection-protection-2-ounces", "https://www.shelhealth.com/products/neosporin-original-ointment-for-24-hour-infection-protection-2-ounces")</f>
        <v/>
      </c>
      <c r="C2011" t="inlineStr">
        <is>
          <t>Neosporin Original Ointment For 24-hour Infection Protection, 2 Ounces</t>
        </is>
      </c>
      <c r="D2011" t="inlineStr">
        <is>
          <t>Globe Triple Antibiotic First Aid Ointment, 1 Oz. | 24-Hour Infection Protection, Treatment for Minor Scrapes, Burns and Cuts | (1 Tube)</t>
        </is>
      </c>
      <c r="E2011" s="2">
        <f>HYPERLINK("https://www.amazon.com/Antibiotic-Ointment-Compare-Neosporin-Ingredients/dp/B013PD438I/ref=sr_1_6?keywords=Neosporin+Original+Ointment+For+24-hour+Infection+Protection%2C+2+Ounces&amp;qid=1695170737&amp;sr=8-6", "https://www.amazon.com/Antibiotic-Ointment-Compare-Neosporin-Ingredients/dp/B013PD438I/ref=sr_1_6?keywords=Neosporin+Original+Ointment+For+24-hour+Infection+Protection%2C+2+Ounces&amp;qid=1695170737&amp;sr=8-6")</f>
        <v/>
      </c>
      <c r="F2011" t="inlineStr">
        <is>
          <t>B013PD438I</t>
        </is>
      </c>
      <c r="G2011">
        <f>_xludf.IMAGE("https://www.shelhealth.com/cdn/shop/products/neosporin-original-ointment-for-24-hour-infection-protection-2-ounces-shelhealth-154.jpg?v=1663352401&amp;width=1946")</f>
        <v/>
      </c>
      <c r="H2011">
        <f>_xludf.IMAGE("https://m.media-amazon.com/images/I/91UuTu8kGiL._AC_UL320_.jpg")</f>
        <v/>
      </c>
      <c r="K2011" t="inlineStr">
        <is>
          <t>17.99</t>
        </is>
      </c>
      <c r="L2011" t="n">
        <v>4.29</v>
      </c>
      <c r="M2011" s="1" t="inlineStr">
        <is>
          <t>-76.15%</t>
        </is>
      </c>
      <c r="N2011" s="3" t="n">
        <v>-76.15000000000001</v>
      </c>
      <c r="O2011" t="n">
        <v>4.7</v>
      </c>
      <c r="P2011" t="n">
        <v>785</v>
      </c>
      <c r="R2011" t="inlineStr">
        <is>
          <t>InStock</t>
        </is>
      </c>
      <c r="S2011" t="inlineStr">
        <is>
          <t>17.99</t>
        </is>
      </c>
      <c r="T2011" t="inlineStr">
        <is>
          <t>4158655496244</t>
        </is>
      </c>
    </row>
    <row r="2012" hidden="1" ht="15.75" customHeight="1">
      <c r="A2012" s="2">
        <f>HYPERLINK("https://www.shelhealth.com/products/band-aid-brand-adhesive-bandages-188-bandages", "https://www.shelhealth.com/products/band-aid-brand-adhesive-bandages-188-bandages")</f>
        <v/>
      </c>
      <c r="B2012" s="2">
        <f>HYPERLINK("https://www.shelhealth.com/products/band-aid-brand-adhesive-bandages-188-bandages", "https://www.shelhealth.com/products/band-aid-brand-adhesive-bandages-188-bandages")</f>
        <v/>
      </c>
      <c r="C2012" t="inlineStr">
        <is>
          <t>Band-aid Brand Adhesive Bandages (188 Bandages)</t>
        </is>
      </c>
      <c r="D2012" t="inlineStr">
        <is>
          <t>Band-Aid Brand Adhesive Bandages Infection Defense with Neosporin Antibiotic Ointment, for Wound Care and First Aid, Extra Large, 8 ct</t>
        </is>
      </c>
      <c r="E2012" s="2">
        <f>HYPERLINK("https://www.amazon.com/Band-Aid-Adhesive-Infection-Neosporin-Antibiotic/dp/B000GCLULA/ref=sr_1_8?keywords=Band-aid+Brand+Adhesive+Bandages+%28188+Bandages%29&amp;qid=1695170768&amp;rdc=1&amp;sr=8-8", "https://www.amazon.com/Band-Aid-Adhesive-Infection-Neosporin-Antibiotic/dp/B000GCLULA/ref=sr_1_8?keywords=Band-aid+Brand+Adhesive+Bandages+%28188+Bandages%29&amp;qid=1695170768&amp;rdc=1&amp;sr=8-8")</f>
        <v/>
      </c>
      <c r="F2012" t="inlineStr">
        <is>
          <t>B000GCLULA</t>
        </is>
      </c>
      <c r="G2012">
        <f>_xludf.IMAGE("https://www.shelhealth.com/cdn/shop/products/band-aid-brand-adhesive-bandages-188-shelhealth-926.jpg?v=1663363909&amp;width=1946")</f>
        <v/>
      </c>
      <c r="H2012">
        <f>_xludf.IMAGE("https://m.media-amazon.com/images/I/71YMNN7NpZL._AC_UL320_.jpg")</f>
        <v/>
      </c>
      <c r="K2012" t="inlineStr">
        <is>
          <t>21.99</t>
        </is>
      </c>
      <c r="L2012" t="n">
        <v>4.29</v>
      </c>
      <c r="M2012" s="1" t="inlineStr">
        <is>
          <t>-80.49%</t>
        </is>
      </c>
      <c r="N2012" s="3" t="n">
        <v>-80.48999999999999</v>
      </c>
      <c r="O2012" t="n">
        <v>4.7</v>
      </c>
      <c r="P2012" t="n">
        <v>3040</v>
      </c>
      <c r="R2012" t="inlineStr">
        <is>
          <t>InStock</t>
        </is>
      </c>
      <c r="S2012" t="inlineStr">
        <is>
          <t>21.99</t>
        </is>
      </c>
      <c r="T2012" t="inlineStr">
        <is>
          <t>4460227854425</t>
        </is>
      </c>
    </row>
    <row r="2013" hidden="1" ht="15.75" customHeight="1">
      <c r="A2013" s="2">
        <f>HYPERLINK("https://www.shelhealth.com/products/band-aid-brand-adhesive-bandages-188-bandages", "https://www.shelhealth.com/products/band-aid-brand-adhesive-bandages-188-bandages")</f>
        <v/>
      </c>
      <c r="B2013" s="2">
        <f>HYPERLINK("https://www.shelhealth.com/products/band-aid-brand-adhesive-bandages-188-bandages", "https://www.shelhealth.com/products/band-aid-brand-adhesive-bandages-188-bandages")</f>
        <v/>
      </c>
      <c r="C2013" t="inlineStr">
        <is>
          <t>Band-aid Brand Adhesive Bandages (188 Bandages)</t>
        </is>
      </c>
      <c r="D2013" t="inlineStr">
        <is>
          <t>Band-Aid Brand Ourtone Flexible Fabric Adhesive Bandages Flexible Protection Care of Minor Cuts Scrapes QuiltAid Pad for Painful Wounds Assorted Sizes, Br45, 30 Count</t>
        </is>
      </c>
      <c r="E2013" s="2">
        <f>HYPERLINK("https://www.amazon.com/Band-Aid-Flexible-Adhesive-Bandages-Protection/dp/B08SH968M8/ref=sr_1_6?keywords=Band-aid+Brand+Adhesive+Bandages+%28188+Bandages%29&amp;qid=1695170768&amp;sr=8-6", "https://www.amazon.com/Band-Aid-Flexible-Adhesive-Bandages-Protection/dp/B08SH968M8/ref=sr_1_6?keywords=Band-aid+Brand+Adhesive+Bandages+%28188+Bandages%29&amp;qid=1695170768&amp;sr=8-6")</f>
        <v/>
      </c>
      <c r="F2013" t="inlineStr">
        <is>
          <t>B08SH968M8</t>
        </is>
      </c>
      <c r="G2013">
        <f>_xludf.IMAGE("https://www.shelhealth.com/cdn/shop/products/band-aid-brand-adhesive-bandages-188-shelhealth-926.jpg?v=1663363909&amp;width=1946")</f>
        <v/>
      </c>
      <c r="H2013">
        <f>_xludf.IMAGE("https://m.media-amazon.com/images/I/81fX1o9CiLL._AC_UL320_.jpg")</f>
        <v/>
      </c>
      <c r="K2013" t="inlineStr">
        <is>
          <t>21.99</t>
        </is>
      </c>
      <c r="L2013" t="n">
        <v>3.99</v>
      </c>
      <c r="M2013" s="1" t="inlineStr">
        <is>
          <t>-81.86%</t>
        </is>
      </c>
      <c r="N2013" s="3" t="n">
        <v>-81.86</v>
      </c>
      <c r="O2013" t="n">
        <v>4.7</v>
      </c>
      <c r="P2013" t="n">
        <v>1963</v>
      </c>
      <c r="R2013" t="inlineStr">
        <is>
          <t>InStock</t>
        </is>
      </c>
      <c r="S2013" t="inlineStr">
        <is>
          <t>21.99</t>
        </is>
      </c>
      <c r="T2013" t="inlineStr">
        <is>
          <t>4460227854425</t>
        </is>
      </c>
    </row>
    <row r="2014" hidden="1" ht="15.75" customHeight="1">
      <c r="A2014" s="2">
        <f>HYPERLINK("https://www.shelhealth.com/products/welly-first-aid-bravery-bandage-kids-kit", "https://www.shelhealth.com/products/welly-first-aid-bravery-bandage-kids-kit")</f>
        <v/>
      </c>
      <c r="B2014" s="2">
        <f>HYPERLINK("https://www.shelhealth.com/products/welly-first-aid-bravery-bandage-kids-kit", "https://www.shelhealth.com/products/welly-first-aid-bravery-bandage-kids-kit")</f>
        <v/>
      </c>
      <c r="C2014" t="inlineStr">
        <is>
          <t>Welly First Aid Bravery Bandage Kids Kit.</t>
        </is>
      </c>
      <c r="D2014" t="inlineStr">
        <is>
          <t>Crayon Shaped Kids Bandaid – Flexible Adhesive Bandages for Wound Care Protection &amp; First Aid Kit – for Minor Cuts Scrapes Abrasions &amp; Burns – House Apartment Essentials Party Favors Toy Box - 1-Pack</t>
        </is>
      </c>
      <c r="E2014" s="2">
        <f>HYPERLINK("https://www.amazon.com/Crayon-Shaped-Kids-Bandaid-Protection/dp/B0BSSJ3SX9/ref=sr_1_10?keywords=Welly+First+Aid+Bravery+Bandage+Kids+Kit.&amp;qid=1695170754&amp;sr=8-10", "https://www.amazon.com/Crayon-Shaped-Kids-Bandaid-Protection/dp/B0BSSJ3SX9/ref=sr_1_10?keywords=Welly+First+Aid+Bravery+Bandage+Kids+Kit.&amp;qid=1695170754&amp;sr=8-10")</f>
        <v/>
      </c>
      <c r="F2014" t="inlineStr">
        <is>
          <t>B0BSSJ3SX9</t>
        </is>
      </c>
      <c r="G2014">
        <f>_xludf.IMAGE("https://www.shelhealth.com/cdn/shop/products/welly-first-aid-bravery-bandage-kids-kit-shelhealth-941.jpg?v=1663373973&amp;width=1946")</f>
        <v/>
      </c>
      <c r="H2014">
        <f>_xludf.IMAGE("https://m.media-amazon.com/images/I/41vlaM1LekL._AC_UL320_.jpg")</f>
        <v/>
      </c>
      <c r="K2014" t="inlineStr">
        <is>
          <t>27.99</t>
        </is>
      </c>
      <c r="L2014" t="n">
        <v>4.99</v>
      </c>
      <c r="M2014" s="1" t="inlineStr">
        <is>
          <t>-82.17%</t>
        </is>
      </c>
      <c r="N2014" s="3" t="n">
        <v>-82.17</v>
      </c>
      <c r="O2014" t="n">
        <v>3.9</v>
      </c>
      <c r="P2014" t="n">
        <v>16</v>
      </c>
      <c r="R2014" t="inlineStr">
        <is>
          <t>OutOfStock</t>
        </is>
      </c>
      <c r="S2014" t="inlineStr">
        <is>
          <t>27.99</t>
        </is>
      </c>
      <c r="T2014" t="inlineStr">
        <is>
          <t>4711395983449</t>
        </is>
      </c>
    </row>
    <row r="2015" hidden="1" ht="15.75" customHeight="1">
      <c r="A2015" s="2">
        <f>HYPERLINK("https://www.shelhealth.com/products/band-aid-brand-adhesive-bandages-188-bandages", "https://www.shelhealth.com/products/band-aid-brand-adhesive-bandages-188-bandages")</f>
        <v/>
      </c>
      <c r="B2015" s="2">
        <f>HYPERLINK("https://www.shelhealth.com/products/band-aid-brand-adhesive-bandages-188-bandages", "https://www.shelhealth.com/products/band-aid-brand-adhesive-bandages-188-bandages")</f>
        <v/>
      </c>
      <c r="C2015" t="inlineStr">
        <is>
          <t>Band-aid Brand Adhesive Bandages (188 Bandages)</t>
        </is>
      </c>
      <c r="D2015" t="inlineStr">
        <is>
          <t>Band-Aid Brand Adhesive Bandages for Sensitive Skin, Hypoallergenic, Extra Large, 7 ct</t>
        </is>
      </c>
      <c r="E2015" s="2">
        <f>HYPERLINK("https://www.amazon.com/Band-Aid-Adhesive-Bandages-Sensitive-Hypoallergenic/dp/B09N1PJFH4/ref=sr_1_3?keywords=Band-aid+Brand+Adhesive+Bandages+%28188+Bandages%29&amp;qid=1695170768&amp;sr=8-3", "https://www.amazon.com/Band-Aid-Adhesive-Bandages-Sensitive-Hypoallergenic/dp/B09N1PJFH4/ref=sr_1_3?keywords=Band-aid+Brand+Adhesive+Bandages+%28188+Bandages%29&amp;qid=1695170768&amp;sr=8-3")</f>
        <v/>
      </c>
      <c r="F2015" t="inlineStr">
        <is>
          <t>B09N1PJFH4</t>
        </is>
      </c>
      <c r="G2015">
        <f>_xludf.IMAGE("https://www.shelhealth.com/cdn/shop/products/band-aid-brand-adhesive-bandages-188-shelhealth-926.jpg?v=1663363909&amp;width=1946")</f>
        <v/>
      </c>
      <c r="H2015">
        <f>_xludf.IMAGE("https://m.media-amazon.com/images/I/81lymXSayHL._AC_UL320_.jpg")</f>
        <v/>
      </c>
      <c r="K2015" t="inlineStr">
        <is>
          <t>21.99</t>
        </is>
      </c>
      <c r="L2015" t="n">
        <v>3.88</v>
      </c>
      <c r="M2015" s="1" t="inlineStr">
        <is>
          <t>-82.36%</t>
        </is>
      </c>
      <c r="N2015" s="3" t="n">
        <v>-82.36</v>
      </c>
      <c r="O2015" t="n">
        <v>4.6</v>
      </c>
      <c r="P2015" t="n">
        <v>1726</v>
      </c>
      <c r="R2015" t="inlineStr">
        <is>
          <t>InStock</t>
        </is>
      </c>
      <c r="S2015" t="inlineStr">
        <is>
          <t>21.99</t>
        </is>
      </c>
      <c r="T2015" t="inlineStr">
        <is>
          <t>4460227854425</t>
        </is>
      </c>
    </row>
    <row r="2016" hidden="1" ht="15.75" customHeight="1">
      <c r="A2016" s="2">
        <f>HYPERLINK("https://www.shelhealth.com/products/band-aid-brand-adhesive-bandages-188-bandages", "https://www.shelhealth.com/products/band-aid-brand-adhesive-bandages-188-bandages")</f>
        <v/>
      </c>
      <c r="B2016" s="2">
        <f>HYPERLINK("https://www.shelhealth.com/products/band-aid-brand-adhesive-bandages-188-bandages", "https://www.shelhealth.com/products/band-aid-brand-adhesive-bandages-188-bandages")</f>
        <v/>
      </c>
      <c r="C2016" t="inlineStr">
        <is>
          <t>Band-aid Brand Adhesive Bandages (188 Bandages)</t>
        </is>
      </c>
      <c r="D2016" t="inlineStr">
        <is>
          <t>Band-Aid Brand Water Block Flex 100% Waterproof Adhesive Bandages for First-Aid Wound Care of Minor Cuts, Scrapes &amp; Wounds, Ultra-Flexible Design, Sterile, Extra Large, 7 ct</t>
        </is>
      </c>
      <c r="E2016" s="2">
        <f>HYPERLINK("https://www.amazon.com/Band-Aid-Waterproof-Adhesive-First-Aid-Ultra-Flexible/dp/B08R554CMG/ref=sr_1_5?keywords=Band-aid+Brand+Adhesive+Bandages+%28188+Bandages%29&amp;qid=1695170768&amp;sr=8-5", "https://www.amazon.com/Band-Aid-Waterproof-Adhesive-First-Aid-Ultra-Flexible/dp/B08R554CMG/ref=sr_1_5?keywords=Band-aid+Brand+Adhesive+Bandages+%28188+Bandages%29&amp;qid=1695170768&amp;sr=8-5")</f>
        <v/>
      </c>
      <c r="F2016" t="inlineStr">
        <is>
          <t>B08R554CMG</t>
        </is>
      </c>
      <c r="G2016">
        <f>_xludf.IMAGE("https://www.shelhealth.com/cdn/shop/products/band-aid-brand-adhesive-bandages-188-shelhealth-926.jpg?v=1663363909&amp;width=1946")</f>
        <v/>
      </c>
      <c r="H2016">
        <f>_xludf.IMAGE("https://m.media-amazon.com/images/I/81k8Ct0bI-L._AC_UL320_.jpg")</f>
        <v/>
      </c>
      <c r="K2016" t="inlineStr">
        <is>
          <t>21.99</t>
        </is>
      </c>
      <c r="L2016" t="n">
        <v>3.88</v>
      </c>
      <c r="M2016" s="1" t="inlineStr">
        <is>
          <t>-82.36%</t>
        </is>
      </c>
      <c r="N2016" s="3" t="n">
        <v>-82.36</v>
      </c>
      <c r="O2016" t="n">
        <v>4.5</v>
      </c>
      <c r="P2016" t="n">
        <v>4300</v>
      </c>
      <c r="R2016" t="inlineStr">
        <is>
          <t>InStock</t>
        </is>
      </c>
      <c r="S2016" t="inlineStr">
        <is>
          <t>21.99</t>
        </is>
      </c>
      <c r="T2016" t="inlineStr">
        <is>
          <t>4460227854425</t>
        </is>
      </c>
    </row>
    <row r="2017" hidden="1" ht="15.75" customHeight="1">
      <c r="A2017" s="2">
        <f>HYPERLINK("https://www.shelhealth.com/products/band-aid-brand-adhesive-bandages-188-bandages", "https://www.shelhealth.com/products/band-aid-brand-adhesive-bandages-188-bandages")</f>
        <v/>
      </c>
      <c r="B2017" s="2">
        <f>HYPERLINK("https://www.shelhealth.com/products/band-aid-brand-adhesive-bandages-188-bandages", "https://www.shelhealth.com/products/band-aid-brand-adhesive-bandages-188-bandages")</f>
        <v/>
      </c>
      <c r="C2017" t="inlineStr">
        <is>
          <t>Band-aid Brand Adhesive Bandages (188 Bandages)</t>
        </is>
      </c>
      <c r="D2017" t="inlineStr">
        <is>
          <t>Band-Aid Brand Ourtone Adhesive Bandages, Flexible Protection &amp; Care of Minor Cuts &amp; Scrapes, Quilt-Aid Pad for Painful Wounds, BR45, Extra Large, 10 ct</t>
        </is>
      </c>
      <c r="E2017" s="2">
        <f>HYPERLINK("https://www.amazon.com/Band-Aid-Adhesive-Bandages-Protection-Quilt-Aid/dp/B0C28WVMTL/ref=sr_1_2?keywords=Band-aid+Brand+Adhesive+Bandages+%28188+Bandages%29&amp;qid=1695170768&amp;sr=8-2", "https://www.amazon.com/Band-Aid-Adhesive-Bandages-Protection-Quilt-Aid/dp/B0C28WVMTL/ref=sr_1_2?keywords=Band-aid+Brand+Adhesive+Bandages+%28188+Bandages%29&amp;qid=1695170768&amp;sr=8-2")</f>
        <v/>
      </c>
      <c r="F2017" t="inlineStr">
        <is>
          <t>B0C28WVMTL</t>
        </is>
      </c>
      <c r="G2017">
        <f>_xludf.IMAGE("https://www.shelhealth.com/cdn/shop/products/band-aid-brand-adhesive-bandages-188-shelhealth-926.jpg?v=1663363909&amp;width=1946")</f>
        <v/>
      </c>
      <c r="H2017">
        <f>_xludf.IMAGE("https://m.media-amazon.com/images/I/81f53jJ8sgL._AC_UL320_.jpg")</f>
        <v/>
      </c>
      <c r="K2017" t="inlineStr">
        <is>
          <t>21.99</t>
        </is>
      </c>
      <c r="L2017" t="n">
        <v>3.49</v>
      </c>
      <c r="M2017" s="1" t="inlineStr">
        <is>
          <t>-84.13%</t>
        </is>
      </c>
      <c r="N2017" s="3" t="n">
        <v>-84.13</v>
      </c>
      <c r="O2017" t="n">
        <v>4.3</v>
      </c>
      <c r="P2017" t="n">
        <v>21</v>
      </c>
      <c r="R2017" t="inlineStr">
        <is>
          <t>InStock</t>
        </is>
      </c>
      <c r="S2017" t="inlineStr">
        <is>
          <t>21.99</t>
        </is>
      </c>
      <c r="T2017" t="inlineStr">
        <is>
          <t>4460227854425</t>
        </is>
      </c>
    </row>
    <row r="2018" ht="75" customHeight="1">
      <c r="A2018" s="2">
        <f>HYPERLINK("https://www.shelhealth.com/products/refresh-plus-lubricant-eye-drops-long-lasting-relief-plus-protection-for-mild-to-moderate-dry-eye-100-single-use-vials", "https://www.shelhealth.com/products/refresh-plus-lubricant-eye-drops-long-lasting-relief-plus-protection-for-mild-to-moderate-dry-eye-100-single-use-vials")</f>
        <v/>
      </c>
      <c r="B2018" s="2">
        <f>HYPERLINK("https://www.shelhealth.com/products/refresh-plus-lubricant-eye-drops-long-lasting-relief-plus-protection-for-mild-to-moderate-dry-eye-100-single-use-vials", "https://www.shelhealth.com/products/refresh-plus-lubricant-eye-drops-long-lasting-relief-plus-protection-for-mild-to-moderate-dry-eye-100-single-use-vials")</f>
        <v/>
      </c>
      <c r="C2018" t="inlineStr">
        <is>
          <t>Refresh Plus Lubricant Eye Drops Long Lasting Relief Plus Protection for Mild To Moderate Dry Eye - 100 Single Use Vials</t>
        </is>
      </c>
      <c r="D2018" t="inlineStr">
        <is>
          <t>Refresh Plus Lubricant Eye Drops Long Lasting Relief Plus Protection for Mild to Moderate Dry Eye -200 Single Use Vials</t>
        </is>
      </c>
      <c r="E2018" s="2">
        <f>HYPERLINK("https://www.amazon.com/Refresh-Lubricant-Lasting-Protection-Moderate/dp/B07JNQVMLC/ref=sr_1_1?keywords=Refresh+Plus+Lubricant+Eye+Drops+Long+Lasting+Relief+Plus+Protection+for+Mild+To+Moderate+Dry+Eye+-+100+Single+Use+Vials&amp;qid=1695170785&amp;sr=8-1", "https://www.amazon.com/Refresh-Lubricant-Lasting-Protection-Moderate/dp/B07JNQVMLC/ref=sr_1_1?keywords=Refresh+Plus+Lubricant+Eye+Drops+Long+Lasting+Relief+Plus+Protection+for+Mild+To+Moderate+Dry+Eye+-+100+Single+Use+Vials&amp;qid=1695170785&amp;sr=8-1")</f>
        <v/>
      </c>
      <c r="F2018" t="inlineStr">
        <is>
          <t>B07JNQVMLC</t>
        </is>
      </c>
      <c r="G2018">
        <f>_xlfn.IMAGE("https://www.shelhealth.com/cdn/shop/products/refresh-plus-lubricant-eye-drops-long-lasting-relief-protection-for-mild-to-moderate-dry-100-single-use-vials-shelhealth-956.jpg?v=1663342786&amp;width=1946")</f>
        <v/>
      </c>
      <c r="H2018">
        <f>_xlfn.IMAGE("https://m.media-amazon.com/images/I/417qaZOzpgS._AC_UL320_.jpg")</f>
        <v/>
      </c>
      <c r="K2018" t="inlineStr">
        <is>
          <t>32.99</t>
        </is>
      </c>
      <c r="L2018" t="n">
        <v>53.99</v>
      </c>
      <c r="M2018" s="1" t="inlineStr">
        <is>
          <t>63.66%</t>
        </is>
      </c>
      <c r="N2018" s="3" t="n">
        <v>63.66</v>
      </c>
      <c r="O2018" t="n">
        <v>4.9</v>
      </c>
      <c r="P2018" t="n">
        <v>55</v>
      </c>
      <c r="R2018" t="inlineStr">
        <is>
          <t>InStock</t>
        </is>
      </c>
      <c r="S2018" t="inlineStr">
        <is>
          <t>32.99</t>
        </is>
      </c>
      <c r="T2018" t="inlineStr">
        <is>
          <t>3817388834868</t>
        </is>
      </c>
    </row>
    <row r="2019" hidden="1" ht="15.75" customHeight="1">
      <c r="A2019" s="2">
        <f>HYPERLINK("https://www.shelhealth.com/products/systane-ultra-lubricant-eye-drops-33-fl-oz-10-ml-bottle-3-bottles-total", "https://www.shelhealth.com/products/systane-ultra-lubricant-eye-drops-33-fl-oz-10-ml-bottle-3-bottles-total")</f>
        <v/>
      </c>
      <c r="B2019" s="2">
        <f>HYPERLINK("https://www.shelhealth.com/products/systane-ultra-lubricant-eye-drops-33-fl-oz-10-ml-bottle-3-bottles-total", "https://www.shelhealth.com/products/systane-ultra-lubricant-eye-drops-33-fl-oz-10-ml-bottle-3-bottles-total")</f>
        <v/>
      </c>
      <c r="C2019" t="inlineStr">
        <is>
          <t>Systane Ultra Lubricant Eye Drops .33 fl oz (10 mL Bottle) (3 Bottles Total)</t>
        </is>
      </c>
      <c r="D2019" t="inlineStr">
        <is>
          <t>Systane Ultra Lubricant Eye Drops, .33 fl oz (10 ml) 4 Bottles Total</t>
        </is>
      </c>
      <c r="E2019" s="2">
        <f>HYPERLINK("https://www.amazon.com/Systane-Ultra-Lubricant-Drops-Bottles/dp/B071P9MCFM/ref=sr_1_1?keywords=Systane+Ultra+Lubricant+Eye+Drops+.33+fl+oz+%2810+mL+Bottle%29+%283+Bottles+Total%29&amp;qid=1695170787&amp;sr=8-1", "https://www.amazon.com/Systane-Ultra-Lubricant-Drops-Bottles/dp/B071P9MCFM/ref=sr_1_1?keywords=Systane+Ultra+Lubricant+Eye+Drops+.33+fl+oz+%2810+mL+Bottle%29+%283+Bottles+Total%29&amp;qid=1695170787&amp;sr=8-1")</f>
        <v/>
      </c>
      <c r="F2019" t="inlineStr">
        <is>
          <t>B071P9MCFM</t>
        </is>
      </c>
      <c r="G2019">
        <f>_xludf.IMAGE("https://www.shelhealth.com/cdn/shop/products/systane-ultra-lubricant-eye-drops-33-fl-oz-10-ml-bottle-3-bottles-total-shelhealth-256.jpg?v=1663342735&amp;width=1946")</f>
        <v/>
      </c>
      <c r="H2019">
        <f>_xludf.IMAGE("https://m.media-amazon.com/images/I/515gHu5+3yL._AC_UL320_.jpg")</f>
        <v/>
      </c>
      <c r="K2019" t="inlineStr">
        <is>
          <t>30.99</t>
        </is>
      </c>
      <c r="L2019" t="n">
        <v>45.65</v>
      </c>
      <c r="M2019" s="1" t="inlineStr">
        <is>
          <t>47.31%</t>
        </is>
      </c>
      <c r="N2019" s="3" t="n">
        <v>47.31</v>
      </c>
      <c r="O2019" t="n">
        <v>4.9</v>
      </c>
      <c r="P2019" t="n">
        <v>12</v>
      </c>
      <c r="R2019" t="inlineStr">
        <is>
          <t>InStock</t>
        </is>
      </c>
      <c r="S2019" t="inlineStr">
        <is>
          <t>30.99</t>
        </is>
      </c>
      <c r="T2019" t="inlineStr">
        <is>
          <t>3817219096628</t>
        </is>
      </c>
    </row>
    <row r="2020" hidden="1" ht="15.75" customHeight="1">
      <c r="A2020" s="2">
        <f>HYPERLINK("https://www.shelhealth.com/products/flents-wipe-n-clear-lens-cleaning-wipes-3-portable-boxes-of-75-225-count", "https://www.shelhealth.com/products/flents-wipe-n-clear-lens-cleaning-wipes-3-portable-boxes-of-75-225-count")</f>
        <v/>
      </c>
      <c r="B2020" s="2">
        <f>HYPERLINK("https://www.shelhealth.com/products/flents-wipe-n-clear-lens-cleaning-wipes-3-portable-boxes-of-75-225-count", "https://www.shelhealth.com/products/flents-wipe-n-clear-lens-cleaning-wipes-3-portable-boxes-of-75-225-count")</f>
        <v/>
      </c>
      <c r="C2020" t="inlineStr">
        <is>
          <t>Flents Wipe 'N Clear Lens Cleaning Wipes | 3 Portable Boxes Of 75 | 225 Count</t>
        </is>
      </c>
      <c r="D2020" t="inlineStr">
        <is>
          <t>Flents Wipe 'N Clear Lens Cleaning Wipes 5" x 6" Lens Wipes AntiStreak Fast Drying 4 Portable Boxes Of 75, Bonus Pack, 300 Count, Made in the USA, 75 Count (Pack of 4)</t>
        </is>
      </c>
      <c r="E2020" s="2">
        <f>HYPERLINK("https://www.amazon.com/Flents-Clear-Cleaning-Wipes-Count/dp/B07JQKFJBN/ref=sr_1_1?keywords=Flents+Wipe+%27N+Clear+Lens+Cleaning+Wipes+%7C+3+Portable+Boxes+Of+75+%7C+225+Count&amp;qid=1695170799&amp;sr=8-1", "https://www.amazon.com/Flents-Clear-Cleaning-Wipes-Count/dp/B07JQKFJBN/ref=sr_1_1?keywords=Flents+Wipe+%27N+Clear+Lens+Cleaning+Wipes+%7C+3+Portable+Boxes+Of+75+%7C+225+Count&amp;qid=1695170799&amp;sr=8-1")</f>
        <v/>
      </c>
      <c r="F2020" t="inlineStr">
        <is>
          <t>B07JQKFJBN</t>
        </is>
      </c>
      <c r="G2020">
        <f>_xludf.IMAGE("https://www.shelhealth.com/cdn/shop/products/flents-wipe-n-clear-lens-cleaning-wipes-3-portable-boxes-of-75-225-count-shelhealth-339.jpg?v=1663343566&amp;width=1946")</f>
        <v/>
      </c>
      <c r="H2020">
        <f>_xludf.IMAGE("https://m.media-amazon.com/images/I/61nP7CSXs-L._AC_UL320_.jpg")</f>
        <v/>
      </c>
      <c r="K2020" t="inlineStr">
        <is>
          <t>16.99</t>
        </is>
      </c>
      <c r="L2020" t="n">
        <v>24.99</v>
      </c>
      <c r="M2020" s="1" t="inlineStr">
        <is>
          <t>47.09%</t>
        </is>
      </c>
      <c r="N2020" s="3" t="n">
        <v>47.09</v>
      </c>
      <c r="O2020" t="n">
        <v>4.6</v>
      </c>
      <c r="P2020" t="n">
        <v>3362</v>
      </c>
      <c r="R2020" t="inlineStr">
        <is>
          <t>InStock</t>
        </is>
      </c>
      <c r="S2020" t="inlineStr">
        <is>
          <t>16.99</t>
        </is>
      </c>
      <c r="T2020" t="inlineStr">
        <is>
          <t>3821603946548</t>
        </is>
      </c>
    </row>
    <row r="2021" hidden="1" ht="15.75" customHeight="1">
      <c r="A2021" s="2">
        <f>HYPERLINK("https://www.shelhealth.com/products/flents-wipe-n-clear-lens-cleaning-wipes-3-portable-boxes-of-75-225-count", "https://www.shelhealth.com/products/flents-wipe-n-clear-lens-cleaning-wipes-3-portable-boxes-of-75-225-count")</f>
        <v/>
      </c>
      <c r="B2021" s="2">
        <f>HYPERLINK("https://www.shelhealth.com/products/flents-wipe-n-clear-lens-cleaning-wipes-3-portable-boxes-of-75-225-count", "https://www.shelhealth.com/products/flents-wipe-n-clear-lens-cleaning-wipes-3-portable-boxes-of-75-225-count")</f>
        <v/>
      </c>
      <c r="C2021" t="inlineStr">
        <is>
          <t>Flents Wipe 'N Clear Lens Cleaning Wipes | 3 Portable Boxes Of 75 | 225 Count</t>
        </is>
      </c>
      <c r="D2021" t="inlineStr">
        <is>
          <t>Flents Eyeglass Cleaner Lens Wipes - 225 Count (3 Boxes of 75) Individually Wrapped Pre-Moistened Cleaning Cloths Anti-Streak for Eyeglasses, Sunglasses, Phone Screens, Computer Monitors</t>
        </is>
      </c>
      <c r="E2021" s="2">
        <f>HYPERLINK("https://www.amazon.com/Flents-Eyeglass-Cleaner-Lens-Wipes/dp/B086XKWSNP/ref=sr_1_4?keywords=Flents+Wipe+%27N+Clear+Lens+Cleaning+Wipes+%7C+3+Portable+Boxes+Of+75+%7C+225+Count&amp;qid=1695170799&amp;sr=8-4", "https://www.amazon.com/Flents-Eyeglass-Cleaner-Lens-Wipes/dp/B086XKWSNP/ref=sr_1_4?keywords=Flents+Wipe+%27N+Clear+Lens+Cleaning+Wipes+%7C+3+Portable+Boxes+Of+75+%7C+225+Count&amp;qid=1695170799&amp;sr=8-4")</f>
        <v/>
      </c>
      <c r="F2021" t="inlineStr">
        <is>
          <t>B086XKWSNP</t>
        </is>
      </c>
      <c r="G2021">
        <f>_xludf.IMAGE("https://www.shelhealth.com/cdn/shop/products/flents-wipe-n-clear-lens-cleaning-wipes-3-portable-boxes-of-75-225-count-shelhealth-339.jpg?v=1663343566&amp;width=1946")</f>
        <v/>
      </c>
      <c r="H2021">
        <f>_xludf.IMAGE("https://m.media-amazon.com/images/I/81PRpShJUbL._AC_UL320_.jpg")</f>
        <v/>
      </c>
      <c r="K2021" t="inlineStr">
        <is>
          <t>16.99</t>
        </is>
      </c>
      <c r="L2021" t="n">
        <v>22.23</v>
      </c>
      <c r="M2021" s="1" t="inlineStr">
        <is>
          <t>30.84%</t>
        </is>
      </c>
      <c r="N2021" s="3" t="n">
        <v>30.84</v>
      </c>
      <c r="O2021" t="n">
        <v>4.6</v>
      </c>
      <c r="P2021" t="n">
        <v>130</v>
      </c>
      <c r="R2021" t="inlineStr">
        <is>
          <t>InStock</t>
        </is>
      </c>
      <c r="S2021" t="inlineStr">
        <is>
          <t>16.99</t>
        </is>
      </c>
      <c r="T2021" t="inlineStr">
        <is>
          <t>3821603946548</t>
        </is>
      </c>
    </row>
    <row r="2022" hidden="1" ht="15.75" customHeight="1">
      <c r="A2022" s="2">
        <f>HYPERLINK("https://www.shelhealth.com/products/kirkland-signature-multi-purpose-sterile-solution-for-any-soft-contact-lens-3-count-16-oz-bottles", "https://www.shelhealth.com/products/kirkland-signature-multi-purpose-sterile-solution-for-any-soft-contact-lens-3-count-16-oz-bottles")</f>
        <v/>
      </c>
      <c r="B2022" s="2">
        <f>HYPERLINK("https://www.shelhealth.com/products/kirkland-signature-multi-purpose-sterile-solution-for-any-soft-contact-lens-3-count-16-oz-bottles", "https://www.shelhealth.com/products/kirkland-signature-multi-purpose-sterile-solution-for-any-soft-contact-lens-3-count-16-oz-bottles")</f>
        <v/>
      </c>
      <c r="C2022" t="inlineStr">
        <is>
          <t>Kirkland Signature Multi-Purpose Sterile Eye Solution for Any Soft Contact Lens, 3 Count ( 16 oz bottles )</t>
        </is>
      </c>
      <c r="D2022" t="inlineStr">
        <is>
          <t>Kirkland Signature Multi-Purpose Sterile Solution for Any Soft Contact Lens, 16 Fl Oz (Pack of 3)</t>
        </is>
      </c>
      <c r="E2022" s="2">
        <f>HYPERLINK("https://www.amazon.com/Kirkland-Signature-Multi-Purpose-Sterile-Solution/dp/B00EU37H7W/ref=sr_1_1?keywords=Kirkland+Signature+Multi-Purpose+Sterile+Eye+Solution+for+Any+Soft+Contact+Lens%2C+3+Count+%28+16+oz+bottles+%29&amp;qid=1695170790&amp;sr=8-1", "https://www.amazon.com/Kirkland-Signature-Multi-Purpose-Sterile-Solution/dp/B00EU37H7W/ref=sr_1_1?keywords=Kirkland+Signature+Multi-Purpose+Sterile+Eye+Solution+for+Any+Soft+Contact+Lens%2C+3+Count+%28+16+oz+bottles+%29&amp;qid=1695170790&amp;sr=8-1")</f>
        <v/>
      </c>
      <c r="F2022" t="inlineStr">
        <is>
          <t>B00EU37H7W</t>
        </is>
      </c>
      <c r="G2022">
        <f>_xludf.IMAGE("https://www.shelhealth.com/cdn/shop/products/kirkland-signature-multi-purpose-sterile-eye-solution-for-any-soft-contact-lens-3-count-16-oz-bottles-shelhealth-519.jpg?v=1663343488&amp;width=1946")</f>
        <v/>
      </c>
      <c r="H2022">
        <f>_xludf.IMAGE("https://m.media-amazon.com/images/I/51x7c4M0JwL._AC_UL320_.jpg")</f>
        <v/>
      </c>
      <c r="K2022" t="inlineStr">
        <is>
          <t>18.99</t>
        </is>
      </c>
      <c r="L2022" t="n">
        <v>21.98</v>
      </c>
      <c r="M2022" s="1" t="inlineStr">
        <is>
          <t>15.75%</t>
        </is>
      </c>
      <c r="N2022" s="3" t="n">
        <v>15.75</v>
      </c>
      <c r="O2022" t="n">
        <v>4.7</v>
      </c>
      <c r="P2022" t="n">
        <v>2437</v>
      </c>
      <c r="R2022" t="inlineStr">
        <is>
          <t>InStock</t>
        </is>
      </c>
      <c r="S2022" t="inlineStr">
        <is>
          <t>18.99</t>
        </is>
      </c>
      <c r="T2022" t="inlineStr">
        <is>
          <t>3821544243252</t>
        </is>
      </c>
    </row>
    <row r="2023" hidden="1" ht="15.75" customHeight="1">
      <c r="A2023" s="2">
        <f>HYPERLINK("https://www.shelhealth.com/products/optiplus-eyewear-lens-cleaner-kit", "https://www.shelhealth.com/products/optiplus-eyewear-lens-cleaner-kit")</f>
        <v/>
      </c>
      <c r="B2023" s="2">
        <f>HYPERLINK("https://www.shelhealth.com/products/optiplus-eyewear-lens-cleaner-kit", "https://www.shelhealth.com/products/optiplus-eyewear-lens-cleaner-kit")</f>
        <v/>
      </c>
      <c r="C2023" t="inlineStr">
        <is>
          <t>OptiPlus Eyewear Lens Cleaner Kit</t>
        </is>
      </c>
      <c r="D2023" t="inlineStr">
        <is>
          <t>OptiPlus 16oz Lens Cleaning Care Pack | All Natural Eyeglass Cleaning Kit | Eyeglass Cleaner Spray | Lens Wipes | Microfiber Cloth | VOC and Alcohol Free</t>
        </is>
      </c>
      <c r="E2023" s="2">
        <f>HYPERLINK("https://www.amazon.com/OptiPlus-Cleaning-Natural-Eyeglass-Alcohol/dp/B08NWJ1M57/ref=sr_1_1?keywords=OptiPlus+Eyewear+Lens+Cleaner+Kit&amp;qid=1695170789&amp;sr=8-1", "https://www.amazon.com/OptiPlus-Cleaning-Natural-Eyeglass-Alcohol/dp/B08NWJ1M57/ref=sr_1_1?keywords=OptiPlus+Eyewear+Lens+Cleaner+Kit&amp;qid=1695170789&amp;sr=8-1")</f>
        <v/>
      </c>
      <c r="F2023" t="inlineStr">
        <is>
          <t>B08NWJ1M57</t>
        </is>
      </c>
      <c r="G2023">
        <f>_xludf.IMAGE("https://www.shelhealth.com/cdn/shop/products/optiplus-eyewear-lens-cleaner-kit-shelhealth-192.jpg?v=1663371438&amp;width=1946")</f>
        <v/>
      </c>
      <c r="H2023">
        <f>_xludf.IMAGE("https://m.media-amazon.com/images/I/71+O22ZecLL._AC_UL320_.jpg")</f>
        <v/>
      </c>
      <c r="K2023" t="inlineStr">
        <is>
          <t>13.99</t>
        </is>
      </c>
      <c r="L2023" t="n">
        <v>14.99</v>
      </c>
      <c r="M2023" s="1" t="inlineStr">
        <is>
          <t>7.15%</t>
        </is>
      </c>
      <c r="N2023" s="3" t="n">
        <v>7.15</v>
      </c>
      <c r="O2023" t="n">
        <v>4.2</v>
      </c>
      <c r="P2023" t="n">
        <v>74</v>
      </c>
      <c r="R2023" t="inlineStr">
        <is>
          <t>InStock</t>
        </is>
      </c>
      <c r="S2023" t="inlineStr">
        <is>
          <t>13.99</t>
        </is>
      </c>
      <c r="T2023" t="inlineStr">
        <is>
          <t>4674117107801</t>
        </is>
      </c>
    </row>
    <row r="2024" hidden="1" ht="15.75" customHeight="1">
      <c r="A2024" s="2">
        <f>HYPERLINK("https://www.shelhealth.com/products/opti-free-replenish-2-x-14-oz-pack-1", "https://www.shelhealth.com/products/opti-free-replenish-2-x-14-oz-pack-1")</f>
        <v/>
      </c>
      <c r="B2024" s="2">
        <f>HYPERLINK("https://www.shelhealth.com/products/opti-free-replenish-2-x-14-oz-pack-1", "https://www.shelhealth.com/products/opti-free-replenish-2-x-14-oz-pack-1")</f>
        <v/>
      </c>
      <c r="C2024" t="inlineStr">
        <is>
          <t>Opti-free Replenish 2 x 14 oz pack</t>
        </is>
      </c>
      <c r="D2024" t="inlineStr">
        <is>
          <t>Opti-Free Replenish Multi-Purpose Disinfecting Contact Lens Solution, 2 oz (Pack of 6)</t>
        </is>
      </c>
      <c r="E2024" s="2">
        <f>HYPERLINK("https://www.amazon.com/Opti-Free-Replenish-Multi-Purpose-Disinfecting-Solution/dp/B0036B8QME/ref=sr_1_3?keywords=Opti-free+Replenish+2+x+14+oz+pack&amp;qid=1695170789&amp;sr=8-3", "https://www.amazon.com/Opti-Free-Replenish-Multi-Purpose-Disinfecting-Solution/dp/B0036B8QME/ref=sr_1_3?keywords=Opti-free+Replenish+2+x+14+oz+pack&amp;qid=1695170789&amp;sr=8-3")</f>
        <v/>
      </c>
      <c r="F2024" t="inlineStr">
        <is>
          <t>B0036B8QME</t>
        </is>
      </c>
      <c r="G2024">
        <f>_xludf.IMAGE("https://www.shelhealth.com/cdn/shop/products/opti-free-replenish-2-x-14-oz-pack-shelhealth-370.jpg?v=1663338941&amp;width=1946")</f>
        <v/>
      </c>
      <c r="H2024">
        <f>_xludf.IMAGE("https://m.media-amazon.com/images/I/61rIVTq4wuL._AC_UL320_.jpg")</f>
        <v/>
      </c>
      <c r="K2024" t="inlineStr">
        <is>
          <t>26.99</t>
        </is>
      </c>
      <c r="L2024" t="n">
        <v>25.95</v>
      </c>
      <c r="M2024" s="1" t="inlineStr">
        <is>
          <t>-3.85%</t>
        </is>
      </c>
      <c r="N2024" s="3" t="n">
        <v>-3.85</v>
      </c>
      <c r="O2024" t="n">
        <v>4.4</v>
      </c>
      <c r="P2024" t="n">
        <v>63</v>
      </c>
      <c r="R2024" t="inlineStr">
        <is>
          <t>InStock</t>
        </is>
      </c>
      <c r="S2024" t="inlineStr">
        <is>
          <t>26.99</t>
        </is>
      </c>
      <c r="T2024" t="inlineStr">
        <is>
          <t>3790076313652</t>
        </is>
      </c>
    </row>
    <row r="2025" hidden="1" ht="15.75" customHeight="1">
      <c r="A2025" s="2">
        <f>HYPERLINK("https://www.shelhealth.com/products/optiplus-eyewear-lens-cleaner-kit", "https://www.shelhealth.com/products/optiplus-eyewear-lens-cleaner-kit")</f>
        <v/>
      </c>
      <c r="B2025" s="2">
        <f>HYPERLINK("https://www.shelhealth.com/products/optiplus-eyewear-lens-cleaner-kit", "https://www.shelhealth.com/products/optiplus-eyewear-lens-cleaner-kit")</f>
        <v/>
      </c>
      <c r="C2025" t="inlineStr">
        <is>
          <t>OptiPlus Eyewear Lens Cleaner Kit</t>
        </is>
      </c>
      <c r="D2025" t="inlineStr">
        <is>
          <t>OptiPlus Lens Cleaner | Spray Kit Suitable for Cleaning Eyeglasses, Reading Glasses, Sunglasses, Goggles, Shields and All Lens Types | Premium Microfiber Cleaning Cloth 6oz. (3 Pack)</t>
        </is>
      </c>
      <c r="E2025" s="2">
        <f>HYPERLINK("https://www.amazon.com/OptiPlus-Suitable-Eyeglasses-Sunglasses-Microfiber/dp/B0B1NBBC7S/ref=sr_1_2?keywords=OptiPlus+Eyewear+Lens+Cleaner+Kit&amp;qid=1695170789&amp;sr=8-2", "https://www.amazon.com/OptiPlus-Suitable-Eyeglasses-Sunglasses-Microfiber/dp/B0B1NBBC7S/ref=sr_1_2?keywords=OptiPlus+Eyewear+Lens+Cleaner+Kit&amp;qid=1695170789&amp;sr=8-2")</f>
        <v/>
      </c>
      <c r="F2025" t="inlineStr">
        <is>
          <t>B0B1NBBC7S</t>
        </is>
      </c>
      <c r="G2025">
        <f>_xludf.IMAGE("https://www.shelhealth.com/cdn/shop/products/optiplus-eyewear-lens-cleaner-kit-shelhealth-192.jpg?v=1663371438&amp;width=1946")</f>
        <v/>
      </c>
      <c r="H2025">
        <f>_xludf.IMAGE("https://m.media-amazon.com/images/I/91JDhiRv-TL._AC_UL320_.jpg")</f>
        <v/>
      </c>
      <c r="K2025" t="inlineStr">
        <is>
          <t>13.99</t>
        </is>
      </c>
      <c r="L2025" t="n">
        <v>12.99</v>
      </c>
      <c r="M2025" s="1" t="inlineStr">
        <is>
          <t>-7.15%</t>
        </is>
      </c>
      <c r="N2025" s="3" t="n">
        <v>-7.15</v>
      </c>
      <c r="O2025" t="n">
        <v>3.7</v>
      </c>
      <c r="P2025" t="n">
        <v>7</v>
      </c>
      <c r="R2025" t="inlineStr">
        <is>
          <t>InStock</t>
        </is>
      </c>
      <c r="S2025" t="inlineStr">
        <is>
          <t>13.99</t>
        </is>
      </c>
      <c r="T2025" t="inlineStr">
        <is>
          <t>4674117107801</t>
        </is>
      </c>
    </row>
    <row r="2026" hidden="1" ht="15.75" customHeight="1">
      <c r="A2026" s="2">
        <f>HYPERLINK("https://www.shelhealth.com/products/refresh-tears-lubricant-eye-drops-4-x-5-fl-oz-and-1-x-17-fl-oz-bottles", "https://www.shelhealth.com/products/refresh-tears-lubricant-eye-drops-4-x-5-fl-oz-and-1-x-17-fl-oz-bottles")</f>
        <v/>
      </c>
      <c r="B2026" s="2">
        <f>HYPERLINK("https://www.shelhealth.com/products/refresh-tears-lubricant-eye-drops-4-x-5-fl-oz-and-1-x-17-fl-oz-bottles", "https://www.shelhealth.com/products/refresh-tears-lubricant-eye-drops-4-x-5-fl-oz-and-1-x-17-fl-oz-bottles")</f>
        <v/>
      </c>
      <c r="C2026" t="inlineStr">
        <is>
          <t>Refresh Tears Lubricant Eye Drops (4 x .5 fl oz and 1 x .17 fl oz. bottles)</t>
        </is>
      </c>
      <c r="D2026" t="inlineStr">
        <is>
          <t>Refresh Tears Lubricant Eye Drops, 0.5 Fl Oz (4 Count) 2X Twin Pack</t>
        </is>
      </c>
      <c r="E2026" s="2">
        <f>HYPERLINK("https://www.amazon.com/Refresh-Tears-Lubricant-Drops-Count/dp/B07YZN27K5/ref=sr_1_2?keywords=Refresh+Tears+Lubricant+Eye+Drops+%284+x+.5+fl+oz+and+1+x+.17+fl+oz.+bottles%29&amp;qid=1695170786&amp;sr=8-2", "https://www.amazon.com/Refresh-Tears-Lubricant-Drops-Count/dp/B07YZN27K5/ref=sr_1_2?keywords=Refresh+Tears+Lubricant+Eye+Drops+%284+x+.5+fl+oz+and+1+x+.17+fl+oz.+bottles%29&amp;qid=1695170786&amp;sr=8-2")</f>
        <v/>
      </c>
      <c r="F2026" t="inlineStr">
        <is>
          <t>B07YZN27K5</t>
        </is>
      </c>
      <c r="G2026">
        <f>_xludf.IMAGE("https://www.shelhealth.com/cdn/shop/products/refresh-tears-lubricant-eye-drops-4-x-5-fl-oz-and-1-17-bottles-shelhealth-537.jpg?v=1663342761&amp;width=1946")</f>
        <v/>
      </c>
      <c r="H2026">
        <f>_xludf.IMAGE("https://m.media-amazon.com/images/I/71G-+7H1FzL._AC_UL320_.jpg")</f>
        <v/>
      </c>
      <c r="K2026" t="inlineStr">
        <is>
          <t>32.99</t>
        </is>
      </c>
      <c r="L2026" t="n">
        <v>29.79</v>
      </c>
      <c r="M2026" s="1" t="inlineStr">
        <is>
          <t>-9.70%</t>
        </is>
      </c>
      <c r="N2026" s="3" t="n">
        <v>-9.699999999999999</v>
      </c>
      <c r="O2026" t="n">
        <v>4.7</v>
      </c>
      <c r="P2026" t="n">
        <v>123</v>
      </c>
      <c r="R2026" t="inlineStr">
        <is>
          <t>InStock</t>
        </is>
      </c>
      <c r="S2026" t="inlineStr">
        <is>
          <t>32.99</t>
        </is>
      </c>
      <c r="T2026" t="inlineStr">
        <is>
          <t>3817343156276</t>
        </is>
      </c>
    </row>
    <row r="2027" hidden="1" ht="15.75" customHeight="1">
      <c r="A2027" s="2">
        <f>HYPERLINK("https://www.shelhealth.com/products/refresh-tears-lubricant-eye-drops-4-x-5-fl-oz-and-1-x-17-fl-oz-bottles", "https://www.shelhealth.com/products/refresh-tears-lubricant-eye-drops-4-x-5-fl-oz-and-1-x-17-fl-oz-bottles")</f>
        <v/>
      </c>
      <c r="B2027" s="2">
        <f>HYPERLINK("https://www.shelhealth.com/products/refresh-tears-lubricant-eye-drops-4-x-5-fl-oz-and-1-x-17-fl-oz-bottles", "https://www.shelhealth.com/products/refresh-tears-lubricant-eye-drops-4-x-5-fl-oz-and-1-x-17-fl-oz-bottles")</f>
        <v/>
      </c>
      <c r="C2027" t="inlineStr">
        <is>
          <t>Refresh Tears Lubricant Eye Drops (4 x .5 fl oz and 1 x .17 fl oz. bottles)</t>
        </is>
      </c>
      <c r="D2027" t="inlineStr">
        <is>
          <t>Product of Refresh Tears Lubricant Eye Drops Multipack, 4 ct./0.5 fl. oz. with Sterile Drops Bottle, 0.17 oz. - [Bulk Savings]</t>
        </is>
      </c>
      <c r="E2027" s="2">
        <f>HYPERLINK("https://www.amazon.com/Product-Refresh-Tears-Lubricant-Multipack/dp/B07D6FRVCG/ref=sr_1_1?keywords=Refresh+Tears+Lubricant+Eye+Drops+%284+x+.5+fl+oz+and+1+x+.17+fl+oz.+bottles%29&amp;qid=1695170786&amp;sr=8-1", "https://www.amazon.com/Product-Refresh-Tears-Lubricant-Multipack/dp/B07D6FRVCG/ref=sr_1_1?keywords=Refresh+Tears+Lubricant+Eye+Drops+%284+x+.5+fl+oz+and+1+x+.17+fl+oz.+bottles%29&amp;qid=1695170786&amp;sr=8-1")</f>
        <v/>
      </c>
      <c r="F2027" t="inlineStr">
        <is>
          <t>B07D6FRVCG</t>
        </is>
      </c>
      <c r="G2027">
        <f>_xludf.IMAGE("https://www.shelhealth.com/cdn/shop/products/refresh-tears-lubricant-eye-drops-4-x-5-fl-oz-and-1-17-bottles-shelhealth-537.jpg?v=1663342761&amp;width=1946")</f>
        <v/>
      </c>
      <c r="H2027">
        <f>_xludf.IMAGE("https://m.media-amazon.com/images/I/81Oaa59kSWL._AC_UL320_.jpg")</f>
        <v/>
      </c>
      <c r="K2027" t="inlineStr">
        <is>
          <t>32.99</t>
        </is>
      </c>
      <c r="L2027" t="n">
        <v>29.62</v>
      </c>
      <c r="M2027" s="1" t="inlineStr">
        <is>
          <t>-10.22%</t>
        </is>
      </c>
      <c r="N2027" s="3" t="n">
        <v>-10.22</v>
      </c>
      <c r="O2027" t="n">
        <v>4.5</v>
      </c>
      <c r="P2027" t="n">
        <v>34</v>
      </c>
      <c r="R2027" t="inlineStr">
        <is>
          <t>InStock</t>
        </is>
      </c>
      <c r="S2027" t="inlineStr">
        <is>
          <t>32.99</t>
        </is>
      </c>
      <c r="T2027" t="inlineStr">
        <is>
          <t>3817343156276</t>
        </is>
      </c>
    </row>
    <row r="2028" hidden="1" ht="15.75" customHeight="1">
      <c r="A2028" s="2">
        <f>HYPERLINK("https://www.shelhealth.com/products/optiplus-ultra-soft-lens-wipes-100-count", "https://www.shelhealth.com/products/optiplus-ultra-soft-lens-wipes-100-count")</f>
        <v/>
      </c>
      <c r="B2028" s="2">
        <f>HYPERLINK("https://www.shelhealth.com/products/optiplus-ultra-soft-lens-wipes-100-count", "https://www.shelhealth.com/products/optiplus-ultra-soft-lens-wipes-100-count")</f>
        <v/>
      </c>
      <c r="C2028" t="inlineStr">
        <is>
          <t>OptiPlus Ultra Soft Lens Wipes, 100 Count</t>
        </is>
      </c>
      <c r="D2028" t="inlineStr">
        <is>
          <t>OptiPlus Ultrasoft Pre-Moistened Streak-Free Lens Cloths (100 Count)</t>
        </is>
      </c>
      <c r="E2028" s="2">
        <f>HYPERLINK("https://www.amazon.com/OptiPlus-Ultrasoft-Pre-Moistened-Streak-Free-Cleaning/dp/B098GHVVR1/ref=sr_1_1?keywords=OptiPlus+Ultra+Soft+Lens+Wipes%2C+100+Count&amp;qid=1695170785&amp;sr=8-1", "https://www.amazon.com/OptiPlus-Ultrasoft-Pre-Moistened-Streak-Free-Cleaning/dp/B098GHVVR1/ref=sr_1_1?keywords=OptiPlus+Ultra+Soft+Lens+Wipes%2C+100+Count&amp;qid=1695170785&amp;sr=8-1")</f>
        <v/>
      </c>
      <c r="F2028" t="inlineStr">
        <is>
          <t>B098GHVVR1</t>
        </is>
      </c>
      <c r="G2028">
        <f>_xludf.IMAGE("https://www.shelhealth.com/cdn/shop/products/optiplus-ultra-soft-lens-wipes-100-count-shelhealth-637.jpg?v=1663371430&amp;width=1946")</f>
        <v/>
      </c>
      <c r="H2028">
        <f>_xludf.IMAGE("https://m.media-amazon.com/images/I/81njFhoJMNL._AC_UL320_.jpg")</f>
        <v/>
      </c>
      <c r="K2028" t="inlineStr">
        <is>
          <t>16.99</t>
        </is>
      </c>
      <c r="L2028" t="n">
        <v>11.99</v>
      </c>
      <c r="M2028" s="1" t="inlineStr">
        <is>
          <t>-29.43%</t>
        </is>
      </c>
      <c r="N2028" s="3" t="n">
        <v>-29.43</v>
      </c>
      <c r="O2028" t="n">
        <v>4.3</v>
      </c>
      <c r="P2028" t="n">
        <v>132</v>
      </c>
      <c r="R2028" t="inlineStr">
        <is>
          <t>OutOfStock</t>
        </is>
      </c>
      <c r="S2028" t="inlineStr">
        <is>
          <t>16.99</t>
        </is>
      </c>
      <c r="T2028" t="inlineStr">
        <is>
          <t>4674114945113</t>
        </is>
      </c>
    </row>
    <row r="2029" hidden="1" ht="15.75" customHeight="1">
      <c r="A2029" s="2">
        <f>HYPERLINK("https://www.shelhealth.com/products/optiplus-eyewear-lens-cleaner-kit", "https://www.shelhealth.com/products/optiplus-eyewear-lens-cleaner-kit")</f>
        <v/>
      </c>
      <c r="B2029" s="2">
        <f>HYPERLINK("https://www.shelhealth.com/products/optiplus-eyewear-lens-cleaner-kit", "https://www.shelhealth.com/products/optiplus-eyewear-lens-cleaner-kit")</f>
        <v/>
      </c>
      <c r="C2029" t="inlineStr">
        <is>
          <t>OptiPlus Eyewear Lens Cleaner Kit</t>
        </is>
      </c>
      <c r="D2029" t="inlineStr">
        <is>
          <t>Croakies All-in-one Cleaning Kit | Lens Care Travel Kit with Pump and Microfiber Cloth | All Natural Cleaner for Eyewear and Lenses</t>
        </is>
      </c>
      <c r="E2029" s="2">
        <f>HYPERLINK("https://www.amazon.com/CROAKIES-All-ONE-Cleaning-KIT/dp/B08FRRN1B5/ref=sr_1_7?keywords=OptiPlus+Eyewear+Lens+Cleaner+Kit&amp;qid=1695170789&amp;sr=8-7", "https://www.amazon.com/CROAKIES-All-ONE-Cleaning-KIT/dp/B08FRRN1B5/ref=sr_1_7?keywords=OptiPlus+Eyewear+Lens+Cleaner+Kit&amp;qid=1695170789&amp;sr=8-7")</f>
        <v/>
      </c>
      <c r="F2029" t="inlineStr">
        <is>
          <t>B08FRRN1B5</t>
        </is>
      </c>
      <c r="G2029">
        <f>_xludf.IMAGE("https://www.shelhealth.com/cdn/shop/products/optiplus-eyewear-lens-cleaner-kit-shelhealth-192.jpg?v=1663371438&amp;width=1946")</f>
        <v/>
      </c>
      <c r="H2029">
        <f>_xludf.IMAGE("https://m.media-amazon.com/images/I/61zKNURKHJL._AC_UL320_.jpg")</f>
        <v/>
      </c>
      <c r="K2029" t="inlineStr">
        <is>
          <t>13.99</t>
        </is>
      </c>
      <c r="L2029" t="n">
        <v>8.99</v>
      </c>
      <c r="M2029" s="1" t="inlineStr">
        <is>
          <t>-35.74%</t>
        </is>
      </c>
      <c r="N2029" s="3" t="n">
        <v>-35.74</v>
      </c>
      <c r="O2029" t="n">
        <v>4.4</v>
      </c>
      <c r="P2029" t="n">
        <v>56</v>
      </c>
      <c r="R2029" t="inlineStr">
        <is>
          <t>InStock</t>
        </is>
      </c>
      <c r="S2029" t="inlineStr">
        <is>
          <t>13.99</t>
        </is>
      </c>
      <c r="T2029" t="inlineStr">
        <is>
          <t>4674117107801</t>
        </is>
      </c>
    </row>
    <row r="2030" hidden="1" ht="15.75" customHeight="1">
      <c r="A2030" s="2">
        <f>HYPERLINK("https://www.shelhealth.com/products/optiplus-eyewear-lens-cleaner-kit", "https://www.shelhealth.com/products/optiplus-eyewear-lens-cleaner-kit")</f>
        <v/>
      </c>
      <c r="B2030" s="2">
        <f>HYPERLINK("https://www.shelhealth.com/products/optiplus-eyewear-lens-cleaner-kit", "https://www.shelhealth.com/products/optiplus-eyewear-lens-cleaner-kit")</f>
        <v/>
      </c>
      <c r="C2030" t="inlineStr">
        <is>
          <t>OptiPlus Eyewear Lens Cleaner Kit</t>
        </is>
      </c>
      <c r="D2030" t="inlineStr">
        <is>
          <t>OptiPlus Lens Cleaner | Spray Kit Suitable for Cleaning Eyeglasses, Reading Glasses, Sunglasses, Goggles, Shields and All Lens Types | Premium Microfiber Cleaning Cloth (2OZ)…</t>
        </is>
      </c>
      <c r="E2030" s="2">
        <f>HYPERLINK("https://www.amazon.com/OptiPlus-Suitable-Eyeglasses-Sunglasses-Microfiber/dp/B0B1NZZNQM/ref=sr_1_3?keywords=OptiPlus+Eyewear+Lens+Cleaner+Kit&amp;qid=1695170789&amp;sr=8-3", "https://www.amazon.com/OptiPlus-Suitable-Eyeglasses-Sunglasses-Microfiber/dp/B0B1NZZNQM/ref=sr_1_3?keywords=OptiPlus+Eyewear+Lens+Cleaner+Kit&amp;qid=1695170789&amp;sr=8-3")</f>
        <v/>
      </c>
      <c r="F2030" t="inlineStr">
        <is>
          <t>B0B1NZZNQM</t>
        </is>
      </c>
      <c r="G2030">
        <f>_xludf.IMAGE("https://www.shelhealth.com/cdn/shop/products/optiplus-eyewear-lens-cleaner-kit-shelhealth-192.jpg?v=1663371438&amp;width=1946")</f>
        <v/>
      </c>
      <c r="H2030">
        <f>_xludf.IMAGE("https://m.media-amazon.com/images/I/81KpKYJvUtL._AC_UL320_.jpg")</f>
        <v/>
      </c>
      <c r="K2030" t="inlineStr">
        <is>
          <t>13.99</t>
        </is>
      </c>
      <c r="L2030" t="n">
        <v>7.99</v>
      </c>
      <c r="M2030" s="1" t="inlineStr">
        <is>
          <t>-42.89%</t>
        </is>
      </c>
      <c r="N2030" s="3" t="n">
        <v>-42.89</v>
      </c>
      <c r="O2030" t="n">
        <v>4.5</v>
      </c>
      <c r="P2030" t="n">
        <v>21</v>
      </c>
      <c r="R2030" t="inlineStr">
        <is>
          <t>InStock</t>
        </is>
      </c>
      <c r="S2030" t="inlineStr">
        <is>
          <t>13.99</t>
        </is>
      </c>
      <c r="T2030" t="inlineStr">
        <is>
          <t>4674117107801</t>
        </is>
      </c>
    </row>
    <row r="2031" hidden="1" ht="15.75" customHeight="1">
      <c r="A2031" s="2">
        <f>HYPERLINK("https://www.shelhealth.com/products/opti-free-replenish-2-x-14-oz-pack-1", "https://www.shelhealth.com/products/opti-free-replenish-2-x-14-oz-pack-1")</f>
        <v/>
      </c>
      <c r="B2031" s="2">
        <f>HYPERLINK("https://www.shelhealth.com/products/opti-free-replenish-2-x-14-oz-pack-1", "https://www.shelhealth.com/products/opti-free-replenish-2-x-14-oz-pack-1")</f>
        <v/>
      </c>
      <c r="C2031" t="inlineStr">
        <is>
          <t>Opti-free Replenish 2 x 14 oz pack</t>
        </is>
      </c>
      <c r="D2031" t="inlineStr">
        <is>
          <t>Opti-Free RepleniSH Multi Purpose Disinfecting Solution-2 oz, Carry On Size, 2 pack</t>
        </is>
      </c>
      <c r="E2031" s="2">
        <f>HYPERLINK("https://www.amazon.com/Opti-Free-RepleniSH-Purpose-Disinfecting-Solution-2/dp/B00J5KBAJ6/ref=sr_1_2?keywords=Opti-free+Replenish+2+x+14+oz+pack&amp;qid=1695170789&amp;sr=8-2", "https://www.amazon.com/Opti-Free-RepleniSH-Purpose-Disinfecting-Solution-2/dp/B00J5KBAJ6/ref=sr_1_2?keywords=Opti-free+Replenish+2+x+14+oz+pack&amp;qid=1695170789&amp;sr=8-2")</f>
        <v/>
      </c>
      <c r="F2031" t="inlineStr">
        <is>
          <t>B00J5KBAJ6</t>
        </is>
      </c>
      <c r="G2031">
        <f>_xludf.IMAGE("https://www.shelhealth.com/cdn/shop/products/opti-free-replenish-2-x-14-oz-pack-shelhealth-370.jpg?v=1663338941&amp;width=1946")</f>
        <v/>
      </c>
      <c r="H2031">
        <f>_xludf.IMAGE("https://m.media-amazon.com/images/I/61KnEa4ZF5L._AC_UL320_.jpg")</f>
        <v/>
      </c>
      <c r="K2031" t="inlineStr">
        <is>
          <t>26.99</t>
        </is>
      </c>
      <c r="L2031" t="n">
        <v>15.25</v>
      </c>
      <c r="M2031" s="1" t="inlineStr">
        <is>
          <t>-43.50%</t>
        </is>
      </c>
      <c r="N2031" s="3" t="n">
        <v>-43.5</v>
      </c>
      <c r="O2031" t="n">
        <v>4.3</v>
      </c>
      <c r="P2031" t="n">
        <v>7</v>
      </c>
      <c r="R2031" t="inlineStr">
        <is>
          <t>InStock</t>
        </is>
      </c>
      <c r="S2031" t="inlineStr">
        <is>
          <t>26.99</t>
        </is>
      </c>
      <c r="T2031" t="inlineStr">
        <is>
          <t>3790076313652</t>
        </is>
      </c>
    </row>
    <row r="2032" ht="75" customHeight="1">
      <c r="A2032" s="2">
        <f>HYPERLINK("https://www.shiseido.com/us/en/eyelash-curler-pad-0729238500976.html?cgid=makeup", "https://www.shiseido.com/us/en/eyelash-curler-pad-0729238500976.html?cgid=makeup")</f>
        <v/>
      </c>
      <c r="B2032" s="2">
        <f>HYPERLINK("https://www.shiseido.com/us/en/eyelash-curler-pad-0729238500976.html", "https://www.shiseido.com/us/en/eyelash-curler-pad-0729238500976.html")</f>
        <v/>
      </c>
      <c r="C2032" t="inlineStr">
        <is>
          <t>Eyelash Curler Pad</t>
        </is>
      </c>
      <c r="D2032" t="inlineStr">
        <is>
          <t>Shiseido Eyelash Curler - Crimps &amp; Curls Lashes for Perfect, Eye-Framing Fringe - Gentle &amp; Safe - Includes Replacement Pad</t>
        </is>
      </c>
      <c r="E2032" s="2" t="n"/>
      <c r="F2032" t="inlineStr">
        <is>
          <t>B000FNF5IO</t>
        </is>
      </c>
      <c r="G2032">
        <f>_xlfn.IMAGE("https://shiseido.ipscdn.net/sa2/dw/image/v2/BBSK_PRD/on/demandware.static/-/Sites-itemmaster_shiseido/default/dw7a3e2271/images/hi-res/729238500976_A1.jpg?sw=540&amp;sh=540&amp;sm=fit")</f>
        <v/>
      </c>
      <c r="H2032">
        <f>_xlfn.IMAGE("https://m.media-amazon.com/images/I/616L5wB72xL._AC_UL320_.jpg")</f>
        <v/>
      </c>
      <c r="K2032" t="inlineStr">
        <is>
          <t>6.0</t>
        </is>
      </c>
      <c r="L2032" t="n">
        <v>24</v>
      </c>
      <c r="M2032" s="1" t="inlineStr">
        <is>
          <t>300.00%</t>
        </is>
      </c>
      <c r="N2032" s="3" t="n">
        <v>300</v>
      </c>
      <c r="O2032" t="n">
        <v>4.5</v>
      </c>
      <c r="P2032" t="n">
        <v>1638</v>
      </c>
      <c r="R2032" t="inlineStr">
        <is>
          <t>undefined</t>
        </is>
      </c>
      <c r="S2032" t="inlineStr">
        <is>
          <t>undefined</t>
        </is>
      </c>
      <c r="T2032" t="inlineStr">
        <is>
          <t>0729238500976</t>
        </is>
      </c>
    </row>
    <row r="2033" hidden="1" ht="15.75" customHeight="1">
      <c r="A2033" s="2">
        <f>HYPERLINK("https://www.shiseido.com/us/en/facial-cotton-mini-size-0729238139800.html?cgid=makeup", "https://www.shiseido.com/us/en/facial-cotton-mini-size-0729238139800.html?cgid=makeup")</f>
        <v/>
      </c>
      <c r="B2033" s="2">
        <f>HYPERLINK("https://www.shiseido.com/us/en/facial-cotton-mini-size-0729238139800.html", "https://www.shiseido.com/us/en/facial-cotton-mini-size-0729238139800.html")</f>
        <v/>
      </c>
      <c r="C2033" t="inlineStr">
        <is>
          <t>Facial Cotton Mini Size</t>
        </is>
      </c>
      <c r="D2033" t="inlineStr">
        <is>
          <t>Joyray 100PCS Mini Portable Compressed Candy Shaped Cotton Towels or Facial Tissues</t>
        </is>
      </c>
      <c r="E2033" s="2">
        <f>HYPERLINK("https://www.amazon.com/Joyray-100PCS-Portable-Compressed-Tissues/dp/B09517N9YG/ref=sr_1_1?keywords=Facial+Cotton+Mini+Size&amp;qid=1695170821&amp;sr=8-1", "https://www.amazon.com/Joyray-100PCS-Portable-Compressed-Tissues/dp/B09517N9YG/ref=sr_1_1?keywords=Facial+Cotton+Mini+Size&amp;qid=1695170821&amp;sr=8-1")</f>
        <v/>
      </c>
      <c r="F2033" t="inlineStr">
        <is>
          <t>B09517N9YG</t>
        </is>
      </c>
      <c r="G2033">
        <f>_xludf.IMAGE("https://shiseido.ipscdn.net/sa2/dw/image/v2/BBSK_PRD/on/demandware.static/-/Sites-itemmaster_shiseido/default/dwd1cc90c4/images/2020/November/Cotton/0729238139800.jpg?sw=540&amp;sh=540&amp;sm=fit")</f>
        <v/>
      </c>
      <c r="H2033">
        <f>_xludf.IMAGE("https://m.media-amazon.com/images/I/61nC6S9UnJL._AC_UL320_.jpg")</f>
        <v/>
      </c>
      <c r="K2033" t="inlineStr">
        <is>
          <t>5.0</t>
        </is>
      </c>
      <c r="L2033" t="n">
        <v>9.99</v>
      </c>
      <c r="M2033" s="1" t="inlineStr">
        <is>
          <t>99.80%</t>
        </is>
      </c>
      <c r="N2033" s="3" t="n">
        <v>99.8</v>
      </c>
      <c r="O2033" t="n">
        <v>4.5</v>
      </c>
      <c r="P2033" t="n">
        <v>8</v>
      </c>
      <c r="R2033" t="inlineStr">
        <is>
          <t>undefined</t>
        </is>
      </c>
      <c r="S2033" t="inlineStr">
        <is>
          <t>undefined</t>
        </is>
      </c>
      <c r="T2033" t="inlineStr">
        <is>
          <t>0729238139800</t>
        </is>
      </c>
    </row>
    <row r="2034" hidden="1" ht="15.75" customHeight="1">
      <c r="A2034" s="2">
        <f>HYPERLINK("https://www.shiseido.com/us/en/synchro-skin-self-refreshing-concealer-9990000000192.html?cgid=makeup", "https://www.shiseido.com/us/en/synchro-skin-self-refreshing-concealer-9990000000192.html?cgid=makeup")</f>
        <v/>
      </c>
      <c r="B2034" s="2">
        <f>HYPERLINK("https://www.shiseido.com/us/en/synchro-skin-self-refreshing-concealer-9990000000192.html", "https://www.shiseido.com/us/en/synchro-skin-self-refreshing-concealer-9990000000192.html")</f>
        <v/>
      </c>
      <c r="C2034" t="inlineStr">
        <is>
          <t>SYNCHRO SKIN SELF-REFRESHING Concealer</t>
        </is>
      </c>
      <c r="D2034" t="inlineStr">
        <is>
          <t>Shiseido Synchro Skin Self-Refreshing Foundation SPF 30, 350 Maple - Medium, Buildable Coverage + 24-Hour Wear - Waterproof &amp; Transfer Resistant - Non-Comedogenic</t>
        </is>
      </c>
      <c r="E2034" s="2">
        <f>HYPERLINK("https://www.amazon.com/Synchro-Skin-Self-Refreshing-Foundation-350/dp/B07XVHG4W9/ref=sr_1_6?keywords=SYNCHRO+SKIN+SELF-REFRESHING+Concealer&amp;qid=1695170819&amp;sr=8-6", "https://www.amazon.com/Synchro-Skin-Self-Refreshing-Foundation-350/dp/B07XVHG4W9/ref=sr_1_6?keywords=SYNCHRO+SKIN+SELF-REFRESHING+Concealer&amp;qid=1695170819&amp;sr=8-6")</f>
        <v/>
      </c>
      <c r="F2034" t="inlineStr">
        <is>
          <t>B07XVHG4W9</t>
        </is>
      </c>
      <c r="G2034">
        <f>_xludf.IMAGE("https://shiseido.ipscdn.net/sa2/dw/image/v2/BBSK_PRD/on/demandware.static/-/Sites-itemmaster_shiseido/default/dwfba5e073/images/hi-res/9990000000192_3.jpg?sw=540&amp;sh=540&amp;sm=fit")</f>
        <v/>
      </c>
      <c r="H2034">
        <f>_xludf.IMAGE("https://m.media-amazon.com/images/I/41DGaBQfTCL._AC_UL320_.jpg")</f>
        <v/>
      </c>
      <c r="K2034" t="inlineStr">
        <is>
          <t>31.0</t>
        </is>
      </c>
      <c r="L2034" t="n">
        <v>47</v>
      </c>
      <c r="M2034" s="1" t="inlineStr">
        <is>
          <t>51.61%</t>
        </is>
      </c>
      <c r="N2034" s="3" t="n">
        <v>51.61</v>
      </c>
      <c r="O2034" t="n">
        <v>4.2</v>
      </c>
      <c r="P2034" t="n">
        <v>14</v>
      </c>
      <c r="R2034" t="inlineStr">
        <is>
          <t>undefined</t>
        </is>
      </c>
      <c r="S2034" t="inlineStr">
        <is>
          <t>undefined</t>
        </is>
      </c>
      <c r="T2034" t="inlineStr">
        <is>
          <t>0730852157279</t>
        </is>
      </c>
    </row>
    <row r="2035" hidden="1" ht="15.75" customHeight="1">
      <c r="A2035" s="2">
        <f>HYPERLINK("https://www.shiseido.com/us/en/synchro-skin-self-refreshing-concealer-9990000000192.html?cgid=makeup", "https://www.shiseido.com/us/en/synchro-skin-self-refreshing-concealer-9990000000192.html?cgid=makeup")</f>
        <v/>
      </c>
      <c r="B2035" s="2">
        <f>HYPERLINK("https://www.shiseido.com/us/en/synchro-skin-self-refreshing-concealer-9990000000192.html", "https://www.shiseido.com/us/en/synchro-skin-self-refreshing-concealer-9990000000192.html")</f>
        <v/>
      </c>
      <c r="C2035" t="inlineStr">
        <is>
          <t>SYNCHRO SKIN SELF-REFRESHING Concealer</t>
        </is>
      </c>
      <c r="D2035" t="inlineStr">
        <is>
          <t>Shiseido Synchro Skin Self-Refreshing Foundation SPF 30, 150 Lace - Medium, Buildable Coverage + 24-Hour Wear - Waterproof &amp; Transfer Resistant - Non-Comedogenic</t>
        </is>
      </c>
      <c r="E2035" s="2">
        <f>HYPERLINK("https://www.amazon.com/Synchro-Skin-Self-Refreshing-Foundation-150/dp/B07YZJTCB8/ref=sr_1_4?keywords=SYNCHRO+SKIN+SELF-REFRESHING+Concealer&amp;qid=1695170819&amp;sr=8-4", "https://www.amazon.com/Synchro-Skin-Self-Refreshing-Foundation-150/dp/B07YZJTCB8/ref=sr_1_4?keywords=SYNCHRO+SKIN+SELF-REFRESHING+Concealer&amp;qid=1695170819&amp;sr=8-4")</f>
        <v/>
      </c>
      <c r="F2035" t="inlineStr">
        <is>
          <t>B07YZJTCB8</t>
        </is>
      </c>
      <c r="G2035">
        <f>_xludf.IMAGE("https://shiseido.ipscdn.net/sa2/dw/image/v2/BBSK_PRD/on/demandware.static/-/Sites-itemmaster_shiseido/default/dwfba5e073/images/hi-res/9990000000192_3.jpg?sw=540&amp;sh=540&amp;sm=fit")</f>
        <v/>
      </c>
      <c r="H2035">
        <f>_xludf.IMAGE("https://m.media-amazon.com/images/I/51WIH0TcAlL._AC_UL320_.jpg")</f>
        <v/>
      </c>
      <c r="K2035" t="inlineStr">
        <is>
          <t>31.0</t>
        </is>
      </c>
      <c r="L2035" t="n">
        <v>47</v>
      </c>
      <c r="M2035" s="1" t="inlineStr">
        <is>
          <t>51.61%</t>
        </is>
      </c>
      <c r="N2035" s="3" t="n">
        <v>51.61</v>
      </c>
      <c r="O2035" t="n">
        <v>4</v>
      </c>
      <c r="P2035" t="n">
        <v>6</v>
      </c>
      <c r="R2035" t="inlineStr">
        <is>
          <t>undefined</t>
        </is>
      </c>
      <c r="S2035" t="inlineStr">
        <is>
          <t>undefined</t>
        </is>
      </c>
      <c r="T2035" t="inlineStr">
        <is>
          <t>0730852157279</t>
        </is>
      </c>
    </row>
    <row r="2036" hidden="1" ht="15.75" customHeight="1">
      <c r="A2036" s="2">
        <f>HYPERLINK("https://www.shiseido.com/us/en/eyelash-curler-pad-0729238500976.html?cgid=makeup", "https://www.shiseido.com/us/en/eyelash-curler-pad-0729238500976.html?cgid=makeup")</f>
        <v/>
      </c>
      <c r="B2036" s="2">
        <f>HYPERLINK("https://www.shiseido.com/us/en/eyelash-curler-pad-0729238500976.html", "https://www.shiseido.com/us/en/eyelash-curler-pad-0729238500976.html")</f>
        <v/>
      </c>
      <c r="C2036" t="inlineStr">
        <is>
          <t>Eyelash Curler Pad</t>
        </is>
      </c>
      <c r="D2036" t="inlineStr">
        <is>
          <t>EMILYSTORES Professional Makeup Tool For Eyelashes With 2 Replacement Silicone Refill Pads Pinch Pain FREE Metal Eyelash Curler 1PC, Golden Color</t>
        </is>
      </c>
      <c r="E2036" s="2" t="n"/>
      <c r="F2036" t="inlineStr">
        <is>
          <t>B01MD13E2B</t>
        </is>
      </c>
      <c r="G2036">
        <f>_xludf.IMAGE("https://shiseido.ipscdn.net/sa2/dw/image/v2/BBSK_PRD/on/demandware.static/-/Sites-itemmaster_shiseido/default/dw7a3e2271/images/hi-res/729238500976_A1.jpg?sw=540&amp;sh=540&amp;sm=fit")</f>
        <v/>
      </c>
      <c r="H2036">
        <f>_xludf.IMAGE("https://m.media-amazon.com/images/I/51BsS7vwE1L._AC_UL320_.jpg")</f>
        <v/>
      </c>
      <c r="K2036" t="inlineStr">
        <is>
          <t>6.0</t>
        </is>
      </c>
      <c r="L2036" t="n">
        <v>8.98</v>
      </c>
      <c r="M2036" s="1" t="inlineStr">
        <is>
          <t>49.67%</t>
        </is>
      </c>
      <c r="N2036" s="3" t="n">
        <v>49.67</v>
      </c>
      <c r="O2036" t="n">
        <v>4.3</v>
      </c>
      <c r="P2036" t="n">
        <v>3926</v>
      </c>
      <c r="R2036" t="inlineStr">
        <is>
          <t>undefined</t>
        </is>
      </c>
      <c r="S2036" t="inlineStr">
        <is>
          <t>undefined</t>
        </is>
      </c>
      <c r="T2036" t="inlineStr">
        <is>
          <t>0729238500976</t>
        </is>
      </c>
    </row>
    <row r="2037" hidden="1" ht="15.75" customHeight="1">
      <c r="A2037" s="2">
        <f>HYPERLINK("https://www.shiseido.com/us/en/synchro-skin-self-refreshing-concealer-9990000000192.html?cgid=makeup", "https://www.shiseido.com/us/en/synchro-skin-self-refreshing-concealer-9990000000192.html?cgid=makeup")</f>
        <v/>
      </c>
      <c r="B2037" s="2">
        <f>HYPERLINK("https://www.shiseido.com/us/en/synchro-skin-self-refreshing-concealer-9990000000192.html", "https://www.shiseido.com/us/en/synchro-skin-self-refreshing-concealer-9990000000192.html")</f>
        <v/>
      </c>
      <c r="C2037" t="inlineStr">
        <is>
          <t>SYNCHRO SKIN SELF-REFRESHING Concealer</t>
        </is>
      </c>
      <c r="D2037" t="inlineStr">
        <is>
          <t>Shiseido Synchro Skin Self-Refreshing Custom Finish Powder Foundation - 24-Hour Sheer-to-Medium Buildable Coverage with Shine Control - Smudge Proof &amp; Non-Comedogenic</t>
        </is>
      </c>
      <c r="E2037" s="2">
        <f>HYPERLINK("https://www.amazon.com/Shiseido-Synchro-Self-Refreshing-Custom-Foundation/dp/B08576QR97/ref=sr_1_3?keywords=SYNCHRO+SKIN+SELF-REFRESHING+Concealer&amp;qid=1695170819&amp;sr=8-3", "https://www.amazon.com/Shiseido-Synchro-Self-Refreshing-Custom-Foundation/dp/B08576QR97/ref=sr_1_3?keywords=SYNCHRO+SKIN+SELF-REFRESHING+Concealer&amp;qid=1695170819&amp;sr=8-3")</f>
        <v/>
      </c>
      <c r="F2037" t="inlineStr">
        <is>
          <t>B08576QR97</t>
        </is>
      </c>
      <c r="G2037">
        <f>_xludf.IMAGE("https://shiseido.ipscdn.net/sa2/dw/image/v2/BBSK_PRD/on/demandware.static/-/Sites-itemmaster_shiseido/default/dwfba5e073/images/hi-res/9990000000192_3.jpg?sw=540&amp;sh=540&amp;sm=fit")</f>
        <v/>
      </c>
      <c r="H2037">
        <f>_xludf.IMAGE("https://m.media-amazon.com/images/I/71SSrta5ADL._AC_UL320_.jpg")</f>
        <v/>
      </c>
      <c r="K2037" t="inlineStr">
        <is>
          <t>31.0</t>
        </is>
      </c>
      <c r="L2037" t="n">
        <v>45</v>
      </c>
      <c r="M2037" s="1" t="inlineStr">
        <is>
          <t>45.16%</t>
        </is>
      </c>
      <c r="N2037" s="3" t="n">
        <v>45.16</v>
      </c>
      <c r="O2037" t="n">
        <v>4.3</v>
      </c>
      <c r="P2037" t="n">
        <v>121</v>
      </c>
      <c r="R2037" t="inlineStr">
        <is>
          <t>undefined</t>
        </is>
      </c>
      <c r="S2037" t="inlineStr">
        <is>
          <t>undefined</t>
        </is>
      </c>
      <c r="T2037" t="inlineStr">
        <is>
          <t>0730852157279</t>
        </is>
      </c>
    </row>
    <row r="2038" hidden="1" ht="15.75" customHeight="1">
      <c r="A2038" s="2">
        <f>HYPERLINK("https://www.shiseido.com/us/en/facial-cotton-0729238722026.html?cgid=makeup", "https://www.shiseido.com/us/en/facial-cotton-0729238722026.html?cgid=makeup")</f>
        <v/>
      </c>
      <c r="B2038" s="2">
        <f>HYPERLINK("https://www.shiseido.com/us/en/facial-cotton-0729238722026.html", "https://www.shiseido.com/us/en/facial-cotton-0729238722026.html")</f>
        <v/>
      </c>
      <c r="C2038" t="inlineStr">
        <is>
          <t>Facial Cotton</t>
        </is>
      </c>
      <c r="D2038" t="inlineStr">
        <is>
          <t>White rabbit Premium Natural 100% Facial Cotton Pads (200 Count), Hypoallergenic, Unbleached, Lint-Free, DIY Toner Mask, Chemical Free, for face Strong and Durable</t>
        </is>
      </c>
      <c r="E2038" s="2">
        <f>HYPERLINK("https://www.amazon.com/White-Rabbit-_Authentic-Unbleached-Fertilizers/dp/B01EBK2JLW/ref=sr_1_5?keywords=Facial+Cotton&amp;qid=1695170817&amp;sr=8-5", "https://www.amazon.com/White-Rabbit-_Authentic-Unbleached-Fertilizers/dp/B01EBK2JLW/ref=sr_1_5?keywords=Facial+Cotton&amp;qid=1695170817&amp;sr=8-5")</f>
        <v/>
      </c>
      <c r="F2038" t="inlineStr">
        <is>
          <t>B01EBK2JLW</t>
        </is>
      </c>
      <c r="G2038">
        <f>_xludf.IMAGE("https://shiseido.ipscdn.net/sa2/dw/image/v2/BBSK_PRD/on/demandware.static/-/Sites-itemmaster_shiseido/default/dw4622fd90/images/2022/July/Top25/0729238722026_5.jpg?sw=540&amp;sh=540&amp;sm=fit")</f>
        <v/>
      </c>
      <c r="H2038">
        <f>_xludf.IMAGE("https://m.media-amazon.com/images/I/51yNnoxAFJL._AC_UL320_.jpg")</f>
        <v/>
      </c>
      <c r="K2038" t="inlineStr">
        <is>
          <t>13.0</t>
        </is>
      </c>
      <c r="L2038" t="n">
        <v>15.99</v>
      </c>
      <c r="M2038" s="1" t="inlineStr">
        <is>
          <t>23.00%</t>
        </is>
      </c>
      <c r="N2038" s="3" t="n">
        <v>23</v>
      </c>
      <c r="O2038" t="n">
        <v>4.7</v>
      </c>
      <c r="P2038" t="n">
        <v>2509</v>
      </c>
      <c r="R2038" t="inlineStr">
        <is>
          <t>undefined</t>
        </is>
      </c>
      <c r="S2038" t="inlineStr">
        <is>
          <t>undefined</t>
        </is>
      </c>
      <c r="T2038" t="inlineStr">
        <is>
          <t>0729238722026</t>
        </is>
      </c>
    </row>
    <row r="2039" hidden="1" ht="15.75" customHeight="1">
      <c r="A2039" s="2">
        <f>HYPERLINK("https://www.shiseido.com/us/en/synchro-skin-self-refreshing-tint-spf-20-9990000000211.html?cgid=makeup", "https://www.shiseido.com/us/en/synchro-skin-self-refreshing-tint-spf-20-9990000000211.html?cgid=makeup")</f>
        <v/>
      </c>
      <c r="B2039" s="2">
        <f>HYPERLINK("https://www.shiseido.com/us/en/synchro-skin-self-refreshing-tint-spf-20-9990000000211.html", "https://www.shiseido.com/us/en/synchro-skin-self-refreshing-tint-spf-20-9990000000211.html")</f>
        <v/>
      </c>
      <c r="C2039" t="inlineStr">
        <is>
          <t>SYNCHRO SKIN SELF-REFRESHING Tint SPF 20</t>
        </is>
      </c>
      <c r="D2039" t="inlineStr">
        <is>
          <t>Shiseido Synchro Skin Self-Refreshing Foundation SPF 30, 140 Porcelain - Medium, Buildable Coverage + 24-Hour Wear - Waterproof &amp; Transfer Resistant - Non-Comedogenic</t>
        </is>
      </c>
      <c r="E2039" s="2">
        <f>HYPERLINK("https://www.amazon.com/Shiseido-Synchro-Self-Refreshing-Foundation-Porcelain/dp/B07WRMT3XL/ref=sr_1_4?keywords=SYNCHRO+SKIN+SELF-REFRESHING+Tint+SPF+20&amp;qid=1695170814&amp;sr=8-4", "https://www.amazon.com/Shiseido-Synchro-Self-Refreshing-Foundation-Porcelain/dp/B07WRMT3XL/ref=sr_1_4?keywords=SYNCHRO+SKIN+SELF-REFRESHING+Tint+SPF+20&amp;qid=1695170814&amp;sr=8-4")</f>
        <v/>
      </c>
      <c r="F2039" t="inlineStr">
        <is>
          <t>B07WRMT3XL</t>
        </is>
      </c>
      <c r="G2039">
        <f>_xludf.IMAGE("https://shiseido.ipscdn.net/sa2/dw/image/v2/BBSK_PRD/on/demandware.static/-/Sites-itemmaster_shiseido/default/dw2dd33eac/images/2021/September/Synchro Tint SPF 20/0730852171312_1.jpg?sw=540&amp;sh=540&amp;sm=fit")</f>
        <v/>
      </c>
      <c r="H2039">
        <f>_xludf.IMAGE("https://m.media-amazon.com/images/I/51tJ8FByOVL._AC_UL320_.jpg")</f>
        <v/>
      </c>
      <c r="K2039" t="inlineStr">
        <is>
          <t>43.0</t>
        </is>
      </c>
      <c r="L2039" t="n">
        <v>47</v>
      </c>
      <c r="M2039" s="1" t="inlineStr">
        <is>
          <t>9.30%</t>
        </is>
      </c>
      <c r="N2039" s="3" t="n">
        <v>9.300000000000001</v>
      </c>
      <c r="O2039" t="n">
        <v>4.5</v>
      </c>
      <c r="P2039" t="n">
        <v>3</v>
      </c>
      <c r="R2039" t="inlineStr">
        <is>
          <t>undefined</t>
        </is>
      </c>
      <c r="S2039" t="inlineStr">
        <is>
          <t>undefined</t>
        </is>
      </c>
      <c r="T2039" t="inlineStr">
        <is>
          <t>0730852171312</t>
        </is>
      </c>
    </row>
    <row r="2040" hidden="1" ht="15.75" customHeight="1">
      <c r="A2040" s="2">
        <f>HYPERLINK("https://www.shiseido.com/us/en/synchro-skin-self-refreshing-tint-spf-20-9990000000211.html?cgid=makeup", "https://www.shiseido.com/us/en/synchro-skin-self-refreshing-tint-spf-20-9990000000211.html?cgid=makeup")</f>
        <v/>
      </c>
      <c r="B2040" s="2">
        <f>HYPERLINK("https://www.shiseido.com/us/en/synchro-skin-self-refreshing-tint-spf-20-9990000000211.html", "https://www.shiseido.com/us/en/synchro-skin-self-refreshing-tint-spf-20-9990000000211.html")</f>
        <v/>
      </c>
      <c r="C2040" t="inlineStr">
        <is>
          <t>SYNCHRO SKIN SELF-REFRESHING Tint SPF 20</t>
        </is>
      </c>
      <c r="D2040" t="inlineStr">
        <is>
          <t>Shiseido Synchro Skin Self-Refreshing Foundation SPF 30, 150 Lace - Medium, Buildable Coverage + 24-Hour Wear - Waterproof &amp; Transfer Resistant - Non-Comedogenic</t>
        </is>
      </c>
      <c r="E2040" s="2">
        <f>HYPERLINK("https://www.amazon.com/Synchro-Skin-Self-Refreshing-Foundation-150/dp/B07YZJTCB8/ref=sr_1_3?keywords=SYNCHRO+SKIN+SELF-REFRESHING+Tint+SPF+20&amp;qid=1695170814&amp;sr=8-3", "https://www.amazon.com/Synchro-Skin-Self-Refreshing-Foundation-150/dp/B07YZJTCB8/ref=sr_1_3?keywords=SYNCHRO+SKIN+SELF-REFRESHING+Tint+SPF+20&amp;qid=1695170814&amp;sr=8-3")</f>
        <v/>
      </c>
      <c r="F2040" t="inlineStr">
        <is>
          <t>B07YZJTCB8</t>
        </is>
      </c>
      <c r="G2040">
        <f>_xludf.IMAGE("https://shiseido.ipscdn.net/sa2/dw/image/v2/BBSK_PRD/on/demandware.static/-/Sites-itemmaster_shiseido/default/dw2dd33eac/images/2021/September/Synchro Tint SPF 20/0730852171312_1.jpg?sw=540&amp;sh=540&amp;sm=fit")</f>
        <v/>
      </c>
      <c r="H2040">
        <f>_xludf.IMAGE("https://m.media-amazon.com/images/I/51WIH0TcAlL._AC_UL320_.jpg")</f>
        <v/>
      </c>
      <c r="K2040" t="inlineStr">
        <is>
          <t>43.0</t>
        </is>
      </c>
      <c r="L2040" t="n">
        <v>47</v>
      </c>
      <c r="M2040" s="1" t="inlineStr">
        <is>
          <t>9.30%</t>
        </is>
      </c>
      <c r="N2040" s="3" t="n">
        <v>9.300000000000001</v>
      </c>
      <c r="O2040" t="n">
        <v>4</v>
      </c>
      <c r="P2040" t="n">
        <v>6</v>
      </c>
      <c r="R2040" t="inlineStr">
        <is>
          <t>undefined</t>
        </is>
      </c>
      <c r="S2040" t="inlineStr">
        <is>
          <t>undefined</t>
        </is>
      </c>
      <c r="T2040" t="inlineStr">
        <is>
          <t>0730852171312</t>
        </is>
      </c>
    </row>
    <row r="2041" hidden="1" ht="15.75" customHeight="1">
      <c r="A2041" s="2">
        <f>HYPERLINK("https://www.shiseido.com/us/en/synchro-skin-self-refreshing-tint-spf-20-9990000000211.html?cgid=makeup", "https://www.shiseido.com/us/en/synchro-skin-self-refreshing-tint-spf-20-9990000000211.html?cgid=makeup")</f>
        <v/>
      </c>
      <c r="B2041" s="2">
        <f>HYPERLINK("https://www.shiseido.com/us/en/synchro-skin-self-refreshing-tint-spf-20-9990000000211.html", "https://www.shiseido.com/us/en/synchro-skin-self-refreshing-tint-spf-20-9990000000211.html")</f>
        <v/>
      </c>
      <c r="C2041" t="inlineStr">
        <is>
          <t>SYNCHRO SKIN SELF-REFRESHING Tint SPF 20</t>
        </is>
      </c>
      <c r="D2041" t="inlineStr">
        <is>
          <t>Shiseido Synchro Skin Self-Refreshing Tint SPF 20 - Light Coverage, Tinted Moisturizer - 12-Hour Wear, 24-Hour Hydration - Waterproof, Shine Resistant &amp; Non-Comedogenic</t>
        </is>
      </c>
      <c r="E2041" s="2">
        <f>HYPERLINK("https://www.amazon.com/Shiseido-Synchro-Self-Refreshing-Coverage-Moisturizer/dp/B09MKSLJ4G/ref=sr_1_1?keywords=SYNCHRO+SKIN+SELF-REFRESHING+Tint+SPF+20&amp;qid=1695170814&amp;sr=8-1", "https://www.amazon.com/Shiseido-Synchro-Self-Refreshing-Coverage-Moisturizer/dp/B09MKSLJ4G/ref=sr_1_1?keywords=SYNCHRO+SKIN+SELF-REFRESHING+Tint+SPF+20&amp;qid=1695170814&amp;sr=8-1")</f>
        <v/>
      </c>
      <c r="F2041" t="inlineStr">
        <is>
          <t>B09MKSLJ4G</t>
        </is>
      </c>
      <c r="G2041">
        <f>_xludf.IMAGE("https://shiseido.ipscdn.net/sa2/dw/image/v2/BBSK_PRD/on/demandware.static/-/Sites-itemmaster_shiseido/default/dw2dd33eac/images/2021/September/Synchro Tint SPF 20/0730852171312_1.jpg?sw=540&amp;sh=540&amp;sm=fit")</f>
        <v/>
      </c>
      <c r="H2041">
        <f>_xludf.IMAGE("https://m.media-amazon.com/images/I/51q5gIDMptL._AC_UL320_.jpg")</f>
        <v/>
      </c>
      <c r="K2041" t="inlineStr">
        <is>
          <t>43.0</t>
        </is>
      </c>
      <c r="L2041" t="n">
        <v>43</v>
      </c>
      <c r="M2041" s="1" t="inlineStr">
        <is>
          <t>0.00%</t>
        </is>
      </c>
      <c r="N2041" s="3" t="n">
        <v>0</v>
      </c>
      <c r="O2041" t="n">
        <v>3.6</v>
      </c>
      <c r="P2041" t="n">
        <v>28</v>
      </c>
      <c r="R2041" t="inlineStr">
        <is>
          <t>undefined</t>
        </is>
      </c>
      <c r="S2041" t="inlineStr">
        <is>
          <t>undefined</t>
        </is>
      </c>
      <c r="T2041" t="inlineStr">
        <is>
          <t>0730852171312</t>
        </is>
      </c>
    </row>
    <row r="2042" hidden="1" ht="15.75" customHeight="1">
      <c r="A2042" s="2">
        <f>HYPERLINK("https://www.shiseido.com/us/en/synchro-skin-self-refreshing-concealer-9990000000192.html?cgid=makeup", "https://www.shiseido.com/us/en/synchro-skin-self-refreshing-concealer-9990000000192.html?cgid=makeup")</f>
        <v/>
      </c>
      <c r="B2042" s="2">
        <f>HYPERLINK("https://www.shiseido.com/us/en/synchro-skin-self-refreshing-concealer-9990000000192.html", "https://www.shiseido.com/us/en/synchro-skin-self-refreshing-concealer-9990000000192.html")</f>
        <v/>
      </c>
      <c r="C2042" t="inlineStr">
        <is>
          <t>SYNCHRO SKIN SELF-REFRESHING Concealer</t>
        </is>
      </c>
      <c r="D2042" t="inlineStr">
        <is>
          <t>Shiseido Synchro Skin Self-refreshing Concealer (fair - 103)</t>
        </is>
      </c>
      <c r="E2042" s="2">
        <f>HYPERLINK("https://www.amazon.com/Shiseido-Synchro-Self-refreshing-Concealer-0-19fl-oz/dp/B07YL6HP67/ref=sr_1_2?keywords=SYNCHRO+SKIN+SELF-REFRESHING+Concealer&amp;qid=1695170819&amp;sr=8-2", "https://www.amazon.com/Shiseido-Synchro-Self-refreshing-Concealer-0-19fl-oz/dp/B07YL6HP67/ref=sr_1_2?keywords=SYNCHRO+SKIN+SELF-REFRESHING+Concealer&amp;qid=1695170819&amp;sr=8-2")</f>
        <v/>
      </c>
      <c r="F2042" t="inlineStr">
        <is>
          <t>B07YL6HP67</t>
        </is>
      </c>
      <c r="G2042">
        <f>_xludf.IMAGE("https://shiseido.ipscdn.net/sa2/dw/image/v2/BBSK_PRD/on/demandware.static/-/Sites-itemmaster_shiseido/default/dwfba5e073/images/hi-res/9990000000192_3.jpg?sw=540&amp;sh=540&amp;sm=fit")</f>
        <v/>
      </c>
      <c r="H2042">
        <f>_xludf.IMAGE("https://m.media-amazon.com/images/I/51OnXc7RgEL._AC_UL320_.jpg")</f>
        <v/>
      </c>
      <c r="K2042" t="inlineStr">
        <is>
          <t>31.0</t>
        </is>
      </c>
      <c r="L2042" t="n">
        <v>31</v>
      </c>
      <c r="M2042" s="1" t="inlineStr">
        <is>
          <t>0.00%</t>
        </is>
      </c>
      <c r="N2042" s="3" t="n">
        <v>0</v>
      </c>
      <c r="O2042" t="n">
        <v>3.9</v>
      </c>
      <c r="P2042" t="n">
        <v>20</v>
      </c>
      <c r="R2042" t="inlineStr">
        <is>
          <t>undefined</t>
        </is>
      </c>
      <c r="S2042" t="inlineStr">
        <is>
          <t>undefined</t>
        </is>
      </c>
      <c r="T2042" t="inlineStr">
        <is>
          <t>0730852157279</t>
        </is>
      </c>
    </row>
    <row r="2043" hidden="1" ht="15.75" customHeight="1">
      <c r="A2043" s="2">
        <f>HYPERLINK("https://www.shiseido.com/us/en/facial-cotton-0729238722026.html?cgid=makeup", "https://www.shiseido.com/us/en/facial-cotton-0729238722026.html?cgid=makeup")</f>
        <v/>
      </c>
      <c r="B2043" s="2">
        <f>HYPERLINK("https://www.shiseido.com/us/en/facial-cotton-0729238722026.html", "https://www.shiseido.com/us/en/facial-cotton-0729238722026.html")</f>
        <v/>
      </c>
      <c r="C2043" t="inlineStr">
        <is>
          <t>Facial Cotton</t>
        </is>
      </c>
      <c r="D2043" t="inlineStr">
        <is>
          <t>Shiseido Facial Cotton Pads - Includes 165 Squares - For Softener Application &amp; Makeup Removal - 100% Natural, Super Soft</t>
        </is>
      </c>
      <c r="E2043" s="2">
        <f>HYPERLINK("https://www.amazon.com/Shiseido-0446125933235-Facial-Cotton/dp/B00020E1P8/ref=sr_1_1?keywords=Facial+Cotton&amp;qid=1695170817&amp;sr=8-1", "https://www.amazon.com/Shiseido-0446125933235-Facial-Cotton/dp/B00020E1P8/ref=sr_1_1?keywords=Facial+Cotton&amp;qid=1695170817&amp;sr=8-1")</f>
        <v/>
      </c>
      <c r="F2043" t="inlineStr">
        <is>
          <t>B00020E1P8</t>
        </is>
      </c>
      <c r="G2043">
        <f>_xludf.IMAGE("https://shiseido.ipscdn.net/sa2/dw/image/v2/BBSK_PRD/on/demandware.static/-/Sites-itemmaster_shiseido/default/dw4622fd90/images/2022/July/Top25/0729238722026_5.jpg?sw=540&amp;sh=540&amp;sm=fit")</f>
        <v/>
      </c>
      <c r="H2043">
        <f>_xludf.IMAGE("https://m.media-amazon.com/images/I/61sE4VtBrGL._AC_UL320_.jpg")</f>
        <v/>
      </c>
      <c r="K2043" t="inlineStr">
        <is>
          <t>13.0</t>
        </is>
      </c>
      <c r="L2043" t="n">
        <v>13</v>
      </c>
      <c r="M2043" s="1" t="inlineStr">
        <is>
          <t>0.00%</t>
        </is>
      </c>
      <c r="N2043" s="3" t="n">
        <v>0</v>
      </c>
      <c r="O2043" t="n">
        <v>4.8</v>
      </c>
      <c r="P2043" t="n">
        <v>920</v>
      </c>
      <c r="R2043" t="inlineStr">
        <is>
          <t>undefined</t>
        </is>
      </c>
      <c r="S2043" t="inlineStr">
        <is>
          <t>undefined</t>
        </is>
      </c>
      <c r="T2043" t="inlineStr">
        <is>
          <t>0729238722026</t>
        </is>
      </c>
    </row>
    <row r="2044" hidden="1" ht="15.75" customHeight="1">
      <c r="A2044" s="2">
        <f>HYPERLINK("https://www.shiseido.com/us/en/eyelash-curler-0729238500969.html?cgid=makeup", "https://www.shiseido.com/us/en/eyelash-curler-0729238500969.html?cgid=makeup")</f>
        <v/>
      </c>
      <c r="B2044" s="2">
        <f>HYPERLINK("https://www.shiseido.com/us/en/eyelash-curler-0729238500969.html", "https://www.shiseido.com/us/en/eyelash-curler-0729238500969.html")</f>
        <v/>
      </c>
      <c r="C2044" t="inlineStr">
        <is>
          <t>Eyelash Curler</t>
        </is>
      </c>
      <c r="D2044" t="inlineStr">
        <is>
          <t>Shiseido Eyelash Curler - Crimps &amp; Curls Lashes for Perfect, Eye-Framing Fringe - Gentle &amp; Safe - Includes Replacement Pad</t>
        </is>
      </c>
      <c r="E2044" s="2">
        <f>HYPERLINK("https://www.amazon.com/Shiseido-0446118228828-Eyelash-Curler/dp/B000FNF5IO/ref=sr_1_8?keywords=Eyelash+Curler&amp;qid=1695170815&amp;sr=8-8", "https://www.amazon.com/Shiseido-0446118228828-Eyelash-Curler/dp/B000FNF5IO/ref=sr_1_8?keywords=Eyelash+Curler&amp;qid=1695170815&amp;sr=8-8")</f>
        <v/>
      </c>
      <c r="F2044" t="inlineStr">
        <is>
          <t>B000FNF5IO</t>
        </is>
      </c>
      <c r="G2044">
        <f>_xludf.IMAGE("https://shiseido.ipscdn.net/sa2/dw/image/v2/BBSK_PRD/on/demandware.static/-/Sites-itemmaster_shiseido/default/dw1c9fffb7/images/2022/July/Top25/0729238500969_6.jpg?sw=540&amp;sh=540&amp;sm=fit")</f>
        <v/>
      </c>
      <c r="H2044">
        <f>_xludf.IMAGE("https://m.media-amazon.com/images/I/616L5wB72xL._AC_UL320_.jpg")</f>
        <v/>
      </c>
      <c r="K2044" t="inlineStr">
        <is>
          <t>24.0</t>
        </is>
      </c>
      <c r="L2044" t="n">
        <v>24</v>
      </c>
      <c r="M2044" s="1" t="inlineStr">
        <is>
          <t>0.00%</t>
        </is>
      </c>
      <c r="N2044" s="3" t="n">
        <v>0</v>
      </c>
      <c r="O2044" t="n">
        <v>4.5</v>
      </c>
      <c r="P2044" t="n">
        <v>1638</v>
      </c>
      <c r="R2044" t="inlineStr">
        <is>
          <t>undefined</t>
        </is>
      </c>
      <c r="S2044" t="inlineStr">
        <is>
          <t>undefined</t>
        </is>
      </c>
      <c r="T2044" t="inlineStr">
        <is>
          <t>0729238500969</t>
        </is>
      </c>
    </row>
    <row r="2045" hidden="1" ht="15.75" customHeight="1">
      <c r="A2045" s="2">
        <f>HYPERLINK("https://www.shiseido.com/us/en/synchro-skin-self-refreshing-concealer-9990000000192.html?cgid=makeup", "https://www.shiseido.com/us/en/synchro-skin-self-refreshing-concealer-9990000000192.html?cgid=makeup")</f>
        <v/>
      </c>
      <c r="B2045" s="2">
        <f>HYPERLINK("https://www.shiseido.com/us/en/synchro-skin-self-refreshing-concealer-9990000000192.html", "https://www.shiseido.com/us/en/synchro-skin-self-refreshing-concealer-9990000000192.html")</f>
        <v/>
      </c>
      <c r="C2045" t="inlineStr">
        <is>
          <t>SYNCHRO SKIN SELF-REFRESHING Concealer</t>
        </is>
      </c>
      <c r="D2045" t="inlineStr">
        <is>
          <t>Shiseido Synchro Skin Self-Refreshing Concealer - Medium-to-Full Coverage with Natural Finish &amp; Shine Control - 24-Hour Wear - Water Resistant, Smudge Proof &amp; Non-Comedogenic</t>
        </is>
      </c>
      <c r="E2045" s="2">
        <f>HYPERLINK("https://www.amazon.com/Shiseido-Synchro-Skin-Self-refreshing-Concealer/dp/B07XY269JV/ref=sr_1_1?keywords=SYNCHRO+SKIN+SELF-REFRESHING+Concealer&amp;qid=1695170819&amp;sr=8-1", "https://www.amazon.com/Shiseido-Synchro-Skin-Self-refreshing-Concealer/dp/B07XY269JV/ref=sr_1_1?keywords=SYNCHRO+SKIN+SELF-REFRESHING+Concealer&amp;qid=1695170819&amp;sr=8-1")</f>
        <v/>
      </c>
      <c r="F2045" t="inlineStr">
        <is>
          <t>B07XY269JV</t>
        </is>
      </c>
      <c r="G2045">
        <f>_xludf.IMAGE("https://shiseido.ipscdn.net/sa2/dw/image/v2/BBSK_PRD/on/demandware.static/-/Sites-itemmaster_shiseido/default/dwfba5e073/images/hi-res/9990000000192_3.jpg?sw=540&amp;sh=540&amp;sm=fit")</f>
        <v/>
      </c>
      <c r="H2045">
        <f>_xludf.IMAGE("https://m.media-amazon.com/images/I/51Hj4PWOhWL._AC_UL320_.jpg")</f>
        <v/>
      </c>
      <c r="K2045" t="inlineStr">
        <is>
          <t>31.0</t>
        </is>
      </c>
      <c r="L2045" t="n">
        <v>31</v>
      </c>
      <c r="M2045" s="1" t="inlineStr">
        <is>
          <t>0.00%</t>
        </is>
      </c>
      <c r="N2045" s="3" t="n">
        <v>0</v>
      </c>
      <c r="O2045" t="n">
        <v>4.4</v>
      </c>
      <c r="P2045" t="n">
        <v>150</v>
      </c>
      <c r="R2045" t="inlineStr">
        <is>
          <t>undefined</t>
        </is>
      </c>
      <c r="S2045" t="inlineStr">
        <is>
          <t>undefined</t>
        </is>
      </c>
      <c r="T2045" t="inlineStr">
        <is>
          <t>0730852157279</t>
        </is>
      </c>
    </row>
    <row r="2046" hidden="1" ht="15.75" customHeight="1">
      <c r="A2046" s="2">
        <f>HYPERLINK("https://www.shiseido.com/us/en/visionairy-gel-lipstick-9990000000173.html?cgid=makeup", "https://www.shiseido.com/us/en/visionairy-gel-lipstick-9990000000173.html?cgid=makeup")</f>
        <v/>
      </c>
      <c r="B2046" s="2">
        <f>HYPERLINK("https://www.shiseido.com/us/en/visionairy-gel-lipstick-9990000000173.html", "https://www.shiseido.com/us/en/visionairy-gel-lipstick-9990000000173.html")</f>
        <v/>
      </c>
      <c r="C2046" t="inlineStr">
        <is>
          <t>VisionAiry Gel Lipstick</t>
        </is>
      </c>
      <c r="D2046" t="inlineStr">
        <is>
          <t>Shiseido VisionAiry Gel Lipstick - Long-Lasting, Full Coverage Formula - Triple Gel Technology for High-Impact, Weightless Color</t>
        </is>
      </c>
      <c r="E2046" s="2">
        <f>HYPERLINK("https://www.amazon.com/Shiseido-Visionairy-Lipstick-Night-Rose/dp/B07FKLR4K1/ref=sr_1_1?keywords=VisionAiry+Gel+Lipstick&amp;qid=1695170815&amp;sr=8-1", "https://www.amazon.com/Shiseido-Visionairy-Lipstick-Night-Rose/dp/B07FKLR4K1/ref=sr_1_1?keywords=VisionAiry+Gel+Lipstick&amp;qid=1695170815&amp;sr=8-1")</f>
        <v/>
      </c>
      <c r="F2046" t="inlineStr">
        <is>
          <t>B07FKLR4K1</t>
        </is>
      </c>
      <c r="G2046">
        <f>_xludf.IMAGE("https://shiseido.ipscdn.net/sa2/dw/image/v2/BBSK_PRD/on/demandware.static/-/Sites-itemmaster_shiseido/default/dw950372d1/images/hi-res/0729238151994.jpg?sw=540&amp;sh=540&amp;sm=fit")</f>
        <v/>
      </c>
      <c r="H2046">
        <f>_xludf.IMAGE("https://m.media-amazon.com/images/I/616Tt6KajoL._AC_UL320_.jpg")</f>
        <v/>
      </c>
      <c r="K2046" t="inlineStr">
        <is>
          <t>26.0</t>
        </is>
      </c>
      <c r="L2046" t="n">
        <v>26</v>
      </c>
      <c r="M2046" s="1" t="inlineStr">
        <is>
          <t>0.00%</t>
        </is>
      </c>
      <c r="N2046" s="3" t="n">
        <v>0</v>
      </c>
      <c r="O2046" t="n">
        <v>4.2</v>
      </c>
      <c r="P2046" t="n">
        <v>167</v>
      </c>
      <c r="R2046" t="inlineStr">
        <is>
          <t>undefined</t>
        </is>
      </c>
      <c r="S2046" t="inlineStr">
        <is>
          <t>undefined</t>
        </is>
      </c>
      <c r="T2046" t="inlineStr">
        <is>
          <t>0729238151994</t>
        </is>
      </c>
    </row>
    <row r="2047" hidden="1" ht="15.75" customHeight="1">
      <c r="A2047" s="2">
        <f>HYPERLINK("https://www.shiseido.com/us/en/synchro-skin-self-refreshing-custom-finish-powder-foundation-9990000000198.html?cgid=makeup", "https://www.shiseido.com/us/en/synchro-skin-self-refreshing-custom-finish-powder-foundation-9990000000198.html?cgid=makeup")</f>
        <v/>
      </c>
      <c r="B2047" s="2">
        <f>HYPERLINK("https://www.shiseido.com/us/en/synchro-skin-self-refreshing-custom-finish-powder-foundation-9990000000198.html", "https://www.shiseido.com/us/en/synchro-skin-self-refreshing-custom-finish-powder-foundation-9990000000198.html")</f>
        <v/>
      </c>
      <c r="C2047" t="inlineStr">
        <is>
          <t>SYNCHRO SKIN SELF-REFRESHING Custom Finish Powder Foundation</t>
        </is>
      </c>
      <c r="D2047" t="inlineStr">
        <is>
          <t>Shiseido Synchro Skin Self-Refreshing Custom Finish Powder Foundation - 24-Hour Sheer-to-Medium Buildable Coverage with Shine Control - Smudge Proof &amp; Non-Comedogenic</t>
        </is>
      </c>
      <c r="E2047" s="2">
        <f>HYPERLINK("https://www.amazon.com/Shiseido-Synchro-Self-Refreshing-Custom-Foundation/dp/B0856QP7MT/ref=sr_1_1?keywords=SYNCHRO+SKIN+SELF-REFRESHING+Custom+Finish+Powder+Foundation&amp;qid=1695170817&amp;sr=8-1", "https://www.amazon.com/Shiseido-Synchro-Self-Refreshing-Custom-Foundation/dp/B0856QP7MT/ref=sr_1_1?keywords=SYNCHRO+SKIN+SELF-REFRESHING+Custom+Finish+Powder+Foundation&amp;qid=1695170817&amp;sr=8-1")</f>
        <v/>
      </c>
      <c r="F2047" t="inlineStr">
        <is>
          <t>B0856QP7MT</t>
        </is>
      </c>
      <c r="G2047">
        <f>_xludf.IMAGE("https://shiseido.ipscdn.net/sa2/dw/image/v2/BBSK_PRD/on/demandware.static/-/Sites-itemmaster_shiseido/default/dw256c68dd/images/hi-res/0729238161207_main.jpg?sw=540&amp;sh=540&amp;sm=fit")</f>
        <v/>
      </c>
      <c r="H2047">
        <f>_xludf.IMAGE("https://m.media-amazon.com/images/I/710hHevpCAL._AC_UL320_.jpg")</f>
        <v/>
      </c>
      <c r="K2047" t="inlineStr">
        <is>
          <t>45.0</t>
        </is>
      </c>
      <c r="L2047" t="n">
        <v>45</v>
      </c>
      <c r="M2047" s="1" t="inlineStr">
        <is>
          <t>0.00%</t>
        </is>
      </c>
      <c r="N2047" s="3" t="n">
        <v>0</v>
      </c>
      <c r="O2047" t="n">
        <v>4.3</v>
      </c>
      <c r="P2047" t="n">
        <v>121</v>
      </c>
      <c r="R2047" t="inlineStr">
        <is>
          <t>undefined</t>
        </is>
      </c>
      <c r="S2047" t="inlineStr">
        <is>
          <t>undefined</t>
        </is>
      </c>
      <c r="T2047" t="inlineStr">
        <is>
          <t>0729238161207</t>
        </is>
      </c>
    </row>
    <row r="2048" hidden="1" ht="15.75" customHeight="1">
      <c r="A2048" s="2">
        <f>HYPERLINK("https://www.shiseido.com/us/en/controlledchaos-mascaraink-9990000000183.html?cgid=makeup", "https://www.shiseido.com/us/en/controlledchaos-mascaraink-9990000000183.html?cgid=makeup")</f>
        <v/>
      </c>
      <c r="B2048" s="2">
        <f>HYPERLINK("https://www.shiseido.com/us/en/controlledchaos-mascaraink-9990000000183.html", "https://www.shiseido.com/us/en/controlledchaos-mascaraink-9990000000183.html")</f>
        <v/>
      </c>
      <c r="C2048" t="inlineStr">
        <is>
          <t>ControlledChaos MascaraInk</t>
        </is>
      </c>
      <c r="D2048" t="inlineStr">
        <is>
          <t>Shiseido Controlledchaos Mascaraink (Sapphire Spark - 02)</t>
        </is>
      </c>
      <c r="E2048" s="2">
        <f>HYPERLINK("https://www.amazon.com/Shiseido-SMK-CONTROLCHAOS-MASCARAINK-02/dp/B07PDR92JR/ref=sr_1_2?keywords=controlled+chaos+mascara+ink&amp;qid=1695170830&amp;sr=8-2", "https://www.amazon.com/Shiseido-SMK-CONTROLCHAOS-MASCARAINK-02/dp/B07PDR92JR/ref=sr_1_2?keywords=controlled+chaos+mascara+ink&amp;qid=1695170830&amp;sr=8-2")</f>
        <v/>
      </c>
      <c r="F2048" t="inlineStr">
        <is>
          <t>B07PDR92JR</t>
        </is>
      </c>
      <c r="G2048">
        <f>_xludf.IMAGE("https://shiseido.ipscdn.net/sa2/dw/image/v2/BBSK_PRD/on/demandware.static/-/Sites-itemmaster_shiseido/default/dwb4b96ede/images/hi-res/9990000000183_main.jpg?sw=540&amp;sh=540&amp;sm=fit")</f>
        <v/>
      </c>
      <c r="H2048">
        <f>_xludf.IMAGE("https://m.media-amazon.com/images/I/61+WbP9ybWL._AC_UL320_.jpg")</f>
        <v/>
      </c>
      <c r="K2048" t="inlineStr">
        <is>
          <t>25.0</t>
        </is>
      </c>
      <c r="L2048" t="n">
        <v>25</v>
      </c>
      <c r="M2048" s="1" t="inlineStr">
        <is>
          <t>0.00%</t>
        </is>
      </c>
      <c r="N2048" s="3" t="n">
        <v>0</v>
      </c>
      <c r="O2048" t="n">
        <v>4.1</v>
      </c>
      <c r="P2048" t="n">
        <v>9</v>
      </c>
      <c r="R2048" t="inlineStr">
        <is>
          <t>undefined</t>
        </is>
      </c>
      <c r="S2048" t="inlineStr">
        <is>
          <t>undefined</t>
        </is>
      </c>
      <c r="T2048" t="inlineStr">
        <is>
          <t>0730852147676</t>
        </is>
      </c>
    </row>
    <row r="2049" hidden="1" ht="15.75" customHeight="1">
      <c r="A2049" s="2">
        <f>HYPERLINK("https://www.shiseido.com/us/en/synchro-skin-radiant-lifting-foundation-spf-30-9990000000208.html?cgid=makeup", "https://www.shiseido.com/us/en/synchro-skin-radiant-lifting-foundation-spf-30-9990000000208.html?cgid=makeup")</f>
        <v/>
      </c>
      <c r="B2049" s="2">
        <f>HYPERLINK("https://www.shiseido.com/us/en/synchro-skin-radiant-lifting-foundation-spf-30-9990000000208.html", "https://www.shiseido.com/us/en/synchro-skin-radiant-lifting-foundation-spf-30-9990000000208.html")</f>
        <v/>
      </c>
      <c r="C2049" t="inlineStr">
        <is>
          <t>SYNCHRO SKIN RADIANT LIFTING Foundation SPF 30</t>
        </is>
      </c>
      <c r="D2049" t="inlineStr">
        <is>
          <t>SHISEIDO SYNCHRO SKIN RADIANT LIFTING FOUNDATION SPF 30 (BAMBOO -330)</t>
        </is>
      </c>
      <c r="E2049" s="2">
        <f>HYPERLINK("https://www.amazon.com/SHISEIDO-SYNCHRO-RADIANT-LIFTING-FOUNDATION/dp/B08WCFJD7D/ref=sr_1_1?keywords=SYNCHRO+SKIN+RADIANT+LIFTING+Foundation+SPF+30&amp;qid=1695170838&amp;sr=8-1", "https://www.amazon.com/SHISEIDO-SYNCHRO-RADIANT-LIFTING-FOUNDATION/dp/B08WCFJD7D/ref=sr_1_1?keywords=SYNCHRO+SKIN+RADIANT+LIFTING+Foundation+SPF+30&amp;qid=1695170838&amp;sr=8-1")</f>
        <v/>
      </c>
      <c r="F2049" t="inlineStr">
        <is>
          <t>B08WCFJD7D</t>
        </is>
      </c>
      <c r="G2049">
        <f>_xludf.IMAGE("https://shiseido.ipscdn.net/sa2/dw/image/v2/BBSK_PRD/on/demandware.static/-/Sites-itemmaster_shiseido/default/dw9f9c0bea/images/2020/December/Foundation/9990000000208_5.jpg?sw=540&amp;sh=540&amp;sm=fit")</f>
        <v/>
      </c>
      <c r="H2049">
        <f>_xludf.IMAGE("https://m.media-amazon.com/images/I/51Yi2h3C9YL._AC_UL320_.jpg")</f>
        <v/>
      </c>
      <c r="K2049" t="inlineStr">
        <is>
          <t>47.0</t>
        </is>
      </c>
      <c r="L2049" t="n">
        <v>47</v>
      </c>
      <c r="M2049" s="1" t="inlineStr">
        <is>
          <t>0.00%</t>
        </is>
      </c>
      <c r="N2049" s="3" t="n">
        <v>0</v>
      </c>
      <c r="O2049" t="n">
        <v>4</v>
      </c>
      <c r="P2049" t="n">
        <v>51</v>
      </c>
      <c r="R2049" t="inlineStr">
        <is>
          <t>undefined</t>
        </is>
      </c>
      <c r="S2049" t="inlineStr">
        <is>
          <t>undefined</t>
        </is>
      </c>
      <c r="T2049" t="inlineStr">
        <is>
          <t>0730852167407</t>
        </is>
      </c>
    </row>
    <row r="2050" hidden="1" ht="15.75" customHeight="1">
      <c r="A2050" s="2">
        <f>HYPERLINK("https://www.shiseido.com/us/en/synchro-skin-radiant-lifting-foundation-spf-30-9990000000208.html?cgid=makeup", "https://www.shiseido.com/us/en/synchro-skin-radiant-lifting-foundation-spf-30-9990000000208.html?cgid=makeup")</f>
        <v/>
      </c>
      <c r="B2050" s="2">
        <f>HYPERLINK("https://www.shiseido.com/us/en/synchro-skin-radiant-lifting-foundation-spf-30-9990000000208.html", "https://www.shiseido.com/us/en/synchro-skin-radiant-lifting-foundation-spf-30-9990000000208.html")</f>
        <v/>
      </c>
      <c r="C2050" t="inlineStr">
        <is>
          <t>SYNCHRO SKIN RADIANT LIFTING Foundation SPF 30</t>
        </is>
      </c>
      <c r="D2050" t="inlineStr">
        <is>
          <t>SHISEIDO SYNCHRO SKIN RADIANT LIFTING FOUNDATION SPF 30 (SILK -310)</t>
        </is>
      </c>
      <c r="E2050" s="2">
        <f>HYPERLINK("https://www.amazon.com/SHISEIDO-SYNCHRO-RADIANT-LIFTING-FOUNDATION/dp/B08W3SK9Z4/ref=sr_1_2?keywords=SYNCHRO+SKIN+RADIANT+LIFTING+Foundation+SPF+30&amp;qid=1695170838&amp;sr=8-2", "https://www.amazon.com/SHISEIDO-SYNCHRO-RADIANT-LIFTING-FOUNDATION/dp/B08W3SK9Z4/ref=sr_1_2?keywords=SYNCHRO+SKIN+RADIANT+LIFTING+Foundation+SPF+30&amp;qid=1695170838&amp;sr=8-2")</f>
        <v/>
      </c>
      <c r="F2050" t="inlineStr">
        <is>
          <t>B08W3SK9Z4</t>
        </is>
      </c>
      <c r="G2050">
        <f>_xludf.IMAGE("https://shiseido.ipscdn.net/sa2/dw/image/v2/BBSK_PRD/on/demandware.static/-/Sites-itemmaster_shiseido/default/dw9f9c0bea/images/2020/December/Foundation/9990000000208_5.jpg?sw=540&amp;sh=540&amp;sm=fit")</f>
        <v/>
      </c>
      <c r="H2050">
        <f>_xludf.IMAGE("https://m.media-amazon.com/images/I/51K-mEvUzyL._AC_UL320_.jpg")</f>
        <v/>
      </c>
      <c r="K2050" t="inlineStr">
        <is>
          <t>47.0</t>
        </is>
      </c>
      <c r="L2050" t="n">
        <v>47</v>
      </c>
      <c r="M2050" s="1" t="inlineStr">
        <is>
          <t>0.00%</t>
        </is>
      </c>
      <c r="N2050" s="3" t="n">
        <v>0</v>
      </c>
      <c r="O2050" t="n">
        <v>4.7</v>
      </c>
      <c r="P2050" t="n">
        <v>15</v>
      </c>
      <c r="R2050" t="inlineStr">
        <is>
          <t>undefined</t>
        </is>
      </c>
      <c r="S2050" t="inlineStr">
        <is>
          <t>undefined</t>
        </is>
      </c>
      <c r="T2050" t="inlineStr">
        <is>
          <t>0730852167407</t>
        </is>
      </c>
    </row>
    <row r="2051" hidden="1" ht="15.75" customHeight="1">
      <c r="A2051" s="2">
        <f>HYPERLINK("https://www.shiseido.com/us/en/synchro-skin-radiant-lifting-foundation-spf-30-9990000000208.html?cgid=makeup", "https://www.shiseido.com/us/en/synchro-skin-radiant-lifting-foundation-spf-30-9990000000208.html?cgid=makeup")</f>
        <v/>
      </c>
      <c r="B2051" s="2">
        <f>HYPERLINK("https://www.shiseido.com/us/en/synchro-skin-radiant-lifting-foundation-spf-30-9990000000208.html", "https://www.shiseido.com/us/en/synchro-skin-radiant-lifting-foundation-spf-30-9990000000208.html")</f>
        <v/>
      </c>
      <c r="C2051" t="inlineStr">
        <is>
          <t>SYNCHRO SKIN RADIANT LIFTING Foundation SPF 30</t>
        </is>
      </c>
      <c r="D2051" t="inlineStr">
        <is>
          <t>SHISEIDO SYNCHRO SKIN RADIANT LIFTING FOUNDATION SPF 30 (OAK -340)</t>
        </is>
      </c>
      <c r="E2051" s="2">
        <f>HYPERLINK("https://www.amazon.com/SHISEIDO-SYNCHRO-RADIANT-LIFTING-FOUNDATION/dp/B08W3RWD3W/ref=sr_1_3?keywords=SYNCHRO+SKIN+RADIANT+LIFTING+Foundation+SPF+30&amp;qid=1695170838&amp;sr=8-3", "https://www.amazon.com/SHISEIDO-SYNCHRO-RADIANT-LIFTING-FOUNDATION/dp/B08W3RWD3W/ref=sr_1_3?keywords=SYNCHRO+SKIN+RADIANT+LIFTING+Foundation+SPF+30&amp;qid=1695170838&amp;sr=8-3")</f>
        <v/>
      </c>
      <c r="F2051" t="inlineStr">
        <is>
          <t>B08W3RWD3W</t>
        </is>
      </c>
      <c r="G2051">
        <f>_xludf.IMAGE("https://shiseido.ipscdn.net/sa2/dw/image/v2/BBSK_PRD/on/demandware.static/-/Sites-itemmaster_shiseido/default/dw9f9c0bea/images/2020/December/Foundation/9990000000208_5.jpg?sw=540&amp;sh=540&amp;sm=fit")</f>
        <v/>
      </c>
      <c r="H2051">
        <f>_xludf.IMAGE("https://m.media-amazon.com/images/I/515Fes8hwpL._AC_UL320_.jpg")</f>
        <v/>
      </c>
      <c r="K2051" t="inlineStr">
        <is>
          <t>47.0</t>
        </is>
      </c>
      <c r="L2051" t="n">
        <v>47</v>
      </c>
      <c r="M2051" s="1" t="inlineStr">
        <is>
          <t>0.00%</t>
        </is>
      </c>
      <c r="N2051" s="3" t="n">
        <v>0</v>
      </c>
      <c r="O2051" t="n">
        <v>4.3</v>
      </c>
      <c r="P2051" t="n">
        <v>10</v>
      </c>
      <c r="R2051" t="inlineStr">
        <is>
          <t>undefined</t>
        </is>
      </c>
      <c r="S2051" t="inlineStr">
        <is>
          <t>undefined</t>
        </is>
      </c>
      <c r="T2051" t="inlineStr">
        <is>
          <t>0730852167407</t>
        </is>
      </c>
    </row>
    <row r="2052" hidden="1" ht="15.75" customHeight="1">
      <c r="A2052" s="2">
        <f>HYPERLINK("https://www.shiseido.com/us/en/microliner-ink-9990000000169.html?cgid=makeup", "https://www.shiseido.com/us/en/microliner-ink-9990000000169.html?cgid=makeup")</f>
        <v/>
      </c>
      <c r="B2052" s="2">
        <f>HYPERLINK("https://www.shiseido.com/us/en/microliner-ink-9990000000169.html", "https://www.shiseido.com/us/en/microliner-ink-9990000000169.html")</f>
        <v/>
      </c>
      <c r="C2052" t="inlineStr">
        <is>
          <t>MicroLiner Ink</t>
        </is>
      </c>
      <c r="D2052" t="inlineStr">
        <is>
          <t>Shiseido MicroLiner Ink - Micro-Fine Eyeliner - Smudge-Proof, Saturated, Matte Color - Lasts Up to 24 Hours</t>
        </is>
      </c>
      <c r="E2052" s="2">
        <f>HYPERLINK("https://www.amazon.com/Shiseido-MicroLiner-Ink-Black-Smudge-Proof/dp/B07FKNZZLW/ref=sr_1_2?keywords=MicroLiner+Ink&amp;qid=1695170817&amp;sr=8-2", "https://www.amazon.com/Shiseido-MicroLiner-Ink-Black-Smudge-Proof/dp/B07FKNZZLW/ref=sr_1_2?keywords=MicroLiner+Ink&amp;qid=1695170817&amp;sr=8-2")</f>
        <v/>
      </c>
      <c r="F2052" t="inlineStr">
        <is>
          <t>B07FKNZZLW</t>
        </is>
      </c>
      <c r="G2052">
        <f>_xludf.IMAGE("https://shiseido.ipscdn.net/sa2/dw/image/v2/BBSK_PRD/on/demandware.static/-/Sites-itemmaster_shiseido/default/dw48b49cc8/images/2022/January/Mirolink-liner/9990000000169_9.png?sw=540&amp;sh=540&amp;sm=fit")</f>
        <v/>
      </c>
      <c r="H2052">
        <f>_xludf.IMAGE("https://m.media-amazon.com/images/I/51xZtRKbq3L._AC_UL320_.jpg")</f>
        <v/>
      </c>
      <c r="K2052" t="inlineStr">
        <is>
          <t>22.0</t>
        </is>
      </c>
      <c r="L2052" t="n">
        <v>22</v>
      </c>
      <c r="M2052" s="1" t="inlineStr">
        <is>
          <t>0.00%</t>
        </is>
      </c>
      <c r="N2052" s="3" t="n">
        <v>0</v>
      </c>
      <c r="O2052" t="n">
        <v>4.2</v>
      </c>
      <c r="P2052" t="n">
        <v>296</v>
      </c>
      <c r="R2052" t="inlineStr">
        <is>
          <t>undefined</t>
        </is>
      </c>
      <c r="S2052" t="inlineStr">
        <is>
          <t>undefined</t>
        </is>
      </c>
      <c r="T2052" t="inlineStr">
        <is>
          <t>0729238147362</t>
        </is>
      </c>
    </row>
    <row r="2053" hidden="1" ht="15.75" customHeight="1">
      <c r="A2053" s="2">
        <f>HYPERLINK("https://www.shiseido.com/us/en/modernmatte-powder-lipstick-9990000000171.html?cgid=makeup", "https://www.shiseido.com/us/en/modernmatte-powder-lipstick-9990000000171.html?cgid=makeup")</f>
        <v/>
      </c>
      <c r="B2053" s="2">
        <f>HYPERLINK("https://www.shiseido.com/us/en/modernmatte-powder-lipstick-9990000000171.html", "https://www.shiseido.com/us/en/modernmatte-powder-lipstick-9990000000171.html")</f>
        <v/>
      </c>
      <c r="C2053" t="inlineStr">
        <is>
          <t>ModernMatte Powder Lipstick</t>
        </is>
      </c>
      <c r="D2053" t="inlineStr">
        <is>
          <t>Shiseido ModernMatte Powder Lipstick - Full-Coverage, Non-Drying Matte Lipstick - Weightless, Long-Lasting Color - 8-Hour Coverage</t>
        </is>
      </c>
      <c r="E2053" s="2">
        <f>HYPERLINK("https://www.amazon.com/Shiseido-ModernMatte-Powder-Lipstick-Shock/dp/B07GZ3PZTL/ref=sr_1_1?keywords=ModernMatte+Powder+Lipstick&amp;qid=1695170837&amp;sr=8-1", "https://www.amazon.com/Shiseido-ModernMatte-Powder-Lipstick-Shock/dp/B07GZ3PZTL/ref=sr_1_1?keywords=ModernMatte+Powder+Lipstick&amp;qid=1695170837&amp;sr=8-1")</f>
        <v/>
      </c>
      <c r="F2053" t="inlineStr">
        <is>
          <t>B07GZ3PZTL</t>
        </is>
      </c>
      <c r="G2053">
        <f>_xludf.IMAGE("https://shiseido.ipscdn.net/sa2/dw/image/v2/BBSK_PRD/on/demandware.static/-/Sites-itemmaster_shiseido/default/dw246745fe/images/hi-res/0729238147904.jpg?sw=540&amp;sh=540&amp;sm=fit")</f>
        <v/>
      </c>
      <c r="H2053">
        <f>_xludf.IMAGE("https://m.media-amazon.com/images/I/71ceUmmL4OL._AC_UL320_.jpg")</f>
        <v/>
      </c>
      <c r="K2053" t="inlineStr">
        <is>
          <t>26.0</t>
        </is>
      </c>
      <c r="L2053" t="n">
        <v>26</v>
      </c>
      <c r="M2053" s="1" t="inlineStr">
        <is>
          <t>0.00%</t>
        </is>
      </c>
      <c r="N2053" s="3" t="n">
        <v>0</v>
      </c>
      <c r="O2053" t="n">
        <v>4.5</v>
      </c>
      <c r="P2053" t="n">
        <v>193</v>
      </c>
      <c r="R2053" t="inlineStr">
        <is>
          <t>undefined</t>
        </is>
      </c>
      <c r="S2053" t="inlineStr">
        <is>
          <t>undefined</t>
        </is>
      </c>
      <c r="T2053" t="inlineStr">
        <is>
          <t>0729238147904</t>
        </is>
      </c>
    </row>
    <row r="2054" hidden="1" ht="15.75" customHeight="1">
      <c r="A2054" s="2">
        <f>HYPERLINK("https://www.shiseido.com/us/en/future-solution-lx-total-radiance-foundation-spf-20-9990000000150.html?cgid=makeup", "https://www.shiseido.com/us/en/future-solution-lx-total-radiance-foundation-spf-20-9990000000150.html?cgid=makeup")</f>
        <v/>
      </c>
      <c r="B2054" s="2">
        <f>HYPERLINK("https://www.shiseido.com/us/en/future-solution-lx-total-radiance-foundation-spf-20-9990000000150.html", "https://www.shiseido.com/us/en/future-solution-lx-total-radiance-foundation-spf-20-9990000000150.html")</f>
        <v/>
      </c>
      <c r="C2054" t="inlineStr">
        <is>
          <t>Total Radiance Foundation SPF 20</t>
        </is>
      </c>
      <c r="D2054" t="inlineStr">
        <is>
          <t>Shiseido Future Solution LX Total Radiance Foundation SPF 20 - Reduces the Look of Pores, Lines &amp; Dark Spots - Non-Comedogenic</t>
        </is>
      </c>
      <c r="E2054" s="2">
        <f>HYPERLINK("https://www.amazon.com/Shiseido-Future-Solution-Radiance-Foundation/dp/B0881BC5RT/ref=sr_1_1?keywords=Total+Radiance+Foundation+SPF+20&amp;qid=1695170814&amp;sr=8-1", "https://www.amazon.com/Shiseido-Future-Solution-Radiance-Foundation/dp/B0881BC5RT/ref=sr_1_1?keywords=Total+Radiance+Foundation+SPF+20&amp;qid=1695170814&amp;sr=8-1")</f>
        <v/>
      </c>
      <c r="F2054" t="inlineStr">
        <is>
          <t>B0881BC5RT</t>
        </is>
      </c>
      <c r="G2054">
        <f>_xludf.IMAGE("https://shiseido.ipscdn.net/sa2/dw/image/v2/BBSK_PRD/on/demandware.static/-/Sites-itemmaster_shiseido/default/dw818b0e04/images/hi-res/0730852139350_A3.jpg?sw=540&amp;sh=540&amp;sm=fit")</f>
        <v/>
      </c>
      <c r="H2054">
        <f>_xludf.IMAGE("https://m.media-amazon.com/images/I/6178ObUPa+L._AC_UL320_.jpg")</f>
        <v/>
      </c>
      <c r="K2054" t="inlineStr">
        <is>
          <t>92.0</t>
        </is>
      </c>
      <c r="L2054" t="n">
        <v>92</v>
      </c>
      <c r="M2054" s="1" t="inlineStr">
        <is>
          <t>0.00%</t>
        </is>
      </c>
      <c r="N2054" s="3" t="n">
        <v>0</v>
      </c>
      <c r="O2054" t="n">
        <v>4</v>
      </c>
      <c r="P2054" t="n">
        <v>9</v>
      </c>
      <c r="R2054" t="inlineStr">
        <is>
          <t>undefined</t>
        </is>
      </c>
      <c r="S2054" t="inlineStr">
        <is>
          <t>undefined</t>
        </is>
      </c>
      <c r="T2054" t="inlineStr">
        <is>
          <t>0730852139350</t>
        </is>
      </c>
    </row>
    <row r="2055" hidden="1" ht="15.75" customHeight="1">
      <c r="A2055" s="2">
        <f>HYPERLINK("https://www.shiseido.com/us/en/essentials-perfect-cleansing-oil-9990000000122.html?cgid=makeup", "https://www.shiseido.com/us/en/essentials-perfect-cleansing-oil-9990000000122.html?cgid=makeup")</f>
        <v/>
      </c>
      <c r="B2055" s="2">
        <f>HYPERLINK("https://www.shiseido.com/us/en/essentials-perfect-cleansing-oil-9990000000122.html", "https://www.shiseido.com/us/en/essentials-perfect-cleansing-oil-9990000000122.html")</f>
        <v/>
      </c>
      <c r="C2055" t="inlineStr">
        <is>
          <t>Perfect Cleansing Oil</t>
        </is>
      </c>
      <c r="D2055" t="inlineStr">
        <is>
          <t>Shiseido Perfect 6-ounce Cleansing Oil</t>
        </is>
      </c>
      <c r="E2055" s="2">
        <f>HYPERLINK("https://www.amazon.com/Shiseido-Perfect-6-ounce-Cleansing-Oil/dp/B07GDN5WG8/ref=sr_1_3?keywords=Perfect+Cleansing+Oil&amp;qid=1695170815&amp;sr=8-3", "https://www.amazon.com/Shiseido-Perfect-6-ounce-Cleansing-Oil/dp/B07GDN5WG8/ref=sr_1_3?keywords=Perfect+Cleansing+Oil&amp;qid=1695170815&amp;sr=8-3")</f>
        <v/>
      </c>
      <c r="F2055" t="inlineStr">
        <is>
          <t>B07GDN5WG8</t>
        </is>
      </c>
      <c r="G2055">
        <f>_xludf.IMAGE("https://shiseido.ipscdn.net/sa2/dw/image/v2/BBSK_PRD/on/demandware.static/-/Sites-itemmaster_shiseido/default/dw02efb3dd/images/2022/July/Top25/9990000000122_3.jpg?sw=540&amp;sh=540&amp;sm=fit")</f>
        <v/>
      </c>
      <c r="H2055">
        <f>_xludf.IMAGE("https://m.media-amazon.com/images/I/51lu5Id76sL._AC_UL320_.jpg")</f>
        <v/>
      </c>
      <c r="K2055" t="inlineStr">
        <is>
          <t>35.0</t>
        </is>
      </c>
      <c r="L2055" t="n">
        <v>35</v>
      </c>
      <c r="M2055" s="1" t="inlineStr">
        <is>
          <t>0.00%</t>
        </is>
      </c>
      <c r="N2055" s="3" t="n">
        <v>0</v>
      </c>
      <c r="O2055" t="n">
        <v>4.5</v>
      </c>
      <c r="P2055" t="n">
        <v>66</v>
      </c>
      <c r="R2055" t="inlineStr">
        <is>
          <t>undefined</t>
        </is>
      </c>
      <c r="S2055" t="inlineStr">
        <is>
          <t>undefined</t>
        </is>
      </c>
      <c r="T2055" t="inlineStr">
        <is>
          <t>0730852143418</t>
        </is>
      </c>
    </row>
    <row r="2056" hidden="1" ht="15.75" customHeight="1">
      <c r="A2056" s="2">
        <f>HYPERLINK("https://www.shiseido.com/us/en/eyelash-curler-pad-0729238500976.html?cgid=makeup", "https://www.shiseido.com/us/en/eyelash-curler-pad-0729238500976.html?cgid=makeup")</f>
        <v/>
      </c>
      <c r="B2056" s="2">
        <f>HYPERLINK("https://www.shiseido.com/us/en/eyelash-curler-pad-0729238500976.html", "https://www.shiseido.com/us/en/eyelash-curler-pad-0729238500976.html")</f>
        <v/>
      </c>
      <c r="C2056" t="inlineStr">
        <is>
          <t>Eyelash Curler Pad</t>
        </is>
      </c>
      <c r="D2056" t="inlineStr">
        <is>
          <t>28pcs Eyelash Curler Refill Pads - Silicone Rubber Universal Eye Lash Curler Replacement with Clear Storage Box (Black)</t>
        </is>
      </c>
      <c r="E2056" s="2">
        <f>HYPERLINK("https://www.amazon.com/28pcs-Eyelash-Curler-Refill-Pads/dp/B0BH4RKVFY/ref=sr_1_3?keywords=Eyelash+Curler+Pad&amp;qid=1695170815&amp;sr=8-3", "https://www.amazon.com/28pcs-Eyelash-Curler-Refill-Pads/dp/B0BH4RKVFY/ref=sr_1_3?keywords=Eyelash+Curler+Pad&amp;qid=1695170815&amp;sr=8-3")</f>
        <v/>
      </c>
      <c r="F2056" t="inlineStr">
        <is>
          <t>B0BH4RKVFY</t>
        </is>
      </c>
      <c r="G2056">
        <f>_xludf.IMAGE("https://shiseido.ipscdn.net/sa2/dw/image/v2/BBSK_PRD/on/demandware.static/-/Sites-itemmaster_shiseido/default/dw7a3e2271/images/hi-res/729238500976_A1.jpg?sw=540&amp;sh=540&amp;sm=fit")</f>
        <v/>
      </c>
      <c r="H2056">
        <f>_xludf.IMAGE("https://m.media-amazon.com/images/I/6101vZSlPAL._AC_UL320_.jpg")</f>
        <v/>
      </c>
      <c r="K2056" t="inlineStr">
        <is>
          <t>6.0</t>
        </is>
      </c>
      <c r="L2056" t="n">
        <v>5.99</v>
      </c>
      <c r="M2056" s="1" t="inlineStr">
        <is>
          <t>-0.17%</t>
        </is>
      </c>
      <c r="N2056" s="3" t="n">
        <v>-0.17</v>
      </c>
      <c r="O2056" t="n">
        <v>4.4</v>
      </c>
      <c r="P2056" t="n">
        <v>417</v>
      </c>
      <c r="R2056" t="inlineStr">
        <is>
          <t>undefined</t>
        </is>
      </c>
      <c r="S2056" t="inlineStr">
        <is>
          <t>undefined</t>
        </is>
      </c>
      <c r="T2056" t="inlineStr">
        <is>
          <t>0729238500976</t>
        </is>
      </c>
    </row>
    <row r="2057" hidden="1" ht="15.75" customHeight="1">
      <c r="A2057" s="2">
        <f>HYPERLINK("https://www.shiseido.com/us/en/eyelash-curler-pad-0729238500976.html?cgid=makeup", "https://www.shiseido.com/us/en/eyelash-curler-pad-0729238500976.html?cgid=makeup")</f>
        <v/>
      </c>
      <c r="B2057" s="2">
        <f>HYPERLINK("https://www.shiseido.com/us/en/eyelash-curler-pad-0729238500976.html", "https://www.shiseido.com/us/en/eyelash-curler-pad-0729238500976.html")</f>
        <v/>
      </c>
      <c r="C2057" t="inlineStr">
        <is>
          <t>Eyelash Curler Pad</t>
        </is>
      </c>
      <c r="D2057" t="inlineStr">
        <is>
          <t>Zhehao Eyelash Curler Refill Eyelash Curler Pad Silicone Rubber Curler Replacement Refill Pad for Universal Eyelash Curler with Clear Storage Box</t>
        </is>
      </c>
      <c r="E2057" s="2" t="n"/>
      <c r="F2057" t="inlineStr">
        <is>
          <t>B07G2YSWL9</t>
        </is>
      </c>
      <c r="G2057">
        <f>_xludf.IMAGE("https://shiseido.ipscdn.net/sa2/dw/image/v2/BBSK_PRD/on/demandware.static/-/Sites-itemmaster_shiseido/default/dw7a3e2271/images/hi-res/729238500976_A1.jpg?sw=540&amp;sh=540&amp;sm=fit")</f>
        <v/>
      </c>
      <c r="H2057">
        <f>_xludf.IMAGE("https://m.media-amazon.com/images/I/61tAPtFP5TL._AC_UL320_.jpg")</f>
        <v/>
      </c>
      <c r="K2057" t="inlineStr">
        <is>
          <t>6.0</t>
        </is>
      </c>
      <c r="L2057" t="n">
        <v>5.99</v>
      </c>
      <c r="M2057" s="1" t="inlineStr">
        <is>
          <t>-0.17%</t>
        </is>
      </c>
      <c r="N2057" s="3" t="n">
        <v>-0.17</v>
      </c>
      <c r="O2057" t="n">
        <v>4.3</v>
      </c>
      <c r="P2057" t="n">
        <v>6891</v>
      </c>
      <c r="R2057" t="inlineStr">
        <is>
          <t>undefined</t>
        </is>
      </c>
      <c r="S2057" t="inlineStr">
        <is>
          <t>undefined</t>
        </is>
      </c>
      <c r="T2057" t="inlineStr">
        <is>
          <t>0729238500976</t>
        </is>
      </c>
    </row>
    <row r="2058" hidden="1" ht="15.75" customHeight="1">
      <c r="A2058" s="2">
        <f>HYPERLINK("https://www.shiseido.com/us/en/eyelash-curler-pad-0729238500976.html?cgid=makeup", "https://www.shiseido.com/us/en/eyelash-curler-pad-0729238500976.html?cgid=makeup")</f>
        <v/>
      </c>
      <c r="B2058" s="2">
        <f>HYPERLINK("https://www.shiseido.com/us/en/eyelash-curler-pad-0729238500976.html", "https://www.shiseido.com/us/en/eyelash-curler-pad-0729238500976.html")</f>
        <v/>
      </c>
      <c r="C2058" t="inlineStr">
        <is>
          <t>Eyelash Curler Pad</t>
        </is>
      </c>
      <c r="D2058" t="inlineStr">
        <is>
          <t>28pcs Eyelash Curler Refill Pads - Silicone Rubber Universal Eye Lash Curler Replacement with Clear Storage Box (Black)</t>
        </is>
      </c>
      <c r="E2058" s="2" t="n"/>
      <c r="F2058" t="inlineStr">
        <is>
          <t>B0BH4RKVFY</t>
        </is>
      </c>
      <c r="G2058">
        <f>_xludf.IMAGE("https://shiseido.ipscdn.net/sa2/dw/image/v2/BBSK_PRD/on/demandware.static/-/Sites-itemmaster_shiseido/default/dw7a3e2271/images/hi-res/729238500976_A1.jpg?sw=540&amp;sh=540&amp;sm=fit")</f>
        <v/>
      </c>
      <c r="H2058">
        <f>_xludf.IMAGE("https://m.media-amazon.com/images/I/6101vZSlPAL._AC_UL320_.jpg")</f>
        <v/>
      </c>
      <c r="K2058" t="inlineStr">
        <is>
          <t>6.0</t>
        </is>
      </c>
      <c r="L2058" t="n">
        <v>5.99</v>
      </c>
      <c r="M2058" s="1" t="inlineStr">
        <is>
          <t>-0.17%</t>
        </is>
      </c>
      <c r="N2058" s="3" t="n">
        <v>-0.17</v>
      </c>
      <c r="O2058" t="n">
        <v>4.4</v>
      </c>
      <c r="P2058" t="n">
        <v>417</v>
      </c>
      <c r="R2058" t="inlineStr">
        <is>
          <t>undefined</t>
        </is>
      </c>
      <c r="S2058" t="inlineStr">
        <is>
          <t>undefined</t>
        </is>
      </c>
      <c r="T2058" t="inlineStr">
        <is>
          <t>0729238500976</t>
        </is>
      </c>
    </row>
    <row r="2059" hidden="1" ht="15.75" customHeight="1">
      <c r="A2059" s="2">
        <f>HYPERLINK("https://www.shiseido.com/us/en/eyelash-curler-pad-0729238500976.html?cgid=makeup", "https://www.shiseido.com/us/en/eyelash-curler-pad-0729238500976.html?cgid=makeup")</f>
        <v/>
      </c>
      <c r="B2059" s="2">
        <f>HYPERLINK("https://www.shiseido.com/us/en/eyelash-curler-pad-0729238500976.html", "https://www.shiseido.com/us/en/eyelash-curler-pad-0729238500976.html")</f>
        <v/>
      </c>
      <c r="C2059" t="inlineStr">
        <is>
          <t>Eyelash Curler Pad</t>
        </is>
      </c>
      <c r="D2059" t="inlineStr">
        <is>
          <t>Zhehao Eyelash Curler Refill Eyelash Curler Pad Silicone Rubber Curler Replacement Refill Pad for Universal Eyelash Curler with Clear Storage Box</t>
        </is>
      </c>
      <c r="E2059" s="2">
        <f>HYPERLINK("https://www.amazon.com/Zhehao-Refills-Silicone-Replacement-Universal/dp/B07G2YSWL9/ref=sr_1_1?keywords=Eyelash+Curler+Pad&amp;qid=1695170815&amp;sr=8-1", "https://www.amazon.com/Zhehao-Refills-Silicone-Replacement-Universal/dp/B07G2YSWL9/ref=sr_1_1?keywords=Eyelash+Curler+Pad&amp;qid=1695170815&amp;sr=8-1")</f>
        <v/>
      </c>
      <c r="F2059" t="inlineStr">
        <is>
          <t>B07G2YSWL9</t>
        </is>
      </c>
      <c r="G2059">
        <f>_xludf.IMAGE("https://shiseido.ipscdn.net/sa2/dw/image/v2/BBSK_PRD/on/demandware.static/-/Sites-itemmaster_shiseido/default/dw7a3e2271/images/hi-res/729238500976_A1.jpg?sw=540&amp;sh=540&amp;sm=fit")</f>
        <v/>
      </c>
      <c r="H2059">
        <f>_xludf.IMAGE("https://m.media-amazon.com/images/I/61tAPtFP5TL._AC_UL320_.jpg")</f>
        <v/>
      </c>
      <c r="K2059" t="inlineStr">
        <is>
          <t>6.0</t>
        </is>
      </c>
      <c r="L2059" t="n">
        <v>5.99</v>
      </c>
      <c r="M2059" s="1" t="inlineStr">
        <is>
          <t>-0.17%</t>
        </is>
      </c>
      <c r="N2059" s="3" t="n">
        <v>-0.17</v>
      </c>
      <c r="O2059" t="n">
        <v>4.3</v>
      </c>
      <c r="P2059" t="n">
        <v>6891</v>
      </c>
      <c r="R2059" t="inlineStr">
        <is>
          <t>undefined</t>
        </is>
      </c>
      <c r="S2059" t="inlineStr">
        <is>
          <t>undefined</t>
        </is>
      </c>
      <c r="T2059" t="inlineStr">
        <is>
          <t>0729238500976</t>
        </is>
      </c>
    </row>
    <row r="2060" hidden="1" ht="15.75" customHeight="1">
      <c r="A2060" s="2">
        <f>HYPERLINK("https://www.shiseido.com/us/en/eyelash-curler-pad-0729238500976.html?cgid=makeup", "https://www.shiseido.com/us/en/eyelash-curler-pad-0729238500976.html?cgid=makeup")</f>
        <v/>
      </c>
      <c r="B2060" s="2">
        <f>HYPERLINK("https://www.shiseido.com/us/en/eyelash-curler-pad-0729238500976.html", "https://www.shiseido.com/us/en/eyelash-curler-pad-0729238500976.html")</f>
        <v/>
      </c>
      <c r="C2060" t="inlineStr">
        <is>
          <t>Eyelash Curler Pad</t>
        </is>
      </c>
      <c r="D2060" t="inlineStr">
        <is>
          <t>80 Pieces Eyelash Curler Refills Pads Soft Curler Replacement Refills Pads for Universal Eyelash Curler (Rose Red, Purple, Pink and Dark Rose Red)</t>
        </is>
      </c>
      <c r="E2060" s="2" t="n"/>
      <c r="F2060" t="inlineStr">
        <is>
          <t>B088LRD3T2</t>
        </is>
      </c>
      <c r="G2060">
        <f>_xludf.IMAGE("https://shiseido.ipscdn.net/sa2/dw/image/v2/BBSK_PRD/on/demandware.static/-/Sites-itemmaster_shiseido/default/dw7a3e2271/images/hi-res/729238500976_A1.jpg?sw=540&amp;sh=540&amp;sm=fit")</f>
        <v/>
      </c>
      <c r="H2060">
        <f>_xludf.IMAGE("https://m.media-amazon.com/images/I/71rtmqanUcL._AC_UL320_.jpg")</f>
        <v/>
      </c>
      <c r="K2060" t="inlineStr">
        <is>
          <t>6.0</t>
        </is>
      </c>
      <c r="L2060" t="n">
        <v>5.49</v>
      </c>
      <c r="M2060" s="1" t="inlineStr">
        <is>
          <t>-8.50%</t>
        </is>
      </c>
      <c r="N2060" s="3" t="n">
        <v>-8.5</v>
      </c>
      <c r="O2060" t="n">
        <v>4.3</v>
      </c>
      <c r="P2060" t="n">
        <v>1774</v>
      </c>
      <c r="R2060" t="inlineStr">
        <is>
          <t>undefined</t>
        </is>
      </c>
      <c r="S2060" t="inlineStr">
        <is>
          <t>undefined</t>
        </is>
      </c>
      <c r="T2060" t="inlineStr">
        <is>
          <t>0729238500976</t>
        </is>
      </c>
    </row>
    <row r="2061" hidden="1" ht="15.75" customHeight="1">
      <c r="A2061" s="2">
        <f>HYPERLINK("https://www.shiseido.com/us/en/eyelash-curler-pad-0729238500976.html?cgid=makeup", "https://www.shiseido.com/us/en/eyelash-curler-pad-0729238500976.html?cgid=makeup")</f>
        <v/>
      </c>
      <c r="B2061" s="2">
        <f>HYPERLINK("https://www.shiseido.com/us/en/eyelash-curler-pad-0729238500976.html", "https://www.shiseido.com/us/en/eyelash-curler-pad-0729238500976.html")</f>
        <v/>
      </c>
      <c r="C2061" t="inlineStr">
        <is>
          <t>Eyelash Curler Pad</t>
        </is>
      </c>
      <c r="D2061" t="inlineStr">
        <is>
          <t>80 Pieces Eyelash Curler Refills Pads Soft Curler Replacement Refills Pads for Universal Eyelash Curler (Rose Red, Purple, Pink and Dark Rose Red)</t>
        </is>
      </c>
      <c r="E2061" s="2">
        <f>HYPERLINK("https://www.amazon.com/Pieces-Eyelash-Refills-Replacement-Universal/dp/B088LRD3T2/ref=sr_1_4?keywords=Eyelash+Curler+Pad&amp;qid=1695170815&amp;sr=8-4", "https://www.amazon.com/Pieces-Eyelash-Refills-Replacement-Universal/dp/B088LRD3T2/ref=sr_1_4?keywords=Eyelash+Curler+Pad&amp;qid=1695170815&amp;sr=8-4")</f>
        <v/>
      </c>
      <c r="F2061" t="inlineStr">
        <is>
          <t>B088LRD3T2</t>
        </is>
      </c>
      <c r="G2061">
        <f>_xludf.IMAGE("https://shiseido.ipscdn.net/sa2/dw/image/v2/BBSK_PRD/on/demandware.static/-/Sites-itemmaster_shiseido/default/dw7a3e2271/images/hi-res/729238500976_A1.jpg?sw=540&amp;sh=540&amp;sm=fit")</f>
        <v/>
      </c>
      <c r="H2061">
        <f>_xludf.IMAGE("https://m.media-amazon.com/images/I/71rtmqanUcL._AC_UL320_.jpg")</f>
        <v/>
      </c>
      <c r="K2061" t="inlineStr">
        <is>
          <t>6.0</t>
        </is>
      </c>
      <c r="L2061" t="n">
        <v>5.49</v>
      </c>
      <c r="M2061" s="1" t="inlineStr">
        <is>
          <t>-8.50%</t>
        </is>
      </c>
      <c r="N2061" s="3" t="n">
        <v>-8.5</v>
      </c>
      <c r="O2061" t="n">
        <v>4.3</v>
      </c>
      <c r="P2061" t="n">
        <v>1774</v>
      </c>
      <c r="R2061" t="inlineStr">
        <is>
          <t>undefined</t>
        </is>
      </c>
      <c r="S2061" t="inlineStr">
        <is>
          <t>undefined</t>
        </is>
      </c>
      <c r="T2061" t="inlineStr">
        <is>
          <t>0729238500976</t>
        </is>
      </c>
    </row>
    <row r="2062" hidden="1" ht="15.75" customHeight="1">
      <c r="A2062" s="2">
        <f>HYPERLINK("https://www.shiseido.com/us/en/essentials-perfect-cleansing-oil-9990000000122.html?cgid=makeup", "https://www.shiseido.com/us/en/essentials-perfect-cleansing-oil-9990000000122.html?cgid=makeup")</f>
        <v/>
      </c>
      <c r="B2062" s="2">
        <f>HYPERLINK("https://www.shiseido.com/us/en/essentials-perfect-cleansing-oil-9990000000122.html", "https://www.shiseido.com/us/en/essentials-perfect-cleansing-oil-9990000000122.html")</f>
        <v/>
      </c>
      <c r="C2062" t="inlineStr">
        <is>
          <t>Perfect Cleansing Oil</t>
        </is>
      </c>
      <c r="D2062" t="inlineStr">
        <is>
          <t>Paula's Choice Perfect Cleansing Oil with Jojoba, Sunflower &amp; Coconut Oil Cleanser Face Wash for Dry Skin, 4 Ounce</t>
        </is>
      </c>
      <c r="E2062" s="2">
        <f>HYPERLINK("https://www.amazon.com/Paulas-Choice-Cleansing-Sunflower-Combination/dp/B075MSFJ44/ref=sr_1_1?keywords=Perfect+Cleansing+Oil&amp;qid=1695170815&amp;sr=8-1", "https://www.amazon.com/Paulas-Choice-Cleansing-Sunflower-Combination/dp/B075MSFJ44/ref=sr_1_1?keywords=Perfect+Cleansing+Oil&amp;qid=1695170815&amp;sr=8-1")</f>
        <v/>
      </c>
      <c r="F2062" t="inlineStr">
        <is>
          <t>B075MSFJ44</t>
        </is>
      </c>
      <c r="G2062">
        <f>_xludf.IMAGE("https://shiseido.ipscdn.net/sa2/dw/image/v2/BBSK_PRD/on/demandware.static/-/Sites-itemmaster_shiseido/default/dw02efb3dd/images/2022/July/Top25/9990000000122_3.jpg?sw=540&amp;sh=540&amp;sm=fit")</f>
        <v/>
      </c>
      <c r="H2062">
        <f>_xludf.IMAGE("https://m.media-amazon.com/images/I/61SLbxrow5L._AC_UL320_.jpg")</f>
        <v/>
      </c>
      <c r="K2062" t="inlineStr">
        <is>
          <t>35.0</t>
        </is>
      </c>
      <c r="L2062" t="n">
        <v>29</v>
      </c>
      <c r="M2062" s="1" t="inlineStr">
        <is>
          <t>-17.14%</t>
        </is>
      </c>
      <c r="N2062" s="3" t="n">
        <v>-17.14</v>
      </c>
      <c r="O2062" t="n">
        <v>4.4</v>
      </c>
      <c r="P2062" t="n">
        <v>132</v>
      </c>
      <c r="R2062" t="inlineStr">
        <is>
          <t>undefined</t>
        </is>
      </c>
      <c r="S2062" t="inlineStr">
        <is>
          <t>undefined</t>
        </is>
      </c>
      <c r="T2062" t="inlineStr">
        <is>
          <t>0730852143418</t>
        </is>
      </c>
    </row>
    <row r="2063" hidden="1" ht="15.75" customHeight="1">
      <c r="A2063" s="2">
        <f>HYPERLINK("https://www.shiseido.com/us/en/facial-cotton-0729238722026.html?cgid=makeup", "https://www.shiseido.com/us/en/facial-cotton-0729238722026.html?cgid=makeup")</f>
        <v/>
      </c>
      <c r="B2063" s="2">
        <f>HYPERLINK("https://www.shiseido.com/us/en/facial-cotton-0729238722026.html", "https://www.shiseido.com/us/en/facial-cotton-0729238722026.html")</f>
        <v/>
      </c>
      <c r="C2063" t="inlineStr">
        <is>
          <t>Facial Cotton</t>
        </is>
      </c>
      <c r="D2063" t="inlineStr">
        <is>
          <t>Rael Skin Care, Cotton Pads for Face - Facial Sponge Pads, Square Cotton Pads for Face Toner, Makeup Remover and Facial Cleansing, Lint Free, Soft and Thin, Rayon (200 Count)</t>
        </is>
      </c>
      <c r="E2063" s="2" t="n"/>
      <c r="F2063" t="inlineStr">
        <is>
          <t>B087CBSZZJ</t>
        </is>
      </c>
      <c r="G2063">
        <f>_xludf.IMAGE("https://shiseido.ipscdn.net/sa2/dw/image/v2/BBSK_PRD/on/demandware.static/-/Sites-itemmaster_shiseido/default/dw4622fd90/images/2022/July/Top25/0729238722026_5.jpg?sw=540&amp;sh=540&amp;sm=fit")</f>
        <v/>
      </c>
      <c r="H2063">
        <f>_xludf.IMAGE("https://m.media-amazon.com/images/I/61NWJjXfJdL._AC_UL320_.jpg")</f>
        <v/>
      </c>
      <c r="K2063" t="inlineStr">
        <is>
          <t>13.0</t>
        </is>
      </c>
      <c r="L2063" t="n">
        <v>9.99</v>
      </c>
      <c r="M2063" s="1" t="inlineStr">
        <is>
          <t>-23.15%</t>
        </is>
      </c>
      <c r="N2063" s="3" t="n">
        <v>-23.15</v>
      </c>
      <c r="O2063" t="n">
        <v>4.2</v>
      </c>
      <c r="P2063" t="n">
        <v>1164</v>
      </c>
      <c r="R2063" t="inlineStr">
        <is>
          <t>undefined</t>
        </is>
      </c>
      <c r="S2063" t="inlineStr">
        <is>
          <t>undefined</t>
        </is>
      </c>
      <c r="T2063" t="inlineStr">
        <is>
          <t>0729238722026</t>
        </is>
      </c>
    </row>
    <row r="2064" hidden="1" ht="15.75" customHeight="1">
      <c r="A2064" s="2">
        <f>HYPERLINK("https://www.shiseido.com/us/en/facial-cotton-0729238722026.html?cgid=makeup", "https://www.shiseido.com/us/en/facial-cotton-0729238722026.html?cgid=makeup")</f>
        <v/>
      </c>
      <c r="B2064" s="2">
        <f>HYPERLINK("https://www.shiseido.com/us/en/facial-cotton-0729238722026.html", "https://www.shiseido.com/us/en/facial-cotton-0729238722026.html")</f>
        <v/>
      </c>
      <c r="C2064" t="inlineStr">
        <is>
          <t>Facial Cotton</t>
        </is>
      </c>
      <c r="D2064" t="inlineStr">
        <is>
          <t>R-NEU 400 Cotton Rounds, 100% Natural Turkish Cotton Makeup Remover and Facial Cleansing Cotton Round Pads, Waffle Textured Hypoallergenic Cotton Wipes, 2.25 Inch Diameter (400 Pack)</t>
        </is>
      </c>
      <c r="E2064" s="2">
        <f>HYPERLINK("https://www.amazon.com/R-NEU-Cleansing-Textured-Hypoallergenic-Diameter/dp/B07TK2PSJF/ref=sr_1_4?keywords=Facial+Cotton&amp;qid=1695170817&amp;sr=8-4", "https://www.amazon.com/R-NEU-Cleansing-Textured-Hypoallergenic-Diameter/dp/B07TK2PSJF/ref=sr_1_4?keywords=Facial+Cotton&amp;qid=1695170817&amp;sr=8-4")</f>
        <v/>
      </c>
      <c r="F2064" t="inlineStr">
        <is>
          <t>B07TK2PSJF</t>
        </is>
      </c>
      <c r="G2064">
        <f>_xludf.IMAGE("https://shiseido.ipscdn.net/sa2/dw/image/v2/BBSK_PRD/on/demandware.static/-/Sites-itemmaster_shiseido/default/dw4622fd90/images/2022/July/Top25/0729238722026_5.jpg?sw=540&amp;sh=540&amp;sm=fit")</f>
        <v/>
      </c>
      <c r="H2064">
        <f>_xludf.IMAGE("https://m.media-amazon.com/images/I/61JPJal3FNS._AC_UL320_.jpg")</f>
        <v/>
      </c>
      <c r="K2064" t="inlineStr">
        <is>
          <t>13.0</t>
        </is>
      </c>
      <c r="L2064" t="n">
        <v>9.99</v>
      </c>
      <c r="M2064" s="1" t="inlineStr">
        <is>
          <t>-23.15%</t>
        </is>
      </c>
      <c r="N2064" s="3" t="n">
        <v>-23.15</v>
      </c>
      <c r="O2064" t="n">
        <v>4.6</v>
      </c>
      <c r="P2064" t="n">
        <v>17947</v>
      </c>
      <c r="R2064" t="inlineStr">
        <is>
          <t>undefined</t>
        </is>
      </c>
      <c r="S2064" t="inlineStr">
        <is>
          <t>undefined</t>
        </is>
      </c>
      <c r="T2064" t="inlineStr">
        <is>
          <t>0729238722026</t>
        </is>
      </c>
    </row>
    <row r="2065" hidden="1" ht="15.75" customHeight="1">
      <c r="A2065" s="2">
        <f>HYPERLINK("https://www.shiseido.com/us/en/eyelash-curler-pad-0729238500976.html?cgid=makeup", "https://www.shiseido.com/us/en/eyelash-curler-pad-0729238500976.html?cgid=makeup")</f>
        <v/>
      </c>
      <c r="B2065" s="2">
        <f>HYPERLINK("https://www.shiseido.com/us/en/eyelash-curler-pad-0729238500976.html", "https://www.shiseido.com/us/en/eyelash-curler-pad-0729238500976.html")</f>
        <v/>
      </c>
      <c r="C2065" t="inlineStr">
        <is>
          <t>Eyelash Curler Pad</t>
        </is>
      </c>
      <c r="D2065" t="inlineStr">
        <is>
          <t>20pcs Universal Soft Silicone Eyelash Curler Replacement Pads Refill Pads for Eyelash Curler - Black, BK-10533</t>
        </is>
      </c>
      <c r="E2065" s="2">
        <f>HYPERLINK("https://www.amazon.com/Universal-Silicone-Eyelash-Curler-Replacement/dp/B09BZ1LYTJ/ref=sr_1_2?keywords=Eyelash+Curler+Pad&amp;qid=1695170815&amp;sr=8-2", "https://www.amazon.com/Universal-Silicone-Eyelash-Curler-Replacement/dp/B09BZ1LYTJ/ref=sr_1_2?keywords=Eyelash+Curler+Pad&amp;qid=1695170815&amp;sr=8-2")</f>
        <v/>
      </c>
      <c r="F2065" t="inlineStr">
        <is>
          <t>B09BZ1LYTJ</t>
        </is>
      </c>
      <c r="G2065">
        <f>_xludf.IMAGE("https://shiseido.ipscdn.net/sa2/dw/image/v2/BBSK_PRD/on/demandware.static/-/Sites-itemmaster_shiseido/default/dw7a3e2271/images/hi-res/729238500976_A1.jpg?sw=540&amp;sh=540&amp;sm=fit")</f>
        <v/>
      </c>
      <c r="H2065">
        <f>_xludf.IMAGE("https://m.media-amazon.com/images/I/51hdo76QTiL._AC_UL320_.jpg")</f>
        <v/>
      </c>
      <c r="K2065" t="inlineStr">
        <is>
          <t>6.0</t>
        </is>
      </c>
      <c r="L2065" t="n">
        <v>4.39</v>
      </c>
      <c r="M2065" s="1" t="inlineStr">
        <is>
          <t>-26.83%</t>
        </is>
      </c>
      <c r="N2065" s="3" t="n">
        <v>-26.83</v>
      </c>
      <c r="O2065" t="n">
        <v>4</v>
      </c>
      <c r="P2065" t="n">
        <v>182</v>
      </c>
      <c r="R2065" t="inlineStr">
        <is>
          <t>undefined</t>
        </is>
      </c>
      <c r="S2065" t="inlineStr">
        <is>
          <t>undefined</t>
        </is>
      </c>
      <c r="T2065" t="inlineStr">
        <is>
          <t>0729238500976</t>
        </is>
      </c>
    </row>
    <row r="2066" hidden="1" ht="15.75" customHeight="1">
      <c r="A2066" s="2">
        <f>HYPERLINK("https://www.shiseido.com/us/en/eyelash-curler-pad-0729238500976.html?cgid=makeup", "https://www.shiseido.com/us/en/eyelash-curler-pad-0729238500976.html?cgid=makeup")</f>
        <v/>
      </c>
      <c r="B2066" s="2">
        <f>HYPERLINK("https://www.shiseido.com/us/en/eyelash-curler-pad-0729238500976.html", "https://www.shiseido.com/us/en/eyelash-curler-pad-0729238500976.html")</f>
        <v/>
      </c>
      <c r="C2066" t="inlineStr">
        <is>
          <t>Eyelash Curler Pad</t>
        </is>
      </c>
      <c r="D2066" t="inlineStr">
        <is>
          <t>Eyelash Curler Refills, 50Pcs Eyelash Curler Pads, Silicone Rubber Eye Lash Curler Refills for Universal Eyelash Curlers with a Clear Storage Box (Black)</t>
        </is>
      </c>
      <c r="E2066" s="2">
        <f>HYPERLINK("https://www.amazon.com/Yumflan-Eyelash-Refills-Silicone-Universal/dp/B0C65Q8M85/ref=sr_1_5?keywords=Eyelash+Curler+Pad&amp;qid=1695170815&amp;sr=8-5", "https://www.amazon.com/Yumflan-Eyelash-Refills-Silicone-Universal/dp/B0C65Q8M85/ref=sr_1_5?keywords=Eyelash+Curler+Pad&amp;qid=1695170815&amp;sr=8-5")</f>
        <v/>
      </c>
      <c r="F2066" t="inlineStr">
        <is>
          <t>B0C65Q8M85</t>
        </is>
      </c>
      <c r="G2066">
        <f>_xludf.IMAGE("https://shiseido.ipscdn.net/sa2/dw/image/v2/BBSK_PRD/on/demandware.static/-/Sites-itemmaster_shiseido/default/dw7a3e2271/images/hi-res/729238500976_A1.jpg?sw=540&amp;sh=540&amp;sm=fit")</f>
        <v/>
      </c>
      <c r="H2066">
        <f>_xludf.IMAGE("https://m.media-amazon.com/images/I/71eCMCszpPL._AC_UL320_.jpg")</f>
        <v/>
      </c>
      <c r="K2066" t="inlineStr">
        <is>
          <t>6.0</t>
        </is>
      </c>
      <c r="L2066" t="n">
        <v>3.99</v>
      </c>
      <c r="M2066" s="1" t="inlineStr">
        <is>
          <t>-33.50%</t>
        </is>
      </c>
      <c r="N2066" s="3" t="n">
        <v>-33.5</v>
      </c>
      <c r="O2066" t="n">
        <v>3.5</v>
      </c>
      <c r="P2066" t="n">
        <v>3</v>
      </c>
      <c r="R2066" t="inlineStr">
        <is>
          <t>undefined</t>
        </is>
      </c>
      <c r="S2066" t="inlineStr">
        <is>
          <t>undefined</t>
        </is>
      </c>
      <c r="T2066" t="inlineStr">
        <is>
          <t>0729238500976</t>
        </is>
      </c>
    </row>
    <row r="2067" hidden="1" ht="15.75" customHeight="1">
      <c r="A2067" s="2">
        <f>HYPERLINK("https://www.shiseido.com/us/en/essentials-perfect-cleansing-oil-9990000000122.html?cgid=makeup", "https://www.shiseido.com/us/en/essentials-perfect-cleansing-oil-9990000000122.html?cgid=makeup")</f>
        <v/>
      </c>
      <c r="B2067" s="2">
        <f>HYPERLINK("https://www.shiseido.com/us/en/essentials-perfect-cleansing-oil-9990000000122.html", "https://www.shiseido.com/us/en/essentials-perfect-cleansing-oil-9990000000122.html")</f>
        <v/>
      </c>
      <c r="C2067" t="inlineStr">
        <is>
          <t>Perfect Cleansing Oil</t>
        </is>
      </c>
      <c r="D2067" t="inlineStr">
        <is>
          <t>SKINFOOD Egg Perfect Pore Cleansing Oil 200ml - Light &amp; Gentle Makeup Cleanser - Removing Impurities, Deep Pore Cleansing &amp; Absorbong Sebum, Skin Purifying for Oily Skin (6.76 fl.oz.)</t>
        </is>
      </c>
      <c r="E2067" s="2">
        <f>HYPERLINK("https://www.amazon.com/SKINFOOD-White-Perfect-Pore-Cleansing/dp/B075XD97L9/ref=sr_1_5?keywords=Perfect+Cleansing+Oil&amp;qid=1695170815&amp;sr=8-5", "https://www.amazon.com/SKINFOOD-White-Perfect-Pore-Cleansing/dp/B075XD97L9/ref=sr_1_5?keywords=Perfect+Cleansing+Oil&amp;qid=1695170815&amp;sr=8-5")</f>
        <v/>
      </c>
      <c r="F2067" t="inlineStr">
        <is>
          <t>B075XD97L9</t>
        </is>
      </c>
      <c r="G2067">
        <f>_xludf.IMAGE("https://shiseido.ipscdn.net/sa2/dw/image/v2/BBSK_PRD/on/demandware.static/-/Sites-itemmaster_shiseido/default/dw02efb3dd/images/2022/July/Top25/9990000000122_3.jpg?sw=540&amp;sh=540&amp;sm=fit")</f>
        <v/>
      </c>
      <c r="H2067">
        <f>_xludf.IMAGE("https://m.media-amazon.com/images/I/41d1H2lGITL._AC_UL320_.jpg")</f>
        <v/>
      </c>
      <c r="K2067" t="inlineStr">
        <is>
          <t>35.0</t>
        </is>
      </c>
      <c r="L2067" t="n">
        <v>23</v>
      </c>
      <c r="M2067" s="1" t="inlineStr">
        <is>
          <t>-34.29%</t>
        </is>
      </c>
      <c r="N2067" s="3" t="n">
        <v>-34.29</v>
      </c>
      <c r="O2067" t="n">
        <v>4.3</v>
      </c>
      <c r="P2067" t="n">
        <v>54</v>
      </c>
      <c r="R2067" t="inlineStr">
        <is>
          <t>undefined</t>
        </is>
      </c>
      <c r="S2067" t="inlineStr">
        <is>
          <t>undefined</t>
        </is>
      </c>
      <c r="T2067" t="inlineStr">
        <is>
          <t>0730852143418</t>
        </is>
      </c>
    </row>
    <row r="2068" hidden="1" ht="15.75" customHeight="1">
      <c r="A2068" s="2">
        <f>HYPERLINK("https://www.shiseido.com/us/en/eyelash-curler-0729238500969.html?cgid=makeup", "https://www.shiseido.com/us/en/eyelash-curler-0729238500969.html?cgid=makeup")</f>
        <v/>
      </c>
      <c r="B2068" s="2">
        <f>HYPERLINK("https://www.shiseido.com/us/en/eyelash-curler-0729238500969.html", "https://www.shiseido.com/us/en/eyelash-curler-0729238500969.html")</f>
        <v/>
      </c>
      <c r="C2068" t="inlineStr">
        <is>
          <t>Eyelash Curler</t>
        </is>
      </c>
      <c r="D2068" t="inlineStr">
        <is>
          <t>Tweezerman Neon Great Grip Eyelash Curler, Pink, 0.3 Oz</t>
        </is>
      </c>
      <c r="E2068" s="2">
        <f>HYPERLINK("https://www.amazon.com/TWEEZERMAN-Great-Eyelash-Curler-Ounce/dp/B00YRBWSNK/ref=sr_1_10?keywords=Eyelash+Curler&amp;qid=1695170815&amp;sr=8-10", "https://www.amazon.com/TWEEZERMAN-Great-Eyelash-Curler-Ounce/dp/B00YRBWSNK/ref=sr_1_10?keywords=Eyelash+Curler&amp;qid=1695170815&amp;sr=8-10")</f>
        <v/>
      </c>
      <c r="F2068" t="inlineStr">
        <is>
          <t>B00YRBWSNK</t>
        </is>
      </c>
      <c r="G2068">
        <f>_xludf.IMAGE("https://shiseido.ipscdn.net/sa2/dw/image/v2/BBSK_PRD/on/demandware.static/-/Sites-itemmaster_shiseido/default/dw1c9fffb7/images/2022/July/Top25/0729238500969_6.jpg?sw=540&amp;sh=540&amp;sm=fit")</f>
        <v/>
      </c>
      <c r="H2068">
        <f>_xludf.IMAGE("https://m.media-amazon.com/images/I/61vYisz5WwL._AC_UL320_.jpg")</f>
        <v/>
      </c>
      <c r="K2068" t="inlineStr">
        <is>
          <t>24.0</t>
        </is>
      </c>
      <c r="L2068" t="n">
        <v>14.99</v>
      </c>
      <c r="M2068" s="1" t="inlineStr">
        <is>
          <t>-37.54%</t>
        </is>
      </c>
      <c r="N2068" s="3" t="n">
        <v>-37.54</v>
      </c>
      <c r="O2068" t="n">
        <v>4.6</v>
      </c>
      <c r="P2068" t="n">
        <v>3319</v>
      </c>
      <c r="R2068" t="inlineStr">
        <is>
          <t>undefined</t>
        </is>
      </c>
      <c r="S2068" t="inlineStr">
        <is>
          <t>undefined</t>
        </is>
      </c>
      <c r="T2068" t="inlineStr">
        <is>
          <t>0729238500969</t>
        </is>
      </c>
    </row>
    <row r="2069" hidden="1" ht="15.75" customHeight="1">
      <c r="A2069" s="2">
        <f>HYPERLINK("https://www.shiseido.com/us/en/eyelash-curler-0729238500969.html?cgid=makeup", "https://www.shiseido.com/us/en/eyelash-curler-0729238500969.html?cgid=makeup")</f>
        <v/>
      </c>
      <c r="B2069" s="2">
        <f>HYPERLINK("https://www.shiseido.com/us/en/eyelash-curler-0729238500969.html", "https://www.shiseido.com/us/en/eyelash-curler-0729238500969.html")</f>
        <v/>
      </c>
      <c r="C2069" t="inlineStr">
        <is>
          <t>Eyelash Curler</t>
        </is>
      </c>
      <c r="D2069" t="inlineStr">
        <is>
          <t>Tweezerman Classic Eyelash Curler Model No. 1034-R, Stainless Steel</t>
        </is>
      </c>
      <c r="E2069" s="2">
        <f>HYPERLINK("https://www.amazon.com/Tweezerman-Classic-Eyelash-Curler-1034-R/dp/B000EMWHD2/ref=sr_1_3?keywords=Eyelash+Curler&amp;qid=1695170815&amp;sr=8-3", "https://www.amazon.com/Tweezerman-Classic-Eyelash-Curler-1034-R/dp/B000EMWHD2/ref=sr_1_3?keywords=Eyelash+Curler&amp;qid=1695170815&amp;sr=8-3")</f>
        <v/>
      </c>
      <c r="F2069" t="inlineStr">
        <is>
          <t>B000EMWHD2</t>
        </is>
      </c>
      <c r="G2069">
        <f>_xludf.IMAGE("https://shiseido.ipscdn.net/sa2/dw/image/v2/BBSK_PRD/on/demandware.static/-/Sites-itemmaster_shiseido/default/dw1c9fffb7/images/2022/July/Top25/0729238500969_6.jpg?sw=540&amp;sh=540&amp;sm=fit")</f>
        <v/>
      </c>
      <c r="H2069">
        <f>_xludf.IMAGE("https://m.media-amazon.com/images/I/613uQYdBKJL._AC_UL320_.jpg")</f>
        <v/>
      </c>
      <c r="K2069" t="inlineStr">
        <is>
          <t>24.0</t>
        </is>
      </c>
      <c r="L2069" t="n">
        <v>13.99</v>
      </c>
      <c r="M2069" s="1" t="inlineStr">
        <is>
          <t>-41.71%</t>
        </is>
      </c>
      <c r="N2069" s="3" t="n">
        <v>-41.71</v>
      </c>
      <c r="O2069" t="n">
        <v>4.6</v>
      </c>
      <c r="P2069" t="n">
        <v>8051</v>
      </c>
      <c r="R2069" t="inlineStr">
        <is>
          <t>undefined</t>
        </is>
      </c>
      <c r="S2069" t="inlineStr">
        <is>
          <t>undefined</t>
        </is>
      </c>
      <c r="T2069" t="inlineStr">
        <is>
          <t>0729238500969</t>
        </is>
      </c>
    </row>
    <row r="2070" hidden="1" ht="15.75" customHeight="1">
      <c r="A2070" s="2">
        <f>HYPERLINK("https://www.shiseido.com/us/en/facial-cotton-0729238722026.html?cgid=makeup", "https://www.shiseido.com/us/en/facial-cotton-0729238722026.html?cgid=makeup")</f>
        <v/>
      </c>
      <c r="B2070" s="2">
        <f>HYPERLINK("https://www.shiseido.com/us/en/facial-cotton-0729238722026.html", "https://www.shiseido.com/us/en/facial-cotton-0729238722026.html")</f>
        <v/>
      </c>
      <c r="C2070" t="inlineStr">
        <is>
          <t>Facial Cotton</t>
        </is>
      </c>
      <c r="D2070" t="inlineStr">
        <is>
          <t>OMSM Cotton Pads, Facial Lip &amp; Eye Makeup Remover Pads,100% Pure Cotton Effective Cosmetic Cotton Squares,Hypoallergenic, Lint-Free(222PCS)</t>
        </is>
      </c>
      <c r="E2070" s="2">
        <f>HYPERLINK("https://www.amazon.com/Remover-Effective-Cosmetic-Hypoallergenic-Lint-Free/dp/B08FMHL1KH/ref=sr_1_3?keywords=Facial+Cotton&amp;qid=1695170817&amp;sr=8-3", "https://www.amazon.com/Remover-Effective-Cosmetic-Hypoallergenic-Lint-Free/dp/B08FMHL1KH/ref=sr_1_3?keywords=Facial+Cotton&amp;qid=1695170817&amp;sr=8-3")</f>
        <v/>
      </c>
      <c r="F2070" t="inlineStr">
        <is>
          <t>B08FMHL1KH</t>
        </is>
      </c>
      <c r="G2070">
        <f>_xludf.IMAGE("https://shiseido.ipscdn.net/sa2/dw/image/v2/BBSK_PRD/on/demandware.static/-/Sites-itemmaster_shiseido/default/dw4622fd90/images/2022/July/Top25/0729238722026_5.jpg?sw=540&amp;sh=540&amp;sm=fit")</f>
        <v/>
      </c>
      <c r="H2070">
        <f>_xludf.IMAGE("https://m.media-amazon.com/images/I/61gsRec5XHL._AC_UL320_.jpg")</f>
        <v/>
      </c>
      <c r="K2070" t="inlineStr">
        <is>
          <t>13.0</t>
        </is>
      </c>
      <c r="L2070" t="n">
        <v>7.49</v>
      </c>
      <c r="M2070" s="1" t="inlineStr">
        <is>
          <t>-42.38%</t>
        </is>
      </c>
      <c r="N2070" s="3" t="n">
        <v>-42.38</v>
      </c>
      <c r="O2070" t="n">
        <v>4.6</v>
      </c>
      <c r="P2070" t="n">
        <v>1505</v>
      </c>
      <c r="R2070" t="inlineStr">
        <is>
          <t>undefined</t>
        </is>
      </c>
      <c r="S2070" t="inlineStr">
        <is>
          <t>undefined</t>
        </is>
      </c>
      <c r="T2070" t="inlineStr">
        <is>
          <t>0729238722026</t>
        </is>
      </c>
    </row>
    <row r="2071" hidden="1" ht="15.75" customHeight="1">
      <c r="A2071" s="2">
        <f>HYPERLINK("https://www.shiseido.com/us/en/essentials-perfect-cleansing-oil-9990000000122.html?cgid=makeup", "https://www.shiseido.com/us/en/essentials-perfect-cleansing-oil-9990000000122.html?cgid=makeup")</f>
        <v/>
      </c>
      <c r="B2071" s="2">
        <f>HYPERLINK("https://www.shiseido.com/us/en/essentials-perfect-cleansing-oil-9990000000122.html", "https://www.shiseido.com/us/en/essentials-perfect-cleansing-oil-9990000000122.html")</f>
        <v/>
      </c>
      <c r="C2071" t="inlineStr">
        <is>
          <t>Perfect Cleansing Oil</t>
        </is>
      </c>
      <c r="D2071" t="inlineStr">
        <is>
          <t>VIDIVICI Face Clear Perfect Cleansing Foam – Gentle Face Wash with Hyaluronic Acid and Moringa Seed Oil – Hydrating Foaming Cleanser – Soft, Fluffy Foam 4.06oz.</t>
        </is>
      </c>
      <c r="E2071" s="2">
        <f>HYPERLINK("https://www.amazon.com/VIDIVICI-Face-Clear-Perfect-Cleansing/dp/B09TQB14QM/ref=sr_1_7?keywords=Perfect+Cleansing+Oil&amp;qid=1695170815&amp;sr=8-7", "https://www.amazon.com/VIDIVICI-Face-Clear-Perfect-Cleansing/dp/B09TQB14QM/ref=sr_1_7?keywords=Perfect+Cleansing+Oil&amp;qid=1695170815&amp;sr=8-7")</f>
        <v/>
      </c>
      <c r="F2071" t="inlineStr">
        <is>
          <t>B09TQB14QM</t>
        </is>
      </c>
      <c r="G2071">
        <f>_xludf.IMAGE("https://shiseido.ipscdn.net/sa2/dw/image/v2/BBSK_PRD/on/demandware.static/-/Sites-itemmaster_shiseido/default/dw02efb3dd/images/2022/July/Top25/9990000000122_3.jpg?sw=540&amp;sh=540&amp;sm=fit")</f>
        <v/>
      </c>
      <c r="H2071">
        <f>_xludf.IMAGE("https://m.media-amazon.com/images/I/515PF+f0FIL._AC_UL320_.jpg")</f>
        <v/>
      </c>
      <c r="K2071" t="inlineStr">
        <is>
          <t>35.0</t>
        </is>
      </c>
      <c r="L2071" t="n">
        <v>20</v>
      </c>
      <c r="M2071" s="1" t="inlineStr">
        <is>
          <t>-42.86%</t>
        </is>
      </c>
      <c r="N2071" s="3" t="n">
        <v>-42.86</v>
      </c>
      <c r="O2071" t="n">
        <v>4.6</v>
      </c>
      <c r="P2071" t="n">
        <v>35</v>
      </c>
      <c r="R2071" t="inlineStr">
        <is>
          <t>undefined</t>
        </is>
      </c>
      <c r="S2071" t="inlineStr">
        <is>
          <t>undefined</t>
        </is>
      </c>
      <c r="T2071" t="inlineStr">
        <is>
          <t>0730852143418</t>
        </is>
      </c>
    </row>
    <row r="2072" hidden="1" ht="15.75" customHeight="1">
      <c r="A2072" s="2">
        <f>HYPERLINK("https://www.shiseido.com/us/en/essentials-perfect-cleansing-oil-9990000000122.html?cgid=makeup", "https://www.shiseido.com/us/en/essentials-perfect-cleansing-oil-9990000000122.html?cgid=makeup")</f>
        <v/>
      </c>
      <c r="B2072" s="2">
        <f>HYPERLINK("https://www.shiseido.com/us/en/essentials-perfect-cleansing-oil-9990000000122.html", "https://www.shiseido.com/us/en/essentials-perfect-cleansing-oil-9990000000122.html")</f>
        <v/>
      </c>
      <c r="C2072" t="inlineStr">
        <is>
          <t>Perfect Cleansing Oil</t>
        </is>
      </c>
      <c r="D2072" t="inlineStr">
        <is>
          <t>MyCHELLE Dermaceuticals Perfect C Cleansing Oil, 4.2 Fl Oz - Facial Cleanser with Vitamin C L-Ascorbic Acid, Baobab Oil &amp; Tamanu Oil to Restore &amp; Hydrate Your Skin</t>
        </is>
      </c>
      <c r="E2072" s="2">
        <f>HYPERLINK("https://www.amazon.com/MyChelle-Perfect-Cleansing-Hydrating-L-Ascorbic/dp/B074M2WZN5/ref=sr_1_4?keywords=Perfect+Cleansing+Oil&amp;qid=1695170815&amp;sr=8-4", "https://www.amazon.com/MyChelle-Perfect-Cleansing-Hydrating-L-Ascorbic/dp/B074M2WZN5/ref=sr_1_4?keywords=Perfect+Cleansing+Oil&amp;qid=1695170815&amp;sr=8-4")</f>
        <v/>
      </c>
      <c r="F2072" t="inlineStr">
        <is>
          <t>B074M2WZN5</t>
        </is>
      </c>
      <c r="G2072">
        <f>_xludf.IMAGE("https://shiseido.ipscdn.net/sa2/dw/image/v2/BBSK_PRD/on/demandware.static/-/Sites-itemmaster_shiseido/default/dw02efb3dd/images/2022/July/Top25/9990000000122_3.jpg?sw=540&amp;sh=540&amp;sm=fit")</f>
        <v/>
      </c>
      <c r="H2072">
        <f>_xludf.IMAGE("https://m.media-amazon.com/images/I/615fNH26PNL._AC_UL320_.jpg")</f>
        <v/>
      </c>
      <c r="K2072" t="inlineStr">
        <is>
          <t>35.0</t>
        </is>
      </c>
      <c r="L2072" t="n">
        <v>19.99</v>
      </c>
      <c r="M2072" s="1" t="inlineStr">
        <is>
          <t>-42.89%</t>
        </is>
      </c>
      <c r="N2072" s="3" t="n">
        <v>-42.89</v>
      </c>
      <c r="O2072" t="n">
        <v>4.6</v>
      </c>
      <c r="P2072" t="n">
        <v>996</v>
      </c>
      <c r="R2072" t="inlineStr">
        <is>
          <t>undefined</t>
        </is>
      </c>
      <c r="S2072" t="inlineStr">
        <is>
          <t>undefined</t>
        </is>
      </c>
      <c r="T2072" t="inlineStr">
        <is>
          <t>0730852143418</t>
        </is>
      </c>
    </row>
    <row r="2073" hidden="1" ht="15.75" customHeight="1">
      <c r="A2073" s="2">
        <f>HYPERLINK("https://www.shiseido.com/us/en/essentials-perfect-cleansing-oil-9990000000122.html?cgid=makeup", "https://www.shiseido.com/us/en/essentials-perfect-cleansing-oil-9990000000122.html?cgid=makeup")</f>
        <v/>
      </c>
      <c r="B2073" s="2">
        <f>HYPERLINK("https://www.shiseido.com/us/en/essentials-perfect-cleansing-oil-9990000000122.html", "https://www.shiseido.com/us/en/essentials-perfect-cleansing-oil-9990000000122.html")</f>
        <v/>
      </c>
      <c r="C2073" t="inlineStr">
        <is>
          <t>Perfect Cleansing Oil</t>
        </is>
      </c>
      <c r="D2073" t="inlineStr">
        <is>
          <t>ETUDE Real Art Cleansing Oil Perfect 185ml | Gel serum type moist cleansing oil effectively removing thick makeup and pore impurities with a moist and fresh finish</t>
        </is>
      </c>
      <c r="E2073" s="2">
        <f>HYPERLINK("https://www.amazon.com/Cleansing-cleansing-effectively-removing-impurities/dp/B089NWQ5WR/ref=sr_1_2?keywords=Perfect+Cleansing+Oil&amp;qid=1695170815&amp;sr=8-2", "https://www.amazon.com/Cleansing-cleansing-effectively-removing-impurities/dp/B089NWQ5WR/ref=sr_1_2?keywords=Perfect+Cleansing+Oil&amp;qid=1695170815&amp;sr=8-2")</f>
        <v/>
      </c>
      <c r="F2073" t="inlineStr">
        <is>
          <t>B089NWQ5WR</t>
        </is>
      </c>
      <c r="G2073">
        <f>_xludf.IMAGE("https://shiseido.ipscdn.net/sa2/dw/image/v2/BBSK_PRD/on/demandware.static/-/Sites-itemmaster_shiseido/default/dw02efb3dd/images/2022/July/Top25/9990000000122_3.jpg?sw=540&amp;sh=540&amp;sm=fit")</f>
        <v/>
      </c>
      <c r="H2073">
        <f>_xludf.IMAGE("https://m.media-amazon.com/images/I/41MZ4DnGG5L._AC_UL320_.jpg")</f>
        <v/>
      </c>
      <c r="K2073" t="inlineStr">
        <is>
          <t>35.0</t>
        </is>
      </c>
      <c r="L2073" t="n">
        <v>18.99</v>
      </c>
      <c r="M2073" s="1" t="inlineStr">
        <is>
          <t>-45.74%</t>
        </is>
      </c>
      <c r="N2073" s="3" t="n">
        <v>-45.74</v>
      </c>
      <c r="O2073" t="n">
        <v>4.6</v>
      </c>
      <c r="P2073" t="n">
        <v>658</v>
      </c>
      <c r="R2073" t="inlineStr">
        <is>
          <t>undefined</t>
        </is>
      </c>
      <c r="S2073" t="inlineStr">
        <is>
          <t>undefined</t>
        </is>
      </c>
      <c r="T2073" t="inlineStr">
        <is>
          <t>0730852143418</t>
        </is>
      </c>
    </row>
    <row r="2074" hidden="1" ht="15.75" customHeight="1">
      <c r="A2074" s="2">
        <f>HYPERLINK("https://www.shiseido.com/us/en/facial-cotton-0729238722026.html?cgid=makeup", "https://www.shiseido.com/us/en/facial-cotton-0729238722026.html?cgid=makeup")</f>
        <v/>
      </c>
      <c r="B2074" s="2">
        <f>HYPERLINK("https://www.shiseido.com/us/en/facial-cotton-0729238722026.html", "https://www.shiseido.com/us/en/facial-cotton-0729238722026.html")</f>
        <v/>
      </c>
      <c r="C2074" t="inlineStr">
        <is>
          <t>Facial Cotton</t>
        </is>
      </c>
      <c r="D2074" t="inlineStr">
        <is>
          <t>Lily Bell Cotton Facial Pads Cotton Pads (222 Count) Makeup Remover Pads 100% Pure Cotton Rounds, Hypoallergenic, Lint Free Cotton Pads Triple Layers Pads for Makeup Removal, Nail Polish</t>
        </is>
      </c>
      <c r="E2074" s="2" t="n"/>
      <c r="F2074" t="inlineStr">
        <is>
          <t>B0BP1HV962</t>
        </is>
      </c>
      <c r="G2074">
        <f>_xludf.IMAGE("https://shiseido.ipscdn.net/sa2/dw/image/v2/BBSK_PRD/on/demandware.static/-/Sites-itemmaster_shiseido/default/dw4622fd90/images/2022/July/Top25/0729238722026_5.jpg?sw=540&amp;sh=540&amp;sm=fit")</f>
        <v/>
      </c>
      <c r="H2074">
        <f>_xludf.IMAGE("https://m.media-amazon.com/images/I/61qCaYHfYML._AC_UL320_.jpg")</f>
        <v/>
      </c>
      <c r="K2074" t="inlineStr">
        <is>
          <t>13.0</t>
        </is>
      </c>
      <c r="L2074" t="n">
        <v>6.79</v>
      </c>
      <c r="M2074" s="1" t="inlineStr">
        <is>
          <t>-47.77%</t>
        </is>
      </c>
      <c r="N2074" s="3" t="n">
        <v>-47.77</v>
      </c>
      <c r="O2074" t="n">
        <v>4.7</v>
      </c>
      <c r="P2074" t="n">
        <v>135</v>
      </c>
      <c r="R2074" t="inlineStr">
        <is>
          <t>undefined</t>
        </is>
      </c>
      <c r="S2074" t="inlineStr">
        <is>
          <t>undefined</t>
        </is>
      </c>
      <c r="T2074" t="inlineStr">
        <is>
          <t>0729238722026</t>
        </is>
      </c>
    </row>
    <row r="2075" hidden="1" ht="15.75" customHeight="1">
      <c r="A2075" s="2">
        <f>HYPERLINK("https://www.shiseido.com/us/en/eyelash-curler-0729238500969.html?cgid=makeup", "https://www.shiseido.com/us/en/eyelash-curler-0729238500969.html?cgid=makeup")</f>
        <v/>
      </c>
      <c r="B2075" s="2">
        <f>HYPERLINK("https://www.shiseido.com/us/en/eyelash-curler-0729238500969.html", "https://www.shiseido.com/us/en/eyelash-curler-0729238500969.html")</f>
        <v/>
      </c>
      <c r="C2075" t="inlineStr">
        <is>
          <t>Eyelash Curler</t>
        </is>
      </c>
      <c r="D2075" t="inlineStr">
        <is>
          <t>Heated Eyelash Curlers, Rechargeable Electric Eyelash Curler, Professional Long-Lasting Lash Curler with Flexible Silicone Pad, Quick &amp; Natural, Gifts for Women, Pink</t>
        </is>
      </c>
      <c r="E2075" s="2">
        <f>HYPERLINK("https://www.amazon.com/Rechargeable-Electric-Professional-Long-Lasting-Flexible/dp/B0C7G4WSW3/ref=sr_1_7?keywords=Eyelash+Curler&amp;qid=1695170815&amp;sr=8-7", "https://www.amazon.com/Rechargeable-Electric-Professional-Long-Lasting-Flexible/dp/B0C7G4WSW3/ref=sr_1_7?keywords=Eyelash+Curler&amp;qid=1695170815&amp;sr=8-7")</f>
        <v/>
      </c>
      <c r="F2075" t="inlineStr">
        <is>
          <t>B0C7G4WSW3</t>
        </is>
      </c>
      <c r="G2075">
        <f>_xludf.IMAGE("https://shiseido.ipscdn.net/sa2/dw/image/v2/BBSK_PRD/on/demandware.static/-/Sites-itemmaster_shiseido/default/dw1c9fffb7/images/2022/July/Top25/0729238500969_6.jpg?sw=540&amp;sh=540&amp;sm=fit")</f>
        <v/>
      </c>
      <c r="H2075">
        <f>_xludf.IMAGE("https://m.media-amazon.com/images/I/71KyO9D01mL._AC_UL320_.jpg")</f>
        <v/>
      </c>
      <c r="K2075" t="inlineStr">
        <is>
          <t>24.0</t>
        </is>
      </c>
      <c r="L2075" t="n">
        <v>11.67</v>
      </c>
      <c r="M2075" s="1" t="inlineStr">
        <is>
          <t>-51.38%</t>
        </is>
      </c>
      <c r="N2075" s="3" t="n">
        <v>-51.38</v>
      </c>
      <c r="O2075" t="n">
        <v>4.6</v>
      </c>
      <c r="P2075" t="n">
        <v>8891</v>
      </c>
      <c r="R2075" t="inlineStr">
        <is>
          <t>undefined</t>
        </is>
      </c>
      <c r="S2075" t="inlineStr">
        <is>
          <t>undefined</t>
        </is>
      </c>
      <c r="T2075" t="inlineStr">
        <is>
          <t>0729238500969</t>
        </is>
      </c>
    </row>
    <row r="2076" hidden="1" ht="15.75" customHeight="1">
      <c r="A2076" s="2">
        <f>HYPERLINK("https://www.shiseido.com/us/en/essentials-perfect-cleansing-oil-9990000000122.html?cgid=makeup", "https://www.shiseido.com/us/en/essentials-perfect-cleansing-oil-9990000000122.html?cgid=makeup")</f>
        <v/>
      </c>
      <c r="B2076" s="2">
        <f>HYPERLINK("https://www.shiseido.com/us/en/essentials-perfect-cleansing-oil-9990000000122.html", "https://www.shiseido.com/us/en/essentials-perfect-cleansing-oil-9990000000122.html")</f>
        <v/>
      </c>
      <c r="C2076" t="inlineStr">
        <is>
          <t>Perfect Cleansing Oil</t>
        </is>
      </c>
      <c r="D2076" t="inlineStr">
        <is>
          <t>GGC Naturals Perfect Cleansing Oil 8 fl oz / 236ml, Makeup Remover,</t>
        </is>
      </c>
      <c r="E2076" s="2">
        <f>HYPERLINK("https://www.amazon.com/GGC-Naturals-Perfect-Cleansing-Remover/dp/B07XWYQP9B/ref=sr_1_6?keywords=Perfect+Cleansing+Oil&amp;qid=1695170815&amp;sr=8-6", "https://www.amazon.com/GGC-Naturals-Perfect-Cleansing-Remover/dp/B07XWYQP9B/ref=sr_1_6?keywords=Perfect+Cleansing+Oil&amp;qid=1695170815&amp;sr=8-6")</f>
        <v/>
      </c>
      <c r="F2076" t="inlineStr">
        <is>
          <t>B07XWYQP9B</t>
        </is>
      </c>
      <c r="G2076">
        <f>_xludf.IMAGE("https://shiseido.ipscdn.net/sa2/dw/image/v2/BBSK_PRD/on/demandware.static/-/Sites-itemmaster_shiseido/default/dw02efb3dd/images/2022/July/Top25/9990000000122_3.jpg?sw=540&amp;sh=540&amp;sm=fit")</f>
        <v/>
      </c>
      <c r="H2076">
        <f>_xludf.IMAGE("https://m.media-amazon.com/images/I/610vQ4yWbHL._AC_UL320_.jpg")</f>
        <v/>
      </c>
      <c r="K2076" t="inlineStr">
        <is>
          <t>35.0</t>
        </is>
      </c>
      <c r="L2076" t="n">
        <v>15.95</v>
      </c>
      <c r="M2076" s="1" t="inlineStr">
        <is>
          <t>-54.43%</t>
        </is>
      </c>
      <c r="N2076" s="3" t="n">
        <v>-54.43</v>
      </c>
      <c r="O2076" t="n">
        <v>3.5</v>
      </c>
      <c r="P2076" t="n">
        <v>64</v>
      </c>
      <c r="R2076" t="inlineStr">
        <is>
          <t>undefined</t>
        </is>
      </c>
      <c r="S2076" t="inlineStr">
        <is>
          <t>undefined</t>
        </is>
      </c>
      <c r="T2076" t="inlineStr">
        <is>
          <t>0730852143418</t>
        </is>
      </c>
    </row>
    <row r="2077" hidden="1" ht="15.75" customHeight="1">
      <c r="A2077" s="2">
        <f>HYPERLINK("https://www.shiseido.com/us/en/eyelash-curler-0729238500969.html?cgid=makeup", "https://www.shiseido.com/us/en/eyelash-curler-0729238500969.html?cgid=makeup")</f>
        <v/>
      </c>
      <c r="B2077" s="2">
        <f>HYPERLINK("https://www.shiseido.com/us/en/eyelash-curler-0729238500969.html", "https://www.shiseido.com/us/en/eyelash-curler-0729238500969.html")</f>
        <v/>
      </c>
      <c r="C2077" t="inlineStr">
        <is>
          <t>Eyelash Curler</t>
        </is>
      </c>
      <c r="D2077" t="inlineStr">
        <is>
          <t>Kaasage Eyelash Curler with Pads - Lash Curler with 5 Extra Silicone Replacement Pads, Achieve Perfect Curls in 5 Seconds</t>
        </is>
      </c>
      <c r="E2077" s="2">
        <f>HYPERLINK("https://www.amazon.com/Kaasage-Eyelash-Advanced-Silicone-Pressure/dp/B01J3NOMAI/ref=sr_1_9?keywords=Eyelash+Curler&amp;qid=1695170815&amp;sr=8-9", "https://www.amazon.com/Kaasage-Eyelash-Advanced-Silicone-Pressure/dp/B01J3NOMAI/ref=sr_1_9?keywords=Eyelash+Curler&amp;qid=1695170815&amp;sr=8-9")</f>
        <v/>
      </c>
      <c r="F2077" t="inlineStr">
        <is>
          <t>B01J3NOMAI</t>
        </is>
      </c>
      <c r="G2077">
        <f>_xludf.IMAGE("https://shiseido.ipscdn.net/sa2/dw/image/v2/BBSK_PRD/on/demandware.static/-/Sites-itemmaster_shiseido/default/dw1c9fffb7/images/2022/July/Top25/0729238500969_6.jpg?sw=540&amp;sh=540&amp;sm=fit")</f>
        <v/>
      </c>
      <c r="H2077">
        <f>_xludf.IMAGE("https://m.media-amazon.com/images/I/61dEBCfFEeL._AC_UL320_.jpg")</f>
        <v/>
      </c>
      <c r="K2077" t="inlineStr">
        <is>
          <t>24.0</t>
        </is>
      </c>
      <c r="L2077" t="n">
        <v>8.949999999999999</v>
      </c>
      <c r="M2077" s="1" t="inlineStr">
        <is>
          <t>-62.71%</t>
        </is>
      </c>
      <c r="N2077" s="3" t="n">
        <v>-62.71</v>
      </c>
      <c r="O2077" t="n">
        <v>4.2</v>
      </c>
      <c r="P2077" t="n">
        <v>16029</v>
      </c>
      <c r="R2077" t="inlineStr">
        <is>
          <t>undefined</t>
        </is>
      </c>
      <c r="S2077" t="inlineStr">
        <is>
          <t>undefined</t>
        </is>
      </c>
      <c r="T2077" t="inlineStr">
        <is>
          <t>0729238500969</t>
        </is>
      </c>
    </row>
    <row r="2078" hidden="1" ht="15.75" customHeight="1">
      <c r="A2078" s="2">
        <f>HYPERLINK("https://www.shiseido.com/us/en/eyelash-curler-0729238500969.html?cgid=makeup", "https://www.shiseido.com/us/en/eyelash-curler-0729238500969.html?cgid=makeup")</f>
        <v/>
      </c>
      <c r="B2078" s="2">
        <f>HYPERLINK("https://www.shiseido.com/us/en/eyelash-curler-0729238500969.html", "https://www.shiseido.com/us/en/eyelash-curler-0729238500969.html")</f>
        <v/>
      </c>
      <c r="C2078" t="inlineStr">
        <is>
          <t>Eyelash Curler</t>
        </is>
      </c>
      <c r="D2078" t="inlineStr">
        <is>
          <t>Eyelash Curler with Comb, TOMEEM Professional Volumizing Lash Lift Kit Lash Curler with Refill Pads for Home &amp; Travel Uses, Rose Gold</t>
        </is>
      </c>
      <c r="E2078" s="2">
        <f>HYPERLINK("https://www.amazon.com/Eyelash-Curler-TOMEEM-Professional-Volumizing/dp/B091T1K48S/ref=sr_1_5?keywords=Eyelash+Curler&amp;qid=1695170815&amp;sr=8-5", "https://www.amazon.com/Eyelash-Curler-TOMEEM-Professional-Volumizing/dp/B091T1K48S/ref=sr_1_5?keywords=Eyelash+Curler&amp;qid=1695170815&amp;sr=8-5")</f>
        <v/>
      </c>
      <c r="F2078" t="inlineStr">
        <is>
          <t>B091T1K48S</t>
        </is>
      </c>
      <c r="G2078">
        <f>_xludf.IMAGE("https://shiseido.ipscdn.net/sa2/dw/image/v2/BBSK_PRD/on/demandware.static/-/Sites-itemmaster_shiseido/default/dw1c9fffb7/images/2022/July/Top25/0729238500969_6.jpg?sw=540&amp;sh=540&amp;sm=fit")</f>
        <v/>
      </c>
      <c r="H2078">
        <f>_xludf.IMAGE("https://m.media-amazon.com/images/I/71CO7hQavJL._AC_UL320_.jpg")</f>
        <v/>
      </c>
      <c r="K2078" t="inlineStr">
        <is>
          <t>24.0</t>
        </is>
      </c>
      <c r="L2078" t="n">
        <v>7.99</v>
      </c>
      <c r="M2078" s="1" t="inlineStr">
        <is>
          <t>-66.71%</t>
        </is>
      </c>
      <c r="N2078" s="3" t="n">
        <v>-66.70999999999999</v>
      </c>
      <c r="O2078" t="n">
        <v>4.3</v>
      </c>
      <c r="P2078" t="n">
        <v>845</v>
      </c>
      <c r="R2078" t="inlineStr">
        <is>
          <t>undefined</t>
        </is>
      </c>
      <c r="S2078" t="inlineStr">
        <is>
          <t>undefined</t>
        </is>
      </c>
      <c r="T2078" t="inlineStr">
        <is>
          <t>0729238500969</t>
        </is>
      </c>
    </row>
    <row r="2079" hidden="1" ht="15.75" customHeight="1">
      <c r="A2079" s="2">
        <f>HYPERLINK("https://www.shiseido.com/us/en/eyelash-curler-0729238500969.html?cgid=makeup", "https://www.shiseido.com/us/en/eyelash-curler-0729238500969.html?cgid=makeup")</f>
        <v/>
      </c>
      <c r="B2079" s="2">
        <f>HYPERLINK("https://www.shiseido.com/us/en/eyelash-curler-0729238500969.html", "https://www.shiseido.com/us/en/eyelash-curler-0729238500969.html")</f>
        <v/>
      </c>
      <c r="C2079" t="inlineStr">
        <is>
          <t>Eyelash Curler</t>
        </is>
      </c>
      <c r="D2079" t="inlineStr">
        <is>
          <t>Brilliant Beauty Eyelash Curler with Satin Bag &amp; Refill Pads - Award Winning - No Pinching, Just Dramatically Curled Eyelashes for a Lash Lift in Seconds (Rose Gold)</t>
        </is>
      </c>
      <c r="E2079" s="2">
        <f>HYPERLINK("https://www.amazon.com/Brilliant-Beauty-Eyelash-Curler-Dramatically/dp/B01FRGVPE6/ref=sr_1_6?keywords=Eyelash+Curler&amp;qid=1695170815&amp;sr=8-6", "https://www.amazon.com/Brilliant-Beauty-Eyelash-Curler-Dramatically/dp/B01FRGVPE6/ref=sr_1_6?keywords=Eyelash+Curler&amp;qid=1695170815&amp;sr=8-6")</f>
        <v/>
      </c>
      <c r="F2079" t="inlineStr">
        <is>
          <t>B01FRGVPE6</t>
        </is>
      </c>
      <c r="G2079">
        <f>_xludf.IMAGE("https://shiseido.ipscdn.net/sa2/dw/image/v2/BBSK_PRD/on/demandware.static/-/Sites-itemmaster_shiseido/default/dw1c9fffb7/images/2022/July/Top25/0729238500969_6.jpg?sw=540&amp;sh=540&amp;sm=fit")</f>
        <v/>
      </c>
      <c r="H2079">
        <f>_xludf.IMAGE("https://m.media-amazon.com/images/I/71soMvNTLhL._AC_UL320_.jpg")</f>
        <v/>
      </c>
      <c r="K2079" t="inlineStr">
        <is>
          <t>24.0</t>
        </is>
      </c>
      <c r="L2079" t="n">
        <v>7.59</v>
      </c>
      <c r="M2079" s="1" t="inlineStr">
        <is>
          <t>-68.38%</t>
        </is>
      </c>
      <c r="N2079" s="3" t="n">
        <v>-68.38</v>
      </c>
      <c r="O2079" t="n">
        <v>4.2</v>
      </c>
      <c r="P2079" t="n">
        <v>40187</v>
      </c>
      <c r="R2079" t="inlineStr">
        <is>
          <t>undefined</t>
        </is>
      </c>
      <c r="S2079" t="inlineStr">
        <is>
          <t>undefined</t>
        </is>
      </c>
      <c r="T2079" t="inlineStr">
        <is>
          <t>0729238500969</t>
        </is>
      </c>
    </row>
    <row r="2080" hidden="1" ht="15.75" customHeight="1">
      <c r="A2080" s="2">
        <f>HYPERLINK("https://www.shiseido.com/us/en/facial-cotton-0729238722026.html?cgid=makeup", "https://www.shiseido.com/us/en/facial-cotton-0729238722026.html?cgid=makeup")</f>
        <v/>
      </c>
      <c r="B2080" s="2">
        <f>HYPERLINK("https://www.shiseido.com/us/en/facial-cotton-0729238722026.html", "https://www.shiseido.com/us/en/facial-cotton-0729238722026.html")</f>
        <v/>
      </c>
      <c r="C2080" t="inlineStr">
        <is>
          <t>Facial Cotton</t>
        </is>
      </c>
      <c r="D2080" t="inlineStr">
        <is>
          <t>Swisspers Premium Exfoliating Rounds, 2 Distinct Raised Textured Surface, Cotton Facial Pads, 80 Count Re-closable Bag</t>
        </is>
      </c>
      <c r="E2080" s="2">
        <f>HYPERLINK("https://www.amazon.com/Swisspers-Exfoliating-Distinct-Textured-Re-closable/dp/B00CEJJNWQ/ref=sr_1_2?keywords=Facial+Cotton&amp;qid=1695170817&amp;sr=8-2", "https://www.amazon.com/Swisspers-Exfoliating-Distinct-Textured-Re-closable/dp/B00CEJJNWQ/ref=sr_1_2?keywords=Facial+Cotton&amp;qid=1695170817&amp;sr=8-2")</f>
        <v/>
      </c>
      <c r="F2080" t="inlineStr">
        <is>
          <t>B00CEJJNWQ</t>
        </is>
      </c>
      <c r="G2080">
        <f>_xludf.IMAGE("https://shiseido.ipscdn.net/sa2/dw/image/v2/BBSK_PRD/on/demandware.static/-/Sites-itemmaster_shiseido/default/dw4622fd90/images/2022/July/Top25/0729238722026_5.jpg?sw=540&amp;sh=540&amp;sm=fit")</f>
        <v/>
      </c>
      <c r="H2080">
        <f>_xludf.IMAGE("https://m.media-amazon.com/images/I/71gkioAUgjL._AC_UL320_.jpg")</f>
        <v/>
      </c>
      <c r="K2080" t="inlineStr">
        <is>
          <t>13.0</t>
        </is>
      </c>
      <c r="L2080" t="n">
        <v>3.87</v>
      </c>
      <c r="M2080" s="1" t="inlineStr">
        <is>
          <t>-70.23%</t>
        </is>
      </c>
      <c r="N2080" s="3" t="n">
        <v>-70.23</v>
      </c>
      <c r="O2080" t="n">
        <v>4.6</v>
      </c>
      <c r="P2080" t="n">
        <v>30689</v>
      </c>
      <c r="R2080" t="inlineStr">
        <is>
          <t>undefined</t>
        </is>
      </c>
      <c r="S2080" t="inlineStr">
        <is>
          <t>undefined</t>
        </is>
      </c>
      <c r="T2080" t="inlineStr">
        <is>
          <t>0729238722026</t>
        </is>
      </c>
    </row>
    <row r="2081" hidden="1" ht="15.75" customHeight="1">
      <c r="A2081" s="2">
        <f>HYPERLINK("https://www.shiseido.com/us/en/eyelash-curler-0729238500969.html?cgid=makeup", "https://www.shiseido.com/us/en/eyelash-curler-0729238500969.html?cgid=makeup")</f>
        <v/>
      </c>
      <c r="B2081" s="2">
        <f>HYPERLINK("https://www.shiseido.com/us/en/eyelash-curler-0729238500969.html", "https://www.shiseido.com/us/en/eyelash-curler-0729238500969.html")</f>
        <v/>
      </c>
      <c r="C2081" t="inlineStr">
        <is>
          <t>Eyelash Curler</t>
        </is>
      </c>
      <c r="D2081" t="inlineStr">
        <is>
          <t>Revlon Eyelash Curler, Precision Curl Control for All Eye Shapes, Lifts &amp; Defines, Easy to Use (Pack of 1)</t>
        </is>
      </c>
      <c r="E2081" s="2">
        <f>HYPERLINK("https://www.amazon.com/Revlon-Extra-Curl-Eyelash-Curler/dp/B002F3Z3SO/ref=sr_1_4?keywords=Eyelash+Curler&amp;qid=1695170815&amp;sr=8-4", "https://www.amazon.com/Revlon-Extra-Curl-Eyelash-Curler/dp/B002F3Z3SO/ref=sr_1_4?keywords=Eyelash+Curler&amp;qid=1695170815&amp;sr=8-4")</f>
        <v/>
      </c>
      <c r="F2081" t="inlineStr">
        <is>
          <t>B002F3Z3SO</t>
        </is>
      </c>
      <c r="G2081">
        <f>_xludf.IMAGE("https://shiseido.ipscdn.net/sa2/dw/image/v2/BBSK_PRD/on/demandware.static/-/Sites-itemmaster_shiseido/default/dw1c9fffb7/images/2022/July/Top25/0729238500969_6.jpg?sw=540&amp;sh=540&amp;sm=fit")</f>
        <v/>
      </c>
      <c r="H2081">
        <f>_xludf.IMAGE("https://m.media-amazon.com/images/I/7135a1xkXrL._AC_UL320_.jpg")</f>
        <v/>
      </c>
      <c r="K2081" t="inlineStr">
        <is>
          <t>24.0</t>
        </is>
      </c>
      <c r="L2081" t="n">
        <v>5.48</v>
      </c>
      <c r="M2081" s="1" t="inlineStr">
        <is>
          <t>-77.17%</t>
        </is>
      </c>
      <c r="N2081" s="3" t="n">
        <v>-77.17</v>
      </c>
      <c r="O2081" t="n">
        <v>4.1</v>
      </c>
      <c r="P2081" t="n">
        <v>22215</v>
      </c>
      <c r="R2081" t="inlineStr">
        <is>
          <t>undefined</t>
        </is>
      </c>
      <c r="S2081" t="inlineStr">
        <is>
          <t>undefined</t>
        </is>
      </c>
      <c r="T2081" t="inlineStr">
        <is>
          <t>0729238500969</t>
        </is>
      </c>
    </row>
    <row r="2082" hidden="1" ht="15.75" customHeight="1">
      <c r="A2082" s="2">
        <f>HYPERLINK("https://www.shiseido.com/us/en/eyelash-curler-0729238500969.html?cgid=makeup", "https://www.shiseido.com/us/en/eyelash-curler-0729238500969.html?cgid=makeup")</f>
        <v/>
      </c>
      <c r="B2082" s="2">
        <f>HYPERLINK("https://www.shiseido.com/us/en/eyelash-curler-0729238500969.html", "https://www.shiseido.com/us/en/eyelash-curler-0729238500969.html")</f>
        <v/>
      </c>
      <c r="C2082" t="inlineStr">
        <is>
          <t>Eyelash Curler</t>
        </is>
      </c>
      <c r="D2082" t="inlineStr">
        <is>
          <t>e.l.f. Pro Eyelash Curler, Vegan Makeup Tool, Creates Eye-Opening &amp; Lifted Lashes, Lash Curler Includes Additional Rubber Replacement Pad</t>
        </is>
      </c>
      <c r="E2082" s="2">
        <f>HYPERLINK("https://www.amazon.com/l-f-Eyelash-Curler-Lifting-Building/dp/B07ZVYM365/ref=sr_1_1?keywords=Eyelash+Curler&amp;qid=1695170815&amp;sr=8-1", "https://www.amazon.com/l-f-Eyelash-Curler-Lifting-Building/dp/B07ZVYM365/ref=sr_1_1?keywords=Eyelash+Curler&amp;qid=1695170815&amp;sr=8-1")</f>
        <v/>
      </c>
      <c r="F2082" t="inlineStr">
        <is>
          <t>B07ZVYM365</t>
        </is>
      </c>
      <c r="G2082">
        <f>_xludf.IMAGE("https://shiseido.ipscdn.net/sa2/dw/image/v2/BBSK_PRD/on/demandware.static/-/Sites-itemmaster_shiseido/default/dw1c9fffb7/images/2022/July/Top25/0729238500969_6.jpg?sw=540&amp;sh=540&amp;sm=fit")</f>
        <v/>
      </c>
      <c r="H2082">
        <f>_xludf.IMAGE("https://m.media-amazon.com/images/I/61N4WwdQIlL._AC_UL320_.jpg")</f>
        <v/>
      </c>
      <c r="K2082" t="inlineStr">
        <is>
          <t>24.0</t>
        </is>
      </c>
      <c r="L2082" t="n">
        <v>5</v>
      </c>
      <c r="M2082" s="1" t="inlineStr">
        <is>
          <t>-79.17%</t>
        </is>
      </c>
      <c r="N2082" s="3" t="n">
        <v>-79.17</v>
      </c>
      <c r="O2082" t="n">
        <v>4.3</v>
      </c>
      <c r="P2082" t="n">
        <v>12634</v>
      </c>
      <c r="R2082" t="inlineStr">
        <is>
          <t>undefined</t>
        </is>
      </c>
      <c r="S2082" t="inlineStr">
        <is>
          <t>undefined</t>
        </is>
      </c>
      <c r="T2082" t="inlineStr">
        <is>
          <t>0729238500969</t>
        </is>
      </c>
    </row>
    <row r="2083" hidden="1" ht="15.75" customHeight="1">
      <c r="A2083" s="2">
        <f>HYPERLINK("https://www.shiseido.com/us/en/future-solution-lx-total-radiance-loose-powder-0729238139428.html?cgid=makeup", "https://www.shiseido.com/us/en/future-solution-lx-total-radiance-loose-powder-0729238139428.html?cgid=makeup")</f>
        <v/>
      </c>
      <c r="B2083" s="2">
        <f>HYPERLINK("https://www.shiseido.com/us/en/future-solution-lx-total-radiance-loose-powder-0729238139428.html", "https://www.shiseido.com/us/en/future-solution-lx-total-radiance-loose-powder-0729238139428.html")</f>
        <v/>
      </c>
      <c r="C2083" t="inlineStr">
        <is>
          <t>Total Radiance Loose Powder</t>
        </is>
      </c>
      <c r="D2083" t="inlineStr">
        <is>
          <t>Black Radiance True Complexion Loose Setting Powder, Honeymoon, 0.64 Ounce</t>
        </is>
      </c>
      <c r="E2083" s="2">
        <f>HYPERLINK("https://www.amazon.com/Black-Radiance-Complexion-Setting-Honeymoon/dp/B07MH1PPZZ/ref=sr_1_2?keywords=Total+Radiance+Loose+Powder&amp;qid=1695170821&amp;sr=8-2", "https://www.amazon.com/Black-Radiance-Complexion-Setting-Honeymoon/dp/B07MH1PPZZ/ref=sr_1_2?keywords=Total+Radiance+Loose+Powder&amp;qid=1695170821&amp;sr=8-2")</f>
        <v/>
      </c>
      <c r="F2083" t="inlineStr">
        <is>
          <t>B07MH1PPZZ</t>
        </is>
      </c>
      <c r="G2083">
        <f>_xludf.IMAGE("https://shiseido.ipscdn.net/sa2/dw/image/v2/BBSK_PRD/on/demandware.static/-/Sites-itemmaster_shiseido/default/dw4da230b2/images/hi-res/729238139428_A2.jpg?sw=540&amp;sh=540&amp;sm=fit")</f>
        <v/>
      </c>
      <c r="H2083">
        <f>_xludf.IMAGE("https://m.media-amazon.com/images/I/71E6eVK0EmL._AC_UL320_.jpg")</f>
        <v/>
      </c>
      <c r="K2083" t="inlineStr">
        <is>
          <t>67.0</t>
        </is>
      </c>
      <c r="L2083" t="n">
        <v>7.99</v>
      </c>
      <c r="M2083" s="1" t="inlineStr">
        <is>
          <t>-88.07%</t>
        </is>
      </c>
      <c r="N2083" s="3" t="n">
        <v>-88.06999999999999</v>
      </c>
      <c r="O2083" t="n">
        <v>4.4</v>
      </c>
      <c r="P2083" t="n">
        <v>7378</v>
      </c>
      <c r="R2083" t="inlineStr">
        <is>
          <t>undefined</t>
        </is>
      </c>
      <c r="S2083" t="inlineStr">
        <is>
          <t>undefined</t>
        </is>
      </c>
      <c r="T2083" t="inlineStr">
        <is>
          <t>0729238139428</t>
        </is>
      </c>
    </row>
    <row r="2084" hidden="1" ht="15.75" customHeight="1">
      <c r="A2084" s="2">
        <f>HYPERLINK("https://www.shiseido.com/us/en/eyelash-curler-0729238500969.html?cgid=makeup", "https://www.shiseido.com/us/en/eyelash-curler-0729238500969.html?cgid=makeup")</f>
        <v/>
      </c>
      <c r="B2084" s="2">
        <f>HYPERLINK("https://www.shiseido.com/us/en/eyelash-curler-0729238500969.html", "https://www.shiseido.com/us/en/eyelash-curler-0729238500969.html")</f>
        <v/>
      </c>
      <c r="C2084" t="inlineStr">
        <is>
          <t>Eyelash Curler</t>
        </is>
      </c>
      <c r="D2084" t="inlineStr">
        <is>
          <t>Wet n Wild High On Lash Eyelash Curler with Comfort Grip</t>
        </is>
      </c>
      <c r="E2084" s="2">
        <f>HYPERLINK("https://www.amazon.com/Wet-Wild-Eyelash-Curler-Comfort/dp/B08RRLJDGM/ref=sr_1_2?keywords=Eyelash+Curler&amp;qid=1695170815&amp;sr=8-2", "https://www.amazon.com/Wet-Wild-Eyelash-Curler-Comfort/dp/B08RRLJDGM/ref=sr_1_2?keywords=Eyelash+Curler&amp;qid=1695170815&amp;sr=8-2")</f>
        <v/>
      </c>
      <c r="F2084" t="inlineStr">
        <is>
          <t>B08RRLJDGM</t>
        </is>
      </c>
      <c r="G2084">
        <f>_xludf.IMAGE("https://shiseido.ipscdn.net/sa2/dw/image/v2/BBSK_PRD/on/demandware.static/-/Sites-itemmaster_shiseido/default/dw1c9fffb7/images/2022/July/Top25/0729238500969_6.jpg?sw=540&amp;sh=540&amp;sm=fit")</f>
        <v/>
      </c>
      <c r="H2084">
        <f>_xludf.IMAGE("https://m.media-amazon.com/images/I/713stoF0K6L._AC_UL320_.jpg")</f>
        <v/>
      </c>
      <c r="K2084" t="inlineStr">
        <is>
          <t>24.0</t>
        </is>
      </c>
      <c r="L2084" t="n">
        <v>2.28</v>
      </c>
      <c r="M2084" s="1" t="inlineStr">
        <is>
          <t>-90.50%</t>
        </is>
      </c>
      <c r="N2084" s="3" t="n">
        <v>-90.5</v>
      </c>
      <c r="O2084" t="n">
        <v>4.3</v>
      </c>
      <c r="P2084" t="n">
        <v>23604</v>
      </c>
      <c r="R2084" t="inlineStr">
        <is>
          <t>undefined</t>
        </is>
      </c>
      <c r="S2084" t="inlineStr">
        <is>
          <t>undefined</t>
        </is>
      </c>
      <c r="T2084" t="inlineStr">
        <is>
          <t>0729238500969</t>
        </is>
      </c>
    </row>
    <row r="2085" ht="75" customHeight="1">
      <c r="A2085" s="2">
        <f>HYPERLINK("https://www.shiseido.com/us/en/ultimune-power-infusing-serum-0729238172821.html?cgid=sets-and-travel", "https://www.shiseido.com/us/en/ultimune-power-infusing-serum-0729238172821.html?cgid=sets-and-travel")</f>
        <v/>
      </c>
      <c r="B2085" s="2">
        <f>HYPERLINK("https://www.shiseido.com/us/en/ultimune-power-infusing-serum-9990000000213.html", "https://www.shiseido.com/us/en/ultimune-power-infusing-serum-9990000000213.html")</f>
        <v/>
      </c>
      <c r="C2085" t="inlineStr">
        <is>
          <t>Power Infusing Serum</t>
        </is>
      </c>
      <c r="D2085" t="inlineStr">
        <is>
          <t>Shiseido Ultimune Power Infusing Concentrate - 75 mL - Antioxidant Anti-Aging Face Serum - Boosts Radiance, Increases Hydration &amp; Improves Visible Signs of Aging</t>
        </is>
      </c>
      <c r="E2085" s="2">
        <f>HYPERLINK("https://www.amazon.com/Savavi-Power-Infusing-Concentrate-Ultimune/dp/B09TXLP4TB/ref=sr_1_9?keywords=Power+Infusing+Serum&amp;qid=1695170860&amp;sr=8-9", "https://www.amazon.com/Savavi-Power-Infusing-Concentrate-Ultimune/dp/B09TXLP4TB/ref=sr_1_9?keywords=Power+Infusing+Serum&amp;qid=1695170860&amp;sr=8-9")</f>
        <v/>
      </c>
      <c r="F2085" t="inlineStr">
        <is>
          <t>B09TXLP4TB</t>
        </is>
      </c>
      <c r="G2085">
        <f>_xlfn.IMAGE("https://shiseido.ipscdn.net/sa2/dw/image/v2/BBSK_PRD/on/demandware.static/-/Sites-itemmaster_shiseido/default/dw1ec76634/images/2022/May/Ultimune/9990000000213_6.jpg?sw=540&amp;sh=540&amp;sm=fit")</f>
        <v/>
      </c>
      <c r="H2085">
        <f>_xlfn.IMAGE("https://m.media-amazon.com/images/I/61Hj4qepZVL._AC_UL320_.jpg")</f>
        <v/>
      </c>
      <c r="K2085" t="inlineStr">
        <is>
          <t>38.0</t>
        </is>
      </c>
      <c r="L2085" t="n">
        <v>140</v>
      </c>
      <c r="M2085" s="1" t="inlineStr">
        <is>
          <t>268.42%</t>
        </is>
      </c>
      <c r="N2085" s="3" t="n">
        <v>268.42</v>
      </c>
      <c r="O2085" t="n">
        <v>4.3</v>
      </c>
      <c r="P2085" t="n">
        <v>11</v>
      </c>
      <c r="R2085" t="inlineStr">
        <is>
          <t>undefined</t>
        </is>
      </c>
      <c r="S2085" t="inlineStr">
        <is>
          <t>undefined</t>
        </is>
      </c>
      <c r="T2085" t="inlineStr">
        <is>
          <t>0729238172821</t>
        </is>
      </c>
    </row>
    <row r="2086" ht="75" customHeight="1">
      <c r="A2086" s="2">
        <f>HYPERLINK("https://www.shiseido.com/us/en/ultimune-power-infusing-serum-0729238172821.html?cgid=sets-and-travel", "https://www.shiseido.com/us/en/ultimune-power-infusing-serum-0729238172821.html?cgid=sets-and-travel")</f>
        <v/>
      </c>
      <c r="B2086" s="2">
        <f>HYPERLINK("https://www.shiseido.com/us/en/ultimune-power-infusing-serum-9990000000213.html", "https://www.shiseido.com/us/en/ultimune-power-infusing-serum-9990000000213.html")</f>
        <v/>
      </c>
      <c r="C2086" t="inlineStr">
        <is>
          <t>Power Infusing Serum</t>
        </is>
      </c>
      <c r="D2086" t="inlineStr">
        <is>
          <t>Shiseido Ultimune Power Infusing Concentrate - Antioxidant Anti-Aging Face Serum - Boosts Radiance, Increases Hydration &amp; Improves Visible Signs of Aging</t>
        </is>
      </c>
      <c r="E2086" s="2" t="n"/>
      <c r="F2086" t="inlineStr">
        <is>
          <t>B00M962E2U</t>
        </is>
      </c>
      <c r="G2086">
        <f>_xlfn.IMAGE("https://shiseido.ipscdn.net/sa2/dw/image/v2/BBSK_PRD/on/demandware.static/-/Sites-itemmaster_shiseido/default/dw1ec76634/images/2022/May/Ultimune/9990000000213_6.jpg?sw=540&amp;sh=540&amp;sm=fit")</f>
        <v/>
      </c>
      <c r="H2086">
        <f>_xlfn.IMAGE("https://m.media-amazon.com/images/I/61Lnfr8dbXL._AC_UL320_.jpg")</f>
        <v/>
      </c>
      <c r="K2086" t="inlineStr">
        <is>
          <t>38.0</t>
        </is>
      </c>
      <c r="L2086" t="n">
        <v>110</v>
      </c>
      <c r="M2086" s="1" t="inlineStr">
        <is>
          <t>189.47%</t>
        </is>
      </c>
      <c r="N2086" s="3" t="n">
        <v>189.47</v>
      </c>
      <c r="O2086" t="n">
        <v>4.5</v>
      </c>
      <c r="P2086" t="n">
        <v>270</v>
      </c>
      <c r="R2086" t="inlineStr">
        <is>
          <t>undefined</t>
        </is>
      </c>
      <c r="S2086" t="inlineStr">
        <is>
          <t>undefined</t>
        </is>
      </c>
      <c r="T2086" t="inlineStr">
        <is>
          <t>0729238172821</t>
        </is>
      </c>
    </row>
    <row r="2087" hidden="1" ht="15.75" customHeight="1">
      <c r="A2087" s="2">
        <f>HYPERLINK("https://www.shiseido.com/us/en/facial-cotton-mini-size-0729238139800.html?cgid=sets-and-travel", "https://www.shiseido.com/us/en/facial-cotton-mini-size-0729238139800.html?cgid=sets-and-travel")</f>
        <v/>
      </c>
      <c r="B2087" s="2">
        <f>HYPERLINK("https://www.shiseido.com/us/en/facial-cotton-mini-size-0729238139800.html", "https://www.shiseido.com/us/en/facial-cotton-mini-size-0729238139800.html")</f>
        <v/>
      </c>
      <c r="C2087" t="inlineStr">
        <is>
          <t>Facial Cotton Mini Size</t>
        </is>
      </c>
      <c r="D2087" t="inlineStr">
        <is>
          <t>Joyray 100PCS Mini Portable Compressed Candy Shaped Cotton Towels or Facial Tissues</t>
        </is>
      </c>
      <c r="E2087" s="2">
        <f>HYPERLINK("https://www.amazon.com/Joyray-100PCS-Portable-Compressed-Tissues/dp/B09517N9YG/ref=sr_1_1?keywords=Facial+Cotton+Mini+Size&amp;qid=1695170862&amp;sr=8-1", "https://www.amazon.com/Joyray-100PCS-Portable-Compressed-Tissues/dp/B09517N9YG/ref=sr_1_1?keywords=Facial+Cotton+Mini+Size&amp;qid=1695170862&amp;sr=8-1")</f>
        <v/>
      </c>
      <c r="F2087" t="inlineStr">
        <is>
          <t>B09517N9YG</t>
        </is>
      </c>
      <c r="G2087">
        <f>_xludf.IMAGE("https://shiseido.ipscdn.net/sa2/dw/image/v2/BBSK_PRD/on/demandware.static/-/Sites-itemmaster_shiseido/default/dwd1cc90c4/images/2020/November/Cotton/0729238139800.jpg?sw=540&amp;sh=540&amp;sm=fit")</f>
        <v/>
      </c>
      <c r="H2087">
        <f>_xludf.IMAGE("https://m.media-amazon.com/images/I/61nC6S9UnJL._AC_UL320_.jpg")</f>
        <v/>
      </c>
      <c r="K2087" t="inlineStr">
        <is>
          <t>5.0</t>
        </is>
      </c>
      <c r="L2087" t="n">
        <v>9.99</v>
      </c>
      <c r="M2087" s="1" t="inlineStr">
        <is>
          <t>99.80%</t>
        </is>
      </c>
      <c r="N2087" s="3" t="n">
        <v>99.8</v>
      </c>
      <c r="O2087" t="n">
        <v>4.5</v>
      </c>
      <c r="P2087" t="n">
        <v>8</v>
      </c>
      <c r="R2087" t="inlineStr">
        <is>
          <t>undefined</t>
        </is>
      </c>
      <c r="S2087" t="inlineStr">
        <is>
          <t>undefined</t>
        </is>
      </c>
      <c r="T2087" t="inlineStr">
        <is>
          <t>0729238139800</t>
        </is>
      </c>
    </row>
    <row r="2088" ht="75" customHeight="1">
      <c r="A2088" s="2">
        <f>HYPERLINK("https://www.shiseido.com/us/en/ultimune-power-infusing-serum-0729238172821.html?cgid=sets-and-travel", "https://www.shiseido.com/us/en/ultimune-power-infusing-serum-0729238172821.html?cgid=sets-and-travel")</f>
        <v/>
      </c>
      <c r="B2088" s="2">
        <f>HYPERLINK("https://www.shiseido.com/us/en/ultimune-power-infusing-serum-9990000000213.html", "https://www.shiseido.com/us/en/ultimune-power-infusing-serum-9990000000213.html")</f>
        <v/>
      </c>
      <c r="C2088" t="inlineStr">
        <is>
          <t>Power Infusing Serum</t>
        </is>
      </c>
      <c r="D2088" t="inlineStr">
        <is>
          <t>Shiseido Ultimune Power Infusing Concentrate - Antioxidant Anti-Aging Face Serum - Boosts Radiance, Increases Hydration &amp; Improves Visible Signs of Aging</t>
        </is>
      </c>
      <c r="E2088" s="2">
        <f>HYPERLINK("https://www.amazon.com/Shiseido-Ultimune-Power-Infusing-Concentrate/dp/B00MNF6EWI/ref=sr_1_5?keywords=Power+Infusing+Serum&amp;qid=1695170860&amp;sr=8-5", "https://www.amazon.com/Shiseido-Ultimune-Power-Infusing-Concentrate/dp/B00MNF6EWI/ref=sr_1_5?keywords=Power+Infusing+Serum&amp;qid=1695170860&amp;sr=8-5")</f>
        <v/>
      </c>
      <c r="F2088" t="inlineStr">
        <is>
          <t>B00MNF6EWI</t>
        </is>
      </c>
      <c r="G2088">
        <f>_xlfn.IMAGE("https://shiseido.ipscdn.net/sa2/dw/image/v2/BBSK_PRD/on/demandware.static/-/Sites-itemmaster_shiseido/default/dw1ec76634/images/2022/May/Ultimune/9990000000213_6.jpg?sw=540&amp;sh=540&amp;sm=fit")</f>
        <v/>
      </c>
      <c r="H2088">
        <f>_xlfn.IMAGE("https://m.media-amazon.com/images/I/61nbxyZlYaL._AC_UL320_.jpg")</f>
        <v/>
      </c>
      <c r="K2088" t="inlineStr">
        <is>
          <t>38.0</t>
        </is>
      </c>
      <c r="L2088" t="n">
        <v>75</v>
      </c>
      <c r="M2088" s="1" t="inlineStr">
        <is>
          <t>97.37%</t>
        </is>
      </c>
      <c r="N2088" s="3" t="n">
        <v>97.37</v>
      </c>
      <c r="O2088" t="n">
        <v>4.5</v>
      </c>
      <c r="P2088" t="n">
        <v>270</v>
      </c>
      <c r="R2088" t="inlineStr">
        <is>
          <t>undefined</t>
        </is>
      </c>
      <c r="S2088" t="inlineStr">
        <is>
          <t>undefined</t>
        </is>
      </c>
      <c r="T2088" t="inlineStr">
        <is>
          <t>0729238172821</t>
        </is>
      </c>
    </row>
    <row r="2089" hidden="1" ht="15.75" customHeight="1">
      <c r="A2089" s="2">
        <f>HYPERLINK("https://www.shiseido.com/us/en/clear-sunscreen-stick-spf-50-0730852169807.html?cgid=sets-and-travel", "https://www.shiseido.com/us/en/clear-sunscreen-stick-spf-50-0730852169807.html?cgid=sets-and-travel")</f>
        <v/>
      </c>
      <c r="B2089" s="2">
        <f>HYPERLINK("https://www.shiseido.com/us/en/clear-sunscreen-stick-spf-50-0730852169807.html", "https://www.shiseido.com/us/en/clear-sunscreen-stick-spf-50-0730852169807.html")</f>
        <v/>
      </c>
      <c r="C2089" t="inlineStr">
        <is>
          <t>Clear Sunscreen Stick SPF 50+</t>
        </is>
      </c>
      <c r="D2089" t="inlineStr">
        <is>
          <t>Shiseido Clear Sunscreen Stick SPF 50+ - Invisible Broad-Spectrum Face Sunscreen - Wear Under &amp; Over Makeup - Lightweight Formula - All Skin Types</t>
        </is>
      </c>
      <c r="E2089" s="2">
        <f>HYPERLINK("https://www.amazon.com/Shiseido-Ultimate-Protector-Lotion-Broad-Spectrum/dp/B0921KVV27/ref=sr_1_1?keywords=Clear+Sunscreen+Stick+SPF+50&amp;qid=1695170860&amp;sr=8-1", "https://www.amazon.com/Shiseido-Ultimate-Protector-Lotion-Broad-Spectrum/dp/B0921KVV27/ref=sr_1_1?keywords=Clear+Sunscreen+Stick+SPF+50&amp;qid=1695170860&amp;sr=8-1")</f>
        <v/>
      </c>
      <c r="F2089" t="inlineStr">
        <is>
          <t>B0921KVV27</t>
        </is>
      </c>
      <c r="G2089">
        <f>_xludf.IMAGE("https://shiseido.ipscdn.net/sa2/dw/image/v2/BBSK_PRD/on/demandware.static/-/Sites-itemmaster_shiseido/default/dwa059e4af/images/2021/October/Red Seal/0730852169807_6.jpg?sw=540&amp;sh=540&amp;sm=fit")</f>
        <v/>
      </c>
      <c r="H2089">
        <f>_xludf.IMAGE("https://m.media-amazon.com/images/I/61lqNouh03L._AC_UL320_.jpg")</f>
        <v/>
      </c>
      <c r="K2089" t="inlineStr">
        <is>
          <t>30.0</t>
        </is>
      </c>
      <c r="L2089" t="n">
        <v>30</v>
      </c>
      <c r="M2089" s="1" t="inlineStr">
        <is>
          <t>0.00%</t>
        </is>
      </c>
      <c r="N2089" s="3" t="n">
        <v>0</v>
      </c>
      <c r="O2089" t="n">
        <v>4.6</v>
      </c>
      <c r="P2089" t="n">
        <v>433</v>
      </c>
      <c r="R2089" t="inlineStr">
        <is>
          <t>undefined</t>
        </is>
      </c>
      <c r="S2089" t="inlineStr">
        <is>
          <t>undefined</t>
        </is>
      </c>
      <c r="T2089" t="inlineStr">
        <is>
          <t>0730852169807</t>
        </is>
      </c>
    </row>
    <row r="2090" hidden="1" ht="15.75" customHeight="1">
      <c r="A2090" s="2">
        <f>HYPERLINK("https://www.shiseido.com/us/en/clear-sunscreen-stick-spf-50-0730852169807.html?cgid=sets-and-travel", "https://www.shiseido.com/us/en/clear-sunscreen-stick-spf-50-0730852169807.html?cgid=sets-and-travel")</f>
        <v/>
      </c>
      <c r="B2090" s="2">
        <f>HYPERLINK("https://www.shiseido.com/us/en/clear-sunscreen-stick-spf-50-0730852169807.html", "https://www.shiseido.com/us/en/clear-sunscreen-stick-spf-50-0730852169807.html")</f>
        <v/>
      </c>
      <c r="C2090" t="inlineStr">
        <is>
          <t>Clear Sunscreen Stick SPF 50+</t>
        </is>
      </c>
      <c r="D2090" t="inlineStr">
        <is>
          <t>Bullfrog Quik Stick Sunscreen SPF 50 | Oxybenzone &amp; Octinoxate Free | Broad Spectrum Moisturizing UVA/UVB, 2 pack</t>
        </is>
      </c>
      <c r="E2090" s="2">
        <f>HYPERLINK("https://www.amazon.com/Bullfrog-Sunscreen-Oxybenzone-Octinoxate-Moisturizing/dp/B0C37Z378N/ref=sr_1_8?keywords=Clear+Sunscreen+Stick+SPF+50&amp;qid=1695170860&amp;sr=8-8", "https://www.amazon.com/Bullfrog-Sunscreen-Oxybenzone-Octinoxate-Moisturizing/dp/B0C37Z378N/ref=sr_1_8?keywords=Clear+Sunscreen+Stick+SPF+50&amp;qid=1695170860&amp;sr=8-8")</f>
        <v/>
      </c>
      <c r="F2090" t="inlineStr">
        <is>
          <t>B0C37Z378N</t>
        </is>
      </c>
      <c r="G2090">
        <f>_xludf.IMAGE("https://shiseido.ipscdn.net/sa2/dw/image/v2/BBSK_PRD/on/demandware.static/-/Sites-itemmaster_shiseido/default/dwa059e4af/images/2021/October/Red Seal/0730852169807_6.jpg?sw=540&amp;sh=540&amp;sm=fit")</f>
        <v/>
      </c>
      <c r="H2090">
        <f>_xludf.IMAGE("https://m.media-amazon.com/images/I/61ElODnVXaL._AC_UL320_.jpg")</f>
        <v/>
      </c>
      <c r="K2090" t="inlineStr">
        <is>
          <t>30.0</t>
        </is>
      </c>
      <c r="L2090" t="n">
        <v>24.99</v>
      </c>
      <c r="M2090" s="1" t="inlineStr">
        <is>
          <t>-16.70%</t>
        </is>
      </c>
      <c r="N2090" s="3" t="n">
        <v>-16.7</v>
      </c>
      <c r="O2090" t="n">
        <v>4.7</v>
      </c>
      <c r="P2090" t="n">
        <v>12</v>
      </c>
      <c r="R2090" t="inlineStr">
        <is>
          <t>undefined</t>
        </is>
      </c>
      <c r="S2090" t="inlineStr">
        <is>
          <t>undefined</t>
        </is>
      </c>
      <c r="T2090" t="inlineStr">
        <is>
          <t>0730852169807</t>
        </is>
      </c>
    </row>
    <row r="2091" hidden="1" ht="15.75" customHeight="1">
      <c r="A2091" s="2">
        <f>HYPERLINK("https://www.shiseido.com/us/en/urban-environment-oil-free-sunscreen-spf-42-9990000000214.html?cgid=sets-and-travel", "https://www.shiseido.com/us/en/urban-environment-oil-free-sunscreen-spf-42-9990000000214.html?cgid=sets-and-travel")</f>
        <v/>
      </c>
      <c r="B2091" s="2">
        <f>HYPERLINK("https://www.shiseido.com/us/en/urban-environment-oil-free-sunscreen-spf-42-9990000000214.html", "https://www.shiseido.com/us/en/urban-environment-oil-free-sunscreen-spf-42-9990000000214.html")</f>
        <v/>
      </c>
      <c r="C2091" t="inlineStr">
        <is>
          <t>Urban Environment Oil-Free Sunscreen SPF 42</t>
        </is>
      </c>
      <c r="D2091" t="inlineStr">
        <is>
          <t>Shiseido Urban Environment Vita-Clear Sunscreen SPF 42-30 mL - Invisible Formula with Vitamin C - No-Shine, Makeup Effect for 8 Hours - Non-Comedogenic</t>
        </is>
      </c>
      <c r="E2091" s="2">
        <f>HYPERLINK("https://www.amazon.com/Shiseido-Urban-Environment-Vita-Clear-Sunscreen/dp/B0BT8NHRKD/ref=sr_1_3?keywords=Urban+Environment+Oil-Free+Sunscreen+SPF+42&amp;qid=1695170868&amp;sr=8-3", "https://www.amazon.com/Shiseido-Urban-Environment-Vita-Clear-Sunscreen/dp/B0BT8NHRKD/ref=sr_1_3?keywords=Urban+Environment+Oil-Free+Sunscreen+SPF+42&amp;qid=1695170868&amp;sr=8-3")</f>
        <v/>
      </c>
      <c r="F2091" t="inlineStr">
        <is>
          <t>B0BT8NHRKD</t>
        </is>
      </c>
      <c r="G2091">
        <f>_xludf.IMAGE("https://shiseido.ipscdn.net/sa2/dw/image/v2/BBSK_PRD/on/demandware.static/-/Sites-itemmaster_shiseido/default/dw05a98ef3/images/2022/March/Sun Protection/9990000000214_8.jpg?sw=540&amp;sh=540&amp;sm=fit")</f>
        <v/>
      </c>
      <c r="H2091">
        <f>_xludf.IMAGE("https://m.media-amazon.com/images/I/61VdCkX9meL._AC_UL320_.jpg")</f>
        <v/>
      </c>
      <c r="K2091" t="inlineStr">
        <is>
          <t>50.0</t>
        </is>
      </c>
      <c r="L2091" t="n">
        <v>38</v>
      </c>
      <c r="M2091" s="1" t="inlineStr">
        <is>
          <t>-24.00%</t>
        </is>
      </c>
      <c r="N2091" s="3" t="n">
        <v>-24</v>
      </c>
      <c r="O2091" t="n">
        <v>4.4</v>
      </c>
      <c r="P2091" t="n">
        <v>43</v>
      </c>
      <c r="R2091" t="inlineStr">
        <is>
          <t>undefined</t>
        </is>
      </c>
      <c r="S2091" t="inlineStr">
        <is>
          <t>undefined</t>
        </is>
      </c>
      <c r="T2091" t="inlineStr">
        <is>
          <t>0730852182127</t>
        </is>
      </c>
    </row>
    <row r="2092" hidden="1" ht="15.75" customHeight="1">
      <c r="A2092" s="2">
        <f>HYPERLINK("https://www.shiseido.com/us/en/urban-environment-oil-free-sunscreen-spf-42-9990000000214.html?cgid=sets-and-travel", "https://www.shiseido.com/us/en/urban-environment-oil-free-sunscreen-spf-42-9990000000214.html?cgid=sets-and-travel")</f>
        <v/>
      </c>
      <c r="B2092" s="2">
        <f>HYPERLINK("https://www.shiseido.com/us/en/urban-environment-oil-free-sunscreen-spf-42-9990000000214.html", "https://www.shiseido.com/us/en/urban-environment-oil-free-sunscreen-spf-42-9990000000214.html")</f>
        <v/>
      </c>
      <c r="C2092" t="inlineStr">
        <is>
          <t>Urban Environment Oil-Free Sunscreen SPF 42</t>
        </is>
      </c>
      <c r="D2092" t="inlineStr">
        <is>
          <t>Shiseido Urban Environment Oil-Free Sunscreen SPF 42 - 30 mL - Protects, Hydrates, Mattifies &amp; Works as Face Primer - Water Resistant for 40 Minutes - Non-Comedogenic</t>
        </is>
      </c>
      <c r="E2092" s="2">
        <f>HYPERLINK("https://www.amazon.com/Shiseido-Urban-Environment-Oil-Free-Sunscreen/dp/B0BGMJT64G/ref=sr_1_1?keywords=Urban+Environment+Oil-Free+Sunscreen+SPF+42&amp;qid=1695170868&amp;sr=8-1", "https://www.amazon.com/Shiseido-Urban-Environment-Oil-Free-Sunscreen/dp/B0BGMJT64G/ref=sr_1_1?keywords=Urban+Environment+Oil-Free+Sunscreen+SPF+42&amp;qid=1695170868&amp;sr=8-1")</f>
        <v/>
      </c>
      <c r="F2092" t="inlineStr">
        <is>
          <t>B0BGMJT64G</t>
        </is>
      </c>
      <c r="G2092">
        <f>_xludf.IMAGE("https://shiseido.ipscdn.net/sa2/dw/image/v2/BBSK_PRD/on/demandware.static/-/Sites-itemmaster_shiseido/default/dw05a98ef3/images/2022/March/Sun Protection/9990000000214_8.jpg?sw=540&amp;sh=540&amp;sm=fit")</f>
        <v/>
      </c>
      <c r="H2092">
        <f>_xludf.IMAGE("https://m.media-amazon.com/images/I/51UDuE-EQhL._AC_UL320_.jpg")</f>
        <v/>
      </c>
      <c r="K2092" t="inlineStr">
        <is>
          <t>50.0</t>
        </is>
      </c>
      <c r="L2092" t="n">
        <v>35</v>
      </c>
      <c r="M2092" s="1" t="inlineStr">
        <is>
          <t>-30.00%</t>
        </is>
      </c>
      <c r="N2092" s="3" t="n">
        <v>-30</v>
      </c>
      <c r="O2092" t="n">
        <v>4.3</v>
      </c>
      <c r="P2092" t="n">
        <v>46</v>
      </c>
      <c r="R2092" t="inlineStr">
        <is>
          <t>undefined</t>
        </is>
      </c>
      <c r="S2092" t="inlineStr">
        <is>
          <t>undefined</t>
        </is>
      </c>
      <c r="T2092" t="inlineStr">
        <is>
          <t>0730852182127</t>
        </is>
      </c>
    </row>
    <row r="2093" hidden="1" ht="15.75" customHeight="1">
      <c r="A2093" s="2">
        <f>HYPERLINK("https://www.shiseido.com/us/en/clear-sunscreen-stick-spf-50-0730852169807.html?cgid=sets-and-travel", "https://www.shiseido.com/us/en/clear-sunscreen-stick-spf-50-0730852169807.html?cgid=sets-and-travel")</f>
        <v/>
      </c>
      <c r="B2093" s="2">
        <f>HYPERLINK("https://www.shiseido.com/us/en/clear-sunscreen-stick-spf-50-0730852169807.html", "https://www.shiseido.com/us/en/clear-sunscreen-stick-spf-50-0730852169807.html")</f>
        <v/>
      </c>
      <c r="C2093" t="inlineStr">
        <is>
          <t>Clear Sunscreen Stick SPF 50+</t>
        </is>
      </c>
      <c r="D2093" t="inlineStr">
        <is>
          <t>Amavara Mineral Clear Sunscreen Face Stick SPF 50, Sheer Reef Safe Sunblock, Zinc Oxide Based Waterproof Sun Screen, Broad Spectrum, Safe for Kids and Sensitive Skin, Vegan, Cruelty Free, 0.6oz</t>
        </is>
      </c>
      <c r="E2093" s="2">
        <f>HYPERLINK("https://www.amazon.com/Amavara-Mineral-Sunscreen-Facestick-Transparent/dp/B07DL8RX58/ref=sr_1_7?keywords=Clear+Sunscreen+Stick+SPF+50&amp;qid=1695170860&amp;sr=8-7", "https://www.amazon.com/Amavara-Mineral-Sunscreen-Facestick-Transparent/dp/B07DL8RX58/ref=sr_1_7?keywords=Clear+Sunscreen+Stick+SPF+50&amp;qid=1695170860&amp;sr=8-7")</f>
        <v/>
      </c>
      <c r="F2093" t="inlineStr">
        <is>
          <t>B07DL8RX58</t>
        </is>
      </c>
      <c r="G2093">
        <f>_xludf.IMAGE("https://shiseido.ipscdn.net/sa2/dw/image/v2/BBSK_PRD/on/demandware.static/-/Sites-itemmaster_shiseido/default/dwa059e4af/images/2021/October/Red Seal/0730852169807_6.jpg?sw=540&amp;sh=540&amp;sm=fit")</f>
        <v/>
      </c>
      <c r="H2093">
        <f>_xludf.IMAGE("https://m.media-amazon.com/images/I/61naF+YeuHL._AC_UL320_.jpg")</f>
        <v/>
      </c>
      <c r="K2093" t="inlineStr">
        <is>
          <t>30.0</t>
        </is>
      </c>
      <c r="L2093" t="n">
        <v>20.49</v>
      </c>
      <c r="M2093" s="1" t="inlineStr">
        <is>
          <t>-31.70%</t>
        </is>
      </c>
      <c r="N2093" s="3" t="n">
        <v>-31.7</v>
      </c>
      <c r="O2093" t="n">
        <v>4.4</v>
      </c>
      <c r="P2093" t="n">
        <v>125</v>
      </c>
      <c r="R2093" t="inlineStr">
        <is>
          <t>undefined</t>
        </is>
      </c>
      <c r="S2093" t="inlineStr">
        <is>
          <t>undefined</t>
        </is>
      </c>
      <c r="T2093" t="inlineStr">
        <is>
          <t>0730852169807</t>
        </is>
      </c>
    </row>
    <row r="2094" hidden="1" ht="15.75" customHeight="1">
      <c r="A2094" s="2">
        <f>HYPERLINK("https://www.shiseido.com/us/en/eyelash-curler-0729238500969.html?cgid=sets-and-travel", "https://www.shiseido.com/us/en/eyelash-curler-0729238500969.html?cgid=sets-and-travel")</f>
        <v/>
      </c>
      <c r="B2094" s="2">
        <f>HYPERLINK("https://www.shiseido.com/us/en/eyelash-curler-0729238500969.html", "https://www.shiseido.com/us/en/eyelash-curler-0729238500969.html")</f>
        <v/>
      </c>
      <c r="C2094" t="inlineStr">
        <is>
          <t>Eyelash Curler</t>
        </is>
      </c>
      <c r="D2094" t="inlineStr">
        <is>
          <t>Tweezerman Neon Great Grip Eyelash Curler, Pink, 0.3 Oz</t>
        </is>
      </c>
      <c r="E2094" s="2">
        <f>HYPERLINK("https://www.amazon.com/TWEEZERMAN-Great-Eyelash-Curler-Ounce/dp/B00YRBWSNK/ref=sr_1_7?keywords=Eyelash+Curler&amp;qid=1695170859&amp;sr=8-7", "https://www.amazon.com/TWEEZERMAN-Great-Eyelash-Curler-Ounce/dp/B00YRBWSNK/ref=sr_1_7?keywords=Eyelash+Curler&amp;qid=1695170859&amp;sr=8-7")</f>
        <v/>
      </c>
      <c r="F2094" t="inlineStr">
        <is>
          <t>B00YRBWSNK</t>
        </is>
      </c>
      <c r="G2094">
        <f>_xludf.IMAGE("https://shiseido.ipscdn.net/sa2/dw/image/v2/BBSK_PRD/on/demandware.static/-/Sites-itemmaster_shiseido/default/dwf8af10c8/images/2022/July/Top25/0729238500969_1.jpg?sw=540&amp;sh=540&amp;sm=fit")</f>
        <v/>
      </c>
      <c r="H2094">
        <f>_xludf.IMAGE("https://m.media-amazon.com/images/I/61vYisz5WwL._AC_UL320_.jpg")</f>
        <v/>
      </c>
      <c r="K2094" t="inlineStr">
        <is>
          <t>24.0</t>
        </is>
      </c>
      <c r="L2094" t="n">
        <v>14.99</v>
      </c>
      <c r="M2094" s="1" t="inlineStr">
        <is>
          <t>-37.54%</t>
        </is>
      </c>
      <c r="N2094" s="3" t="n">
        <v>-37.54</v>
      </c>
      <c r="O2094" t="n">
        <v>4.6</v>
      </c>
      <c r="P2094" t="n">
        <v>3319</v>
      </c>
      <c r="R2094" t="inlineStr">
        <is>
          <t>undefined</t>
        </is>
      </c>
      <c r="S2094" t="inlineStr">
        <is>
          <t>undefined</t>
        </is>
      </c>
      <c r="T2094" t="inlineStr">
        <is>
          <t>0729238500969</t>
        </is>
      </c>
    </row>
    <row r="2095" hidden="1" ht="15.75" customHeight="1">
      <c r="A2095" s="2">
        <f>HYPERLINK("https://www.shiseido.com/us/en/eyelash-curler-0729238500969.html?cgid=sets-and-travel", "https://www.shiseido.com/us/en/eyelash-curler-0729238500969.html?cgid=sets-and-travel")</f>
        <v/>
      </c>
      <c r="B2095" s="2">
        <f>HYPERLINK("https://www.shiseido.com/us/en/eyelash-curler-0729238500969.html", "https://www.shiseido.com/us/en/eyelash-curler-0729238500969.html")</f>
        <v/>
      </c>
      <c r="C2095" t="inlineStr">
        <is>
          <t>Eyelash Curler</t>
        </is>
      </c>
      <c r="D2095" t="inlineStr">
        <is>
          <t>Tweezerman Classic Eyelash Curler Model No. 1034-R, Stainless Steel</t>
        </is>
      </c>
      <c r="E2095" s="2">
        <f>HYPERLINK("https://www.amazon.com/Tweezerman-Classic-Eyelash-Curler-1034-R/dp/B000EMWHD2/ref=sr_1_1?keywords=Eyelash+Curler&amp;qid=1695170859&amp;sr=8-1", "https://www.amazon.com/Tweezerman-Classic-Eyelash-Curler-1034-R/dp/B000EMWHD2/ref=sr_1_1?keywords=Eyelash+Curler&amp;qid=1695170859&amp;sr=8-1")</f>
        <v/>
      </c>
      <c r="F2095" t="inlineStr">
        <is>
          <t>B000EMWHD2</t>
        </is>
      </c>
      <c r="G2095">
        <f>_xludf.IMAGE("https://shiseido.ipscdn.net/sa2/dw/image/v2/BBSK_PRD/on/demandware.static/-/Sites-itemmaster_shiseido/default/dwf8af10c8/images/2022/July/Top25/0729238500969_1.jpg?sw=540&amp;sh=540&amp;sm=fit")</f>
        <v/>
      </c>
      <c r="H2095">
        <f>_xludf.IMAGE("https://m.media-amazon.com/images/I/613uQYdBKJL._AC_UL320_.jpg")</f>
        <v/>
      </c>
      <c r="K2095" t="inlineStr">
        <is>
          <t>24.0</t>
        </is>
      </c>
      <c r="L2095" t="n">
        <v>13.99</v>
      </c>
      <c r="M2095" s="1" t="inlineStr">
        <is>
          <t>-41.71%</t>
        </is>
      </c>
      <c r="N2095" s="3" t="n">
        <v>-41.71</v>
      </c>
      <c r="O2095" t="n">
        <v>4.6</v>
      </c>
      <c r="P2095" t="n">
        <v>8051</v>
      </c>
      <c r="R2095" t="inlineStr">
        <is>
          <t>undefined</t>
        </is>
      </c>
      <c r="S2095" t="inlineStr">
        <is>
          <t>undefined</t>
        </is>
      </c>
      <c r="T2095" t="inlineStr">
        <is>
          <t>0729238500969</t>
        </is>
      </c>
    </row>
    <row r="2096" hidden="1" ht="15.75" customHeight="1">
      <c r="A2096" s="2">
        <f>HYPERLINK("https://www.shiseido.com/us/en/clear-sunscreen-stick-spf-50-0730852169807.html?cgid=sets-and-travel", "https://www.shiseido.com/us/en/clear-sunscreen-stick-spf-50-0730852169807.html?cgid=sets-and-travel")</f>
        <v/>
      </c>
      <c r="B2096" s="2">
        <f>HYPERLINK("https://www.shiseido.com/us/en/clear-sunscreen-stick-spf-50-0730852169807.html", "https://www.shiseido.com/us/en/clear-sunscreen-stick-spf-50-0730852169807.html")</f>
        <v/>
      </c>
      <c r="C2096" t="inlineStr">
        <is>
          <t>Clear Sunscreen Stick SPF 50+</t>
        </is>
      </c>
      <c r="D2096" t="inlineStr">
        <is>
          <t>Babo Botanicals Super Shield SPF 50 Natural Sport Stick Fragrance Free Sunscreen</t>
        </is>
      </c>
      <c r="E2096" s="2">
        <f>HYPERLINK("https://www.amazon.com/Babo-Botanicals-Natural-Fragrance-Sunscreen/dp/B01ALY9ARS/ref=sr_1_10?keywords=Clear+Sunscreen+Stick+SPF+50&amp;qid=1695170860&amp;sr=8-10", "https://www.amazon.com/Babo-Botanicals-Natural-Fragrance-Sunscreen/dp/B01ALY9ARS/ref=sr_1_10?keywords=Clear+Sunscreen+Stick+SPF+50&amp;qid=1695170860&amp;sr=8-10")</f>
        <v/>
      </c>
      <c r="F2096" t="inlineStr">
        <is>
          <t>B01ALY9ARS</t>
        </is>
      </c>
      <c r="G2096">
        <f>_xludf.IMAGE("https://shiseido.ipscdn.net/sa2/dw/image/v2/BBSK_PRD/on/demandware.static/-/Sites-itemmaster_shiseido/default/dwa059e4af/images/2021/October/Red Seal/0730852169807_6.jpg?sw=540&amp;sh=540&amp;sm=fit")</f>
        <v/>
      </c>
      <c r="H2096">
        <f>_xludf.IMAGE("https://m.media-amazon.com/images/I/712N8T-IdML._AC_UL320_.jpg")</f>
        <v/>
      </c>
      <c r="K2096" t="inlineStr">
        <is>
          <t>30.0</t>
        </is>
      </c>
      <c r="L2096" t="n">
        <v>16</v>
      </c>
      <c r="M2096" s="1" t="inlineStr">
        <is>
          <t>-46.67%</t>
        </is>
      </c>
      <c r="N2096" s="3" t="n">
        <v>-46.67</v>
      </c>
      <c r="O2096" t="n">
        <v>4.5</v>
      </c>
      <c r="P2096" t="n">
        <v>1233</v>
      </c>
      <c r="R2096" t="inlineStr">
        <is>
          <t>undefined</t>
        </is>
      </c>
      <c r="S2096" t="inlineStr">
        <is>
          <t>undefined</t>
        </is>
      </c>
      <c r="T2096" t="inlineStr">
        <is>
          <t>0730852169807</t>
        </is>
      </c>
    </row>
    <row r="2097" hidden="1" ht="15.75" customHeight="1">
      <c r="A2097" s="2">
        <f>HYPERLINK("https://www.shiseido.com/us/en/clear-sunscreen-stick-spf-50-0730852169807.html?cgid=sets-and-travel", "https://www.shiseido.com/us/en/clear-sunscreen-stick-spf-50-0730852169807.html?cgid=sets-and-travel")</f>
        <v/>
      </c>
      <c r="B2097" s="2">
        <f>HYPERLINK("https://www.shiseido.com/us/en/clear-sunscreen-stick-spf-50-0730852169807.html", "https://www.shiseido.com/us/en/clear-sunscreen-stick-spf-50-0730852169807.html")</f>
        <v/>
      </c>
      <c r="C2097" t="inlineStr">
        <is>
          <t>Clear Sunscreen Stick SPF 50+</t>
        </is>
      </c>
      <c r="D2097" t="inlineStr">
        <is>
          <t>Neutrogena Sheer Zinc Oxide Kids Mineral Sunscreen Stick, Broad Spectrum SPF 50+ &amp; UVA/UVB Protection &amp; Water Resistant with Residue-Free, No-Mess Application, Oil- &amp; Paraben-Free, 1.5 oz</t>
        </is>
      </c>
      <c r="E2097" s="2">
        <f>HYPERLINK("https://www.amazon.com/Neutrogena-Sunscreen-Protection-Residue-Free-Application/dp/B07YFGSM63/ref=sr_1_9?keywords=Clear+Sunscreen+Stick+SPF+50&amp;qid=1695170860&amp;sr=8-9", "https://www.amazon.com/Neutrogena-Sunscreen-Protection-Residue-Free-Application/dp/B07YFGSM63/ref=sr_1_9?keywords=Clear+Sunscreen+Stick+SPF+50&amp;qid=1695170860&amp;sr=8-9")</f>
        <v/>
      </c>
      <c r="F2097" t="inlineStr">
        <is>
          <t>B07YFGSM63</t>
        </is>
      </c>
      <c r="G2097">
        <f>_xludf.IMAGE("https://shiseido.ipscdn.net/sa2/dw/image/v2/BBSK_PRD/on/demandware.static/-/Sites-itemmaster_shiseido/default/dwa059e4af/images/2021/October/Red Seal/0730852169807_6.jpg?sw=540&amp;sh=540&amp;sm=fit")</f>
        <v/>
      </c>
      <c r="H2097">
        <f>_xludf.IMAGE("https://m.media-amazon.com/images/I/71p9qqJdedL._AC_UL320_.jpg")</f>
        <v/>
      </c>
      <c r="K2097" t="inlineStr">
        <is>
          <t>30.0</t>
        </is>
      </c>
      <c r="L2097" t="n">
        <v>12.5</v>
      </c>
      <c r="M2097" s="1" t="inlineStr">
        <is>
          <t>-58.33%</t>
        </is>
      </c>
      <c r="N2097" s="3" t="n">
        <v>-58.33</v>
      </c>
      <c r="O2097" t="n">
        <v>4.6</v>
      </c>
      <c r="P2097" t="n">
        <v>1774</v>
      </c>
      <c r="R2097" t="inlineStr">
        <is>
          <t>undefined</t>
        </is>
      </c>
      <c r="S2097" t="inlineStr">
        <is>
          <t>undefined</t>
        </is>
      </c>
      <c r="T2097" t="inlineStr">
        <is>
          <t>0730852169807</t>
        </is>
      </c>
    </row>
    <row r="2098" hidden="1" ht="15.75" customHeight="1">
      <c r="A2098" s="2">
        <f>HYPERLINK("https://www.shiseido.com/us/en/clear-sunscreen-stick-spf-50-0730852169807.html?cgid=sets-and-travel", "https://www.shiseido.com/us/en/clear-sunscreen-stick-spf-50-0730852169807.html?cgid=sets-and-travel")</f>
        <v/>
      </c>
      <c r="B2098" s="2">
        <f>HYPERLINK("https://www.shiseido.com/us/en/clear-sunscreen-stick-spf-50-0730852169807.html", "https://www.shiseido.com/us/en/clear-sunscreen-stick-spf-50-0730852169807.html")</f>
        <v/>
      </c>
      <c r="C2098" t="inlineStr">
        <is>
          <t>Clear Sunscreen Stick SPF 50+</t>
        </is>
      </c>
      <c r="D2098" t="inlineStr">
        <is>
          <t>Aveeno Protect + Soothe Mineral Sunscreen Stick for Sensitive Skin with Broad Spectrum SPF 50, Water-Resistant Face &amp; Body Sunscreen with Zinc Oxide &amp; Oat, Fragrance-Free, Travel Size, 1.5 oz</t>
        </is>
      </c>
      <c r="E2098" s="2">
        <f>HYPERLINK("https://www.amazon.com/Aveeno-Positively-Sensitive-Water-Resistant-Fragrance-Free/dp/B07Z9SYF6N/ref=sr_1_6?keywords=Clear+Sunscreen+Stick+SPF+50&amp;qid=1695170860&amp;rdc=1&amp;sr=8-6", "https://www.amazon.com/Aveeno-Positively-Sensitive-Water-Resistant-Fragrance-Free/dp/B07Z9SYF6N/ref=sr_1_6?keywords=Clear+Sunscreen+Stick+SPF+50&amp;qid=1695170860&amp;rdc=1&amp;sr=8-6")</f>
        <v/>
      </c>
      <c r="F2098" t="inlineStr">
        <is>
          <t>B07Z9SYF6N</t>
        </is>
      </c>
      <c r="G2098">
        <f>_xludf.IMAGE("https://shiseido.ipscdn.net/sa2/dw/image/v2/BBSK_PRD/on/demandware.static/-/Sites-itemmaster_shiseido/default/dwa059e4af/images/2021/October/Red Seal/0730852169807_6.jpg?sw=540&amp;sh=540&amp;sm=fit")</f>
        <v/>
      </c>
      <c r="H2098">
        <f>_xludf.IMAGE("https://m.media-amazon.com/images/I/71bWFjbzAdL._AC_UL320_.jpg")</f>
        <v/>
      </c>
      <c r="K2098" t="inlineStr">
        <is>
          <t>30.0</t>
        </is>
      </c>
      <c r="L2098" t="n">
        <v>12.49</v>
      </c>
      <c r="M2098" s="1" t="inlineStr">
        <is>
          <t>-58.37%</t>
        </is>
      </c>
      <c r="N2098" s="3" t="n">
        <v>-58.37</v>
      </c>
      <c r="O2098" t="n">
        <v>4.4</v>
      </c>
      <c r="P2098" t="n">
        <v>1517</v>
      </c>
      <c r="R2098" t="inlineStr">
        <is>
          <t>undefined</t>
        </is>
      </c>
      <c r="S2098" t="inlineStr">
        <is>
          <t>undefined</t>
        </is>
      </c>
      <c r="T2098" t="inlineStr">
        <is>
          <t>0730852169807</t>
        </is>
      </c>
    </row>
    <row r="2099" hidden="1" ht="15.75" customHeight="1">
      <c r="A2099" s="2">
        <f>HYPERLINK("https://www.shiseido.com/us/en/eyelash-curler-0729238500969.html?cgid=sets-and-travel", "https://www.shiseido.com/us/en/eyelash-curler-0729238500969.html?cgid=sets-and-travel")</f>
        <v/>
      </c>
      <c r="B2099" s="2">
        <f>HYPERLINK("https://www.shiseido.com/us/en/eyelash-curler-0729238500969.html", "https://www.shiseido.com/us/en/eyelash-curler-0729238500969.html")</f>
        <v/>
      </c>
      <c r="C2099" t="inlineStr">
        <is>
          <t>Eyelash Curler</t>
        </is>
      </c>
      <c r="D2099" t="inlineStr">
        <is>
          <t>Eyelash Curler with Satin Bag &amp; Refill Pads - Award Winning Eye Lash Curlers for Dramatically Curled Eyelashes &amp; Lash Lift in Seconds (Jet Black)</t>
        </is>
      </c>
      <c r="E2099" s="2">
        <f>HYPERLINK("https://www.amazon.com/Brilliant-Beauty-Eyelash-Curler-Dramatically/dp/B01D9EQ9P8/ref=sr_1_9?keywords=Eyelash+Curler&amp;qid=1695170859&amp;sr=8-9", "https://www.amazon.com/Brilliant-Beauty-Eyelash-Curler-Dramatically/dp/B01D9EQ9P8/ref=sr_1_9?keywords=Eyelash+Curler&amp;qid=1695170859&amp;sr=8-9")</f>
        <v/>
      </c>
      <c r="F2099" t="inlineStr">
        <is>
          <t>B01D9EQ9P8</t>
        </is>
      </c>
      <c r="G2099">
        <f>_xludf.IMAGE("https://shiseido.ipscdn.net/sa2/dw/image/v2/BBSK_PRD/on/demandware.static/-/Sites-itemmaster_shiseido/default/dwf8af10c8/images/2022/July/Top25/0729238500969_1.jpg?sw=540&amp;sh=540&amp;sm=fit")</f>
        <v/>
      </c>
      <c r="H2099">
        <f>_xludf.IMAGE("https://m.media-amazon.com/images/I/71+GG3MLFBL._AC_UL320_.jpg")</f>
        <v/>
      </c>
      <c r="K2099" t="inlineStr">
        <is>
          <t>24.0</t>
        </is>
      </c>
      <c r="L2099" t="n">
        <v>9.779999999999999</v>
      </c>
      <c r="M2099" s="1" t="inlineStr">
        <is>
          <t>-59.25%</t>
        </is>
      </c>
      <c r="N2099" s="3" t="n">
        <v>-59.25</v>
      </c>
      <c r="O2099" t="n">
        <v>4.2</v>
      </c>
      <c r="P2099" t="n">
        <v>40187</v>
      </c>
      <c r="R2099" t="inlineStr">
        <is>
          <t>undefined</t>
        </is>
      </c>
      <c r="S2099" t="inlineStr">
        <is>
          <t>undefined</t>
        </is>
      </c>
      <c r="T2099" t="inlineStr">
        <is>
          <t>0729238500969</t>
        </is>
      </c>
    </row>
    <row r="2100" hidden="1" ht="15.75" customHeight="1">
      <c r="A2100" s="2">
        <f>HYPERLINK("https://www.shiseido.com/us/en/lash-bundle-lashbundle.html?cgid=sets-and-travel", "https://www.shiseido.com/us/en/lash-bundle-lashbundle.html?cgid=sets-and-travel")</f>
        <v/>
      </c>
      <c r="B2100" s="2">
        <f>HYPERLINK("https://www.shiseido.com/us/en/lash-bundle-lashbundle.html", "https://www.shiseido.com/us/en/lash-bundle-lashbundle.html")</f>
        <v/>
      </c>
      <c r="C2100" t="inlineStr">
        <is>
          <t>Lash Bundle</t>
        </is>
      </c>
      <c r="D2100" t="inlineStr">
        <is>
          <t>WONSIS Lash Clusters, Individual Lashes, Box*7, Bundle of 7 Combination, False Eyelashes Individual for DIY Lash Extension, C Curl Fluffy Wispy Individual Eyelash Clusters for Home Eyelash Extensions (Fluffy Mixed)</t>
        </is>
      </c>
      <c r="E2100" s="2" t="n"/>
      <c r="F2100" t="inlineStr">
        <is>
          <t>B0BT9FTGRH</t>
        </is>
      </c>
      <c r="G2100">
        <f>_xludf.IMAGE("https://shiseido.ipscdn.net/sa2/dw/image/v2/BBSK_PRD/on/demandware.static/-/Sites-itemmaster_shiseido/default/dw5d50c362/images/2021/August/SHI Bundles/lashbundle_1.jpg?sw=540&amp;sh=540&amp;sm=fit")</f>
        <v/>
      </c>
      <c r="H2100">
        <f>_xludf.IMAGE("https://m.media-amazon.com/images/I/71ajVajWwbL._AC_UL320_.jpg")</f>
        <v/>
      </c>
      <c r="K2100" t="inlineStr">
        <is>
          <t>70.0</t>
        </is>
      </c>
      <c r="L2100" t="n">
        <v>27.99</v>
      </c>
      <c r="M2100" s="1" t="inlineStr">
        <is>
          <t>-60.01%</t>
        </is>
      </c>
      <c r="N2100" s="3" t="n">
        <v>-60.01</v>
      </c>
      <c r="O2100" t="n">
        <v>4.3</v>
      </c>
      <c r="P2100" t="n">
        <v>75</v>
      </c>
      <c r="R2100" t="inlineStr">
        <is>
          <t>undefined</t>
        </is>
      </c>
      <c r="S2100" t="inlineStr">
        <is>
          <t>85.0</t>
        </is>
      </c>
      <c r="T2100" t="inlineStr">
        <is>
          <t>lashbundle</t>
        </is>
      </c>
    </row>
    <row r="2101" hidden="1" ht="15.75" customHeight="1">
      <c r="A2101" s="2">
        <f>HYPERLINK("https://www.shiseido.com/us/en/eyelash-curler-0729238500969.html?cgid=sets-and-travel", "https://www.shiseido.com/us/en/eyelash-curler-0729238500969.html?cgid=sets-and-travel")</f>
        <v/>
      </c>
      <c r="B2101" s="2">
        <f>HYPERLINK("https://www.shiseido.com/us/en/eyelash-curler-0729238500969.html", "https://www.shiseido.com/us/en/eyelash-curler-0729238500969.html")</f>
        <v/>
      </c>
      <c r="C2101" t="inlineStr">
        <is>
          <t>Eyelash Curler</t>
        </is>
      </c>
      <c r="D2101" t="inlineStr">
        <is>
          <t>Eyelash Curlers, Pink Eyelash Curler with 2 Silicone Refill Pads Premium Eye Lash Curler Best Seller for No Pinching or Pulling Lash Curler Makeup Tool for Women and Girls 24 Hours Eyelash Curl</t>
        </is>
      </c>
      <c r="E2101" s="2">
        <f>HYPERLINK("https://www.amazon.com/Eyelash-Curlers-Silicone-Premium-Pinching/dp/B0CD41YT1D/ref=sr_1_8?keywords=Eyelash+Curler&amp;qid=1695170859&amp;sr=8-8", "https://www.amazon.com/Eyelash-Curlers-Silicone-Premium-Pinching/dp/B0CD41YT1D/ref=sr_1_8?keywords=Eyelash+Curler&amp;qid=1695170859&amp;sr=8-8")</f>
        <v/>
      </c>
      <c r="F2101" t="inlineStr">
        <is>
          <t>B0CD41YT1D</t>
        </is>
      </c>
      <c r="G2101">
        <f>_xludf.IMAGE("https://shiseido.ipscdn.net/sa2/dw/image/v2/BBSK_PRD/on/demandware.static/-/Sites-itemmaster_shiseido/default/dwf8af10c8/images/2022/July/Top25/0729238500969_1.jpg?sw=540&amp;sh=540&amp;sm=fit")</f>
        <v/>
      </c>
      <c r="H2101">
        <f>_xludf.IMAGE("https://m.media-amazon.com/images/I/41YeDZDkTSL._AC_UL320_.jpg")</f>
        <v/>
      </c>
      <c r="K2101" t="inlineStr">
        <is>
          <t>24.0</t>
        </is>
      </c>
      <c r="L2101" t="n">
        <v>8.99</v>
      </c>
      <c r="M2101" s="1" t="inlineStr">
        <is>
          <t>-62.54%</t>
        </is>
      </c>
      <c r="N2101" s="3" t="n">
        <v>-62.54</v>
      </c>
      <c r="O2101" t="n">
        <v>5</v>
      </c>
      <c r="P2101" t="n">
        <v>16</v>
      </c>
      <c r="R2101" t="inlineStr">
        <is>
          <t>undefined</t>
        </is>
      </c>
      <c r="S2101" t="inlineStr">
        <is>
          <t>undefined</t>
        </is>
      </c>
      <c r="T2101" t="inlineStr">
        <is>
          <t>0729238500969</t>
        </is>
      </c>
    </row>
    <row r="2102" hidden="1" ht="15.75" customHeight="1">
      <c r="A2102" s="2">
        <f>HYPERLINK("https://www.shiseido.com/us/en/eyelash-curler-0729238500969.html?cgid=sets-and-travel", "https://www.shiseido.com/us/en/eyelash-curler-0729238500969.html?cgid=sets-and-travel")</f>
        <v/>
      </c>
      <c r="B2102" s="2">
        <f>HYPERLINK("https://www.shiseido.com/us/en/eyelash-curler-0729238500969.html", "https://www.shiseido.com/us/en/eyelash-curler-0729238500969.html")</f>
        <v/>
      </c>
      <c r="C2102" t="inlineStr">
        <is>
          <t>Eyelash Curler</t>
        </is>
      </c>
      <c r="D2102" t="inlineStr">
        <is>
          <t>Kaasage Eyelash Curler with Pads - Lash Curler with 5 Extra Silicone Replacement Pads, Achieve Perfect Curls in 5 Seconds</t>
        </is>
      </c>
      <c r="E2102" s="2">
        <f>HYPERLINK("https://www.amazon.com/Kaasage-Eyelash-Advanced-Silicone-Pressure/dp/B01J3NOMAI/ref=sr_1_5?keywords=Eyelash+Curler&amp;qid=1695170859&amp;sr=8-5", "https://www.amazon.com/Kaasage-Eyelash-Advanced-Silicone-Pressure/dp/B01J3NOMAI/ref=sr_1_5?keywords=Eyelash+Curler&amp;qid=1695170859&amp;sr=8-5")</f>
        <v/>
      </c>
      <c r="F2102" t="inlineStr">
        <is>
          <t>B01J3NOMAI</t>
        </is>
      </c>
      <c r="G2102">
        <f>_xludf.IMAGE("https://shiseido.ipscdn.net/sa2/dw/image/v2/BBSK_PRD/on/demandware.static/-/Sites-itemmaster_shiseido/default/dwf8af10c8/images/2022/July/Top25/0729238500969_1.jpg?sw=540&amp;sh=540&amp;sm=fit")</f>
        <v/>
      </c>
      <c r="H2102">
        <f>_xludf.IMAGE("https://m.media-amazon.com/images/I/61dEBCfFEeL._AC_UL320_.jpg")</f>
        <v/>
      </c>
      <c r="K2102" t="inlineStr">
        <is>
          <t>24.0</t>
        </is>
      </c>
      <c r="L2102" t="n">
        <v>8.949999999999999</v>
      </c>
      <c r="M2102" s="1" t="inlineStr">
        <is>
          <t>-62.71%</t>
        </is>
      </c>
      <c r="N2102" s="3" t="n">
        <v>-62.71</v>
      </c>
      <c r="O2102" t="n">
        <v>4.2</v>
      </c>
      <c r="P2102" t="n">
        <v>16029</v>
      </c>
      <c r="R2102" t="inlineStr">
        <is>
          <t>undefined</t>
        </is>
      </c>
      <c r="S2102" t="inlineStr">
        <is>
          <t>undefined</t>
        </is>
      </c>
      <c r="T2102" t="inlineStr">
        <is>
          <t>0729238500969</t>
        </is>
      </c>
    </row>
    <row r="2103" hidden="1" ht="15.75" customHeight="1">
      <c r="A2103" s="2">
        <f>HYPERLINK("https://www.shiseido.com/us/en/lash-bundle-lashbundle.html?cgid=sets-and-travel", "https://www.shiseido.com/us/en/lash-bundle-lashbundle.html?cgid=sets-and-travel")</f>
        <v/>
      </c>
      <c r="B2103" s="2">
        <f>HYPERLINK("https://www.shiseido.com/us/en/lash-bundle-lashbundle.html", "https://www.shiseido.com/us/en/lash-bundle-lashbundle.html")</f>
        <v/>
      </c>
      <c r="C2103" t="inlineStr">
        <is>
          <t>Lash Bundle</t>
        </is>
      </c>
      <c r="D2103" t="inlineStr">
        <is>
          <t>WONSIS Lash Clusters, Box*4, Bundle of 4 Combination, Individual Lashes, 960 Pcs Individual Lash Extensions, Volume Soft Lightweight DIY Eyelash Extensions, Thickness 0.07mm C Curl False Eyelashes (4 Boxes-20D10-14)</t>
        </is>
      </c>
      <c r="E2103" s="2" t="n"/>
      <c r="F2103" t="inlineStr">
        <is>
          <t>B0BSN6QV5B</t>
        </is>
      </c>
      <c r="G2103">
        <f>_xludf.IMAGE("https://shiseido.ipscdn.net/sa2/dw/image/v2/BBSK_PRD/on/demandware.static/-/Sites-itemmaster_shiseido/default/dw5d50c362/images/2021/August/SHI Bundles/lashbundle_1.jpg?sw=540&amp;sh=540&amp;sm=fit")</f>
        <v/>
      </c>
      <c r="H2103">
        <f>_xludf.IMAGE("https://m.media-amazon.com/images/I/81bCGhcgkhL._AC_UL320_.jpg")</f>
        <v/>
      </c>
      <c r="K2103" t="inlineStr">
        <is>
          <t>70.0</t>
        </is>
      </c>
      <c r="L2103" t="n">
        <v>24.99</v>
      </c>
      <c r="M2103" s="1" t="inlineStr">
        <is>
          <t>-64.30%</t>
        </is>
      </c>
      <c r="N2103" s="3" t="n">
        <v>-64.3</v>
      </c>
      <c r="O2103" t="n">
        <v>4.3</v>
      </c>
      <c r="P2103" t="n">
        <v>244</v>
      </c>
      <c r="R2103" t="inlineStr">
        <is>
          <t>undefined</t>
        </is>
      </c>
      <c r="S2103" t="inlineStr">
        <is>
          <t>85.0</t>
        </is>
      </c>
      <c r="T2103" t="inlineStr">
        <is>
          <t>lashbundle</t>
        </is>
      </c>
    </row>
    <row r="2104" hidden="1" ht="15.75" customHeight="1">
      <c r="A2104" s="2">
        <f>HYPERLINK("https://www.shiseido.com/us/en/clear-sunscreen-stick-spf-50-0730852169807.html?cgid=sets-and-travel", "https://www.shiseido.com/us/en/clear-sunscreen-stick-spf-50-0730852169807.html?cgid=sets-and-travel")</f>
        <v/>
      </c>
      <c r="B2104" s="2">
        <f>HYPERLINK("https://www.shiseido.com/us/en/clear-sunscreen-stick-spf-50-0730852169807.html", "https://www.shiseido.com/us/en/clear-sunscreen-stick-spf-50-0730852169807.html")</f>
        <v/>
      </c>
      <c r="C2104" t="inlineStr">
        <is>
          <t>Clear Sunscreen Stick SPF 50+</t>
        </is>
      </c>
      <c r="D2104" t="inlineStr">
        <is>
          <t>Zinka - Clear Zinc Oxide Sunscreen Face Stick SPF 50, Water Resistant for 80 Minutes - .49oz Stick</t>
        </is>
      </c>
      <c r="E2104" s="2">
        <f>HYPERLINK("https://www.amazon.com/Zinka-Clear-Sunscreen-Resistant-Minutes/dp/B004RHO904/ref=sr_1_5?keywords=Clear+Sunscreen+Stick+SPF+50&amp;qid=1695170860&amp;sr=8-5", "https://www.amazon.com/Zinka-Clear-Sunscreen-Resistant-Minutes/dp/B004RHO904/ref=sr_1_5?keywords=Clear+Sunscreen+Stick+SPF+50&amp;qid=1695170860&amp;sr=8-5")</f>
        <v/>
      </c>
      <c r="F2104" t="inlineStr">
        <is>
          <t>B004RHO904</t>
        </is>
      </c>
      <c r="G2104">
        <f>_xludf.IMAGE("https://shiseido.ipscdn.net/sa2/dw/image/v2/BBSK_PRD/on/demandware.static/-/Sites-itemmaster_shiseido/default/dwa059e4af/images/2021/October/Red Seal/0730852169807_6.jpg?sw=540&amp;sh=540&amp;sm=fit")</f>
        <v/>
      </c>
      <c r="H2104">
        <f>_xludf.IMAGE("https://m.media-amazon.com/images/I/610GDGmgxmL._AC_UL320_.jpg")</f>
        <v/>
      </c>
      <c r="K2104" t="inlineStr">
        <is>
          <t>30.0</t>
        </is>
      </c>
      <c r="L2104" t="n">
        <v>9.99</v>
      </c>
      <c r="M2104" s="1" t="inlineStr">
        <is>
          <t>-66.70%</t>
        </is>
      </c>
      <c r="N2104" s="3" t="n">
        <v>-66.7</v>
      </c>
      <c r="O2104" t="n">
        <v>4.4</v>
      </c>
      <c r="P2104" t="n">
        <v>1082</v>
      </c>
      <c r="R2104" t="inlineStr">
        <is>
          <t>undefined</t>
        </is>
      </c>
      <c r="S2104" t="inlineStr">
        <is>
          <t>undefined</t>
        </is>
      </c>
      <c r="T2104" t="inlineStr">
        <is>
          <t>0730852169807</t>
        </is>
      </c>
    </row>
    <row r="2105" hidden="1" ht="15.75" customHeight="1">
      <c r="A2105" s="2">
        <f>HYPERLINK("https://www.shiseido.com/us/en/eyelash-curler-0729238500969.html?cgid=sets-and-travel", "https://www.shiseido.com/us/en/eyelash-curler-0729238500969.html?cgid=sets-and-travel")</f>
        <v/>
      </c>
      <c r="B2105" s="2">
        <f>HYPERLINK("https://www.shiseido.com/us/en/eyelash-curler-0729238500969.html", "https://www.shiseido.com/us/en/eyelash-curler-0729238500969.html")</f>
        <v/>
      </c>
      <c r="C2105" t="inlineStr">
        <is>
          <t>Eyelash Curler</t>
        </is>
      </c>
      <c r="D2105" t="inlineStr">
        <is>
          <t>Eyelash Curler with Comb, TOMEEM Professional Volumizing Lash Lift Kit Lash Curler with Refill Pads for Home &amp; Travel Uses, Rose Gold</t>
        </is>
      </c>
      <c r="E2105" s="2">
        <f>HYPERLINK("https://www.amazon.com/Eyelash-Curler-TOMEEM-Professional-Volumizing/dp/B091T1K48S/ref=sr_1_4?keywords=Eyelash+Curler&amp;qid=1695170859&amp;sr=8-4", "https://www.amazon.com/Eyelash-Curler-TOMEEM-Professional-Volumizing/dp/B091T1K48S/ref=sr_1_4?keywords=Eyelash+Curler&amp;qid=1695170859&amp;sr=8-4")</f>
        <v/>
      </c>
      <c r="F2105" t="inlineStr">
        <is>
          <t>B091T1K48S</t>
        </is>
      </c>
      <c r="G2105">
        <f>_xludf.IMAGE("https://shiseido.ipscdn.net/sa2/dw/image/v2/BBSK_PRD/on/demandware.static/-/Sites-itemmaster_shiseido/default/dwf8af10c8/images/2022/July/Top25/0729238500969_1.jpg?sw=540&amp;sh=540&amp;sm=fit")</f>
        <v/>
      </c>
      <c r="H2105">
        <f>_xludf.IMAGE("https://m.media-amazon.com/images/I/71CO7hQavJL._AC_UL320_.jpg")</f>
        <v/>
      </c>
      <c r="K2105" t="inlineStr">
        <is>
          <t>24.0</t>
        </is>
      </c>
      <c r="L2105" t="n">
        <v>7.99</v>
      </c>
      <c r="M2105" s="1" t="inlineStr">
        <is>
          <t>-66.71%</t>
        </is>
      </c>
      <c r="N2105" s="3" t="n">
        <v>-66.70999999999999</v>
      </c>
      <c r="O2105" t="n">
        <v>4.3</v>
      </c>
      <c r="P2105" t="n">
        <v>845</v>
      </c>
      <c r="R2105" t="inlineStr">
        <is>
          <t>undefined</t>
        </is>
      </c>
      <c r="S2105" t="inlineStr">
        <is>
          <t>undefined</t>
        </is>
      </c>
      <c r="T2105" t="inlineStr">
        <is>
          <t>0729238500969</t>
        </is>
      </c>
    </row>
    <row r="2106" hidden="1" ht="15.75" customHeight="1">
      <c r="A2106" s="2">
        <f>HYPERLINK("https://www.shiseido.com/us/en/eyelash-curler-0729238500969.html?cgid=sets-and-travel", "https://www.shiseido.com/us/en/eyelash-curler-0729238500969.html?cgid=sets-and-travel")</f>
        <v/>
      </c>
      <c r="B2106" s="2">
        <f>HYPERLINK("https://www.shiseido.com/us/en/eyelash-curler-0729238500969.html", "https://www.shiseido.com/us/en/eyelash-curler-0729238500969.html")</f>
        <v/>
      </c>
      <c r="C2106" t="inlineStr">
        <is>
          <t>Eyelash Curler</t>
        </is>
      </c>
      <c r="D2106" t="inlineStr">
        <is>
          <t>Uranian Beauty Eyelash Curler Comb Eyelash Curlers with 2 Silicone Refill Pads Premium Lash Curler Makeup Tool for Women and Girls</t>
        </is>
      </c>
      <c r="E2106" s="2">
        <f>HYPERLINK("https://www.amazon.com/Uranian-Eyelash-Curlers-Silicone-Premium/dp/B09267G3X8/ref=sr_1_10?keywords=Eyelash+Curler&amp;qid=1695170859&amp;sr=8-10", "https://www.amazon.com/Uranian-Eyelash-Curlers-Silicone-Premium/dp/B09267G3X8/ref=sr_1_10?keywords=Eyelash+Curler&amp;qid=1695170859&amp;sr=8-10")</f>
        <v/>
      </c>
      <c r="F2106" t="inlineStr">
        <is>
          <t>B09267G3X8</t>
        </is>
      </c>
      <c r="G2106">
        <f>_xludf.IMAGE("https://shiseido.ipscdn.net/sa2/dw/image/v2/BBSK_PRD/on/demandware.static/-/Sites-itemmaster_shiseido/default/dwf8af10c8/images/2022/July/Top25/0729238500969_1.jpg?sw=540&amp;sh=540&amp;sm=fit")</f>
        <v/>
      </c>
      <c r="H2106">
        <f>_xludf.IMAGE("https://m.media-amazon.com/images/I/517IYSEKi+L._AC_UL320_.jpg")</f>
        <v/>
      </c>
      <c r="K2106" t="inlineStr">
        <is>
          <t>24.0</t>
        </is>
      </c>
      <c r="L2106" t="n">
        <v>7.99</v>
      </c>
      <c r="M2106" s="1" t="inlineStr">
        <is>
          <t>-66.71%</t>
        </is>
      </c>
      <c r="N2106" s="3" t="n">
        <v>-66.70999999999999</v>
      </c>
      <c r="O2106" t="n">
        <v>3.9</v>
      </c>
      <c r="P2106" t="n">
        <v>846</v>
      </c>
      <c r="R2106" t="inlineStr">
        <is>
          <t>undefined</t>
        </is>
      </c>
      <c r="S2106" t="inlineStr">
        <is>
          <t>undefined</t>
        </is>
      </c>
      <c r="T2106" t="inlineStr">
        <is>
          <t>0729238500969</t>
        </is>
      </c>
    </row>
    <row r="2107" hidden="1" ht="15.75" customHeight="1">
      <c r="A2107" s="2">
        <f>HYPERLINK("https://www.shiseido.com/us/en/clear-sunscreen-stick-spf-50-0730852169807.html?cgid=sets-and-travel", "https://www.shiseido.com/us/en/clear-sunscreen-stick-spf-50-0730852169807.html?cgid=sets-and-travel")</f>
        <v/>
      </c>
      <c r="B2107" s="2">
        <f>HYPERLINK("https://www.shiseido.com/us/en/clear-sunscreen-stick-spf-50-0730852169807.html", "https://www.shiseido.com/us/en/clear-sunscreen-stick-spf-50-0730852169807.html")</f>
        <v/>
      </c>
      <c r="C2107" t="inlineStr">
        <is>
          <t>Clear Sunscreen Stick SPF 50+</t>
        </is>
      </c>
      <c r="D2107" t="inlineStr">
        <is>
          <t>SCINIC Enjoy Super Active Airy Sun Stick SPF50+ PA++++ 0.53oz (15g) | Strong UV Protection Anytime, Anywhere Air-light, Clear | Korean Skincare</t>
        </is>
      </c>
      <c r="E2107" s="2">
        <f>HYPERLINK("https://www.amazon.com/SCINIC-Protection-Anywhere-Air-light-Skincare/dp/B07DXP2BLM/ref=sr_1_2?keywords=Clear+Sunscreen+Stick+SPF+50&amp;qid=1695170860&amp;sr=8-2", "https://www.amazon.com/SCINIC-Protection-Anywhere-Air-light-Skincare/dp/B07DXP2BLM/ref=sr_1_2?keywords=Clear+Sunscreen+Stick+SPF+50&amp;qid=1695170860&amp;sr=8-2")</f>
        <v/>
      </c>
      <c r="F2107" t="inlineStr">
        <is>
          <t>B07DXP2BLM</t>
        </is>
      </c>
      <c r="G2107">
        <f>_xludf.IMAGE("https://shiseido.ipscdn.net/sa2/dw/image/v2/BBSK_PRD/on/demandware.static/-/Sites-itemmaster_shiseido/default/dwa059e4af/images/2021/October/Red Seal/0730852169807_6.jpg?sw=540&amp;sh=540&amp;sm=fit")</f>
        <v/>
      </c>
      <c r="H2107">
        <f>_xludf.IMAGE("https://m.media-amazon.com/images/I/51SylFOPpDL._AC_UL320_.jpg")</f>
        <v/>
      </c>
      <c r="K2107" t="inlineStr">
        <is>
          <t>30.0</t>
        </is>
      </c>
      <c r="L2107" t="n">
        <v>9.09</v>
      </c>
      <c r="M2107" s="1" t="inlineStr">
        <is>
          <t>-69.70%</t>
        </is>
      </c>
      <c r="N2107" s="3" t="n">
        <v>-69.7</v>
      </c>
      <c r="O2107" t="n">
        <v>4.2</v>
      </c>
      <c r="P2107" t="n">
        <v>460</v>
      </c>
      <c r="R2107" t="inlineStr">
        <is>
          <t>undefined</t>
        </is>
      </c>
      <c r="S2107" t="inlineStr">
        <is>
          <t>undefined</t>
        </is>
      </c>
      <c r="T2107" t="inlineStr">
        <is>
          <t>0730852169807</t>
        </is>
      </c>
    </row>
    <row r="2108" hidden="1" ht="15.75" customHeight="1">
      <c r="A2108" s="2">
        <f>HYPERLINK("https://www.shiseido.com/us/en/clear-sunscreen-stick-spf-50-0730852169807.html?cgid=sets-and-travel", "https://www.shiseido.com/us/en/clear-sunscreen-stick-spf-50-0730852169807.html?cgid=sets-and-travel")</f>
        <v/>
      </c>
      <c r="B2108" s="2">
        <f>HYPERLINK("https://www.shiseido.com/us/en/clear-sunscreen-stick-spf-50-0730852169807.html", "https://www.shiseido.com/us/en/clear-sunscreen-stick-spf-50-0730852169807.html")</f>
        <v/>
      </c>
      <c r="C2108" t="inlineStr">
        <is>
          <t>Clear Sunscreen Stick SPF 50+</t>
        </is>
      </c>
      <c r="D2108" t="inlineStr">
        <is>
          <t>CeraVe Mineral Sunscreen Stick for Kids &amp; Adults | 100% Mineral Sunscreen, Zinc Oxide &amp; Titanium Dioxide with Hyaluronic Acid and Ceramides | Broad Spectrum SPF 50 | Fragrance Free | 0.47 Ounce</t>
        </is>
      </c>
      <c r="E2108" s="2">
        <f>HYPERLINK("https://www.amazon.com/CeraVe-Sunscreen-Mineral-Adults-Fragrance/dp/B00CICLTAI/ref=sr_1_3?keywords=Clear+Sunscreen+Stick+SPF+50&amp;qid=1695170860&amp;sr=8-3", "https://www.amazon.com/CeraVe-Sunscreen-Mineral-Adults-Fragrance/dp/B00CICLTAI/ref=sr_1_3?keywords=Clear+Sunscreen+Stick+SPF+50&amp;qid=1695170860&amp;sr=8-3")</f>
        <v/>
      </c>
      <c r="F2108" t="inlineStr">
        <is>
          <t>B00CICLTAI</t>
        </is>
      </c>
      <c r="G2108">
        <f>_xludf.IMAGE("https://shiseido.ipscdn.net/sa2/dw/image/v2/BBSK_PRD/on/demandware.static/-/Sites-itemmaster_shiseido/default/dwa059e4af/images/2021/October/Red Seal/0730852169807_6.jpg?sw=540&amp;sh=540&amp;sm=fit")</f>
        <v/>
      </c>
      <c r="H2108">
        <f>_xludf.IMAGE("https://m.media-amazon.com/images/I/71nKsPX-l3L._AC_UL320_.jpg")</f>
        <v/>
      </c>
      <c r="K2108" t="inlineStr">
        <is>
          <t>30.0</t>
        </is>
      </c>
      <c r="L2108" t="n">
        <v>8.99</v>
      </c>
      <c r="M2108" s="1" t="inlineStr">
        <is>
          <t>-70.03%</t>
        </is>
      </c>
      <c r="N2108" s="3" t="n">
        <v>-70.03</v>
      </c>
      <c r="O2108" t="n">
        <v>4.5</v>
      </c>
      <c r="P2108" t="n">
        <v>5886</v>
      </c>
      <c r="R2108" t="inlineStr">
        <is>
          <t>undefined</t>
        </is>
      </c>
      <c r="S2108" t="inlineStr">
        <is>
          <t>undefined</t>
        </is>
      </c>
      <c r="T2108" t="inlineStr">
        <is>
          <t>0730852169807</t>
        </is>
      </c>
    </row>
    <row r="2109" hidden="1" ht="15.75" customHeight="1">
      <c r="A2109" s="2">
        <f>HYPERLINK("https://www.shiseido.com/us/en/lash-bundle-lashbundle.html?cgid=sets-and-travel", "https://www.shiseido.com/us/en/lash-bundle-lashbundle.html?cgid=sets-and-travel")</f>
        <v/>
      </c>
      <c r="B2109" s="2">
        <f>HYPERLINK("https://www.shiseido.com/us/en/lash-bundle-lashbundle.html", "https://www.shiseido.com/us/en/lash-bundle-lashbundle.html")</f>
        <v/>
      </c>
      <c r="C2109" t="inlineStr">
        <is>
          <t>Lash Bundle</t>
        </is>
      </c>
      <c r="D2109" t="inlineStr">
        <is>
          <t>WONSIS Lash Clusters, Box*10, Bundle of 10 Combination, C Curl Individual Lashes, 480 Pcs Volume Wispy Natural Look DIY Lash Extensions, Soft &amp; Lightweight Cluster Eyelash Extensions for Personal Makeup (10 Boxes-12mm)</t>
        </is>
      </c>
      <c r="E2109" s="2" t="n"/>
      <c r="F2109" t="inlineStr">
        <is>
          <t>B0BXX4876W</t>
        </is>
      </c>
      <c r="G2109">
        <f>_xludf.IMAGE("https://shiseido.ipscdn.net/sa2/dw/image/v2/BBSK_PRD/on/demandware.static/-/Sites-itemmaster_shiseido/default/dw5d50c362/images/2021/August/SHI Bundles/lashbundle_1.jpg?sw=540&amp;sh=540&amp;sm=fit")</f>
        <v/>
      </c>
      <c r="H2109">
        <f>_xludf.IMAGE("https://m.media-amazon.com/images/I/71ZnYR95wgL._AC_UL320_.jpg")</f>
        <v/>
      </c>
      <c r="K2109" t="inlineStr">
        <is>
          <t>70.0</t>
        </is>
      </c>
      <c r="L2109" t="n">
        <v>19.99</v>
      </c>
      <c r="M2109" s="1" t="inlineStr">
        <is>
          <t>-71.44%</t>
        </is>
      </c>
      <c r="N2109" s="3" t="n">
        <v>-71.44</v>
      </c>
      <c r="O2109" t="n">
        <v>4.1</v>
      </c>
      <c r="P2109" t="n">
        <v>480</v>
      </c>
      <c r="R2109" t="inlineStr">
        <is>
          <t>undefined</t>
        </is>
      </c>
      <c r="S2109" t="inlineStr">
        <is>
          <t>85.0</t>
        </is>
      </c>
      <c r="T2109" t="inlineStr">
        <is>
          <t>lashbundle</t>
        </is>
      </c>
    </row>
    <row r="2110" hidden="1" ht="15.75" customHeight="1">
      <c r="A2110" s="2">
        <f>HYPERLINK("https://www.shiseido.com/us/en/men%E2%80%99s-eye-care-bundle-menseyecarebundle.html?cgid=sets-and-travel", "https://www.shiseido.com/us/en/men%E2%80%99s-eye-care-bundle-menseyecarebundle.html?cgid=sets-and-travel")</f>
        <v/>
      </c>
      <c r="B2110" s="2">
        <f>HYPERLINK("https://www.shiseido.com/us/en/men%E2%80%99s-eye-care-bundle-menseyecarebundle.html", "https://www.shiseido.com/us/en/men%E2%80%99s-eye-care-bundle-menseyecarebundle.html")</f>
        <v/>
      </c>
      <c r="C2110" t="inlineStr">
        <is>
          <t>Men’s Eye Care Bundle</t>
        </is>
      </c>
      <c r="D2110" t="inlineStr">
        <is>
          <t>Dollar Shave Club | Ultimate Skincare Bundle | Oil Control Face Wash (3.4 oz), Oil-Free Face Moisturizer with SPF 30 (1.7 oz), &amp; Eye Savior (0.5 oz) | Men's Skincare | Skin Care Routine</t>
        </is>
      </c>
      <c r="E2110" s="2">
        <f>HYPERLINK("https://www.amazon.com/Dollar-Shave-Club-Ultimate-Moisturizer/dp/B0BRTG4KY7/ref=sr_1_1?keywords=Men%E2%80%99s+Eye+Care+Bundle&amp;qid=1695170924&amp;sr=8-1", "https://www.amazon.com/Dollar-Shave-Club-Ultimate-Moisturizer/dp/B0BRTG4KY7/ref=sr_1_1?keywords=Men%E2%80%99s+Eye+Care+Bundle&amp;qid=1695170924&amp;sr=8-1")</f>
        <v/>
      </c>
      <c r="F2110" t="inlineStr">
        <is>
          <t>B0BRTG4KY7</t>
        </is>
      </c>
      <c r="G2110">
        <f>_xludf.IMAGE("https://shiseido.ipscdn.net/sa2/dw/image/v2/BBSK_PRD/on/demandware.static/-/Sites-itemmaster_shiseido/default/dw0e785a5b/images/2022/January/Mens/0729238184107_1.jpg?sw=540&amp;sh=540&amp;sm=fit")</f>
        <v/>
      </c>
      <c r="H2110">
        <f>_xludf.IMAGE("https://m.media-amazon.com/images/I/713Xl3kTo4L._AC_UL320_.jpg")</f>
        <v/>
      </c>
      <c r="K2110" t="inlineStr">
        <is>
          <t>98.0</t>
        </is>
      </c>
      <c r="L2110" t="n">
        <v>26.99</v>
      </c>
      <c r="M2110" s="1" t="inlineStr">
        <is>
          <t>-72.46%</t>
        </is>
      </c>
      <c r="N2110" s="3" t="n">
        <v>-72.45999999999999</v>
      </c>
      <c r="O2110" t="n">
        <v>4.3</v>
      </c>
      <c r="P2110" t="n">
        <v>10</v>
      </c>
      <c r="R2110" t="inlineStr">
        <is>
          <t>undefined</t>
        </is>
      </c>
      <c r="S2110" t="inlineStr">
        <is>
          <t>111.0</t>
        </is>
      </c>
      <c r="T2110" t="inlineStr">
        <is>
          <t>No. 0768614171522</t>
        </is>
      </c>
    </row>
    <row r="2111" hidden="1" ht="15.75" customHeight="1">
      <c r="A2111" s="2">
        <f>HYPERLINK("https://www.shiseido.com/us/en/eyelash-curler-0729238500969.html?cgid=sets-and-travel", "https://www.shiseido.com/us/en/eyelash-curler-0729238500969.html?cgid=sets-and-travel")</f>
        <v/>
      </c>
      <c r="B2111" s="2">
        <f>HYPERLINK("https://www.shiseido.com/us/en/eyelash-curler-0729238500969.html", "https://www.shiseido.com/us/en/eyelash-curler-0729238500969.html")</f>
        <v/>
      </c>
      <c r="C2111" t="inlineStr">
        <is>
          <t>Eyelash Curler</t>
        </is>
      </c>
      <c r="D2111" t="inlineStr">
        <is>
          <t>Revlon Eyelash Curler, Precision Curl Control for All Eye Shapes, Lifts &amp; Defines, Easy to Use (Pack of 1)</t>
        </is>
      </c>
      <c r="E2111" s="2">
        <f>HYPERLINK("https://www.amazon.com/Revlon-Extra-Curl-Eyelash-Curler/dp/B002F3Z3SO/ref=sr_1_3?keywords=Eyelash+Curler&amp;qid=1695170859&amp;sr=8-3", "https://www.amazon.com/Revlon-Extra-Curl-Eyelash-Curler/dp/B002F3Z3SO/ref=sr_1_3?keywords=Eyelash+Curler&amp;qid=1695170859&amp;sr=8-3")</f>
        <v/>
      </c>
      <c r="F2111" t="inlineStr">
        <is>
          <t>B002F3Z3SO</t>
        </is>
      </c>
      <c r="G2111">
        <f>_xludf.IMAGE("https://shiseido.ipscdn.net/sa2/dw/image/v2/BBSK_PRD/on/demandware.static/-/Sites-itemmaster_shiseido/default/dwf8af10c8/images/2022/July/Top25/0729238500969_1.jpg?sw=540&amp;sh=540&amp;sm=fit")</f>
        <v/>
      </c>
      <c r="H2111">
        <f>_xludf.IMAGE("https://m.media-amazon.com/images/I/7135a1xkXrL._AC_UL320_.jpg")</f>
        <v/>
      </c>
      <c r="K2111" t="inlineStr">
        <is>
          <t>24.0</t>
        </is>
      </c>
      <c r="L2111" t="n">
        <v>5.48</v>
      </c>
      <c r="M2111" s="1" t="inlineStr">
        <is>
          <t>-77.17%</t>
        </is>
      </c>
      <c r="N2111" s="3" t="n">
        <v>-77.17</v>
      </c>
      <c r="O2111" t="n">
        <v>4.1</v>
      </c>
      <c r="P2111" t="n">
        <v>22215</v>
      </c>
      <c r="R2111" t="inlineStr">
        <is>
          <t>undefined</t>
        </is>
      </c>
      <c r="S2111" t="inlineStr">
        <is>
          <t>undefined</t>
        </is>
      </c>
      <c r="T2111" t="inlineStr">
        <is>
          <t>0729238500969</t>
        </is>
      </c>
    </row>
    <row r="2112" hidden="1" ht="15.75" customHeight="1">
      <c r="A2112" s="2">
        <f>HYPERLINK("https://www.shiseido.com/us/en/eyelash-curler-0729238500969.html?cgid=sets-and-travel", "https://www.shiseido.com/us/en/eyelash-curler-0729238500969.html?cgid=sets-and-travel")</f>
        <v/>
      </c>
      <c r="B2112" s="2">
        <f>HYPERLINK("https://www.shiseido.com/us/en/eyelash-curler-0729238500969.html", "https://www.shiseido.com/us/en/eyelash-curler-0729238500969.html")</f>
        <v/>
      </c>
      <c r="C2112" t="inlineStr">
        <is>
          <t>Eyelash Curler</t>
        </is>
      </c>
      <c r="D2112" t="inlineStr">
        <is>
          <t>e.l.f. Pro Eyelash Curler, Vegan Makeup Tool, Creates Eye-Opening &amp; Lifted Lashes, Lash Curler Includes Additional Rubber Replacement Pad</t>
        </is>
      </c>
      <c r="E2112" s="2">
        <f>HYPERLINK("https://www.amazon.com/l-f-Eyelash-Curler-Lifting-Building/dp/B07ZVYM365/ref=sr_1_2?keywords=Eyelash+Curler&amp;qid=1695170859&amp;sr=8-2", "https://www.amazon.com/l-f-Eyelash-Curler-Lifting-Building/dp/B07ZVYM365/ref=sr_1_2?keywords=Eyelash+Curler&amp;qid=1695170859&amp;sr=8-2")</f>
        <v/>
      </c>
      <c r="F2112" t="inlineStr">
        <is>
          <t>B07ZVYM365</t>
        </is>
      </c>
      <c r="G2112">
        <f>_xludf.IMAGE("https://shiseido.ipscdn.net/sa2/dw/image/v2/BBSK_PRD/on/demandware.static/-/Sites-itemmaster_shiseido/default/dwf8af10c8/images/2022/July/Top25/0729238500969_1.jpg?sw=540&amp;sh=540&amp;sm=fit")</f>
        <v/>
      </c>
      <c r="H2112">
        <f>_xludf.IMAGE("https://m.media-amazon.com/images/I/61N4WwdQIlL._AC_UL320_.jpg")</f>
        <v/>
      </c>
      <c r="K2112" t="inlineStr">
        <is>
          <t>24.0</t>
        </is>
      </c>
      <c r="L2112" t="n">
        <v>5</v>
      </c>
      <c r="M2112" s="1" t="inlineStr">
        <is>
          <t>-79.17%</t>
        </is>
      </c>
      <c r="N2112" s="3" t="n">
        <v>-79.17</v>
      </c>
      <c r="O2112" t="n">
        <v>4.3</v>
      </c>
      <c r="P2112" t="n">
        <v>12634</v>
      </c>
      <c r="R2112" t="inlineStr">
        <is>
          <t>undefined</t>
        </is>
      </c>
      <c r="S2112" t="inlineStr">
        <is>
          <t>undefined</t>
        </is>
      </c>
      <c r="T2112" t="inlineStr">
        <is>
          <t>0729238500969</t>
        </is>
      </c>
    </row>
    <row r="2113" hidden="1" ht="15.75" customHeight="1">
      <c r="A2113" s="2">
        <f>HYPERLINK("https://www.shiseido.com/us/en/lash-bundle-lashbundle.html?cgid=sets-and-travel", "https://www.shiseido.com/us/en/lash-bundle-lashbundle.html?cgid=sets-and-travel")</f>
        <v/>
      </c>
      <c r="B2113" s="2">
        <f>HYPERLINK("https://www.shiseido.com/us/en/lash-bundle-lashbundle.html", "https://www.shiseido.com/us/en/lash-bundle-lashbundle.html")</f>
        <v/>
      </c>
      <c r="C2113" t="inlineStr">
        <is>
          <t>Lash Bundle</t>
        </is>
      </c>
      <c r="D2113" t="inlineStr">
        <is>
          <t>Vayator 8-10-12-14mm Mixed, 10-12-14-16mm Mixed , 200 Bundles Mink Eyelash Extension Natural 3D Russian Volume Faux Eyelashes Individual 20D Cluster Lashes Makeup (10-12-14-16mm Mixed)</t>
        </is>
      </c>
      <c r="E2113" s="2" t="n"/>
      <c r="F2113" t="inlineStr">
        <is>
          <t>B08DNKLP8V</t>
        </is>
      </c>
      <c r="G2113">
        <f>_xludf.IMAGE("https://shiseido.ipscdn.net/sa2/dw/image/v2/BBSK_PRD/on/demandware.static/-/Sites-itemmaster_shiseido/default/dw5d50c362/images/2021/August/SHI Bundles/lashbundle_1.jpg?sw=540&amp;sh=540&amp;sm=fit")</f>
        <v/>
      </c>
      <c r="H2113">
        <f>_xludf.IMAGE("https://m.media-amazon.com/images/I/91kSFWrhpQL._AC_UL320_.jpg")</f>
        <v/>
      </c>
      <c r="K2113" t="inlineStr">
        <is>
          <t>70.0</t>
        </is>
      </c>
      <c r="L2113" t="n">
        <v>12</v>
      </c>
      <c r="M2113" s="1" t="inlineStr">
        <is>
          <t>-82.86%</t>
        </is>
      </c>
      <c r="N2113" s="3" t="n">
        <v>-82.86</v>
      </c>
      <c r="O2113" t="n">
        <v>4.3</v>
      </c>
      <c r="P2113" t="n">
        <v>138</v>
      </c>
      <c r="R2113" t="inlineStr">
        <is>
          <t>undefined</t>
        </is>
      </c>
      <c r="S2113" t="inlineStr">
        <is>
          <t>85.0</t>
        </is>
      </c>
      <c r="T2113" t="inlineStr">
        <is>
          <t>lashbundle</t>
        </is>
      </c>
    </row>
    <row r="2114" hidden="1" ht="15.75" customHeight="1">
      <c r="A2114" s="2">
        <f>HYPERLINK("https://www.shiseido.com/us/en/eyelash-curler-0729238500969.html?cgid=sets-and-travel", "https://www.shiseido.com/us/en/eyelash-curler-0729238500969.html?cgid=sets-and-travel")</f>
        <v/>
      </c>
      <c r="B2114" s="2">
        <f>HYPERLINK("https://www.shiseido.com/us/en/eyelash-curler-0729238500969.html", "https://www.shiseido.com/us/en/eyelash-curler-0729238500969.html")</f>
        <v/>
      </c>
      <c r="C2114" t="inlineStr">
        <is>
          <t>Eyelash Curler</t>
        </is>
      </c>
      <c r="D2114" t="inlineStr">
        <is>
          <t>Wet n Wild High On Lash Eyelash Curler with Comfort Grip</t>
        </is>
      </c>
      <c r="E2114" s="2">
        <f>HYPERLINK("https://www.amazon.com/Wet-Wild-Eyelash-Curler-Comfort/dp/B08RRLJDGM/ref=sr_1_6?keywords=Eyelash+Curler&amp;qid=1695170859&amp;sr=8-6", "https://www.amazon.com/Wet-Wild-Eyelash-Curler-Comfort/dp/B08RRLJDGM/ref=sr_1_6?keywords=Eyelash+Curler&amp;qid=1695170859&amp;sr=8-6")</f>
        <v/>
      </c>
      <c r="F2114" t="inlineStr">
        <is>
          <t>B08RRLJDGM</t>
        </is>
      </c>
      <c r="G2114">
        <f>_xludf.IMAGE("https://shiseido.ipscdn.net/sa2/dw/image/v2/BBSK_PRD/on/demandware.static/-/Sites-itemmaster_shiseido/default/dwf8af10c8/images/2022/July/Top25/0729238500969_1.jpg?sw=540&amp;sh=540&amp;sm=fit")</f>
        <v/>
      </c>
      <c r="H2114">
        <f>_xludf.IMAGE("https://m.media-amazon.com/images/I/713stoF0K6L._AC_UL320_.jpg")</f>
        <v/>
      </c>
      <c r="K2114" t="inlineStr">
        <is>
          <t>24.0</t>
        </is>
      </c>
      <c r="L2114" t="n">
        <v>2.28</v>
      </c>
      <c r="M2114" s="1" t="inlineStr">
        <is>
          <t>-90.50%</t>
        </is>
      </c>
      <c r="N2114" s="3" t="n">
        <v>-90.5</v>
      </c>
      <c r="O2114" t="n">
        <v>4.3</v>
      </c>
      <c r="P2114" t="n">
        <v>23604</v>
      </c>
      <c r="R2114" t="inlineStr">
        <is>
          <t>undefined</t>
        </is>
      </c>
      <c r="S2114" t="inlineStr">
        <is>
          <t>undefined</t>
        </is>
      </c>
      <c r="T2114" t="inlineStr">
        <is>
          <t>0729238500969</t>
        </is>
      </c>
    </row>
    <row r="2115" ht="75" customHeight="1">
      <c r="A2115" s="2">
        <f>HYPERLINK("https://www.shiseido.com/us/en/uv-protective-compact-foundation-refill-spf-36-9990000000085.html?cgid=last-chance", "https://www.shiseido.com/us/en/uv-protective-compact-foundation-refill-spf-36-9990000000085.html?cgid=last-chance")</f>
        <v/>
      </c>
      <c r="B2115" s="2">
        <f>HYPERLINK("https://www.shiseido.com/us/en/uv-protective-compact-foundation-refill-spf-36-9990000000085.html", "https://www.shiseido.com/us/en/uv-protective-compact-foundation-refill-spf-36-9990000000085.html")</f>
        <v/>
      </c>
      <c r="C2115" t="inlineStr">
        <is>
          <t>UV Protective Compact Foundation (Refill) SPF 36</t>
        </is>
      </c>
      <c r="D2115" t="inlineStr">
        <is>
          <t>Shu Uemura The Lightbulb UV Compact Foundation SPF30 / PA+++ (Refill) 774 Light Beige, 0.42oz, 12g</t>
        </is>
      </c>
      <c r="E2115" s="2">
        <f>HYPERLINK("https://www.amazon.com/Shu-Uemura-Lightbulb-Compact-Foundation/dp/B00J89WAFM/ref=sr_1_7?keywords=UV+Protective+Compact+Foundation+%28Refill%29+SPF+36&amp;qid=1695170934&amp;sr=8-7", "https://www.amazon.com/Shu-Uemura-Lightbulb-Compact-Foundation/dp/B00J89WAFM/ref=sr_1_7?keywords=UV+Protective+Compact+Foundation+%28Refill%29+SPF+36&amp;qid=1695170934&amp;sr=8-7")</f>
        <v/>
      </c>
      <c r="F2115" t="inlineStr">
        <is>
          <t>B00J89WAFM</t>
        </is>
      </c>
      <c r="G2115">
        <f>_xlfn.IMAGE("https://shiseido.ipscdn.net/sa2/dw/image/v2/BBSK_PRD/on/demandware.static/-/Sites-itemmaster_shiseido/default/dwb30d16e0/images/hi-res/730852111882_A1.jpg?sw=540&amp;sh=540&amp;sm=fit")</f>
        <v/>
      </c>
      <c r="H2115">
        <f>_xlfn.IMAGE("https://m.media-amazon.com/images/I/81YUdkCjgHL._AC_UL320_.jpg")</f>
        <v/>
      </c>
      <c r="K2115" t="inlineStr">
        <is>
          <t>30.0</t>
        </is>
      </c>
      <c r="L2115" t="n">
        <v>96.88</v>
      </c>
      <c r="M2115" s="1" t="inlineStr">
        <is>
          <t>222.93%</t>
        </is>
      </c>
      <c r="N2115" s="3" t="n">
        <v>222.93</v>
      </c>
      <c r="O2115" t="n">
        <v>4.1</v>
      </c>
      <c r="P2115" t="n">
        <v>25</v>
      </c>
      <c r="R2115" t="inlineStr">
        <is>
          <t>InStock</t>
        </is>
      </c>
      <c r="S2115" t="inlineStr">
        <is>
          <t>undefined</t>
        </is>
      </c>
      <c r="T2115" t="inlineStr">
        <is>
          <t>0730852144460</t>
        </is>
      </c>
    </row>
    <row r="2116" ht="75" customHeight="1">
      <c r="A2116" s="2">
        <f>HYPERLINK("https://www.shiseido.com/us/en/ultimune-eye-power-infusing-eye-concentrate-0730852154780.html?cgid=last-chance", "https://www.shiseido.com/us/en/ultimune-eye-power-infusing-eye-concentrate-0730852154780.html?cgid=last-chance")</f>
        <v/>
      </c>
      <c r="B2116" s="2">
        <f>HYPERLINK("https://www.shiseido.com/us/en/ultimune-eye-power-infusing-eye-concentrate-0730852154780.html", "https://www.shiseido.com/us/en/ultimune-eye-power-infusing-eye-concentrate-0730852154780.html")</f>
        <v/>
      </c>
      <c r="C2116" t="inlineStr">
        <is>
          <t>Power Infusing Eye Concentrate</t>
        </is>
      </c>
      <c r="D2116" t="inlineStr">
        <is>
          <t>Shiseido Ultimune Power Infusing Concentrate - 75 mL - Antioxidant Anti-Aging Face Serum - Boosts Radiance, Increases Hydration &amp; Improves Visible Signs of Aging</t>
        </is>
      </c>
      <c r="E2116" s="2">
        <f>HYPERLINK("https://www.amazon.com/Savavi-Power-Infusing-Concentrate-Ultimune/dp/B09TXLP4TB/ref=sr_1_5?keywords=Power+Infusing+Eye+Concentrate&amp;qid=1695170937&amp;sr=8-5", "https://www.amazon.com/Savavi-Power-Infusing-Concentrate-Ultimune/dp/B09TXLP4TB/ref=sr_1_5?keywords=Power+Infusing+Eye+Concentrate&amp;qid=1695170937&amp;sr=8-5")</f>
        <v/>
      </c>
      <c r="F2116" t="inlineStr">
        <is>
          <t>B09TXLP4TB</t>
        </is>
      </c>
      <c r="G2116">
        <f>_xlfn.IMAGE("https://shiseido.ipscdn.net/sa2/dw/image/v2/BBSK_PRD/on/demandware.static/-/Sites-itemmaster_shiseido/default/dw8bff4cbe/images/alt1/SHI-WEB-S20-370_PDP_ALT_UTM_Eye_2000x2000_3.jpg?sw=540&amp;sh=540&amp;sm=fit")</f>
        <v/>
      </c>
      <c r="H2116">
        <f>_xlfn.IMAGE("https://m.media-amazon.com/images/I/61Hj4qepZVL._AC_UL320_.jpg")</f>
        <v/>
      </c>
      <c r="K2116" t="inlineStr">
        <is>
          <t>70.0</t>
        </is>
      </c>
      <c r="L2116" t="n">
        <v>140</v>
      </c>
      <c r="M2116" s="1" t="inlineStr">
        <is>
          <t>100.00%</t>
        </is>
      </c>
      <c r="N2116" s="3" t="n">
        <v>100</v>
      </c>
      <c r="O2116" t="n">
        <v>4.3</v>
      </c>
      <c r="P2116" t="n">
        <v>11</v>
      </c>
      <c r="R2116" t="inlineStr">
        <is>
          <t>undefined</t>
        </is>
      </c>
      <c r="S2116" t="inlineStr">
        <is>
          <t>undefined</t>
        </is>
      </c>
      <c r="T2116" t="inlineStr">
        <is>
          <t>0730852154780</t>
        </is>
      </c>
    </row>
    <row r="2117" hidden="1" ht="15.75" customHeight="1">
      <c r="A2117" s="2">
        <f>HYPERLINK("https://www.shiseido.com/us/en/ultimune-eye-power-infusing-eye-concentrate-0730852154780.html?cgid=last-chance", "https://www.shiseido.com/us/en/ultimune-eye-power-infusing-eye-concentrate-0730852154780.html?cgid=last-chance")</f>
        <v/>
      </c>
      <c r="B2117" s="2">
        <f>HYPERLINK("https://www.shiseido.com/us/en/ultimune-eye-power-infusing-eye-concentrate-0730852154780.html", "https://www.shiseido.com/us/en/ultimune-eye-power-infusing-eye-concentrate-0730852154780.html")</f>
        <v/>
      </c>
      <c r="C2117" t="inlineStr">
        <is>
          <t>Power Infusing Eye Concentrate</t>
        </is>
      </c>
      <c r="D2117" t="inlineStr">
        <is>
          <t>Shiseido Ultimune Power Infusing Concentrate - Antioxidant Anti-Aging Face Serum - Boosts Radiance, Increases Hydration &amp; Improves Visible Signs of Aging</t>
        </is>
      </c>
      <c r="E2117" s="2">
        <f>HYPERLINK("https://www.amazon.com/Shiseido-Ultimune-Power-Infusing-Concentrate/dp/B00MNF6EWI/ref=sr_1_3?keywords=Power+Infusing+Eye+Concentrate&amp;qid=1695170937&amp;sr=8-3", "https://www.amazon.com/Shiseido-Ultimune-Power-Infusing-Concentrate/dp/B00MNF6EWI/ref=sr_1_3?keywords=Power+Infusing+Eye+Concentrate&amp;qid=1695170937&amp;sr=8-3")</f>
        <v/>
      </c>
      <c r="F2117" t="inlineStr">
        <is>
          <t>B00MNF6EWI</t>
        </is>
      </c>
      <c r="G2117">
        <f>_xludf.IMAGE("https://shiseido.ipscdn.net/sa2/dw/image/v2/BBSK_PRD/on/demandware.static/-/Sites-itemmaster_shiseido/default/dw8bff4cbe/images/alt1/SHI-WEB-S20-370_PDP_ALT_UTM_Eye_2000x2000_3.jpg?sw=540&amp;sh=540&amp;sm=fit")</f>
        <v/>
      </c>
      <c r="H2117">
        <f>_xludf.IMAGE("https://m.media-amazon.com/images/I/61nbxyZlYaL._AC_UL320_.jpg")</f>
        <v/>
      </c>
      <c r="K2117" t="inlineStr">
        <is>
          <t>70.0</t>
        </is>
      </c>
      <c r="L2117" t="n">
        <v>75</v>
      </c>
      <c r="M2117" s="1" t="inlineStr">
        <is>
          <t>7.14%</t>
        </is>
      </c>
      <c r="N2117" s="3" t="n">
        <v>7.14</v>
      </c>
      <c r="O2117" t="n">
        <v>4.5</v>
      </c>
      <c r="P2117" t="n">
        <v>270</v>
      </c>
      <c r="R2117" t="inlineStr">
        <is>
          <t>undefined</t>
        </is>
      </c>
      <c r="S2117" t="inlineStr">
        <is>
          <t>undefined</t>
        </is>
      </c>
      <c r="T2117" t="inlineStr">
        <is>
          <t>0730852154780</t>
        </is>
      </c>
    </row>
    <row r="2118" hidden="1" ht="15.75" customHeight="1">
      <c r="A2118" s="2">
        <f>HYPERLINK("https://www.shiseido.com/us/en/benefiance-wrinkle-smoothing-eye-cream-0730852155794.html?cgid=last-chance", "https://www.shiseido.com/us/en/benefiance-wrinkle-smoothing-eye-cream-0730852155794.html?cgid=last-chance")</f>
        <v/>
      </c>
      <c r="B2118" s="2">
        <f>HYPERLINK("https://www.shiseido.com/us/en/benefiance-wrinkle-smoothing-eye-cream-0730852155794.html", "https://www.shiseido.com/us/en/benefiance-wrinkle-smoothing-eye-cream-0730852155794.html")</f>
        <v/>
      </c>
      <c r="C2118" t="inlineStr">
        <is>
          <t>Wrinkle Smoothing Eye Cream</t>
        </is>
      </c>
      <c r="D2118" t="inlineStr">
        <is>
          <t>Shiseido Benefiance Wrinkle Smoothing Eye Cream - 15 mL - Visibly Improves Five Types of Eye Wrinkles, Dark Circles &amp; Puffiness - 48-HR Hydration - All Skin Types - Non-Comedogenic</t>
        </is>
      </c>
      <c r="E2118" s="2">
        <f>HYPERLINK("https://www.amazon.com/Shiseido-Benefiance-Wrinkle-Smoothing-Cream/dp/B0C9RXV1VY/ref=sr_1_1?keywords=Wrinkle+Smoothing+Eye+Cream&amp;qid=1695170931&amp;sr=8-1", "https://www.amazon.com/Shiseido-Benefiance-Wrinkle-Smoothing-Cream/dp/B0C9RXV1VY/ref=sr_1_1?keywords=Wrinkle+Smoothing+Eye+Cream&amp;qid=1695170931&amp;sr=8-1")</f>
        <v/>
      </c>
      <c r="F2118" t="inlineStr">
        <is>
          <t>B0C9RXV1VY</t>
        </is>
      </c>
      <c r="G2118">
        <f>_xludf.IMAGE("https://shiseido.ipscdn.net/sa2/dw/image/v2/BBSK_PRD/on/demandware.static/-/Sites-itemmaster_shiseido/default/dw495b4d42/images/2022/July/Top25/0730852155794_1.jpg?sw=540&amp;sh=540&amp;sm=fit")</f>
        <v/>
      </c>
      <c r="H2118">
        <f>_xludf.IMAGE("https://m.media-amazon.com/images/I/51hn1R70ZEL._AC_UL320_.jpg")</f>
        <v/>
      </c>
      <c r="K2118" t="inlineStr">
        <is>
          <t>64.0</t>
        </is>
      </c>
      <c r="L2118" t="n">
        <v>65</v>
      </c>
      <c r="M2118" s="1" t="inlineStr">
        <is>
          <t>1.56%</t>
        </is>
      </c>
      <c r="N2118" s="3" t="n">
        <v>1.56</v>
      </c>
      <c r="O2118" t="n">
        <v>4.1</v>
      </c>
      <c r="P2118" t="n">
        <v>31</v>
      </c>
      <c r="R2118" t="inlineStr">
        <is>
          <t>undefined</t>
        </is>
      </c>
      <c r="S2118" t="inlineStr">
        <is>
          <t>undefined</t>
        </is>
      </c>
      <c r="T2118" t="inlineStr">
        <is>
          <t>0730852155794</t>
        </is>
      </c>
    </row>
    <row r="2119" hidden="1" ht="15.75" customHeight="1">
      <c r="A2119" s="2">
        <f>HYPERLINK("https://www.shiseido.com/us/en/shiseido-modernmatte-powder-lipstick---shadow-dancer-0730852164338.html?cgid=last-chance", "https://www.shiseido.com/us/en/shiseido-modernmatte-powder-lipstick---shadow-dancer-0730852164338.html?cgid=last-chance")</f>
        <v/>
      </c>
      <c r="B2119" s="2">
        <f>HYPERLINK("https://www.shiseido.com/us/en/modernmatte-powder-lipstick-9990000000171.html", "https://www.shiseido.com/us/en/modernmatte-powder-lipstick-9990000000171.html")</f>
        <v/>
      </c>
      <c r="C2119" t="inlineStr">
        <is>
          <t>ModernMatte Powder Lipstick</t>
        </is>
      </c>
      <c r="D2119" t="inlineStr">
        <is>
          <t>Shiseido ModernMatte Powder Lipstick - Full-Coverage, Non-Drying Matte Lipstick - Weightless, Long-Lasting Color - 8-Hour Coverage</t>
        </is>
      </c>
      <c r="E2119" s="2">
        <f>HYPERLINK("https://www.amazon.com/Shiseido-ModernMatte-Powder-Lipstick-Peep/dp/B07FKSJGCS/ref=sr_1_1?keywords=modern+matte+powder+lipstick&amp;qid=1695170931&amp;sr=8-1", "https://www.amazon.com/Shiseido-ModernMatte-Powder-Lipstick-Peep/dp/B07FKSJGCS/ref=sr_1_1?keywords=modern+matte+powder+lipstick&amp;qid=1695170931&amp;sr=8-1")</f>
        <v/>
      </c>
      <c r="F2119" t="inlineStr">
        <is>
          <t>B07FKSJGCS</t>
        </is>
      </c>
      <c r="G2119">
        <f>_xludf.IMAGE("https://shiseido.ipscdn.net/sa2/dw/image/v2/BBSK_PRD/on/demandware.static/-/Sites-itemmaster_shiseido/default/dwa431b243/images/hi-res/0730852164338_4.jpg?sw=540&amp;sh=540&amp;sm=fit")</f>
        <v/>
      </c>
      <c r="H2119">
        <f>_xludf.IMAGE("https://m.media-amazon.com/images/I/71stfbS77gL._AC_UL320_.jpg")</f>
        <v/>
      </c>
      <c r="K2119" t="inlineStr">
        <is>
          <t>26.0</t>
        </is>
      </c>
      <c r="L2119" t="n">
        <v>26</v>
      </c>
      <c r="M2119" s="1" t="inlineStr">
        <is>
          <t>0.00%</t>
        </is>
      </c>
      <c r="N2119" s="3" t="n">
        <v>0</v>
      </c>
      <c r="O2119" t="n">
        <v>4.5</v>
      </c>
      <c r="P2119" t="n">
        <v>193</v>
      </c>
      <c r="R2119" t="inlineStr">
        <is>
          <t>undefined</t>
        </is>
      </c>
      <c r="S2119" t="inlineStr">
        <is>
          <t>undefined</t>
        </is>
      </c>
      <c r="T2119" t="inlineStr">
        <is>
          <t>0730852164338</t>
        </is>
      </c>
    </row>
    <row r="2120" hidden="1" ht="15.75" customHeight="1">
      <c r="A2120" s="2">
        <f>HYPERLINK("https://www.shiseido.com/us/en/modernmatte-powder-lipstick---dark-fantasy-0729238148000.html?cgid=last-chance", "https://www.shiseido.com/us/en/modernmatte-powder-lipstick---dark-fantasy-0729238148000.html?cgid=last-chance")</f>
        <v/>
      </c>
      <c r="B2120" s="2">
        <f>HYPERLINK("https://www.shiseido.com/us/en/modernmatte-powder-lipstick-9990000000171.html", "https://www.shiseido.com/us/en/modernmatte-powder-lipstick-9990000000171.html")</f>
        <v/>
      </c>
      <c r="C2120" t="inlineStr">
        <is>
          <t>ModernMatte Powder Lipstick</t>
        </is>
      </c>
      <c r="D2120" t="inlineStr">
        <is>
          <t>Shiseido ModernMatte Powder Lipstick - Full-Coverage, Non-Drying Matte Lipstick - Weightless, Long-Lasting Color - 8-Hour Coverage</t>
        </is>
      </c>
      <c r="E2120" s="2">
        <f>HYPERLINK("https://www.amazon.com/Shiseido-ModernMatte-Powder-Lipstick-Peep/dp/B07FKSJGCS/ref=sr_1_1?keywords=modern+matte+powder+lipstick&amp;qid=1695170931&amp;sr=8-1", "https://www.amazon.com/Shiseido-ModernMatte-Powder-Lipstick-Peep/dp/B07FKSJGCS/ref=sr_1_1?keywords=modern+matte+powder+lipstick&amp;qid=1695170931&amp;sr=8-1")</f>
        <v/>
      </c>
      <c r="F2120" t="inlineStr">
        <is>
          <t>B07FKSJGCS</t>
        </is>
      </c>
      <c r="G2120">
        <f>_xludf.IMAGE("https://shiseido.ipscdn.net/sa2/dw/image/v2/BBSK_PRD/on/demandware.static/-/Sites-itemmaster_shiseido/default/dwe034f59a/images/hi-res/0729238148000.jpg?sw=540&amp;sh=540&amp;sm=fit")</f>
        <v/>
      </c>
      <c r="H2120">
        <f>_xludf.IMAGE("https://m.media-amazon.com/images/I/71stfbS77gL._AC_UL320_.jpg")</f>
        <v/>
      </c>
      <c r="K2120" t="inlineStr">
        <is>
          <t>26.0</t>
        </is>
      </c>
      <c r="L2120" t="n">
        <v>26</v>
      </c>
      <c r="M2120" s="1" t="inlineStr">
        <is>
          <t>0.00%</t>
        </is>
      </c>
      <c r="N2120" s="3" t="n">
        <v>0</v>
      </c>
      <c r="O2120" t="n">
        <v>4.5</v>
      </c>
      <c r="P2120" t="n">
        <v>193</v>
      </c>
      <c r="R2120" t="inlineStr">
        <is>
          <t>InStock</t>
        </is>
      </c>
      <c r="S2120" t="inlineStr">
        <is>
          <t>undefined</t>
        </is>
      </c>
      <c r="T2120" t="inlineStr">
        <is>
          <t>0729238148000</t>
        </is>
      </c>
    </row>
    <row r="2121" hidden="1" ht="15.75" customHeight="1">
      <c r="A2121" s="2">
        <f>HYPERLINK("https://www.shiseido.com/us/en/ultimune-eye-power-infusing-eye-concentrate-0730852154780.html?cgid=last-chance", "https://www.shiseido.com/us/en/ultimune-eye-power-infusing-eye-concentrate-0730852154780.html?cgid=last-chance")</f>
        <v/>
      </c>
      <c r="B2121" s="2">
        <f>HYPERLINK("https://www.shiseido.com/us/en/ultimune-eye-power-infusing-eye-concentrate-0730852154780.html", "https://www.shiseido.com/us/en/ultimune-eye-power-infusing-eye-concentrate-0730852154780.html")</f>
        <v/>
      </c>
      <c r="C2121" t="inlineStr">
        <is>
          <t>Power Infusing Eye Concentrate</t>
        </is>
      </c>
      <c r="D2121" t="inlineStr">
        <is>
          <t>Shiseido Ultimune Eye Power Infusing Eye Concentrate - 15 mL - Anti-Aging Eye Serum - Prevents &amp; Protects Against Visible Signs of Aging - Provides 24-Hour Hydration</t>
        </is>
      </c>
      <c r="E2121" s="2">
        <f>HYPERLINK("https://www.amazon.com/Shiseido-Ultimune-Power-Infusing-Concentrate/dp/B0BGMMZFN2/ref=sr_1_2?keywords=Power+Infusing+Eye+Concentrate&amp;qid=1695170937&amp;sr=8-2", "https://www.amazon.com/Shiseido-Ultimune-Power-Infusing-Concentrate/dp/B0BGMMZFN2/ref=sr_1_2?keywords=Power+Infusing+Eye+Concentrate&amp;qid=1695170937&amp;sr=8-2")</f>
        <v/>
      </c>
      <c r="F2121" t="inlineStr">
        <is>
          <t>B0BGMMZFN2</t>
        </is>
      </c>
      <c r="G2121">
        <f>_xludf.IMAGE("https://shiseido.ipscdn.net/sa2/dw/image/v2/BBSK_PRD/on/demandware.static/-/Sites-itemmaster_shiseido/default/dw8bff4cbe/images/alt1/SHI-WEB-S20-370_PDP_ALT_UTM_Eye_2000x2000_3.jpg?sw=540&amp;sh=540&amp;sm=fit")</f>
        <v/>
      </c>
      <c r="H2121">
        <f>_xludf.IMAGE("https://m.media-amazon.com/images/I/61EeWyvgqwL._AC_UL320_.jpg")</f>
        <v/>
      </c>
      <c r="K2121" t="inlineStr">
        <is>
          <t>70.0</t>
        </is>
      </c>
      <c r="L2121" t="n">
        <v>70</v>
      </c>
      <c r="M2121" s="1" t="inlineStr">
        <is>
          <t>0.00%</t>
        </is>
      </c>
      <c r="N2121" s="3" t="n">
        <v>0</v>
      </c>
      <c r="O2121" t="n">
        <v>4.2</v>
      </c>
      <c r="P2121" t="n">
        <v>9</v>
      </c>
      <c r="R2121" t="inlineStr">
        <is>
          <t>undefined</t>
        </is>
      </c>
      <c r="S2121" t="inlineStr">
        <is>
          <t>undefined</t>
        </is>
      </c>
      <c r="T2121" t="inlineStr">
        <is>
          <t>0730852154780</t>
        </is>
      </c>
    </row>
    <row r="2122" hidden="1" ht="15.75" customHeight="1">
      <c r="A2122" s="2">
        <f>HYPERLINK("https://www.shiseido.com/us/en/shiseido-modernmatte-powder-lipstick---bubble-era-0730852164291.html?cgid=last-chance", "https://www.shiseido.com/us/en/shiseido-modernmatte-powder-lipstick---bubble-era-0730852164291.html?cgid=last-chance")</f>
        <v/>
      </c>
      <c r="B2122" s="2">
        <f>HYPERLINK("https://www.shiseido.com/us/en/modernmatte-powder-lipstick-9990000000171.html", "https://www.shiseido.com/us/en/modernmatte-powder-lipstick-9990000000171.html")</f>
        <v/>
      </c>
      <c r="C2122" t="inlineStr">
        <is>
          <t>ModernMatte Powder Lipstick</t>
        </is>
      </c>
      <c r="D2122" t="inlineStr">
        <is>
          <t>Shiseido ModernMatte Powder Lipstick - Full-Coverage, Non-Drying Matte Lipstick - Weightless, Long-Lasting Color - 8-Hour Coverage</t>
        </is>
      </c>
      <c r="E2122" s="2">
        <f>HYPERLINK("https://www.amazon.com/Shiseido-ModernMatte-Powder-Lipstick-Peep/dp/B07FKSJGCS/ref=sr_1_1?keywords=modern+matte+powder+lipstick&amp;qid=1695170935&amp;sr=8-1", "https://www.amazon.com/Shiseido-ModernMatte-Powder-Lipstick-Peep/dp/B07FKSJGCS/ref=sr_1_1?keywords=modern+matte+powder+lipstick&amp;qid=1695170935&amp;sr=8-1")</f>
        <v/>
      </c>
      <c r="F2122" t="inlineStr">
        <is>
          <t>B07FKSJGCS</t>
        </is>
      </c>
      <c r="G2122">
        <f>_xludf.IMAGE("https://shiseido.ipscdn.net/sa2/dw/image/v2/BBSK_PRD/on/demandware.static/-/Sites-itemmaster_shiseido/default/dwba1283c1/images/hi-res/0730852164291_main.jpg?sw=540&amp;sh=540&amp;sm=fit")</f>
        <v/>
      </c>
      <c r="H2122">
        <f>_xludf.IMAGE("https://m.media-amazon.com/images/I/71stfbS77gL._AC_UL320_.jpg")</f>
        <v/>
      </c>
      <c r="K2122" t="inlineStr">
        <is>
          <t>26.0</t>
        </is>
      </c>
      <c r="L2122" t="n">
        <v>26</v>
      </c>
      <c r="M2122" s="1" t="inlineStr">
        <is>
          <t>0.00%</t>
        </is>
      </c>
      <c r="N2122" s="3" t="n">
        <v>0</v>
      </c>
      <c r="O2122" t="n">
        <v>4.5</v>
      </c>
      <c r="P2122" t="n">
        <v>193</v>
      </c>
      <c r="R2122" t="inlineStr">
        <is>
          <t>undefined</t>
        </is>
      </c>
      <c r="S2122" t="inlineStr">
        <is>
          <t>undefined</t>
        </is>
      </c>
      <c r="T2122" t="inlineStr">
        <is>
          <t>0730852164291</t>
        </is>
      </c>
    </row>
    <row r="2123" hidden="1" ht="15.75" customHeight="1">
      <c r="A2123" s="2">
        <f>HYPERLINK("https://www.shiseido.com/us/en/shiseido-modernmatte-powder-lipstick---night-orchid--0730852164321.html?cgid=last-chance", "https://www.shiseido.com/us/en/shiseido-modernmatte-powder-lipstick---night-orchid--0730852164321.html?cgid=last-chance")</f>
        <v/>
      </c>
      <c r="B2123" s="2">
        <f>HYPERLINK("https://www.shiseido.com/us/en/modernmatte-powder-lipstick-9990000000171.html", "https://www.shiseido.com/us/en/modernmatte-powder-lipstick-9990000000171.html")</f>
        <v/>
      </c>
      <c r="C2123" t="inlineStr">
        <is>
          <t>ModernMatte Powder Lipstick</t>
        </is>
      </c>
      <c r="D2123" t="inlineStr">
        <is>
          <t>Shiseido ModernMatte Powder Lipstick - Full-Coverage, Non-Drying Matte Lipstick - Weightless, Long-Lasting Color - 8-Hour Coverage</t>
        </is>
      </c>
      <c r="E2123" s="2">
        <f>HYPERLINK("https://www.amazon.com/Shiseido-ModernMatte-Powder-Lipstick-Peep/dp/B07FKSJGCS/ref=sr_1_1?keywords=modern+matte+powder+lipstick&amp;qid=1695170938&amp;sr=8-1", "https://www.amazon.com/Shiseido-ModernMatte-Powder-Lipstick-Peep/dp/B07FKSJGCS/ref=sr_1_1?keywords=modern+matte+powder+lipstick&amp;qid=1695170938&amp;sr=8-1")</f>
        <v/>
      </c>
      <c r="F2123" t="inlineStr">
        <is>
          <t>B07FKSJGCS</t>
        </is>
      </c>
      <c r="G2123">
        <f>_xludf.IMAGE("https://shiseido.ipscdn.net/sa2/dw/image/v2/BBSK_PRD/on/demandware.static/-/Sites-itemmaster_shiseido/default/dw6bbc9da7/images/hi-res/0730852164321_4.jpg?sw=540&amp;sh=540&amp;sm=fit")</f>
        <v/>
      </c>
      <c r="H2123">
        <f>_xludf.IMAGE("https://m.media-amazon.com/images/I/71stfbS77gL._AC_UL320_.jpg")</f>
        <v/>
      </c>
      <c r="K2123" t="inlineStr">
        <is>
          <t>26.0</t>
        </is>
      </c>
      <c r="L2123" t="n">
        <v>26</v>
      </c>
      <c r="M2123" s="1" t="inlineStr">
        <is>
          <t>0.00%</t>
        </is>
      </c>
      <c r="N2123" s="3" t="n">
        <v>0</v>
      </c>
      <c r="O2123" t="n">
        <v>4.5</v>
      </c>
      <c r="P2123" t="n">
        <v>193</v>
      </c>
      <c r="R2123" t="inlineStr">
        <is>
          <t>undefined</t>
        </is>
      </c>
      <c r="S2123" t="inlineStr">
        <is>
          <t>undefined</t>
        </is>
      </c>
      <c r="T2123" t="inlineStr">
        <is>
          <t>0730852164321</t>
        </is>
      </c>
    </row>
    <row r="2124" hidden="1" ht="15.75" customHeight="1">
      <c r="A2124" s="2">
        <f>HYPERLINK("https://www.shiseido.com/us/en/shiseido-eudermine-revitalizing-essence-9991000000003.html?cgid=last-chance", "https://www.shiseido.com/us/en/shiseido-eudermine-revitalizing-essence-9991000000003.html?cgid=last-chance")</f>
        <v/>
      </c>
      <c r="B2124" s="2">
        <f>HYPERLINK("https://www.shiseido.com/us/en/shiseido-eudermine-revitalizing-essence-9991000000003.html", "https://www.shiseido.com/us/en/shiseido-eudermine-revitalizing-essence-9991000000003.html")</f>
        <v/>
      </c>
      <c r="C2124" t="inlineStr">
        <is>
          <t>Revitalizing Essence</t>
        </is>
      </c>
      <c r="D2124" t="inlineStr">
        <is>
          <t>Elishacoy 24K Gold Caviar Luxury Gold Essence 1.69 fl. oz. (50ml) – Skin Revitalizing &amp; Rich Nourishing, Anti-Aging and Firming Effect for Damaged &amp; Aging Skin, No Paraben</t>
        </is>
      </c>
      <c r="E2124" s="2">
        <f>HYPERLINK("https://www.amazon.com/EC-ELISHACOY-Caviar-Luxury-Essence/dp/B00IO6CZ6Y/ref=sr_1_2?keywords=Revitalizing+Essence&amp;qid=1695170931&amp;sr=8-2", "https://www.amazon.com/EC-ELISHACOY-Caviar-Luxury-Essence/dp/B00IO6CZ6Y/ref=sr_1_2?keywords=Revitalizing+Essence&amp;qid=1695170931&amp;sr=8-2")</f>
        <v/>
      </c>
      <c r="F2124" t="inlineStr">
        <is>
          <t>B00IO6CZ6Y</t>
        </is>
      </c>
      <c r="G2124">
        <f>_xludf.IMAGE("https://shiseido.ipscdn.net/sa2/dw/image/v2/BBSK_PRD/on/demandware.static/-/Sites-itemmaster_shiseido/default/dw697c36cb/images/2022/July/Top25/9991000000003_3.jpg?sw=540&amp;sh=540&amp;sm=fit")</f>
        <v/>
      </c>
      <c r="H2124">
        <f>_xludf.IMAGE("https://m.media-amazon.com/images/I/61p01VuVXmL._AC_UL320_.jpg")</f>
        <v/>
      </c>
      <c r="K2124" t="inlineStr">
        <is>
          <t>62.0</t>
        </is>
      </c>
      <c r="L2124" t="n">
        <v>39.99</v>
      </c>
      <c r="M2124" s="1" t="inlineStr">
        <is>
          <t>-35.50%</t>
        </is>
      </c>
      <c r="N2124" s="3" t="n">
        <v>-35.5</v>
      </c>
      <c r="O2124" t="n">
        <v>4.1</v>
      </c>
      <c r="P2124" t="n">
        <v>52</v>
      </c>
      <c r="R2124" t="inlineStr">
        <is>
          <t>undefined</t>
        </is>
      </c>
      <c r="S2124" t="inlineStr">
        <is>
          <t>undefined</t>
        </is>
      </c>
      <c r="T2124" t="inlineStr">
        <is>
          <t>0768614110019</t>
        </is>
      </c>
    </row>
    <row r="2125" hidden="1" ht="15.75" customHeight="1">
      <c r="A2125" s="2">
        <f>HYPERLINK("https://www.shiseido.com/us/en/benefiance-wrinkle-smoothing-eye-cream-0730852155794.html?cgid=last-chance", "https://www.shiseido.com/us/en/benefiance-wrinkle-smoothing-eye-cream-0730852155794.html?cgid=last-chance")</f>
        <v/>
      </c>
      <c r="B2125" s="2">
        <f>HYPERLINK("https://www.shiseido.com/us/en/benefiance-wrinkle-smoothing-eye-cream-0730852155794.html", "https://www.shiseido.com/us/en/benefiance-wrinkle-smoothing-eye-cream-0730852155794.html")</f>
        <v/>
      </c>
      <c r="C2125" t="inlineStr">
        <is>
          <t>Wrinkle Smoothing Eye Cream</t>
        </is>
      </c>
      <c r="D2125" t="inlineStr">
        <is>
          <t>TEREZ &amp; HONOR Rapid Anti-Aging Reduction Cream Visibly Reduces Wrinkles, Under-Eye Bags and Dark Circles, Powerfully Tighten and Lifts Tired Skin - 15mL</t>
        </is>
      </c>
      <c r="E2125" s="2">
        <f>HYPERLINK("https://www.amazon.com/TEREZ-HONOR-Anti-Aging-Reduction-Powerfully/dp/B0C7DV3Q9S/ref=sr_1_4?keywords=Wrinkle+Smoothing+Eye+Cream&amp;qid=1695170931&amp;sr=8-4", "https://www.amazon.com/TEREZ-HONOR-Anti-Aging-Reduction-Powerfully/dp/B0C7DV3Q9S/ref=sr_1_4?keywords=Wrinkle+Smoothing+Eye+Cream&amp;qid=1695170931&amp;sr=8-4")</f>
        <v/>
      </c>
      <c r="F2125" t="inlineStr">
        <is>
          <t>B0C7DV3Q9S</t>
        </is>
      </c>
      <c r="G2125">
        <f>_xludf.IMAGE("https://shiseido.ipscdn.net/sa2/dw/image/v2/BBSK_PRD/on/demandware.static/-/Sites-itemmaster_shiseido/default/dw495b4d42/images/2022/July/Top25/0730852155794_1.jpg?sw=540&amp;sh=540&amp;sm=fit")</f>
        <v/>
      </c>
      <c r="H2125">
        <f>_xludf.IMAGE("https://m.media-amazon.com/images/I/81VhnWLOSqL._AC_UL320_.jpg")</f>
        <v/>
      </c>
      <c r="K2125" t="inlineStr">
        <is>
          <t>64.0</t>
        </is>
      </c>
      <c r="L2125" t="n">
        <v>27.97</v>
      </c>
      <c r="M2125" s="1" t="inlineStr">
        <is>
          <t>-56.30%</t>
        </is>
      </c>
      <c r="N2125" s="3" t="n">
        <v>-56.3</v>
      </c>
      <c r="O2125" t="n">
        <v>4.5</v>
      </c>
      <c r="P2125" t="n">
        <v>102</v>
      </c>
      <c r="R2125" t="inlineStr">
        <is>
          <t>undefined</t>
        </is>
      </c>
      <c r="S2125" t="inlineStr">
        <is>
          <t>undefined</t>
        </is>
      </c>
      <c r="T2125" t="inlineStr">
        <is>
          <t>0730852155794</t>
        </is>
      </c>
    </row>
    <row r="2126" hidden="1" ht="15.75" customHeight="1">
      <c r="A2126" s="2">
        <f>HYPERLINK("https://www.shiseido.com/us/en/benefiance-wrinkle-smoothing-eye-cream-0730852155794.html?cgid=last-chance", "https://www.shiseido.com/us/en/benefiance-wrinkle-smoothing-eye-cream-0730852155794.html?cgid=last-chance")</f>
        <v/>
      </c>
      <c r="B2126" s="2">
        <f>HYPERLINK("https://www.shiseido.com/us/en/benefiance-wrinkle-smoothing-eye-cream-0730852155794.html", "https://www.shiseido.com/us/en/benefiance-wrinkle-smoothing-eye-cream-0730852155794.html")</f>
        <v/>
      </c>
      <c r="C2126" t="inlineStr">
        <is>
          <t>Wrinkle Smoothing Eye Cream</t>
        </is>
      </c>
      <c r="D2126" t="inlineStr">
        <is>
          <t>LilyAna Naturals Eye Cream for Dark Circles and Puffiness, Under Eye Cream for Wrinkles and Bags, Anti Aging Eye Cream helps Improve Dryness; for Sensitive Skin - Rosehip and Hibiscus Botanicals - 1.7 oz - Made in USA</t>
        </is>
      </c>
      <c r="E2126" s="2">
        <f>HYPERLINK("https://www.amazon.com/LilyAna-Naturals-Puffiness-Wrinkles-Sensitive/dp/B00LV6VDG2/ref=sr_1_7?keywords=Wrinkle+Smoothing+Eye+Cream&amp;qid=1695170931&amp;rdc=1&amp;sr=8-7", "https://www.amazon.com/LilyAna-Naturals-Puffiness-Wrinkles-Sensitive/dp/B00LV6VDG2/ref=sr_1_7?keywords=Wrinkle+Smoothing+Eye+Cream&amp;qid=1695170931&amp;rdc=1&amp;sr=8-7")</f>
        <v/>
      </c>
      <c r="F2126" t="inlineStr">
        <is>
          <t>B00LV6VDG2</t>
        </is>
      </c>
      <c r="G2126">
        <f>_xludf.IMAGE("https://shiseido.ipscdn.net/sa2/dw/image/v2/BBSK_PRD/on/demandware.static/-/Sites-itemmaster_shiseido/default/dw495b4d42/images/2022/July/Top25/0730852155794_1.jpg?sw=540&amp;sh=540&amp;sm=fit")</f>
        <v/>
      </c>
      <c r="H2126">
        <f>_xludf.IMAGE("https://m.media-amazon.com/images/I/612J3KUbRbL._AC_UL320_.jpg")</f>
        <v/>
      </c>
      <c r="K2126" t="inlineStr">
        <is>
          <t>64.0</t>
        </is>
      </c>
      <c r="L2126" t="n">
        <v>25.01</v>
      </c>
      <c r="M2126" s="1" t="inlineStr">
        <is>
          <t>-60.92%</t>
        </is>
      </c>
      <c r="N2126" s="3" t="n">
        <v>-60.92</v>
      </c>
      <c r="O2126" t="n">
        <v>4.2</v>
      </c>
      <c r="P2126" t="n">
        <v>32648</v>
      </c>
      <c r="R2126" t="inlineStr">
        <is>
          <t>undefined</t>
        </is>
      </c>
      <c r="S2126" t="inlineStr">
        <is>
          <t>undefined</t>
        </is>
      </c>
      <c r="T2126" t="inlineStr">
        <is>
          <t>0730852155794</t>
        </is>
      </c>
    </row>
    <row r="2127" hidden="1" ht="15.75" customHeight="1">
      <c r="A2127" s="2">
        <f>HYPERLINK("https://www.shiseido.com/us/en/shiseido-men-hydrating-lotion-0729238143869.html?cgid=last-chance", "https://www.shiseido.com/us/en/shiseido-men-hydrating-lotion-0729238143869.html?cgid=last-chance")</f>
        <v/>
      </c>
      <c r="B2127" s="2">
        <f>HYPERLINK("https://www.shiseido.com/us/en/shiseido-men-hydrating-lotion-0729238143869.html", "https://www.shiseido.com/us/en/shiseido-men-hydrating-lotion-0729238143869.html")</f>
        <v/>
      </c>
      <c r="C2127" t="inlineStr">
        <is>
          <t>Hydrating Lotion</t>
        </is>
      </c>
      <c r="D2127" t="inlineStr">
        <is>
          <t>Gold Bond Healing Hydrating Lotion, 20 oz., With Aloe, Moisturizes, Immediate 24-Hour Hydration</t>
        </is>
      </c>
      <c r="E2127" s="2">
        <f>HYPERLINK("https://www.amazon.com/Gold-Bond-Ultimate-Healing-Therapy/dp/B008B9L6WS/ref=sr_1_8?keywords=Hydrating+Lotion&amp;qid=1695170931&amp;sr=8-8", "https://www.amazon.com/Gold-Bond-Ultimate-Healing-Therapy/dp/B008B9L6WS/ref=sr_1_8?keywords=Hydrating+Lotion&amp;qid=1695170931&amp;sr=8-8")</f>
        <v/>
      </c>
      <c r="F2127" t="inlineStr">
        <is>
          <t>B008B9L6WS</t>
        </is>
      </c>
      <c r="G2127">
        <f>_xludf.IMAGE("https://shiseido.ipscdn.net/sa2/dw/image/v2/BBSK_PRD/on/demandware.static/-/Sites-itemmaster_shiseido/default/dwf3dfd29e/images/hi-res/0729238143869_A2.jpg?sw=540&amp;sh=540&amp;sm=fit")</f>
        <v/>
      </c>
      <c r="H2127">
        <f>_xludf.IMAGE("https://m.media-amazon.com/images/I/81aTYwccZdL._AC_UL320_.jpg")</f>
        <v/>
      </c>
      <c r="K2127" t="inlineStr">
        <is>
          <t>33.0</t>
        </is>
      </c>
      <c r="L2127" t="n">
        <v>12.79</v>
      </c>
      <c r="M2127" s="1" t="inlineStr">
        <is>
          <t>-61.24%</t>
        </is>
      </c>
      <c r="N2127" s="3" t="n">
        <v>-61.24</v>
      </c>
      <c r="O2127" t="n">
        <v>4.7</v>
      </c>
      <c r="P2127" t="n">
        <v>23872</v>
      </c>
      <c r="R2127" t="inlineStr">
        <is>
          <t>undefined</t>
        </is>
      </c>
      <c r="S2127" t="inlineStr">
        <is>
          <t>undefined</t>
        </is>
      </c>
      <c r="T2127" t="inlineStr">
        <is>
          <t>0729238143869</t>
        </is>
      </c>
    </row>
    <row r="2128" hidden="1" ht="15.75" customHeight="1">
      <c r="A2128" s="2">
        <f>HYPERLINK("https://www.shiseido.com/us/en/shiseido-eudermine-revitalizing-essence-9991000000003.html?cgid=last-chance", "https://www.shiseido.com/us/en/shiseido-eudermine-revitalizing-essence-9991000000003.html?cgid=last-chance")</f>
        <v/>
      </c>
      <c r="B2128" s="2">
        <f>HYPERLINK("https://www.shiseido.com/us/en/shiseido-eudermine-revitalizing-essence-9991000000003.html", "https://www.shiseido.com/us/en/shiseido-eudermine-revitalizing-essence-9991000000003.html")</f>
        <v/>
      </c>
      <c r="C2128" t="inlineStr">
        <is>
          <t>Revitalizing Essence</t>
        </is>
      </c>
      <c r="D2128" t="inlineStr">
        <is>
          <t>Abib Yuja Essence Vitalizing Pump 1.69 fl oz / 50ml I Revitalizing Blemish Redness Spot Care, Vitamin C Essence</t>
        </is>
      </c>
      <c r="E2128" s="2">
        <f>HYPERLINK("https://www.amazon.com/Abib-Yuja-essence-Vitalizing-pump/dp/B0856YGYP3/ref=sr_1_8?keywords=Revitalizing+Essence&amp;qid=1695170931&amp;sr=8-8", "https://www.amazon.com/Abib-Yuja-essence-Vitalizing-pump/dp/B0856YGYP3/ref=sr_1_8?keywords=Revitalizing+Essence&amp;qid=1695170931&amp;sr=8-8")</f>
        <v/>
      </c>
      <c r="F2128" t="inlineStr">
        <is>
          <t>B0856YGYP3</t>
        </is>
      </c>
      <c r="G2128">
        <f>_xludf.IMAGE("https://shiseido.ipscdn.net/sa2/dw/image/v2/BBSK_PRD/on/demandware.static/-/Sites-itemmaster_shiseido/default/dw697c36cb/images/2022/July/Top25/9991000000003_3.jpg?sw=540&amp;sh=540&amp;sm=fit")</f>
        <v/>
      </c>
      <c r="H2128">
        <f>_xludf.IMAGE("https://m.media-amazon.com/images/I/71nPYFvWP0L._AC_UL320_.jpg")</f>
        <v/>
      </c>
      <c r="K2128" t="inlineStr">
        <is>
          <t>62.0</t>
        </is>
      </c>
      <c r="L2128" t="n">
        <v>19.99</v>
      </c>
      <c r="M2128" s="1" t="inlineStr">
        <is>
          <t>-67.76%</t>
        </is>
      </c>
      <c r="N2128" s="3" t="n">
        <v>-67.76000000000001</v>
      </c>
      <c r="O2128" t="n">
        <v>3.7</v>
      </c>
      <c r="P2128" t="n">
        <v>25</v>
      </c>
      <c r="R2128" t="inlineStr">
        <is>
          <t>undefined</t>
        </is>
      </c>
      <c r="S2128" t="inlineStr">
        <is>
          <t>undefined</t>
        </is>
      </c>
      <c r="T2128" t="inlineStr">
        <is>
          <t>0768614110019</t>
        </is>
      </c>
    </row>
    <row r="2129" hidden="1" ht="15.75" customHeight="1">
      <c r="A2129" s="2">
        <f>HYPERLINK("https://www.shiseido.com/us/en/benefiance-wrinkle-smoothing-eye-cream-0730852155794.html?cgid=last-chance", "https://www.shiseido.com/us/en/benefiance-wrinkle-smoothing-eye-cream-0730852155794.html?cgid=last-chance")</f>
        <v/>
      </c>
      <c r="B2129" s="2">
        <f>HYPERLINK("https://www.shiseido.com/us/en/benefiance-wrinkle-smoothing-eye-cream-0730852155794.html", "https://www.shiseido.com/us/en/benefiance-wrinkle-smoothing-eye-cream-0730852155794.html")</f>
        <v/>
      </c>
      <c r="C2129" t="inlineStr">
        <is>
          <t>Wrinkle Smoothing Eye Cream</t>
        </is>
      </c>
      <c r="D2129" t="inlineStr">
        <is>
          <t>Moisturizing Men's Eye Cream - Eye Firming &amp; Refreshing Men’s Wrinkle Cream - Made in USA - Men's Anti-Aging Cream for Dark Under-Eye Circles, Eye Bags &amp; Puffiness - Under Eye Cream for Men 2 oz</t>
        </is>
      </c>
      <c r="E2129" s="2">
        <f>HYPERLINK("https://www.amazon.com/Moisturizing-Mens-Eye-Cream-Refreshing/dp/B0C9R2XNNX/ref=sr_1_10?keywords=Wrinkle+Smoothing+Eye+Cream&amp;qid=1695170931&amp;sr=8-10", "https://www.amazon.com/Moisturizing-Mens-Eye-Cream-Refreshing/dp/B0C9R2XNNX/ref=sr_1_10?keywords=Wrinkle+Smoothing+Eye+Cream&amp;qid=1695170931&amp;sr=8-10")</f>
        <v/>
      </c>
      <c r="F2129" t="inlineStr">
        <is>
          <t>B0C9R2XNNX</t>
        </is>
      </c>
      <c r="G2129">
        <f>_xludf.IMAGE("https://shiseido.ipscdn.net/sa2/dw/image/v2/BBSK_PRD/on/demandware.static/-/Sites-itemmaster_shiseido/default/dw495b4d42/images/2022/July/Top25/0730852155794_1.jpg?sw=540&amp;sh=540&amp;sm=fit")</f>
        <v/>
      </c>
      <c r="H2129">
        <f>_xludf.IMAGE("https://m.media-amazon.com/images/I/711fGmIznAL._AC_UL320_.jpg")</f>
        <v/>
      </c>
      <c r="K2129" t="inlineStr">
        <is>
          <t>64.0</t>
        </is>
      </c>
      <c r="L2129" t="n">
        <v>19.89</v>
      </c>
      <c r="M2129" s="1" t="inlineStr">
        <is>
          <t>-68.92%</t>
        </is>
      </c>
      <c r="N2129" s="3" t="n">
        <v>-68.92</v>
      </c>
      <c r="O2129" t="n">
        <v>4.3</v>
      </c>
      <c r="P2129" t="n">
        <v>19</v>
      </c>
      <c r="R2129" t="inlineStr">
        <is>
          <t>undefined</t>
        </is>
      </c>
      <c r="S2129" t="inlineStr">
        <is>
          <t>undefined</t>
        </is>
      </c>
      <c r="T2129" t="inlineStr">
        <is>
          <t>0730852155794</t>
        </is>
      </c>
    </row>
    <row r="2130" hidden="1" ht="15.75" customHeight="1">
      <c r="A2130" s="2">
        <f>HYPERLINK("https://www.shiseido.com/us/en/shiseido-eudermine-revitalizing-essence-9991000000003.html?cgid=last-chance", "https://www.shiseido.com/us/en/shiseido-eudermine-revitalizing-essence-9991000000003.html?cgid=last-chance")</f>
        <v/>
      </c>
      <c r="B2130" s="2">
        <f>HYPERLINK("https://www.shiseido.com/us/en/shiseido-eudermine-revitalizing-essence-9991000000003.html", "https://www.shiseido.com/us/en/shiseido-eudermine-revitalizing-essence-9991000000003.html")</f>
        <v/>
      </c>
      <c r="C2130" t="inlineStr">
        <is>
          <t>Revitalizing Essence</t>
        </is>
      </c>
      <c r="D2130" t="inlineStr">
        <is>
          <t>Secret Key Starting Treatment Essence Rose Edition - 5.07 Fl Oz Sensitive Skin Moisturizer, Paraben-Free, Revitalizing &amp; Softening</t>
        </is>
      </c>
      <c r="E2130" s="2">
        <f>HYPERLINK("https://www.amazon.com/Secret-Key-Starting-Treatment-Essence_Rose/dp/B01HCH690S/ref=sr_1_1?keywords=Revitalizing+Essence&amp;qid=1695170931&amp;sr=8-1", "https://www.amazon.com/Secret-Key-Starting-Treatment-Essence_Rose/dp/B01HCH690S/ref=sr_1_1?keywords=Revitalizing+Essence&amp;qid=1695170931&amp;sr=8-1")</f>
        <v/>
      </c>
      <c r="F2130" t="inlineStr">
        <is>
          <t>B01HCH690S</t>
        </is>
      </c>
      <c r="G2130">
        <f>_xludf.IMAGE("https://shiseido.ipscdn.net/sa2/dw/image/v2/BBSK_PRD/on/demandware.static/-/Sites-itemmaster_shiseido/default/dw697c36cb/images/2022/July/Top25/9991000000003_3.jpg?sw=540&amp;sh=540&amp;sm=fit")</f>
        <v/>
      </c>
      <c r="H2130">
        <f>_xludf.IMAGE("https://m.media-amazon.com/images/I/51Hpfe2wVRL._AC_UL320_.jpg")</f>
        <v/>
      </c>
      <c r="K2130" t="inlineStr">
        <is>
          <t>62.0</t>
        </is>
      </c>
      <c r="L2130" t="n">
        <v>19</v>
      </c>
      <c r="M2130" s="1" t="inlineStr">
        <is>
          <t>-69.35%</t>
        </is>
      </c>
      <c r="N2130" s="3" t="n">
        <v>-69.34999999999999</v>
      </c>
      <c r="O2130" t="n">
        <v>4.4</v>
      </c>
      <c r="P2130" t="n">
        <v>659</v>
      </c>
      <c r="R2130" t="inlineStr">
        <is>
          <t>undefined</t>
        </is>
      </c>
      <c r="S2130" t="inlineStr">
        <is>
          <t>undefined</t>
        </is>
      </c>
      <c r="T2130" t="inlineStr">
        <is>
          <t>0768614110019</t>
        </is>
      </c>
    </row>
    <row r="2131" hidden="1" ht="15.75" customHeight="1">
      <c r="A2131" s="2">
        <f>HYPERLINK("https://www.shiseido.com/us/en/benefiance-wrinkle-smoothing-eye-cream-0730852155794.html?cgid=last-chance", "https://www.shiseido.com/us/en/benefiance-wrinkle-smoothing-eye-cream-0730852155794.html?cgid=last-chance")</f>
        <v/>
      </c>
      <c r="B2131" s="2">
        <f>HYPERLINK("https://www.shiseido.com/us/en/benefiance-wrinkle-smoothing-eye-cream-0730852155794.html", "https://www.shiseido.com/us/en/benefiance-wrinkle-smoothing-eye-cream-0730852155794.html")</f>
        <v/>
      </c>
      <c r="C2131" t="inlineStr">
        <is>
          <t>Wrinkle Smoothing Eye Cream</t>
        </is>
      </c>
      <c r="D2131" t="inlineStr">
        <is>
          <t>RoC Retinol Correxion Under Eye Cream for Dark Circles &amp; Puffiness, Daily Wrinkle Cream, Anti Aging Line Smoothing Skin Care Treatment 0.5 oz (Packaging May Vary)</t>
        </is>
      </c>
      <c r="E2131" s="2">
        <f>HYPERLINK("https://www.amazon.com/RoC-Correxion-Anti-Aging-Treatment-Puffiness/dp/B0009RFB76/ref=sr_1_2?keywords=Wrinkle+Smoothing+Eye+Cream&amp;qid=1695170931&amp;sr=8-2", "https://www.amazon.com/RoC-Correxion-Anti-Aging-Treatment-Puffiness/dp/B0009RFB76/ref=sr_1_2?keywords=Wrinkle+Smoothing+Eye+Cream&amp;qid=1695170931&amp;sr=8-2")</f>
        <v/>
      </c>
      <c r="F2131" t="inlineStr">
        <is>
          <t>B0009RFB76</t>
        </is>
      </c>
      <c r="G2131">
        <f>_xludf.IMAGE("https://shiseido.ipscdn.net/sa2/dw/image/v2/BBSK_PRD/on/demandware.static/-/Sites-itemmaster_shiseido/default/dw495b4d42/images/2022/July/Top25/0730852155794_1.jpg?sw=540&amp;sh=540&amp;sm=fit")</f>
        <v/>
      </c>
      <c r="H2131">
        <f>_xludf.IMAGE("https://m.media-amazon.com/images/I/71ZNzCBk+CL._AC_UL320_.jpg")</f>
        <v/>
      </c>
      <c r="K2131" t="inlineStr">
        <is>
          <t>64.0</t>
        </is>
      </c>
      <c r="L2131" t="n">
        <v>17.99</v>
      </c>
      <c r="M2131" s="1" t="inlineStr">
        <is>
          <t>-71.89%</t>
        </is>
      </c>
      <c r="N2131" s="3" t="n">
        <v>-71.89</v>
      </c>
      <c r="O2131" t="n">
        <v>4.3</v>
      </c>
      <c r="P2131" t="n">
        <v>26844</v>
      </c>
      <c r="R2131" t="inlineStr">
        <is>
          <t>undefined</t>
        </is>
      </c>
      <c r="S2131" t="inlineStr">
        <is>
          <t>undefined</t>
        </is>
      </c>
      <c r="T2131" t="inlineStr">
        <is>
          <t>0730852155794</t>
        </is>
      </c>
    </row>
    <row r="2132" hidden="1" ht="15.75" customHeight="1">
      <c r="A2132" s="2">
        <f>HYPERLINK("https://www.shiseido.com/us/en/shiseido-men-hydrating-lotion-0729238143869.html?cgid=last-chance", "https://www.shiseido.com/us/en/shiseido-men-hydrating-lotion-0729238143869.html?cgid=last-chance")</f>
        <v/>
      </c>
      <c r="B2132" s="2">
        <f>HYPERLINK("https://www.shiseido.com/us/en/shiseido-men-hydrating-lotion-0729238143869.html", "https://www.shiseido.com/us/en/shiseido-men-hydrating-lotion-0729238143869.html")</f>
        <v/>
      </c>
      <c r="C2132" t="inlineStr">
        <is>
          <t>Hydrating Lotion</t>
        </is>
      </c>
      <c r="D2132" t="inlineStr">
        <is>
          <t>Neutrogena Hydro Boost Body Moisturizing Gel Cream with Hyaluronic Acid, Non-Greasy &amp; Fast Absorbing, Lightweight Hydrating Body Lotion for Normal to Dry Skin, Paraben- &amp; Dye-Free, 16 oz</t>
        </is>
      </c>
      <c r="E2132" s="2">
        <f>HYPERLINK("https://www.amazon.com/Neutrogena-Hydrating-Hyaluronic-Non-Greasy-Paraben-Free/dp/B07DJWZLQL/ref=sr_1_3?keywords=Hydrating+Lotion&amp;qid=1695170931&amp;sr=8-3", "https://www.amazon.com/Neutrogena-Hydrating-Hyaluronic-Non-Greasy-Paraben-Free/dp/B07DJWZLQL/ref=sr_1_3?keywords=Hydrating+Lotion&amp;qid=1695170931&amp;sr=8-3")</f>
        <v/>
      </c>
      <c r="F2132" t="inlineStr">
        <is>
          <t>B07DJWZLQL</t>
        </is>
      </c>
      <c r="G2132">
        <f>_xludf.IMAGE("https://shiseido.ipscdn.net/sa2/dw/image/v2/BBSK_PRD/on/demandware.static/-/Sites-itemmaster_shiseido/default/dwf3dfd29e/images/hi-res/0729238143869_A2.jpg?sw=540&amp;sh=540&amp;sm=fit")</f>
        <v/>
      </c>
      <c r="H2132">
        <f>_xludf.IMAGE("https://m.media-amazon.com/images/I/612AW4Xfn7L._AC_UL320_.jpg")</f>
        <v/>
      </c>
      <c r="K2132" t="inlineStr">
        <is>
          <t>33.0</t>
        </is>
      </c>
      <c r="L2132" t="n">
        <v>8.99</v>
      </c>
      <c r="M2132" s="1" t="inlineStr">
        <is>
          <t>-72.76%</t>
        </is>
      </c>
      <c r="N2132" s="3" t="n">
        <v>-72.76000000000001</v>
      </c>
      <c r="O2132" t="n">
        <v>4.7</v>
      </c>
      <c r="P2132" t="n">
        <v>7749</v>
      </c>
      <c r="R2132" t="inlineStr">
        <is>
          <t>undefined</t>
        </is>
      </c>
      <c r="S2132" t="inlineStr">
        <is>
          <t>undefined</t>
        </is>
      </c>
      <c r="T2132" t="inlineStr">
        <is>
          <t>0729238143869</t>
        </is>
      </c>
    </row>
    <row r="2133" hidden="1" ht="15.75" customHeight="1">
      <c r="A2133" s="2">
        <f>HYPERLINK("https://www.shiseido.com/us/en/shiseido-men-hydrating-lotion-0729238143869.html?cgid=last-chance", "https://www.shiseido.com/us/en/shiseido-men-hydrating-lotion-0729238143869.html?cgid=last-chance")</f>
        <v/>
      </c>
      <c r="B2133" s="2">
        <f>HYPERLINK("https://www.shiseido.com/us/en/shiseido-men-hydrating-lotion-0729238143869.html", "https://www.shiseido.com/us/en/shiseido-men-hydrating-lotion-0729238143869.html")</f>
        <v/>
      </c>
      <c r="C2133" t="inlineStr">
        <is>
          <t>Hydrating Lotion</t>
        </is>
      </c>
      <c r="D2133" t="inlineStr">
        <is>
          <t>Neutrogena Hydro Boost Body Gel Cream Moisturizer with Hyaluronic Acid, Hydrating Lotion For Sensitive Skin, Fragrance Free, 16 oz</t>
        </is>
      </c>
      <c r="E2133" s="2">
        <f>HYPERLINK("https://www.amazon.com/Neutrogena-Hydro-Boost-Fragrance-free-Hydrating/dp/B07DJPC8JB/ref=sr_1_1?keywords=Hydrating+Lotion&amp;qid=1695170931&amp;rdc=1&amp;sr=8-1", "https://www.amazon.com/Neutrogena-Hydro-Boost-Fragrance-free-Hydrating/dp/B07DJPC8JB/ref=sr_1_1?keywords=Hydrating+Lotion&amp;qid=1695170931&amp;rdc=1&amp;sr=8-1")</f>
        <v/>
      </c>
      <c r="F2133" t="inlineStr">
        <is>
          <t>B07DJPC8JB</t>
        </is>
      </c>
      <c r="G2133">
        <f>_xludf.IMAGE("https://shiseido.ipscdn.net/sa2/dw/image/v2/BBSK_PRD/on/demandware.static/-/Sites-itemmaster_shiseido/default/dwf3dfd29e/images/hi-res/0729238143869_A2.jpg?sw=540&amp;sh=540&amp;sm=fit")</f>
        <v/>
      </c>
      <c r="H2133">
        <f>_xludf.IMAGE("https://m.media-amazon.com/images/I/61bzAvFrYeL._AC_UL320_.jpg")</f>
        <v/>
      </c>
      <c r="K2133" t="inlineStr">
        <is>
          <t>33.0</t>
        </is>
      </c>
      <c r="L2133" t="n">
        <v>8.99</v>
      </c>
      <c r="M2133" s="1" t="inlineStr">
        <is>
          <t>-72.76%</t>
        </is>
      </c>
      <c r="N2133" s="3" t="n">
        <v>-72.76000000000001</v>
      </c>
      <c r="O2133" t="n">
        <v>4.7</v>
      </c>
      <c r="P2133" t="n">
        <v>20151</v>
      </c>
      <c r="R2133" t="inlineStr">
        <is>
          <t>undefined</t>
        </is>
      </c>
      <c r="S2133" t="inlineStr">
        <is>
          <t>undefined</t>
        </is>
      </c>
      <c r="T2133" t="inlineStr">
        <is>
          <t>0729238143869</t>
        </is>
      </c>
    </row>
    <row r="2134" hidden="1" ht="15.75" customHeight="1">
      <c r="A2134" s="2">
        <f>HYPERLINK("https://www.shiseido.com/us/en/shiseido-men-hydrating-lotion-0729238143869.html?cgid=last-chance", "https://www.shiseido.com/us/en/shiseido-men-hydrating-lotion-0729238143869.html?cgid=last-chance")</f>
        <v/>
      </c>
      <c r="B2134" s="2">
        <f>HYPERLINK("https://www.shiseido.com/us/en/shiseido-men-hydrating-lotion-0729238143869.html", "https://www.shiseido.com/us/en/shiseido-men-hydrating-lotion-0729238143869.html")</f>
        <v/>
      </c>
      <c r="C2134" t="inlineStr">
        <is>
          <t>Hydrating Lotion</t>
        </is>
      </c>
      <c r="D2134" t="inlineStr">
        <is>
          <t>Lubriderm Daily Moisture Hydrating Body and Hand Lotion To Help Moisturize Dry Skin with Pro-Vitamin B5 For Healthy-Looking Skin, Non-Greasy, 24 fl. oz</t>
        </is>
      </c>
      <c r="E2134" s="2">
        <f>HYPERLINK("https://www.amazon.com/Lubriderm-Moisture-Hydrating-Vitamin-Non-Greasy/dp/B003JT8PKQ/ref=sr_1_10?keywords=Hydrating+Lotion&amp;qid=1695170931&amp;sr=8-10", "https://www.amazon.com/Lubriderm-Moisture-Hydrating-Vitamin-Non-Greasy/dp/B003JT8PKQ/ref=sr_1_10?keywords=Hydrating+Lotion&amp;qid=1695170931&amp;sr=8-10")</f>
        <v/>
      </c>
      <c r="F2134" t="inlineStr">
        <is>
          <t>B003JT8PKQ</t>
        </is>
      </c>
      <c r="G2134">
        <f>_xludf.IMAGE("https://shiseido.ipscdn.net/sa2/dw/image/v2/BBSK_PRD/on/demandware.static/-/Sites-itemmaster_shiseido/default/dwf3dfd29e/images/hi-res/0729238143869_A2.jpg?sw=540&amp;sh=540&amp;sm=fit")</f>
        <v/>
      </c>
      <c r="H2134">
        <f>_xludf.IMAGE("https://m.media-amazon.com/images/I/6175rzzh65L._AC_UL320_.jpg")</f>
        <v/>
      </c>
      <c r="K2134" t="inlineStr">
        <is>
          <t>33.0</t>
        </is>
      </c>
      <c r="L2134" t="n">
        <v>8.539999999999999</v>
      </c>
      <c r="M2134" s="1" t="inlineStr">
        <is>
          <t>-74.12%</t>
        </is>
      </c>
      <c r="N2134" s="3" t="n">
        <v>-74.12</v>
      </c>
      <c r="O2134" t="n">
        <v>4.8</v>
      </c>
      <c r="P2134" t="n">
        <v>7343</v>
      </c>
      <c r="R2134" t="inlineStr">
        <is>
          <t>undefined</t>
        </is>
      </c>
      <c r="S2134" t="inlineStr">
        <is>
          <t>undefined</t>
        </is>
      </c>
      <c r="T2134" t="inlineStr">
        <is>
          <t>0729238143869</t>
        </is>
      </c>
    </row>
    <row r="2135" hidden="1" ht="15.75" customHeight="1">
      <c r="A2135" s="2">
        <f>HYPERLINK("https://www.shiseido.com/us/en/benefiance-wrinkle-smoothing-eye-cream-0730852155794.html?cgid=last-chance", "https://www.shiseido.com/us/en/benefiance-wrinkle-smoothing-eye-cream-0730852155794.html?cgid=last-chance")</f>
        <v/>
      </c>
      <c r="B2135" s="2">
        <f>HYPERLINK("https://www.shiseido.com/us/en/benefiance-wrinkle-smoothing-eye-cream-0730852155794.html", "https://www.shiseido.com/us/en/benefiance-wrinkle-smoothing-eye-cream-0730852155794.html")</f>
        <v/>
      </c>
      <c r="C2135" t="inlineStr">
        <is>
          <t>Wrinkle Smoothing Eye Cream</t>
        </is>
      </c>
      <c r="D2135" t="inlineStr">
        <is>
          <t>L'Oreal Paris Revitalift Triple Power Anti-Aging Eye Cream, Pro Retinol, Hyaluronic Acid &amp; Vitamin C, Reduce Wrinkles &amp; Puffiness 0.5 fl. oz.</t>
        </is>
      </c>
      <c r="E2135" s="2">
        <f>HYPERLINK("https://www.amazon.com/LOreal-Paris-Revitalift-Anti-Aging-Hyaluronic/dp/B008CT12G2/ref=sr_1_6?keywords=Wrinkle+Smoothing+Eye+Cream&amp;qid=1695170931&amp;sr=8-6", "https://www.amazon.com/LOreal-Paris-Revitalift-Anti-Aging-Hyaluronic/dp/B008CT12G2/ref=sr_1_6?keywords=Wrinkle+Smoothing+Eye+Cream&amp;qid=1695170931&amp;sr=8-6")</f>
        <v/>
      </c>
      <c r="F2135" t="inlineStr">
        <is>
          <t>B008CT12G2</t>
        </is>
      </c>
      <c r="G2135">
        <f>_xludf.IMAGE("https://shiseido.ipscdn.net/sa2/dw/image/v2/BBSK_PRD/on/demandware.static/-/Sites-itemmaster_shiseido/default/dw495b4d42/images/2022/July/Top25/0730852155794_1.jpg?sw=540&amp;sh=540&amp;sm=fit")</f>
        <v/>
      </c>
      <c r="H2135">
        <f>_xludf.IMAGE("https://m.media-amazon.com/images/I/71ZsMpgeVaL._AC_UL320_.jpg")</f>
        <v/>
      </c>
      <c r="K2135" t="inlineStr">
        <is>
          <t>64.0</t>
        </is>
      </c>
      <c r="L2135" t="n">
        <v>15.72</v>
      </c>
      <c r="M2135" s="1" t="inlineStr">
        <is>
          <t>-75.44%</t>
        </is>
      </c>
      <c r="N2135" s="3" t="n">
        <v>-75.44</v>
      </c>
      <c r="O2135" t="n">
        <v>4.3</v>
      </c>
      <c r="P2135" t="n">
        <v>9973</v>
      </c>
      <c r="R2135" t="inlineStr">
        <is>
          <t>undefined</t>
        </is>
      </c>
      <c r="S2135" t="inlineStr">
        <is>
          <t>undefined</t>
        </is>
      </c>
      <c r="T2135" t="inlineStr">
        <is>
          <t>0730852155794</t>
        </is>
      </c>
    </row>
    <row r="2136" hidden="1" ht="15.75" customHeight="1">
      <c r="A2136" s="2">
        <f>HYPERLINK("https://www.shiseido.com/us/en/shiseido-men-hydrating-lotion-0729238143869.html?cgid=last-chance", "https://www.shiseido.com/us/en/shiseido-men-hydrating-lotion-0729238143869.html?cgid=last-chance")</f>
        <v/>
      </c>
      <c r="B2136" s="2">
        <f>HYPERLINK("https://www.shiseido.com/us/en/shiseido-men-hydrating-lotion-0729238143869.html", "https://www.shiseido.com/us/en/shiseido-men-hydrating-lotion-0729238143869.html")</f>
        <v/>
      </c>
      <c r="C2136" t="inlineStr">
        <is>
          <t>Hydrating Lotion</t>
        </is>
      </c>
      <c r="D2136" t="inlineStr">
        <is>
          <t>Gold Bond Restoring Hydrating Lotion, 13 oz., With Ceramides &amp; CoQ10, Green Tea, &amp; Vitamin C</t>
        </is>
      </c>
      <c r="E2136" s="2">
        <f>HYPERLINK("https://www.amazon.com/Gold-Bond-Ultimate-Restoring-Antioxidants/dp/B00182ERTO/ref=sr_1_2?keywords=Hydrating+Lotion&amp;qid=1695170931&amp;sr=8-2", "https://www.amazon.com/Gold-Bond-Ultimate-Restoring-Antioxidants/dp/B00182ERTO/ref=sr_1_2?keywords=Hydrating+Lotion&amp;qid=1695170931&amp;sr=8-2")</f>
        <v/>
      </c>
      <c r="F2136" t="inlineStr">
        <is>
          <t>B00182ERTO</t>
        </is>
      </c>
      <c r="G2136">
        <f>_xludf.IMAGE("https://shiseido.ipscdn.net/sa2/dw/image/v2/BBSK_PRD/on/demandware.static/-/Sites-itemmaster_shiseido/default/dwf3dfd29e/images/hi-res/0729238143869_A2.jpg?sw=540&amp;sh=540&amp;sm=fit")</f>
        <v/>
      </c>
      <c r="H2136">
        <f>_xludf.IMAGE("https://m.media-amazon.com/images/I/61ZFokw9LoL._AC_UL320_.jpg")</f>
        <v/>
      </c>
      <c r="K2136" t="inlineStr">
        <is>
          <t>33.0</t>
        </is>
      </c>
      <c r="L2136" t="n">
        <v>7.99</v>
      </c>
      <c r="M2136" s="1" t="inlineStr">
        <is>
          <t>-75.79%</t>
        </is>
      </c>
      <c r="N2136" s="3" t="n">
        <v>-75.79000000000001</v>
      </c>
      <c r="O2136" t="n">
        <v>4.7</v>
      </c>
      <c r="P2136" t="n">
        <v>3005</v>
      </c>
      <c r="R2136" t="inlineStr">
        <is>
          <t>undefined</t>
        </is>
      </c>
      <c r="S2136" t="inlineStr">
        <is>
          <t>undefined</t>
        </is>
      </c>
      <c r="T2136" t="inlineStr">
        <is>
          <t>0729238143869</t>
        </is>
      </c>
    </row>
    <row r="2137" hidden="1" ht="15.75" customHeight="1">
      <c r="A2137" s="2">
        <f>HYPERLINK("https://www.shiseido.com/us/en/shiseido-men-hydrating-lotion-0729238143869.html?cgid=last-chance", "https://www.shiseido.com/us/en/shiseido-men-hydrating-lotion-0729238143869.html?cgid=last-chance")</f>
        <v/>
      </c>
      <c r="B2137" s="2">
        <f>HYPERLINK("https://www.shiseido.com/us/en/shiseido-men-hydrating-lotion-0729238143869.html", "https://www.shiseido.com/us/en/shiseido-men-hydrating-lotion-0729238143869.html")</f>
        <v/>
      </c>
      <c r="C2137" t="inlineStr">
        <is>
          <t>Hydrating Lotion</t>
        </is>
      </c>
      <c r="D2137" t="inlineStr">
        <is>
          <t>Jergens Hydrating Coconut Body Lotion, Hand and Body Moisturizer Hydrates Dry Skin Instantly, Infused with Coconut Oil, Dermatologist Tested, 16.8 oz</t>
        </is>
      </c>
      <c r="E2137" s="2">
        <f>HYPERLINK("https://www.amazon.com/Jergens-Hydrating-Coconut-Moisturizer-Packaging/dp/B00WB883QC/ref=sr_1_4?keywords=Hydrating+Lotion&amp;qid=1695170931&amp;sr=8-4", "https://www.amazon.com/Jergens-Hydrating-Coconut-Moisturizer-Packaging/dp/B00WB883QC/ref=sr_1_4?keywords=Hydrating+Lotion&amp;qid=1695170931&amp;sr=8-4")</f>
        <v/>
      </c>
      <c r="F2137" t="inlineStr">
        <is>
          <t>B00WB883QC</t>
        </is>
      </c>
      <c r="G2137">
        <f>_xludf.IMAGE("https://shiseido.ipscdn.net/sa2/dw/image/v2/BBSK_PRD/on/demandware.static/-/Sites-itemmaster_shiseido/default/dwf3dfd29e/images/hi-res/0729238143869_A2.jpg?sw=540&amp;sh=540&amp;sm=fit")</f>
        <v/>
      </c>
      <c r="H2137">
        <f>_xludf.IMAGE("https://m.media-amazon.com/images/I/61ByM2djaJL._AC_UL320_.jpg")</f>
        <v/>
      </c>
      <c r="K2137" t="inlineStr">
        <is>
          <t>33.0</t>
        </is>
      </c>
      <c r="L2137" t="n">
        <v>6.87</v>
      </c>
      <c r="M2137" s="1" t="inlineStr">
        <is>
          <t>-79.18%</t>
        </is>
      </c>
      <c r="N2137" s="3" t="n">
        <v>-79.18000000000001</v>
      </c>
      <c r="O2137" t="n">
        <v>4.7</v>
      </c>
      <c r="P2137" t="n">
        <v>7384</v>
      </c>
      <c r="R2137" t="inlineStr">
        <is>
          <t>undefined</t>
        </is>
      </c>
      <c r="S2137" t="inlineStr">
        <is>
          <t>undefined</t>
        </is>
      </c>
      <c r="T2137" t="inlineStr">
        <is>
          <t>0729238143869</t>
        </is>
      </c>
    </row>
    <row r="2138" hidden="1" ht="15.75" customHeight="1">
      <c r="A2138" s="2">
        <f>HYPERLINK("https://www.shiseido.com/us/en/benefiance-wrinkle-smoothing-eye-cream-0730852155794.html?cgid=last-chance", "https://www.shiseido.com/us/en/benefiance-wrinkle-smoothing-eye-cream-0730852155794.html?cgid=last-chance")</f>
        <v/>
      </c>
      <c r="B2138" s="2">
        <f>HYPERLINK("https://www.shiseido.com/us/en/benefiance-wrinkle-smoothing-eye-cream-0730852155794.html", "https://www.shiseido.com/us/en/benefiance-wrinkle-smoothing-eye-cream-0730852155794.html")</f>
        <v/>
      </c>
      <c r="C2138" t="inlineStr">
        <is>
          <t>Wrinkle Smoothing Eye Cream</t>
        </is>
      </c>
      <c r="D2138" t="inlineStr">
        <is>
          <t>L'Oreal Paris Wrinkle Expert 55+ Anti-Wrinkle Eye Cream with Calcium, Reduce Crow's feet 1.7 fl. Oz</t>
        </is>
      </c>
      <c r="E2138" s="2">
        <f>HYPERLINK("https://www.amazon.com/Wrinkle-Expert-55-Anti-Wrinkle-Eye/dp/B07577L71W/ref=sr_1_9?keywords=Wrinkle+Smoothing+Eye+Cream&amp;qid=1695170931&amp;sr=8-9", "https://www.amazon.com/Wrinkle-Expert-55-Anti-Wrinkle-Eye/dp/B07577L71W/ref=sr_1_9?keywords=Wrinkle+Smoothing+Eye+Cream&amp;qid=1695170931&amp;sr=8-9")</f>
        <v/>
      </c>
      <c r="F2138" t="inlineStr">
        <is>
          <t>B07577L71W</t>
        </is>
      </c>
      <c r="G2138">
        <f>_xludf.IMAGE("https://shiseido.ipscdn.net/sa2/dw/image/v2/BBSK_PRD/on/demandware.static/-/Sites-itemmaster_shiseido/default/dw495b4d42/images/2022/July/Top25/0730852155794_1.jpg?sw=540&amp;sh=540&amp;sm=fit")</f>
        <v/>
      </c>
      <c r="H2138">
        <f>_xludf.IMAGE("https://m.media-amazon.com/images/I/51mT0DSMAhL._AC_UL320_.jpg")</f>
        <v/>
      </c>
      <c r="K2138" t="inlineStr">
        <is>
          <t>64.0</t>
        </is>
      </c>
      <c r="L2138" t="n">
        <v>8.98</v>
      </c>
      <c r="M2138" s="1" t="inlineStr">
        <is>
          <t>-85.97%</t>
        </is>
      </c>
      <c r="N2138" s="3" t="n">
        <v>-85.97</v>
      </c>
      <c r="O2138" t="n">
        <v>4.5</v>
      </c>
      <c r="P2138" t="n">
        <v>1170</v>
      </c>
      <c r="R2138" t="inlineStr">
        <is>
          <t>undefined</t>
        </is>
      </c>
      <c r="S2138" t="inlineStr">
        <is>
          <t>undefined</t>
        </is>
      </c>
      <c r="T2138" t="inlineStr">
        <is>
          <t>0730852155794</t>
        </is>
      </c>
    </row>
    <row r="2139" ht="75" customHeight="1">
      <c r="A2139" s="2">
        <f>HYPERLINK("https://www.shiseido.com/us/en/ultimune-eye-power-infusing-eye-concentrate-0730852172890.html?cgid=skincare", "https://www.shiseido.com/us/en/ultimune-eye-power-infusing-eye-concentrate-0730852172890.html?cgid=skincare")</f>
        <v/>
      </c>
      <c r="B2139" s="2">
        <f>HYPERLINK("https://www.shiseido.com/us/en/ultimune-eye-power-infusing-eye-concentrate-0730852172890.html", "https://www.shiseido.com/us/en/ultimune-eye-power-infusing-eye-concentrate-0730852172890.html")</f>
        <v/>
      </c>
      <c r="C2139" t="inlineStr">
        <is>
          <t>Power Infusing Eye Concentrate</t>
        </is>
      </c>
      <c r="D2139" t="inlineStr">
        <is>
          <t>Shiseido Ultimune Power Infusing Concentrate - 75 mL - Antioxidant Anti-Aging Face Serum - Boosts Radiance, Increases Hydration &amp; Improves Visible Signs of Aging</t>
        </is>
      </c>
      <c r="E2139" s="2">
        <f>HYPERLINK("https://www.amazon.com/Savavi-Power-Infusing-Concentrate-Ultimune/dp/B09TXLP4TB/ref=sr_1_5?keywords=Power+Infusing+Eye+Concentrate&amp;qid=1695170967&amp;sr=8-5", "https://www.amazon.com/Savavi-Power-Infusing-Concentrate-Ultimune/dp/B09TXLP4TB/ref=sr_1_5?keywords=Power+Infusing+Eye+Concentrate&amp;qid=1695170967&amp;sr=8-5")</f>
        <v/>
      </c>
      <c r="F2139" t="inlineStr">
        <is>
          <t>B09TXLP4TB</t>
        </is>
      </c>
      <c r="G2139">
        <f>_xlfn.IMAGE("https://shiseido.ipscdn.net/sa2/dw/image/v2/BBSK_PRD/on/demandware.static/-/Sites-itemmaster_shiseido/default/dwd09a69ae/images/2023/March/Skincare/UltimuneEyeSerum/0730852172890_3.jpg?sw=540&amp;sh=540&amp;sm=fit")</f>
        <v/>
      </c>
      <c r="H2139">
        <f>_xlfn.IMAGE("https://m.media-amazon.com/images/I/61Hj4qepZVL._AC_UL320_.jpg")</f>
        <v/>
      </c>
      <c r="K2139" t="inlineStr">
        <is>
          <t>70.0</t>
        </is>
      </c>
      <c r="L2139" t="n">
        <v>140</v>
      </c>
      <c r="M2139" s="1" t="inlineStr">
        <is>
          <t>100.00%</t>
        </is>
      </c>
      <c r="N2139" s="3" t="n">
        <v>100</v>
      </c>
      <c r="O2139" t="n">
        <v>4.3</v>
      </c>
      <c r="P2139" t="n">
        <v>11</v>
      </c>
      <c r="R2139" t="inlineStr">
        <is>
          <t>undefined</t>
        </is>
      </c>
      <c r="S2139" t="inlineStr">
        <is>
          <t>undefined</t>
        </is>
      </c>
      <c r="T2139" t="inlineStr">
        <is>
          <t>0730852172890</t>
        </is>
      </c>
    </row>
    <row r="2140" ht="75" customHeight="1">
      <c r="A2140" s="2">
        <f>HYPERLINK("https://www.shiseido.com/us/en/shiseido-men-energizing-moisturizer-0729238171541.html?cgid=skincare", "https://www.shiseido.com/us/en/shiseido-men-energizing-moisturizer-0729238171541.html?cgid=skincare")</f>
        <v/>
      </c>
      <c r="B2140" s="2">
        <f>HYPERLINK("https://www.shiseido.com/us/en/shiseido-men-energizing-moisturizer-0729238171541.html", "https://www.shiseido.com/us/en/shiseido-men-energizing-moisturizer-0729238171541.html")</f>
        <v/>
      </c>
      <c r="C2140" t="inlineStr">
        <is>
          <t>Energizing Moisturizer</t>
        </is>
      </c>
      <c r="D2140" t="inlineStr">
        <is>
          <t>Phytomer Hydracontinue Radiance Hydrating Face Cream | Energizing &amp; Restoring Face Moisturizer | Relieve Dry Skin | Lightweight Moisturizer for All Day Hydration | 50ml</t>
        </is>
      </c>
      <c r="E2140" s="2">
        <f>HYPERLINK("https://www.amazon.com/Phytomer-Radiance-Energizing-Cream-HydraContinue/dp/B00PKR2WEK/ref=sr_1_8?keywords=Energizing+Moisturizer&amp;qid=1695170969&amp;sr=8-8", "https://www.amazon.com/Phytomer-Radiance-Energizing-Cream-HydraContinue/dp/B00PKR2WEK/ref=sr_1_8?keywords=Energizing+Moisturizer&amp;qid=1695170969&amp;sr=8-8")</f>
        <v/>
      </c>
      <c r="F2140" t="inlineStr">
        <is>
          <t>B00PKR2WEK</t>
        </is>
      </c>
      <c r="G2140">
        <f>_xlfn.IMAGE("https://shiseido.ipscdn.net/sa2/dw/image/v2/BBSK_PRD/on/demandware.static/-/Sites-itemmaster_shiseido/default/dw557544f0/images/2021/January/men/0729238171541_1.jpg?sw=540&amp;sh=540&amp;sm=fit")</f>
        <v/>
      </c>
      <c r="H2140">
        <f>_xlfn.IMAGE("https://m.media-amazon.com/images/I/61mfsF2zh4S._AC_UL320_.jpg")</f>
        <v/>
      </c>
      <c r="K2140" t="inlineStr">
        <is>
          <t>38.0</t>
        </is>
      </c>
      <c r="L2140" t="n">
        <v>66.5</v>
      </c>
      <c r="M2140" s="1" t="inlineStr">
        <is>
          <t>75.00%</t>
        </is>
      </c>
      <c r="N2140" s="3" t="n">
        <v>75</v>
      </c>
      <c r="O2140" t="n">
        <v>4.3</v>
      </c>
      <c r="P2140" t="n">
        <v>45</v>
      </c>
      <c r="R2140" t="inlineStr">
        <is>
          <t>undefined</t>
        </is>
      </c>
      <c r="S2140" t="inlineStr">
        <is>
          <t>undefined</t>
        </is>
      </c>
      <c r="T2140" t="inlineStr">
        <is>
          <t>0729238171541</t>
        </is>
      </c>
    </row>
    <row r="2141" ht="75" customHeight="1">
      <c r="A2141" s="2">
        <f>HYPERLINK("https://www.shiseido.com/us/en/treatment-softener-enriched-for-normal-dry-and-very-dry-skin-9990000000197.html?cgid=skincare", "https://www.shiseido.com/us/en/treatment-softener-enriched-for-normal-dry-and-very-dry-skin-9990000000197.html?cgid=skincare")</f>
        <v/>
      </c>
      <c r="B2141" s="2">
        <f>HYPERLINK("https://www.shiseido.com/us/en/treatment-softener-enriched-for-normal-dry-and-very-dry-skin-9990000000197.html", "https://www.shiseido.com/us/en/treatment-softener-enriched-for-normal-dry-and-very-dry-skin-9990000000197.html")</f>
        <v/>
      </c>
      <c r="C2141" t="inlineStr">
        <is>
          <t>Treatment Softener Enriched (for normal, dry and very dry skin)</t>
        </is>
      </c>
      <c r="D2141" t="inlineStr">
        <is>
          <t>Shiseido Treatment Softener Enriched - Smoothing, Hydrating Softener for Plump, Moisturized Skin - For Normal, Dry &amp; Very Dry Skin</t>
        </is>
      </c>
      <c r="E2141" s="2">
        <f>HYPERLINK("https://www.amazon.com/Shiseido-Treatment-Softener-ENRICHED-10fl-oz/dp/B0881BRVQV/ref=sr_1_1?keywords=Treatment+Softener+Enriched+%28for+normal%2C+dry+and+very+dry+skin%29&amp;qid=1695170967&amp;sr=8-1", "https://www.amazon.com/Shiseido-Treatment-Softener-ENRICHED-10fl-oz/dp/B0881BRVQV/ref=sr_1_1?keywords=Treatment+Softener+Enriched+%28for+normal%2C+dry+and+very+dry+skin%29&amp;qid=1695170967&amp;sr=8-1")</f>
        <v/>
      </c>
      <c r="F2141" t="inlineStr">
        <is>
          <t>B0881BRVQV</t>
        </is>
      </c>
      <c r="G2141">
        <f>_xlfn.IMAGE("https://shiseido.ipscdn.net/sa2/dw/image/v2/BBSK_PRD/on/demandware.static/-/Sites-itemmaster_shiseido/default/dwfd805176/images/hi-res/730852145320-alt2.jpg?sw=540&amp;sh=540&amp;sm=fit")</f>
        <v/>
      </c>
      <c r="H2141">
        <f>_xlfn.IMAGE("https://m.media-amazon.com/images/I/51r-Q1yS4EL._AC_UL320_.jpg")</f>
        <v/>
      </c>
      <c r="K2141" t="inlineStr">
        <is>
          <t>50.0</t>
        </is>
      </c>
      <c r="L2141" t="n">
        <v>80</v>
      </c>
      <c r="M2141" s="1" t="inlineStr">
        <is>
          <t>60.00%</t>
        </is>
      </c>
      <c r="N2141" s="3" t="n">
        <v>60</v>
      </c>
      <c r="O2141" t="n">
        <v>4.6</v>
      </c>
      <c r="P2141" t="n">
        <v>25</v>
      </c>
      <c r="R2141" t="inlineStr">
        <is>
          <t>undefined</t>
        </is>
      </c>
      <c r="S2141" t="inlineStr">
        <is>
          <t>undefined</t>
        </is>
      </c>
      <c r="T2141" t="inlineStr">
        <is>
          <t>0730852145320</t>
        </is>
      </c>
    </row>
    <row r="2142" hidden="1" ht="15.75" customHeight="1">
      <c r="A2142" s="2">
        <f>HYPERLINK("https://www.shiseido.com/us/en/shiseido-men-energizing-moisturizer-0729238171541.html?cgid=skincare", "https://www.shiseido.com/us/en/shiseido-men-energizing-moisturizer-0729238171541.html?cgid=skincare")</f>
        <v/>
      </c>
      <c r="B2142" s="2">
        <f>HYPERLINK("https://www.shiseido.com/us/en/shiseido-men-energizing-moisturizer-0729238171541.html", "https://www.shiseido.com/us/en/shiseido-men-energizing-moisturizer-0729238171541.html")</f>
        <v/>
      </c>
      <c r="C2142" t="inlineStr">
        <is>
          <t>Energizing Moisturizer</t>
        </is>
      </c>
      <c r="D2142" t="inlineStr">
        <is>
          <t>CLARINSMEN Energizing Gel | Cool, Mattifying Gel Moisturizer For Men| Energizes Skin and Locks In Moisture | Mattifies and De-Shines | Invisible, Non-Sticky Texture | All Skin Types | 1.7 Ounces</t>
        </is>
      </c>
      <c r="E2142" s="2">
        <f>HYPERLINK("https://www.amazon.com/CLARINSMEN-Energizing-Mattifying-Moisturizer-Non-Sticky/dp/B08XXDM1KF/ref=sr_1_10?keywords=Energizing+Moisturizer&amp;qid=1695170969&amp;sr=8-10", "https://www.amazon.com/CLARINSMEN-Energizing-Mattifying-Moisturizer-Non-Sticky/dp/B08XXDM1KF/ref=sr_1_10?keywords=Energizing+Moisturizer&amp;qid=1695170969&amp;sr=8-10")</f>
        <v/>
      </c>
      <c r="F2142" t="inlineStr">
        <is>
          <t>B08XXDM1KF</t>
        </is>
      </c>
      <c r="G2142">
        <f>_xludf.IMAGE("https://shiseido.ipscdn.net/sa2/dw/image/v2/BBSK_PRD/on/demandware.static/-/Sites-itemmaster_shiseido/default/dw557544f0/images/2021/January/men/0729238171541_1.jpg?sw=540&amp;sh=540&amp;sm=fit")</f>
        <v/>
      </c>
      <c r="H2142">
        <f>_xludf.IMAGE("https://m.media-amazon.com/images/I/41aGBCnj6bL._AC_UL320_.jpg")</f>
        <v/>
      </c>
      <c r="K2142" t="inlineStr">
        <is>
          <t>38.0</t>
        </is>
      </c>
      <c r="L2142" t="n">
        <v>46</v>
      </c>
      <c r="M2142" s="1" t="inlineStr">
        <is>
          <t>21.05%</t>
        </is>
      </c>
      <c r="N2142" s="3" t="n">
        <v>21.05</v>
      </c>
      <c r="O2142" t="n">
        <v>4.3</v>
      </c>
      <c r="P2142" t="n">
        <v>56</v>
      </c>
      <c r="R2142" t="inlineStr">
        <is>
          <t>undefined</t>
        </is>
      </c>
      <c r="S2142" t="inlineStr">
        <is>
          <t>undefined</t>
        </is>
      </c>
      <c r="T2142" t="inlineStr">
        <is>
          <t>0729238171541</t>
        </is>
      </c>
    </row>
    <row r="2143" hidden="1" ht="15.75" customHeight="1">
      <c r="A2143" s="2">
        <f>HYPERLINK("https://www.shiseido.com/us/en/eudermine-activating-essence-0729238196476.html?cgid=skincare", "https://www.shiseido.com/us/en/eudermine-activating-essence-0729238196476.html?cgid=skincare")</f>
        <v/>
      </c>
      <c r="B2143" s="2">
        <f>HYPERLINK("https://www.shiseido.com/us/en/eudermine-activating-essence-0729238196476.html", "https://www.shiseido.com/us/en/eudermine-activating-essence-0729238196476.html")</f>
        <v/>
      </c>
      <c r="C2143" t="inlineStr">
        <is>
          <t>Eudermine Activating Essence</t>
        </is>
      </c>
      <c r="D2143" t="inlineStr">
        <is>
          <t>Shiseido Revitalizing Ritual Cream Set - Includes Bio-Performance Super Revitalizing Cream, Eudermine Activating Essence, Ultimune Power Infusing Concentrate &amp; Ultimune Power Infusing Eye Concentrate</t>
        </is>
      </c>
      <c r="E2143" s="2">
        <f>HYPERLINK("https://www.amazon.com/Shiseido-Revitalizing-Ritual-Cream-Bio-Performance/dp/B0BYGB2PV8/ref=sr_1_3?keywords=Eudermine+Activating+Essence&amp;qid=1695170978&amp;sr=8-3", "https://www.amazon.com/Shiseido-Revitalizing-Ritual-Cream-Bio-Performance/dp/B0BYGB2PV8/ref=sr_1_3?keywords=Eudermine+Activating+Essence&amp;qid=1695170978&amp;sr=8-3")</f>
        <v/>
      </c>
      <c r="F2143" t="inlineStr">
        <is>
          <t>B0BYGB2PV8</t>
        </is>
      </c>
      <c r="G2143">
        <f>_xludf.IMAGE("https://shiseido.ipscdn.net/sa2/dw/image/v2/BBSK_PRD/on/demandware.static/-/Sites-itemmaster_shiseido/default/dw70a53d2f/images/2023/February/Essence/0729238196476_1.jpg?sw=540&amp;sh=540&amp;sm=fit")</f>
        <v/>
      </c>
      <c r="H2143">
        <f>_xludf.IMAGE("https://m.media-amazon.com/images/I/71vrARp7pJL._AC_UL320_.jpg")</f>
        <v/>
      </c>
      <c r="K2143" t="inlineStr">
        <is>
          <t>90.0</t>
        </is>
      </c>
      <c r="L2143" t="n">
        <v>108</v>
      </c>
      <c r="M2143" s="1" t="inlineStr">
        <is>
          <t>20.00%</t>
        </is>
      </c>
      <c r="N2143" s="3" t="n">
        <v>20</v>
      </c>
      <c r="O2143" t="n">
        <v>5</v>
      </c>
      <c r="P2143" t="n">
        <v>1</v>
      </c>
      <c r="R2143" t="inlineStr">
        <is>
          <t>undefined</t>
        </is>
      </c>
      <c r="S2143" t="inlineStr">
        <is>
          <t>undefined</t>
        </is>
      </c>
      <c r="T2143" t="inlineStr">
        <is>
          <t>0729238196476</t>
        </is>
      </c>
    </row>
    <row r="2144" hidden="1" ht="15.75" customHeight="1">
      <c r="A2144" s="2">
        <f>HYPERLINK("https://www.shiseido.com/us/en/ultimune-power-infusing-serum-refill-0730852172883.html?cgid=skincare", "https://www.shiseido.com/us/en/ultimune-power-infusing-serum-refill-0730852172883.html?cgid=skincare")</f>
        <v/>
      </c>
      <c r="B2144" s="2">
        <f>HYPERLINK("https://www.shiseido.com/us/en/ultimune-power-infusing-serum-refill-0730852172883.html", "https://www.shiseido.com/us/en/ultimune-power-infusing-serum-refill-0730852172883.html")</f>
        <v/>
      </c>
      <c r="C2144" t="inlineStr">
        <is>
          <t>Power Infusing Serum Refill</t>
        </is>
      </c>
      <c r="D2144" t="inlineStr">
        <is>
          <t>Shiseido Ultimune Power Infusing Concentrate - 75 mL - Antioxidant Anti-Aging Face Serum - Boosts Radiance, Increases Hydration &amp; Improves Visible Signs of Aging</t>
        </is>
      </c>
      <c r="E2144" s="2">
        <f>HYPERLINK("https://www.amazon.com/Savavi-Power-Infusing-Concentrate-Ultimune/dp/B09TXLP4TB/ref=sr_1_2?keywords=Power+Infusing+Serum+Refill&amp;qid=1695170973&amp;sr=8-2", "https://www.amazon.com/Savavi-Power-Infusing-Concentrate-Ultimune/dp/B09TXLP4TB/ref=sr_1_2?keywords=Power+Infusing+Serum+Refill&amp;qid=1695170973&amp;sr=8-2")</f>
        <v/>
      </c>
      <c r="F2144" t="inlineStr">
        <is>
          <t>B09TXLP4TB</t>
        </is>
      </c>
      <c r="G2144">
        <f>_xludf.IMAGE("https://shiseido.ipscdn.net/sa2/dw/image/v2/BBSK_PRD/on/demandware.static/-/Sites-itemmaster_shiseido/default/dw7faaef27/images/2022/May/Ultimune/0730852172883_13.jpg?sw=540&amp;sh=540&amp;sm=fit")</f>
        <v/>
      </c>
      <c r="H2144">
        <f>_xludf.IMAGE("https://m.media-amazon.com/images/I/61Hj4qepZVL._AC_UL320_.jpg")</f>
        <v/>
      </c>
      <c r="K2144" t="inlineStr">
        <is>
          <t>120.0</t>
        </is>
      </c>
      <c r="L2144" t="n">
        <v>140</v>
      </c>
      <c r="M2144" s="1" t="inlineStr">
        <is>
          <t>16.67%</t>
        </is>
      </c>
      <c r="N2144" s="3" t="n">
        <v>16.67</v>
      </c>
      <c r="O2144" t="n">
        <v>4.3</v>
      </c>
      <c r="P2144" t="n">
        <v>11</v>
      </c>
      <c r="R2144" t="inlineStr">
        <is>
          <t>undefined</t>
        </is>
      </c>
      <c r="S2144" t="inlineStr">
        <is>
          <t>undefined</t>
        </is>
      </c>
      <c r="T2144" t="inlineStr">
        <is>
          <t>0730852172883</t>
        </is>
      </c>
    </row>
    <row r="2145" hidden="1" ht="15.75" customHeight="1">
      <c r="A2145" s="2">
        <f>HYPERLINK("https://www.shiseido.com/us/en/ultimune-eye-power-infusing-eye-concentrate-0730852172890.html?cgid=skincare", "https://www.shiseido.com/us/en/ultimune-eye-power-infusing-eye-concentrate-0730852172890.html?cgid=skincare")</f>
        <v/>
      </c>
      <c r="B2145" s="2">
        <f>HYPERLINK("https://www.shiseido.com/us/en/ultimune-eye-power-infusing-eye-concentrate-0730852172890.html", "https://www.shiseido.com/us/en/ultimune-eye-power-infusing-eye-concentrate-0730852172890.html")</f>
        <v/>
      </c>
      <c r="C2145" t="inlineStr">
        <is>
          <t>Power Infusing Eye Concentrate</t>
        </is>
      </c>
      <c r="D2145" t="inlineStr">
        <is>
          <t>Shiseido Ultimune Power Infusing Concentrate - Antioxidant Anti-Aging Face Serum - Boosts Radiance, Increases Hydration &amp; Improves Visible Signs of Aging</t>
        </is>
      </c>
      <c r="E2145" s="2">
        <f>HYPERLINK("https://www.amazon.com/Shiseido-Ultimune-Power-Infusing-Concentrate/dp/B00MNF6EWI/ref=sr_1_3?keywords=Power+Infusing+Eye+Concentrate&amp;qid=1695170967&amp;sr=8-3", "https://www.amazon.com/Shiseido-Ultimune-Power-Infusing-Concentrate/dp/B00MNF6EWI/ref=sr_1_3?keywords=Power+Infusing+Eye+Concentrate&amp;qid=1695170967&amp;sr=8-3")</f>
        <v/>
      </c>
      <c r="F2145" t="inlineStr">
        <is>
          <t>B00MNF6EWI</t>
        </is>
      </c>
      <c r="G2145">
        <f>_xludf.IMAGE("https://shiseido.ipscdn.net/sa2/dw/image/v2/BBSK_PRD/on/demandware.static/-/Sites-itemmaster_shiseido/default/dwd09a69ae/images/2023/March/Skincare/UltimuneEyeSerum/0730852172890_3.jpg?sw=540&amp;sh=540&amp;sm=fit")</f>
        <v/>
      </c>
      <c r="H2145">
        <f>_xludf.IMAGE("https://m.media-amazon.com/images/I/61nbxyZlYaL._AC_UL320_.jpg")</f>
        <v/>
      </c>
      <c r="K2145" t="inlineStr">
        <is>
          <t>70.0</t>
        </is>
      </c>
      <c r="L2145" t="n">
        <v>75</v>
      </c>
      <c r="M2145" s="1" t="inlineStr">
        <is>
          <t>7.14%</t>
        </is>
      </c>
      <c r="N2145" s="3" t="n">
        <v>7.14</v>
      </c>
      <c r="O2145" t="n">
        <v>4.5</v>
      </c>
      <c r="P2145" t="n">
        <v>270</v>
      </c>
      <c r="R2145" t="inlineStr">
        <is>
          <t>undefined</t>
        </is>
      </c>
      <c r="S2145" t="inlineStr">
        <is>
          <t>undefined</t>
        </is>
      </c>
      <c r="T2145" t="inlineStr">
        <is>
          <t>0730852172890</t>
        </is>
      </c>
    </row>
    <row r="2146" hidden="1" ht="15.75" customHeight="1">
      <c r="A2146" s="2">
        <f>HYPERLINK("https://www.shiseido.com/us/en/ultimune-eye-power-infusing-eye-concentrate-0730852172890.html?cgid=skincare", "https://www.shiseido.com/us/en/ultimune-eye-power-infusing-eye-concentrate-0730852172890.html?cgid=skincare")</f>
        <v/>
      </c>
      <c r="B2146" s="2">
        <f>HYPERLINK("https://www.shiseido.com/us/en/ultimune-eye-power-infusing-eye-concentrate-0730852172890.html", "https://www.shiseido.com/us/en/ultimune-eye-power-infusing-eye-concentrate-0730852172890.html")</f>
        <v/>
      </c>
      <c r="C2146" t="inlineStr">
        <is>
          <t>Power Infusing Eye Concentrate</t>
        </is>
      </c>
      <c r="D2146" t="inlineStr">
        <is>
          <t>Shiseido Ultimune Eye Power Infusing Eye Concentrate - 15 mL - Anti-Aging Eye Serum - Prevents &amp; Protects Against Visible Signs of Aging - Provides 24-Hour Hydration</t>
        </is>
      </c>
      <c r="E2146" s="2">
        <f>HYPERLINK("https://www.amazon.com/Shiseido-Ultimune-Power-Infusing-Concentrate/dp/B0BGMMZFN2/ref=sr_1_2?keywords=Power+Infusing+Eye+Concentrate&amp;qid=1695170967&amp;sr=8-2", "https://www.amazon.com/Shiseido-Ultimune-Power-Infusing-Concentrate/dp/B0BGMMZFN2/ref=sr_1_2?keywords=Power+Infusing+Eye+Concentrate&amp;qid=1695170967&amp;sr=8-2")</f>
        <v/>
      </c>
      <c r="F2146" t="inlineStr">
        <is>
          <t>B0BGMMZFN2</t>
        </is>
      </c>
      <c r="G2146">
        <f>_xludf.IMAGE("https://shiseido.ipscdn.net/sa2/dw/image/v2/BBSK_PRD/on/demandware.static/-/Sites-itemmaster_shiseido/default/dwd09a69ae/images/2023/March/Skincare/UltimuneEyeSerum/0730852172890_3.jpg?sw=540&amp;sh=540&amp;sm=fit")</f>
        <v/>
      </c>
      <c r="H2146">
        <f>_xludf.IMAGE("https://m.media-amazon.com/images/I/61EeWyvgqwL._AC_UL320_.jpg")</f>
        <v/>
      </c>
      <c r="K2146" t="inlineStr">
        <is>
          <t>70.0</t>
        </is>
      </c>
      <c r="L2146" t="n">
        <v>70</v>
      </c>
      <c r="M2146" s="1" t="inlineStr">
        <is>
          <t>0.00%</t>
        </is>
      </c>
      <c r="N2146" s="3" t="n">
        <v>0</v>
      </c>
      <c r="O2146" t="n">
        <v>4.2</v>
      </c>
      <c r="P2146" t="n">
        <v>9</v>
      </c>
      <c r="R2146" t="inlineStr">
        <is>
          <t>undefined</t>
        </is>
      </c>
      <c r="S2146" t="inlineStr">
        <is>
          <t>undefined</t>
        </is>
      </c>
      <c r="T2146" t="inlineStr">
        <is>
          <t>0730852172890</t>
        </is>
      </c>
    </row>
    <row r="2147" hidden="1" ht="15.75" customHeight="1">
      <c r="A2147" s="2">
        <f>HYPERLINK("https://www.shiseido.com/us/en/essential-energy-hydrating-cream-refill-0729238182868.html?cgid=skincare", "https://www.shiseido.com/us/en/essential-energy-hydrating-cream-refill-0729238182868.html?cgid=skincare")</f>
        <v/>
      </c>
      <c r="B2147" s="2">
        <f>HYPERLINK("https://www.shiseido.com/us/en/essential-energy-hydrating-cream-refill-0729238182868.html", "https://www.shiseido.com/us/en/essential-energy-hydrating-cream-refill-0729238182868.html")</f>
        <v/>
      </c>
      <c r="C2147" t="inlineStr">
        <is>
          <t>Hydrating Cream Refill</t>
        </is>
      </c>
      <c r="D2147" t="inlineStr">
        <is>
          <t>Shiseido Essential Energy Hydrating Cream Refill - 50 mL - Visibly Reduces the Look of Pores &amp; Fine Lines - With Hyaluronic Acid - 24-Hour Hydration - Vegan - All Skin Types</t>
        </is>
      </c>
      <c r="E2147" s="2">
        <f>HYPERLINK("https://www.amazon.com/Shiseido-Essential-Energy-Hydrating-Refill/dp/B09SBTH8PC/ref=sr_1_1?keywords=Hydrating+Cream+Refill&amp;qid=1695170970&amp;sr=8-1", "https://www.amazon.com/Shiseido-Essential-Energy-Hydrating-Refill/dp/B09SBTH8PC/ref=sr_1_1?keywords=Hydrating+Cream+Refill&amp;qid=1695170970&amp;sr=8-1")</f>
        <v/>
      </c>
      <c r="F2147" t="inlineStr">
        <is>
          <t>B09SBTH8PC</t>
        </is>
      </c>
      <c r="G2147">
        <f>_xludf.IMAGE("https://shiseido.ipscdn.net/sa2/dw/image/v2/BBSK_PRD/on/demandware.static/-/Sites-itemmaster_shiseido/default/dw6b79172b/images/2021/December/Essential Energy/0729238182868_5.jpg?sw=540&amp;sh=540&amp;sm=fit")</f>
        <v/>
      </c>
      <c r="H2147">
        <f>_xludf.IMAGE("https://m.media-amazon.com/images/I/61HHV+Jzq0L._AC_UL320_.jpg")</f>
        <v/>
      </c>
      <c r="K2147" t="inlineStr">
        <is>
          <t>39.0</t>
        </is>
      </c>
      <c r="L2147" t="n">
        <v>39</v>
      </c>
      <c r="M2147" s="1" t="inlineStr">
        <is>
          <t>0.00%</t>
        </is>
      </c>
      <c r="N2147" s="3" t="n">
        <v>0</v>
      </c>
      <c r="O2147" t="n">
        <v>4.4</v>
      </c>
      <c r="P2147" t="n">
        <v>19</v>
      </c>
      <c r="R2147" t="inlineStr">
        <is>
          <t>undefined</t>
        </is>
      </c>
      <c r="S2147" t="inlineStr">
        <is>
          <t>undefined</t>
        </is>
      </c>
      <c r="T2147" t="inlineStr">
        <is>
          <t>0729238182868</t>
        </is>
      </c>
    </row>
    <row r="2148" hidden="1" ht="15.75" customHeight="1">
      <c r="A2148" s="2">
        <f>HYPERLINK("https://www.shiseido.com/us/en/benefiance-wrinkle-smoothing-day-cream-spf-23-0730852149519.html?cgid=skincare", "https://www.shiseido.com/us/en/benefiance-wrinkle-smoothing-day-cream-spf-23-0730852149519.html?cgid=skincare")</f>
        <v/>
      </c>
      <c r="B2148" s="2">
        <f>HYPERLINK("https://www.shiseido.com/us/en/benefiance-wrinkle-smoothing-day-cream-spf-23-0730852149519.html", "https://www.shiseido.com/us/en/benefiance-wrinkle-smoothing-day-cream-spf-23-0730852149519.html")</f>
        <v/>
      </c>
      <c r="C2148" t="inlineStr">
        <is>
          <t>Wrinkle Smoothing Day Cream SPF 23</t>
        </is>
      </c>
      <c r="D2148" t="inlineStr">
        <is>
          <t>Shiseido Benefiance Wrinkle Smoothing Day Cream - 50 mL - Broad-Spectrum SPF 23 Anti-Aging Moisturizer - Visibly Corrects Wrinkles &amp; Intensely Hydrates - Non-Comedogenic</t>
        </is>
      </c>
      <c r="E2148" s="2">
        <f>HYPERLINK("https://www.amazon.com/Benefiance-Shiseido-Wrinkle-Smoothing-Cream/dp/B07MZ6X83Q/ref=sr_1_1?keywords=Wrinkle+Smoothing+Day+Cream+SPF+23&amp;qid=1695170977&amp;sr=8-1", "https://www.amazon.com/Benefiance-Shiseido-Wrinkle-Smoothing-Cream/dp/B07MZ6X83Q/ref=sr_1_1?keywords=Wrinkle+Smoothing+Day+Cream+SPF+23&amp;qid=1695170977&amp;sr=8-1")</f>
        <v/>
      </c>
      <c r="F2148" t="inlineStr">
        <is>
          <t>B07MZ6X83Q</t>
        </is>
      </c>
      <c r="G2148">
        <f>_xludf.IMAGE("https://shiseido.ipscdn.net/sa2/dw/image/v2/BBSK_PRD/on/demandware.static/-/Sites-itemmaster_shiseido/default/dwfcc128db/images/2022/July/Top25/0730852149519_4.jpg?sw=540&amp;sh=540&amp;sm=fit")</f>
        <v/>
      </c>
      <c r="H2148">
        <f>_xludf.IMAGE("https://m.media-amazon.com/images/I/61YTMn4DdZL._AC_UL320_.jpg")</f>
        <v/>
      </c>
      <c r="K2148" t="inlineStr">
        <is>
          <t>75.0</t>
        </is>
      </c>
      <c r="L2148" t="n">
        <v>75</v>
      </c>
      <c r="M2148" s="1" t="inlineStr">
        <is>
          <t>0.00%</t>
        </is>
      </c>
      <c r="N2148" s="3" t="n">
        <v>0</v>
      </c>
      <c r="O2148" t="n">
        <v>4.7</v>
      </c>
      <c r="P2148" t="n">
        <v>944</v>
      </c>
      <c r="R2148" t="inlineStr">
        <is>
          <t>undefined</t>
        </is>
      </c>
      <c r="S2148" t="inlineStr">
        <is>
          <t>undefined</t>
        </is>
      </c>
      <c r="T2148" t="inlineStr">
        <is>
          <t>0730852149519</t>
        </is>
      </c>
    </row>
    <row r="2149" hidden="1" ht="15.75" customHeight="1">
      <c r="A2149" s="2">
        <f>HYPERLINK("https://www.shiseido.com/us/en/eudermine-activating-essence-0729238196476.html?cgid=skincare", "https://www.shiseido.com/us/en/eudermine-activating-essence-0729238196476.html?cgid=skincare")</f>
        <v/>
      </c>
      <c r="B2149" s="2">
        <f>HYPERLINK("https://www.shiseido.com/us/en/eudermine-activating-essence-0729238196476.html", "https://www.shiseido.com/us/en/eudermine-activating-essence-0729238196476.html")</f>
        <v/>
      </c>
      <c r="C2149" t="inlineStr">
        <is>
          <t>Eudermine Activating Essence</t>
        </is>
      </c>
      <c r="D2149" t="inlineStr">
        <is>
          <t>Shiseido Eudermine Activating Essence - Provides Deep Hydration &amp; Targets Dark Spots - 24-Hour Hydration - Non-Comedogenic - All Skin Types</t>
        </is>
      </c>
      <c r="E2149" s="2">
        <f>HYPERLINK("https://www.amazon.com/Shiseido-Eudermine-Activating-Essence-Non-Comedogenic/dp/B0BT8KYZMP/ref=sr_1_1?keywords=Eudermine+Activating+Essence&amp;qid=1695170978&amp;sr=8-1", "https://www.amazon.com/Shiseido-Eudermine-Activating-Essence-Non-Comedogenic/dp/B0BT8KYZMP/ref=sr_1_1?keywords=Eudermine+Activating+Essence&amp;qid=1695170978&amp;sr=8-1")</f>
        <v/>
      </c>
      <c r="F2149" t="inlineStr">
        <is>
          <t>B0BT8KYZMP</t>
        </is>
      </c>
      <c r="G2149">
        <f>_xludf.IMAGE("https://shiseido.ipscdn.net/sa2/dw/image/v2/BBSK_PRD/on/demandware.static/-/Sites-itemmaster_shiseido/default/dw70a53d2f/images/2023/February/Essence/0729238196476_1.jpg?sw=540&amp;sh=540&amp;sm=fit")</f>
        <v/>
      </c>
      <c r="H2149">
        <f>_xludf.IMAGE("https://m.media-amazon.com/images/I/51arGByiBsL._AC_UL320_.jpg")</f>
        <v/>
      </c>
      <c r="K2149" t="inlineStr">
        <is>
          <t>90.0</t>
        </is>
      </c>
      <c r="L2149" t="n">
        <v>90</v>
      </c>
      <c r="M2149" s="1" t="inlineStr">
        <is>
          <t>0.00%</t>
        </is>
      </c>
      <c r="N2149" s="3" t="n">
        <v>0</v>
      </c>
      <c r="O2149" t="n">
        <v>5</v>
      </c>
      <c r="P2149" t="n">
        <v>5</v>
      </c>
      <c r="R2149" t="inlineStr">
        <is>
          <t>undefined</t>
        </is>
      </c>
      <c r="S2149" t="inlineStr">
        <is>
          <t>undefined</t>
        </is>
      </c>
      <c r="T2149" t="inlineStr">
        <is>
          <t>0729238196476</t>
        </is>
      </c>
    </row>
    <row r="2150" hidden="1" ht="15.75" customHeight="1">
      <c r="A2150" s="2">
        <f>HYPERLINK("https://www.shiseido.com/us/en/benefiance-wrinkle-smoothing-contour-serum-0730852155800.html?cgid=skincare", "https://www.shiseido.com/us/en/benefiance-wrinkle-smoothing-contour-serum-0730852155800.html?cgid=skincare")</f>
        <v/>
      </c>
      <c r="B2150" s="2">
        <f>HYPERLINK("https://www.shiseido.com/us/en/benefiance-wrinkle-smoothing-contour-serum-0730852155800.html", "https://www.shiseido.com/us/en/benefiance-wrinkle-smoothing-contour-serum-0730852155800.html")</f>
        <v/>
      </c>
      <c r="C2150" t="inlineStr">
        <is>
          <t>Wrinkle Smoothing Contour Serum</t>
        </is>
      </c>
      <c r="D2150" t="inlineStr">
        <is>
          <t>SHISEIDO BENEFIANCE WRINKLE SMOOTHING CONTOUR SERUM (30ML)</t>
        </is>
      </c>
      <c r="E2150" s="2">
        <f>HYPERLINK("https://www.amazon.com/SHISEIDO-BENEFIANCE-WRINKLE-SMOOTHING-CONTOUR/dp/B07XLYT1LV/ref=sr_1_1?keywords=Wrinkle+Smoothing+Contour+Serum&amp;qid=1695170969&amp;sr=8-1", "https://www.amazon.com/SHISEIDO-BENEFIANCE-WRINKLE-SMOOTHING-CONTOUR/dp/B07XLYT1LV/ref=sr_1_1?keywords=Wrinkle+Smoothing+Contour+Serum&amp;qid=1695170969&amp;sr=8-1")</f>
        <v/>
      </c>
      <c r="F2150" t="inlineStr">
        <is>
          <t>B07XLYT1LV</t>
        </is>
      </c>
      <c r="G2150">
        <f>_xludf.IMAGE("https://shiseido.ipscdn.net/sa2/dw/image/v2/BBSK_PRD/on/demandware.static/-/Sites-itemmaster_shiseido/default/dw26cf71b0/images/hi-res/0730852155800_main.jpg?sw=540&amp;sh=540&amp;sm=fit")</f>
        <v/>
      </c>
      <c r="H2150">
        <f>_xludf.IMAGE("https://m.media-amazon.com/images/I/614SPOwbA7L._AC_UL320_.jpg")</f>
        <v/>
      </c>
      <c r="K2150" t="inlineStr">
        <is>
          <t>75.0</t>
        </is>
      </c>
      <c r="L2150" t="n">
        <v>75</v>
      </c>
      <c r="M2150" s="1" t="inlineStr">
        <is>
          <t>0.00%</t>
        </is>
      </c>
      <c r="N2150" s="3" t="n">
        <v>0</v>
      </c>
      <c r="O2150" t="n">
        <v>4.5</v>
      </c>
      <c r="P2150" t="n">
        <v>116</v>
      </c>
      <c r="R2150" t="inlineStr">
        <is>
          <t>undefined</t>
        </is>
      </c>
      <c r="S2150" t="inlineStr">
        <is>
          <t>undefined</t>
        </is>
      </c>
      <c r="T2150" t="inlineStr">
        <is>
          <t>0730852155800</t>
        </is>
      </c>
    </row>
    <row r="2151" hidden="1" ht="15.75" customHeight="1">
      <c r="A2151" s="2">
        <f>HYPERLINK("https://www.shiseido.com/us/en/ultimune-power-infusing-serum-9990000000213.html?cgid=skincare", "https://www.shiseido.com/us/en/ultimune-power-infusing-serum-9990000000213.html?cgid=skincare")</f>
        <v/>
      </c>
      <c r="B2151" s="2">
        <f>HYPERLINK("https://www.shiseido.com/us/en/ultimune-power-infusing-serum-9990000000213.html", "https://www.shiseido.com/us/en/ultimune-power-infusing-serum-9990000000213.html")</f>
        <v/>
      </c>
      <c r="C2151" t="inlineStr">
        <is>
          <t>Power Infusing Serum</t>
        </is>
      </c>
      <c r="D2151" t="inlineStr">
        <is>
          <t>Shiseido Ultimune Power Infusing Concentrate - 75 mL - Antioxidant Anti-Aging Face Serum - Boosts Radiance, Increases Hydration &amp; Improves Visible Signs of Aging</t>
        </is>
      </c>
      <c r="E2151" s="2">
        <f>HYPERLINK("https://www.amazon.com/Savavi-Power-Infusing-Concentrate-Ultimune/dp/B09TXLP4TB/ref=sr_1_5?keywords=Power+Infusing+Serum&amp;qid=1695170973&amp;sr=8-5", "https://www.amazon.com/Savavi-Power-Infusing-Concentrate-Ultimune/dp/B09TXLP4TB/ref=sr_1_5?keywords=Power+Infusing+Serum&amp;qid=1695170973&amp;sr=8-5")</f>
        <v/>
      </c>
      <c r="F2151" t="inlineStr">
        <is>
          <t>B09TXLP4TB</t>
        </is>
      </c>
      <c r="G2151">
        <f>_xludf.IMAGE("https://shiseido.ipscdn.net/sa2/dw/image/v2/BBSK_PRD/on/demandware.static/-/Sites-itemmaster_shiseido/default/dwe2a7f45d/images/2023/April/Seals/0730852172852_75ml_Seal_1.jpg?sw=540&amp;sh=540&amp;sm=fit")</f>
        <v/>
      </c>
      <c r="H2151">
        <f>_xludf.IMAGE("https://m.media-amazon.com/images/I/61Hj4qepZVL._AC_UL320_.jpg")</f>
        <v/>
      </c>
      <c r="K2151" t="inlineStr">
        <is>
          <t>140.0</t>
        </is>
      </c>
      <c r="L2151" t="n">
        <v>140</v>
      </c>
      <c r="M2151" s="1" t="inlineStr">
        <is>
          <t>0.00%</t>
        </is>
      </c>
      <c r="N2151" s="3" t="n">
        <v>0</v>
      </c>
      <c r="O2151" t="n">
        <v>4.3</v>
      </c>
      <c r="P2151" t="n">
        <v>11</v>
      </c>
      <c r="R2151" t="inlineStr">
        <is>
          <t>undefined</t>
        </is>
      </c>
      <c r="S2151" t="inlineStr">
        <is>
          <t>undefined</t>
        </is>
      </c>
      <c r="T2151" t="inlineStr">
        <is>
          <t>0730852172852</t>
        </is>
      </c>
    </row>
    <row r="2152" hidden="1" ht="15.75" customHeight="1">
      <c r="A2152" s="2">
        <f>HYPERLINK("https://www.shiseido.com/us/en/bio-performance-advanced-super-revitalizing-cream-9991000000006.html?cgid=skincare", "https://www.shiseido.com/us/en/bio-performance-advanced-super-revitalizing-cream-9991000000006.html?cgid=skincare")</f>
        <v/>
      </c>
      <c r="B2152" s="2">
        <f>HYPERLINK("https://www.shiseido.com/us/en/bio-performance-advanced-super-revitalizing-cream-9991000000006.html", "https://www.shiseido.com/us/en/bio-performance-advanced-super-revitalizing-cream-9991000000006.html")</f>
        <v/>
      </c>
      <c r="C2152" t="inlineStr">
        <is>
          <t>Advanced Super Revitalizing Cream</t>
        </is>
      </c>
      <c r="D2152" t="inlineStr">
        <is>
          <t>Shiseido Bio-Performance Advanced Super Revitalizing Cream - Anti-Aging Moisturizer - Reduces Appearance of Fine Lines &amp; Wrinkles, Provides Long-Lasting Hydration</t>
        </is>
      </c>
      <c r="E2152" s="2">
        <f>HYPERLINK("https://www.amazon.com/Shiseido-Bio-Performance-Advanced-Super-Revitalizing/dp/B0002JBQFW/ref=sr_1_1?keywords=Advanced+Super+Revitalizing+Cream&amp;qid=1695170972&amp;sr=8-1", "https://www.amazon.com/Shiseido-Bio-Performance-Advanced-Super-Revitalizing/dp/B0002JBQFW/ref=sr_1_1?keywords=Advanced+Super+Revitalizing+Cream&amp;qid=1695170972&amp;sr=8-1")</f>
        <v/>
      </c>
      <c r="F2152" t="inlineStr">
        <is>
          <t>B0002JBQFW</t>
        </is>
      </c>
      <c r="G2152">
        <f>_xludf.IMAGE("https://shiseido.ipscdn.net/sa2/dw/image/v2/BBSK_PRD/on/demandware.static/-/Sites-itemmaster_shiseido/default/dw8af3fe7d/images/2022/July/Top25/9991000000006_7.jpg?sw=540&amp;sh=540&amp;sm=fit")</f>
        <v/>
      </c>
      <c r="H2152">
        <f>_xludf.IMAGE("https://m.media-amazon.com/images/I/51Q7tcDgIGL._AC_UL320_.jpg")</f>
        <v/>
      </c>
      <c r="K2152" t="inlineStr">
        <is>
          <t>85.0</t>
        </is>
      </c>
      <c r="L2152" t="n">
        <v>85</v>
      </c>
      <c r="M2152" s="1" t="inlineStr">
        <is>
          <t>0.00%</t>
        </is>
      </c>
      <c r="N2152" s="3" t="n">
        <v>0</v>
      </c>
      <c r="O2152" t="n">
        <v>4.6</v>
      </c>
      <c r="P2152" t="n">
        <v>843</v>
      </c>
      <c r="R2152" t="inlineStr">
        <is>
          <t>undefined</t>
        </is>
      </c>
      <c r="S2152" t="inlineStr">
        <is>
          <t>undefined</t>
        </is>
      </c>
      <c r="T2152" t="inlineStr">
        <is>
          <t>0730852103207</t>
        </is>
      </c>
    </row>
    <row r="2153" hidden="1" ht="15.75" customHeight="1">
      <c r="A2153" s="2">
        <f>HYPERLINK("https://www.shiseido.com/us/en/future-solution-lx-extra-rich-cleansing-foam-0730852139183.html?cgid=skincare", "https://www.shiseido.com/us/en/future-solution-lx-extra-rich-cleansing-foam-0730852139183.html?cgid=skincare")</f>
        <v/>
      </c>
      <c r="B2153" s="2">
        <f>HYPERLINK("https://www.shiseido.com/us/en/future-solution-lx-extra-rich-cleansing-foam-0730852139183.html", "https://www.shiseido.com/us/en/future-solution-lx-extra-rich-cleansing-foam-0730852139183.html")</f>
        <v/>
      </c>
      <c r="C2153" t="inlineStr">
        <is>
          <t>Extra Rich Cleansing Foam</t>
        </is>
      </c>
      <c r="D2153" t="inlineStr">
        <is>
          <t>Shiseido Future Solution LX Extra Rich Cleansing Foam - 125 mL - Anti-Aging Facial Cleanser - Removes Impurities &amp; Retains Moisture for Fresh, Smooth Skin - All Skin Types</t>
        </is>
      </c>
      <c r="E2153" s="2">
        <f>HYPERLINK("https://www.amazon.com/Shiseido-Future-Solution-Extra-Cleansing/dp/B073Z4SRWJ/ref=sr_1_1?keywords=Extra+Rich+Cleansing+Foam&amp;qid=1695170969&amp;sr=8-1", "https://www.amazon.com/Shiseido-Future-Solution-Extra-Cleansing/dp/B073Z4SRWJ/ref=sr_1_1?keywords=Extra+Rich+Cleansing+Foam&amp;qid=1695170969&amp;sr=8-1")</f>
        <v/>
      </c>
      <c r="F2153" t="inlineStr">
        <is>
          <t>B073Z4SRWJ</t>
        </is>
      </c>
      <c r="G2153">
        <f>_xludf.IMAGE("https://shiseido.ipscdn.net/sa2/dw/image/v2/BBSK_PRD/on/demandware.static/-/Sites-itemmaster_shiseido/default/dw1f83b08c/images/2022/July/Top25/0730852139183_ingredient.jpg?sw=540&amp;sh=540&amp;sm=fit")</f>
        <v/>
      </c>
      <c r="H2153">
        <f>_xludf.IMAGE("https://m.media-amazon.com/images/I/61J7hQ47LWL._AC_UL320_.jpg")</f>
        <v/>
      </c>
      <c r="K2153" t="inlineStr">
        <is>
          <t>65.0</t>
        </is>
      </c>
      <c r="L2153" t="n">
        <v>65</v>
      </c>
      <c r="M2153" s="1" t="inlineStr">
        <is>
          <t>0.00%</t>
        </is>
      </c>
      <c r="N2153" s="3" t="n">
        <v>0</v>
      </c>
      <c r="O2153" t="n">
        <v>4.7</v>
      </c>
      <c r="P2153" t="n">
        <v>185</v>
      </c>
      <c r="R2153" t="inlineStr">
        <is>
          <t>undefined</t>
        </is>
      </c>
      <c r="S2153" t="inlineStr">
        <is>
          <t>undefined</t>
        </is>
      </c>
      <c r="T2153" t="inlineStr">
        <is>
          <t>0730852139183</t>
        </is>
      </c>
    </row>
    <row r="2154" hidden="1" ht="15.75" customHeight="1">
      <c r="A2154" s="2">
        <f>HYPERLINK("https://www.shiseido.com/us/en/benefiance-overnight-wrinkle-resisting-cream-0768614166597.html?cgid=skincare", "https://www.shiseido.com/us/en/benefiance-overnight-wrinkle-resisting-cream-0768614166597.html?cgid=skincare")</f>
        <v/>
      </c>
      <c r="B2154" s="2">
        <f>HYPERLINK("https://www.shiseido.com/us/en/benefiance-overnight-wrinkle-resisting-cream-0768614166597.html", "https://www.shiseido.com/us/en/benefiance-overnight-wrinkle-resisting-cream-0768614166597.html")</f>
        <v/>
      </c>
      <c r="C2154" t="inlineStr">
        <is>
          <t>Overnight Wrinkle Resisting Cream</t>
        </is>
      </c>
      <c r="D2154" t="inlineStr">
        <is>
          <t>Shiseido Benefiance Overnight Wrinkle Resisting Cream - 50 mL - Anti-Aging Night Cream for Normal to Dry Skin - Visibly Improves Wrinkles for Smooth, Rested Skin</t>
        </is>
      </c>
      <c r="E2154" s="2">
        <f>HYPERLINK("https://www.amazon.com/Shiseido-Benefiance-Overnight-Wrinkle-Resisting/dp/B08GW8JSJJ/ref=sr_1_1?keywords=overnight+wrinkle+resistant+cream&amp;qid=1695170973&amp;sr=8-1", "https://www.amazon.com/Shiseido-Benefiance-Overnight-Wrinkle-Resisting/dp/B08GW8JSJJ/ref=sr_1_1?keywords=overnight+wrinkle+resistant+cream&amp;qid=1695170973&amp;sr=8-1")</f>
        <v/>
      </c>
      <c r="F2154" t="inlineStr">
        <is>
          <t>B08GW8JSJJ</t>
        </is>
      </c>
      <c r="G2154">
        <f>_xludf.IMAGE("https://shiseido.ipscdn.net/sa2/dw/image/v2/BBSK_PRD/on/demandware.static/-/Sites-itemmaster_shiseido/default/dw51f427cc/images/2020/August/Moisturizer/0768614166597_1.jpg?sw=540&amp;sh=540&amp;sm=fit")</f>
        <v/>
      </c>
      <c r="H2154">
        <f>_xludf.IMAGE("https://m.media-amazon.com/images/I/612Ttx0EkNL._AC_UL320_.jpg")</f>
        <v/>
      </c>
      <c r="K2154" t="inlineStr">
        <is>
          <t>95.0</t>
        </is>
      </c>
      <c r="L2154" t="n">
        <v>95</v>
      </c>
      <c r="M2154" s="1" t="inlineStr">
        <is>
          <t>0.00%</t>
        </is>
      </c>
      <c r="N2154" s="3" t="n">
        <v>0</v>
      </c>
      <c r="O2154" t="n">
        <v>4.5</v>
      </c>
      <c r="P2154" t="n">
        <v>218</v>
      </c>
      <c r="R2154" t="inlineStr">
        <is>
          <t>undefined</t>
        </is>
      </c>
      <c r="S2154" t="inlineStr">
        <is>
          <t>undefined</t>
        </is>
      </c>
      <c r="T2154" t="inlineStr">
        <is>
          <t>0768614166597</t>
        </is>
      </c>
    </row>
    <row r="2155" hidden="1" ht="15.75" customHeight="1">
      <c r="A2155" s="2">
        <f>HYPERLINK("https://www.shiseido.com/us/en/benefiance-wrinkle-smoothing-eye-cream-0768614208570.html?cgid=skincare", "https://www.shiseido.com/us/en/benefiance-wrinkle-smoothing-eye-cream-0768614208570.html?cgid=skincare")</f>
        <v/>
      </c>
      <c r="B2155" s="2">
        <f>HYPERLINK("https://www.shiseido.com/us/en/benefiance-wrinkle-smoothing-eye-cream-0768614208570.html", "https://www.shiseido.com/us/en/benefiance-wrinkle-smoothing-eye-cream-0768614208570.html")</f>
        <v/>
      </c>
      <c r="C2155" t="inlineStr">
        <is>
          <t>Wrinkle Smoothing Eye Cream</t>
        </is>
      </c>
      <c r="D2155" t="inlineStr">
        <is>
          <t>Shiseido Benefiance Wrinkle Smoothing Eye Cream - 15 mL - Visibly Improves Five Types of Eye Wrinkles, Dark Circles &amp; Puffiness - 48-HR Hydration - All Skin Types - Non-Comedogenic</t>
        </is>
      </c>
      <c r="E2155" s="2">
        <f>HYPERLINK("https://www.amazon.com/Shiseido-Benefiance-Wrinkle-Smoothing-Cream/dp/B0C9RXV1VY/ref=sr_1_1?keywords=Wrinkle+Smoothing+Eye+Cream&amp;qid=1695170967&amp;sr=8-1", "https://www.amazon.com/Shiseido-Benefiance-Wrinkle-Smoothing-Cream/dp/B0C9RXV1VY/ref=sr_1_1?keywords=Wrinkle+Smoothing+Eye+Cream&amp;qid=1695170967&amp;sr=8-1")</f>
        <v/>
      </c>
      <c r="F2155" t="inlineStr">
        <is>
          <t>B0C9RXV1VY</t>
        </is>
      </c>
      <c r="G2155">
        <f>_xludf.IMAGE("https://shiseido.ipscdn.net/sa2/dw/image/v2/BBSK_PRD/on/demandware.static/-/Sites-itemmaster_shiseido/default/dw4a23473a/images/2023/July/BenefianceEyeCream/0768614208570_1.jpg?sw=540&amp;sh=540&amp;sm=fit")</f>
        <v/>
      </c>
      <c r="H2155">
        <f>_xludf.IMAGE("https://m.media-amazon.com/images/I/51hn1R70ZEL._AC_UL320_.jpg")</f>
        <v/>
      </c>
      <c r="K2155" t="inlineStr">
        <is>
          <t>65.0</t>
        </is>
      </c>
      <c r="L2155" t="n">
        <v>65</v>
      </c>
      <c r="M2155" s="1" t="inlineStr">
        <is>
          <t>0.00%</t>
        </is>
      </c>
      <c r="N2155" s="3" t="n">
        <v>0</v>
      </c>
      <c r="O2155" t="n">
        <v>4.1</v>
      </c>
      <c r="P2155" t="n">
        <v>31</v>
      </c>
      <c r="R2155" t="inlineStr">
        <is>
          <t>undefined</t>
        </is>
      </c>
      <c r="S2155" t="inlineStr">
        <is>
          <t>undefined</t>
        </is>
      </c>
      <c r="T2155" t="inlineStr">
        <is>
          <t>0768614208570</t>
        </is>
      </c>
    </row>
    <row r="2156" hidden="1" ht="15.75" customHeight="1">
      <c r="A2156" s="2">
        <f>HYPERLINK("https://www.shiseido.com/us/en/shiseido-men-energizing-moisturizer-0729238171541.html?cgid=skincare", "https://www.shiseido.com/us/en/shiseido-men-energizing-moisturizer-0729238171541.html?cgid=skincare")</f>
        <v/>
      </c>
      <c r="B2156" s="2">
        <f>HYPERLINK("https://www.shiseido.com/us/en/shiseido-men-energizing-moisturizer-0729238171541.html", "https://www.shiseido.com/us/en/shiseido-men-energizing-moisturizer-0729238171541.html")</f>
        <v/>
      </c>
      <c r="C2156" t="inlineStr">
        <is>
          <t>Energizing Moisturizer</t>
        </is>
      </c>
      <c r="D2156" t="inlineStr">
        <is>
          <t>Shiseido Men Energizing Moisturizer Extra Light Fluid - 100 mL - Reduce the Look of Fine Lines, Dullness &amp; Dry Skin - Non-Greasy, Extra-Light Texture</t>
        </is>
      </c>
      <c r="E2156" s="2">
        <f>HYPERLINK("https://www.amazon.com/Shiseido-Energizing-Moisturizer-Extra-Light/dp/B08ZC9MWB3/ref=sr_1_5?keywords=Energizing+Moisturizer&amp;qid=1695170969&amp;sr=8-5", "https://www.amazon.com/Shiseido-Energizing-Moisturizer-Extra-Light/dp/B08ZC9MWB3/ref=sr_1_5?keywords=Energizing+Moisturizer&amp;qid=1695170969&amp;sr=8-5")</f>
        <v/>
      </c>
      <c r="F2156" t="inlineStr">
        <is>
          <t>B08ZC9MWB3</t>
        </is>
      </c>
      <c r="G2156">
        <f>_xludf.IMAGE("https://shiseido.ipscdn.net/sa2/dw/image/v2/BBSK_PRD/on/demandware.static/-/Sites-itemmaster_shiseido/default/dw557544f0/images/2021/January/men/0729238171541_1.jpg?sw=540&amp;sh=540&amp;sm=fit")</f>
        <v/>
      </c>
      <c r="H2156">
        <f>_xludf.IMAGE("https://m.media-amazon.com/images/I/51+K5m2vaEL._AC_UL320_.jpg")</f>
        <v/>
      </c>
      <c r="K2156" t="inlineStr">
        <is>
          <t>38.0</t>
        </is>
      </c>
      <c r="L2156" t="n">
        <v>38</v>
      </c>
      <c r="M2156" s="1" t="inlineStr">
        <is>
          <t>0.00%</t>
        </is>
      </c>
      <c r="N2156" s="3" t="n">
        <v>0</v>
      </c>
      <c r="O2156" t="n">
        <v>4.6</v>
      </c>
      <c r="P2156" t="n">
        <v>55</v>
      </c>
      <c r="R2156" t="inlineStr">
        <is>
          <t>undefined</t>
        </is>
      </c>
      <c r="S2156" t="inlineStr">
        <is>
          <t>undefined</t>
        </is>
      </c>
      <c r="T2156" t="inlineStr">
        <is>
          <t>0729238171541</t>
        </is>
      </c>
    </row>
    <row r="2157" hidden="1" ht="15.75" customHeight="1">
      <c r="A2157" s="2">
        <f>HYPERLINK("https://www.shiseido.com/us/en/shiseido-men-energizing-moisturizer-0729238171541.html?cgid=skincare", "https://www.shiseido.com/us/en/shiseido-men-energizing-moisturizer-0729238171541.html?cgid=skincare")</f>
        <v/>
      </c>
      <c r="B2157" s="2">
        <f>HYPERLINK("https://www.shiseido.com/us/en/shiseido-men-energizing-moisturizer-0729238171541.html", "https://www.shiseido.com/us/en/shiseido-men-energizing-moisturizer-0729238171541.html")</f>
        <v/>
      </c>
      <c r="C2157" t="inlineStr">
        <is>
          <t>Energizing Moisturizer</t>
        </is>
      </c>
      <c r="D2157" t="inlineStr">
        <is>
          <t>Jack Black Turbo Body Lotion Energizing Gel Moisturizer</t>
        </is>
      </c>
      <c r="E2157" s="2">
        <f>HYPERLINK("https://www.amazon.com/Jack-Black-Lotion-Energizing-Moisturizer/dp/B099NLWWDH/ref=sr_1_9?keywords=Energizing+Moisturizer&amp;qid=1695170969&amp;sr=8-9", "https://www.amazon.com/Jack-Black-Lotion-Energizing-Moisturizer/dp/B099NLWWDH/ref=sr_1_9?keywords=Energizing+Moisturizer&amp;qid=1695170969&amp;sr=8-9")</f>
        <v/>
      </c>
      <c r="F2157" t="inlineStr">
        <is>
          <t>B099NLWWDH</t>
        </is>
      </c>
      <c r="G2157">
        <f>_xludf.IMAGE("https://shiseido.ipscdn.net/sa2/dw/image/v2/BBSK_PRD/on/demandware.static/-/Sites-itemmaster_shiseido/default/dw557544f0/images/2021/January/men/0729238171541_1.jpg?sw=540&amp;sh=540&amp;sm=fit")</f>
        <v/>
      </c>
      <c r="H2157">
        <f>_xludf.IMAGE("https://m.media-amazon.com/images/I/7189KSpdXWL._AC_UL320_.jpg")</f>
        <v/>
      </c>
      <c r="K2157" t="inlineStr">
        <is>
          <t>38.0</t>
        </is>
      </c>
      <c r="L2157" t="n">
        <v>38</v>
      </c>
      <c r="M2157" s="1" t="inlineStr">
        <is>
          <t>0.00%</t>
        </is>
      </c>
      <c r="N2157" s="3" t="n">
        <v>0</v>
      </c>
      <c r="O2157" t="n">
        <v>4.6</v>
      </c>
      <c r="P2157" t="n">
        <v>174</v>
      </c>
      <c r="R2157" t="inlineStr">
        <is>
          <t>undefined</t>
        </is>
      </c>
      <c r="S2157" t="inlineStr">
        <is>
          <t>undefined</t>
        </is>
      </c>
      <c r="T2157" t="inlineStr">
        <is>
          <t>0729238171541</t>
        </is>
      </c>
    </row>
    <row r="2158" hidden="1" ht="15.75" customHeight="1">
      <c r="A2158" s="2">
        <f>HYPERLINK("https://www.shiseido.com/us/en/bio-performance-advanced-super-revitalizing-cream-9991000000006.html?cgid=skincare", "https://www.shiseido.com/us/en/bio-performance-advanced-super-revitalizing-cream-9991000000006.html?cgid=skincare")</f>
        <v/>
      </c>
      <c r="B2158" s="2">
        <f>HYPERLINK("https://www.shiseido.com/us/en/bio-performance-advanced-super-revitalizing-cream-9991000000006.html", "https://www.shiseido.com/us/en/bio-performance-advanced-super-revitalizing-cream-9991000000006.html")</f>
        <v/>
      </c>
      <c r="C2158" t="inlineStr">
        <is>
          <t>Advanced Super Revitalizing Cream</t>
        </is>
      </c>
      <c r="D2158" t="inlineStr">
        <is>
          <t>Bio-Performance Moisturizer Face Cream - 2.6 oz / 75 ml - Advanced Super Revitalizing Cream for Face - Benefiance Anti-Aging Moisturizer Cream, Minimizes Wrinkles and Hydrates Face Skin, For All Skin Types</t>
        </is>
      </c>
      <c r="E2158" s="2">
        <f>HYPERLINK("https://www.amazon.com/Bio-Performance-Moisturizer-Face-Cream-Revitalizing/dp/B0C59HWZSM/ref=sr_1_2?keywords=Advanced+Super+Revitalizing+Cream&amp;qid=1695170972&amp;sr=8-2", "https://www.amazon.com/Bio-Performance-Moisturizer-Face-Cream-Revitalizing/dp/B0C59HWZSM/ref=sr_1_2?keywords=Advanced+Super+Revitalizing+Cream&amp;qid=1695170972&amp;sr=8-2")</f>
        <v/>
      </c>
      <c r="F2158" t="inlineStr">
        <is>
          <t>B0C59HWZSM</t>
        </is>
      </c>
      <c r="G2158">
        <f>_xludf.IMAGE("https://shiseido.ipscdn.net/sa2/dw/image/v2/BBSK_PRD/on/demandware.static/-/Sites-itemmaster_shiseido/default/dw8af3fe7d/images/2022/July/Top25/9991000000006_7.jpg?sw=540&amp;sh=540&amp;sm=fit")</f>
        <v/>
      </c>
      <c r="H2158">
        <f>_xludf.IMAGE("https://m.media-amazon.com/images/I/41h0ijBCJbL._AC_UL320_.jpg")</f>
        <v/>
      </c>
      <c r="K2158" t="inlineStr">
        <is>
          <t>85.0</t>
        </is>
      </c>
      <c r="L2158" t="n">
        <v>80</v>
      </c>
      <c r="M2158" s="1" t="inlineStr">
        <is>
          <t>-5.88%</t>
        </is>
      </c>
      <c r="N2158" s="3" t="n">
        <v>-5.88</v>
      </c>
      <c r="O2158" t="n">
        <v>4.7</v>
      </c>
      <c r="P2158" t="n">
        <v>14</v>
      </c>
      <c r="R2158" t="inlineStr">
        <is>
          <t>undefined</t>
        </is>
      </c>
      <c r="S2158" t="inlineStr">
        <is>
          <t>undefined</t>
        </is>
      </c>
      <c r="T2158" t="inlineStr">
        <is>
          <t>0730852103207</t>
        </is>
      </c>
    </row>
    <row r="2159" hidden="1" ht="15.75" customHeight="1">
      <c r="A2159" s="2">
        <f>HYPERLINK("https://www.shiseido.com/us/en/eudermine-activating-essence-0729238196476.html?cgid=skincare", "https://www.shiseido.com/us/en/eudermine-activating-essence-0729238196476.html?cgid=skincare")</f>
        <v/>
      </c>
      <c r="B2159" s="2">
        <f>HYPERLINK("https://www.shiseido.com/us/en/eudermine-activating-essence-0729238196476.html", "https://www.shiseido.com/us/en/eudermine-activating-essence-0729238196476.html")</f>
        <v/>
      </c>
      <c r="C2159" t="inlineStr">
        <is>
          <t>Eudermine Activating Essence</t>
        </is>
      </c>
      <c r="D2159" t="inlineStr">
        <is>
          <t>Shiseido Eudermine Activating Essence Refill - 145 mL - Provides Deep Hydration &amp; Targets Dark Spots  - 24-Hour Hydration - Non-Comedogenic - All Skin Types</t>
        </is>
      </c>
      <c r="E2159" s="2">
        <f>HYPERLINK("https://www.amazon.com/Shiseido-Eudermine-Activating-Essence-Refill/dp/B0BT8LPMLG/ref=sr_1_2?keywords=Eudermine+Activating+Essence&amp;qid=1695170978&amp;sr=8-2", "https://www.amazon.com/Shiseido-Eudermine-Activating-Essence-Refill/dp/B0BT8LPMLG/ref=sr_1_2?keywords=Eudermine+Activating+Essence&amp;qid=1695170978&amp;sr=8-2")</f>
        <v/>
      </c>
      <c r="F2159" t="inlineStr">
        <is>
          <t>B0BT8LPMLG</t>
        </is>
      </c>
      <c r="G2159">
        <f>_xludf.IMAGE("https://shiseido.ipscdn.net/sa2/dw/image/v2/BBSK_PRD/on/demandware.static/-/Sites-itemmaster_shiseido/default/dw70a53d2f/images/2023/February/Essence/0729238196476_1.jpg?sw=540&amp;sh=540&amp;sm=fit")</f>
        <v/>
      </c>
      <c r="H2159">
        <f>_xludf.IMAGE("https://m.media-amazon.com/images/I/51vPLi7UfxL._AC_UL320_.jpg")</f>
        <v/>
      </c>
      <c r="K2159" t="inlineStr">
        <is>
          <t>90.0</t>
        </is>
      </c>
      <c r="L2159" t="n">
        <v>77</v>
      </c>
      <c r="M2159" s="1" t="inlineStr">
        <is>
          <t>-14.44%</t>
        </is>
      </c>
      <c r="N2159" s="3" t="n">
        <v>-14.44</v>
      </c>
      <c r="O2159" t="n">
        <v>5</v>
      </c>
      <c r="P2159" t="n">
        <v>1</v>
      </c>
      <c r="R2159" t="inlineStr">
        <is>
          <t>undefined</t>
        </is>
      </c>
      <c r="S2159" t="inlineStr">
        <is>
          <t>undefined</t>
        </is>
      </c>
      <c r="T2159" t="inlineStr">
        <is>
          <t>0729238196476</t>
        </is>
      </c>
    </row>
    <row r="2160" hidden="1" ht="15.75" customHeight="1">
      <c r="A2160" s="2">
        <f>HYPERLINK("https://www.shiseido.com/us/en/essential-energy-hydrating-cream-refill-0729238182868.html?cgid=skincare", "https://www.shiseido.com/us/en/essential-energy-hydrating-cream-refill-0729238182868.html?cgid=skincare")</f>
        <v/>
      </c>
      <c r="B2160" s="2">
        <f>HYPERLINK("https://www.shiseido.com/us/en/essential-energy-hydrating-cream-refill-0729238182868.html", "https://www.shiseido.com/us/en/essential-energy-hydrating-cream-refill-0729238182868.html")</f>
        <v/>
      </c>
      <c r="C2160" t="inlineStr">
        <is>
          <t>Hydrating Cream Refill</t>
        </is>
      </c>
      <c r="D2160" t="inlineStr">
        <is>
          <t>Glow Recipe Plum Plump Hyaluronic Acid Face Cream Refill Pod - Dewy Glow Hydrating Face Moisturizer Plumps, Balances Skin - Vegan Whipped Gel Moisturizer with Polyglutamic Acid &amp; Ice Willowherb (50ml)</t>
        </is>
      </c>
      <c r="E2160" s="2">
        <f>HYPERLINK("https://www.amazon.com/Glow-Recipe-Plump-Hyaluronic-Refill/dp/B09V5QXX5T/ref=sr_1_2?keywords=Hydrating+Cream+Refill&amp;qid=1695170970&amp;sr=8-2", "https://www.amazon.com/Glow-Recipe-Plump-Hyaluronic-Refill/dp/B09V5QXX5T/ref=sr_1_2?keywords=Hydrating+Cream+Refill&amp;qid=1695170970&amp;sr=8-2")</f>
        <v/>
      </c>
      <c r="F2160" t="inlineStr">
        <is>
          <t>B09V5QXX5T</t>
        </is>
      </c>
      <c r="G2160">
        <f>_xludf.IMAGE("https://shiseido.ipscdn.net/sa2/dw/image/v2/BBSK_PRD/on/demandware.static/-/Sites-itemmaster_shiseido/default/dw6b79172b/images/2021/December/Essential Energy/0729238182868_5.jpg?sw=540&amp;sh=540&amp;sm=fit")</f>
        <v/>
      </c>
      <c r="H2160">
        <f>_xludf.IMAGE("https://m.media-amazon.com/images/I/61Bjx-moeUL._AC_UL320_.jpg")</f>
        <v/>
      </c>
      <c r="K2160" t="inlineStr">
        <is>
          <t>39.0</t>
        </is>
      </c>
      <c r="L2160" t="n">
        <v>33</v>
      </c>
      <c r="M2160" s="1" t="inlineStr">
        <is>
          <t>-15.38%</t>
        </is>
      </c>
      <c r="N2160" s="3" t="n">
        <v>-15.38</v>
      </c>
      <c r="O2160" t="n">
        <v>4.5</v>
      </c>
      <c r="P2160" t="n">
        <v>624</v>
      </c>
      <c r="R2160" t="inlineStr">
        <is>
          <t>undefined</t>
        </is>
      </c>
      <c r="S2160" t="inlineStr">
        <is>
          <t>undefined</t>
        </is>
      </c>
      <c r="T2160" t="inlineStr">
        <is>
          <t>0729238182868</t>
        </is>
      </c>
    </row>
    <row r="2161" hidden="1" ht="15.75" customHeight="1">
      <c r="A2161" s="2">
        <f>HYPERLINK("https://www.shiseido.com/us/en/essential-energy-hydrating-cream-refill-0729238182868.html?cgid=skincare", "https://www.shiseido.com/us/en/essential-energy-hydrating-cream-refill-0729238182868.html?cgid=skincare")</f>
        <v/>
      </c>
      <c r="B2161" s="2">
        <f>HYPERLINK("https://www.shiseido.com/us/en/essential-energy-hydrating-cream-refill-0729238182868.html", "https://www.shiseido.com/us/en/essential-energy-hydrating-cream-refill-0729238182868.html")</f>
        <v/>
      </c>
      <c r="C2161" t="inlineStr">
        <is>
          <t>Hydrating Cream Refill</t>
        </is>
      </c>
      <c r="D2161" t="inlineStr">
        <is>
          <t>O BOTICARIO Lily Satin Hydrating Body Cream REFILL Pouch, 24 Hour Fragranced Body Butter for Dry, 8 Ounce (250g)</t>
        </is>
      </c>
      <c r="E2161" s="2">
        <f>HYPERLINK("https://www.amazon.com/BOTICARIO-Hydrating-REFILL-Fragranced-Butter/dp/B0BVJ7V9MZ/ref=sr_1_3?keywords=Hydrating+Cream+Refill&amp;qid=1695170970&amp;sr=8-3", "https://www.amazon.com/BOTICARIO-Hydrating-REFILL-Fragranced-Butter/dp/B0BVJ7V9MZ/ref=sr_1_3?keywords=Hydrating+Cream+Refill&amp;qid=1695170970&amp;sr=8-3")</f>
        <v/>
      </c>
      <c r="F2161" t="inlineStr">
        <is>
          <t>B0BVJ7V9MZ</t>
        </is>
      </c>
      <c r="G2161">
        <f>_xludf.IMAGE("https://shiseido.ipscdn.net/sa2/dw/image/v2/BBSK_PRD/on/demandware.static/-/Sites-itemmaster_shiseido/default/dw6b79172b/images/2021/December/Essential Energy/0729238182868_5.jpg?sw=540&amp;sh=540&amp;sm=fit")</f>
        <v/>
      </c>
      <c r="H2161">
        <f>_xludf.IMAGE("https://m.media-amazon.com/images/I/615-SmvKoCL._AC_UL320_.jpg")</f>
        <v/>
      </c>
      <c r="K2161" t="inlineStr">
        <is>
          <t>39.0</t>
        </is>
      </c>
      <c r="L2161" t="n">
        <v>31</v>
      </c>
      <c r="M2161" s="1" t="inlineStr">
        <is>
          <t>-20.51%</t>
        </is>
      </c>
      <c r="N2161" s="3" t="n">
        <v>-20.51</v>
      </c>
      <c r="O2161" t="n">
        <v>4.8</v>
      </c>
      <c r="P2161" t="n">
        <v>1592</v>
      </c>
      <c r="R2161" t="inlineStr">
        <is>
          <t>undefined</t>
        </is>
      </c>
      <c r="S2161" t="inlineStr">
        <is>
          <t>undefined</t>
        </is>
      </c>
      <c r="T2161" t="inlineStr">
        <is>
          <t>0729238182868</t>
        </is>
      </c>
    </row>
    <row r="2162" hidden="1" ht="15.75" customHeight="1">
      <c r="A2162" s="2">
        <f>HYPERLINK("https://www.shiseido.com/us/en/benefiance-wrinkle-smoothing-contour-serum-0730852155800.html?cgid=skincare", "https://www.shiseido.com/us/en/benefiance-wrinkle-smoothing-contour-serum-0730852155800.html?cgid=skincare")</f>
        <v/>
      </c>
      <c r="B2162" s="2">
        <f>HYPERLINK("https://www.shiseido.com/us/en/benefiance-wrinkle-smoothing-contour-serum-0730852155800.html", "https://www.shiseido.com/us/en/benefiance-wrinkle-smoothing-contour-serum-0730852155800.html")</f>
        <v/>
      </c>
      <c r="C2162" t="inlineStr">
        <is>
          <t>Wrinkle Smoothing Contour Serum</t>
        </is>
      </c>
      <c r="D2162" t="inlineStr">
        <is>
          <t>Shiseido Benefiance Concentrated Neck Contour Treatment - 50 mL - Wrinkle-Smoothing Cream - Restores Firmness &amp; Reduces Creases for Nourished, Silky-Smooth Skin</t>
        </is>
      </c>
      <c r="E2162" s="2">
        <f>HYPERLINK("https://www.amazon.com/Shiseido-Benefiance-Concentrated-Contour-Treatment/dp/B000EGPLQ8/ref=sr_1_2?keywords=Wrinkle+Smoothing+Contour+Serum&amp;qid=1695170969&amp;sr=8-2", "https://www.amazon.com/Shiseido-Benefiance-Concentrated-Contour-Treatment/dp/B000EGPLQ8/ref=sr_1_2?keywords=Wrinkle+Smoothing+Contour+Serum&amp;qid=1695170969&amp;sr=8-2")</f>
        <v/>
      </c>
      <c r="F2162" t="inlineStr">
        <is>
          <t>B000EGPLQ8</t>
        </is>
      </c>
      <c r="G2162">
        <f>_xludf.IMAGE("https://shiseido.ipscdn.net/sa2/dw/image/v2/BBSK_PRD/on/demandware.static/-/Sites-itemmaster_shiseido/default/dw26cf71b0/images/hi-res/0730852155800_main.jpg?sw=540&amp;sh=540&amp;sm=fit")</f>
        <v/>
      </c>
      <c r="H2162">
        <f>_xludf.IMAGE("https://m.media-amazon.com/images/I/61gPJNd+IQL._AC_UL320_.jpg")</f>
        <v/>
      </c>
      <c r="K2162" t="inlineStr">
        <is>
          <t>75.0</t>
        </is>
      </c>
      <c r="L2162" t="n">
        <v>58</v>
      </c>
      <c r="M2162" s="1" t="inlineStr">
        <is>
          <t>-22.67%</t>
        </is>
      </c>
      <c r="N2162" s="3" t="n">
        <v>-22.67</v>
      </c>
      <c r="O2162" t="n">
        <v>4.3</v>
      </c>
      <c r="P2162" t="n">
        <v>210</v>
      </c>
      <c r="R2162" t="inlineStr">
        <is>
          <t>undefined</t>
        </is>
      </c>
      <c r="S2162" t="inlineStr">
        <is>
          <t>undefined</t>
        </is>
      </c>
      <c r="T2162" t="inlineStr">
        <is>
          <t>0730852155800</t>
        </is>
      </c>
    </row>
    <row r="2163" hidden="1" ht="15.75" customHeight="1">
      <c r="A2163" s="2">
        <f>HYPERLINK("https://www.shiseido.com/us/en/shiseido-men-face-cleanser-0768614171522.html?cgid=skincare", "https://www.shiseido.com/us/en/shiseido-men-face-cleanser-0768614171522.html?cgid=skincare")</f>
        <v/>
      </c>
      <c r="B2163" s="2">
        <f>HYPERLINK("https://www.shiseido.com/us/en/shiseido-men-face-cleanser-0768614171522.html", "https://www.shiseido.com/us/en/shiseido-men-face-cleanser-0768614171522.html")</f>
        <v/>
      </c>
      <c r="C2163" t="inlineStr">
        <is>
          <t>Face Cleanser</t>
        </is>
      </c>
      <c r="D2163" t="inlineStr">
        <is>
          <t>La Roche-Posay Toleriane Purifying Foaming Facial Cleanser, Oil Free Face Wash for Oily Skin and for Sensitive Skin with Niacinamide, Pore Cleanser Won’t Dry Out Skin, Unscented</t>
        </is>
      </c>
      <c r="E2163" s="2">
        <f>HYPERLINK("https://www.amazon.com/Roche-Posay-Toleriane-Purifying-Foaming-Cleanser/dp/B01N34XW93/ref=sr_1_3?keywords=Face+Cleanser&amp;qid=1695170967&amp;sr=8-3", "https://www.amazon.com/Roche-Posay-Toleriane-Purifying-Foaming-Cleanser/dp/B01N34XW93/ref=sr_1_3?keywords=Face+Cleanser&amp;qid=1695170967&amp;sr=8-3")</f>
        <v/>
      </c>
      <c r="F2163" t="inlineStr">
        <is>
          <t>B01N34XW93</t>
        </is>
      </c>
      <c r="G2163">
        <f>_xludf.IMAGE("https://shiseido.ipscdn.net/sa2/dw/image/v2/BBSK_PRD/on/demandware.static/-/Sites-itemmaster_shiseido/default/dwfb3ba7fa/images/2021/January/men/0768614171522_6.jpg?sw=540&amp;sh=540&amp;sm=fit")</f>
        <v/>
      </c>
      <c r="H2163">
        <f>_xludf.IMAGE("https://m.media-amazon.com/images/I/61ZrOW2v9FL._AC_UL320_.jpg")</f>
        <v/>
      </c>
      <c r="K2163" t="inlineStr">
        <is>
          <t>25.0</t>
        </is>
      </c>
      <c r="L2163" t="n">
        <v>16.99</v>
      </c>
      <c r="M2163" s="1" t="inlineStr">
        <is>
          <t>-32.04%</t>
        </is>
      </c>
      <c r="N2163" s="3" t="n">
        <v>-32.04</v>
      </c>
      <c r="O2163" t="n">
        <v>4.7</v>
      </c>
      <c r="P2163" t="n">
        <v>28380</v>
      </c>
      <c r="R2163" t="inlineStr">
        <is>
          <t>undefined</t>
        </is>
      </c>
      <c r="S2163" t="inlineStr">
        <is>
          <t>undefined</t>
        </is>
      </c>
      <c r="T2163" t="inlineStr">
        <is>
          <t>0768614171522</t>
        </is>
      </c>
    </row>
    <row r="2164" hidden="1" ht="15.75" customHeight="1">
      <c r="A2164" s="2">
        <f>HYPERLINK("https://www.shiseido.com/us/en/shiseido-men-face-cleanser-0768614171522.html?cgid=skincare", "https://www.shiseido.com/us/en/shiseido-men-face-cleanser-0768614171522.html?cgid=skincare")</f>
        <v/>
      </c>
      <c r="B2164" s="2">
        <f>HYPERLINK("https://www.shiseido.com/us/en/shiseido-men-face-cleanser-0768614171522.html", "https://www.shiseido.com/us/en/shiseido-men-face-cleanser-0768614171522.html")</f>
        <v/>
      </c>
      <c r="C2164" t="inlineStr">
        <is>
          <t>Face Cleanser</t>
        </is>
      </c>
      <c r="D2164" t="inlineStr">
        <is>
          <t>La Roche-Posay Toleriane Hydrating Gentle Face Cleanser, Daily Facial Cleanser with Niacinamide and Ceramides for Sensitive Skin, Moisturizing Face Wash for Normal to Dry Skin, Fragrance Free</t>
        </is>
      </c>
      <c r="E2164" s="2">
        <f>HYPERLINK("https://www.amazon.com/Roche-Posay-Toleriane-Hydrating-Gentle-Cleanser/dp/B01N7T7JKJ/ref=sr_1_1?keywords=Face+Cleanser&amp;qid=1695170967&amp;sr=8-1", "https://www.amazon.com/Roche-Posay-Toleriane-Hydrating-Gentle-Cleanser/dp/B01N7T7JKJ/ref=sr_1_1?keywords=Face+Cleanser&amp;qid=1695170967&amp;sr=8-1")</f>
        <v/>
      </c>
      <c r="F2164" t="inlineStr">
        <is>
          <t>B01N7T7JKJ</t>
        </is>
      </c>
      <c r="G2164">
        <f>_xludf.IMAGE("https://shiseido.ipscdn.net/sa2/dw/image/v2/BBSK_PRD/on/demandware.static/-/Sites-itemmaster_shiseido/default/dwfb3ba7fa/images/2021/January/men/0768614171522_6.jpg?sw=540&amp;sh=540&amp;sm=fit")</f>
        <v/>
      </c>
      <c r="H2164">
        <f>_xludf.IMAGE("https://m.media-amazon.com/images/I/613Gx2guOML._AC_UL320_.jpg")</f>
        <v/>
      </c>
      <c r="K2164" t="inlineStr">
        <is>
          <t>25.0</t>
        </is>
      </c>
      <c r="L2164" t="n">
        <v>16.99</v>
      </c>
      <c r="M2164" s="1" t="inlineStr">
        <is>
          <t>-32.04%</t>
        </is>
      </c>
      <c r="N2164" s="3" t="n">
        <v>-32.04</v>
      </c>
      <c r="O2164" t="n">
        <v>4.6</v>
      </c>
      <c r="P2164" t="n">
        <v>28137</v>
      </c>
      <c r="R2164" t="inlineStr">
        <is>
          <t>undefined</t>
        </is>
      </c>
      <c r="S2164" t="inlineStr">
        <is>
          <t>undefined</t>
        </is>
      </c>
      <c r="T2164" t="inlineStr">
        <is>
          <t>0768614171522</t>
        </is>
      </c>
    </row>
    <row r="2165" hidden="1" ht="15.75" customHeight="1">
      <c r="A2165" s="2">
        <f>HYPERLINK("https://www.shiseido.com/us/en/essential-energy-hydrating-cream-refill-0729238182868.html?cgid=skincare", "https://www.shiseido.com/us/en/essential-energy-hydrating-cream-refill-0729238182868.html?cgid=skincare")</f>
        <v/>
      </c>
      <c r="B2165" s="2">
        <f>HYPERLINK("https://www.shiseido.com/us/en/essential-energy-hydrating-cream-refill-0729238182868.html", "https://www.shiseido.com/us/en/essential-energy-hydrating-cream-refill-0729238182868.html")</f>
        <v/>
      </c>
      <c r="C2165" t="inlineStr">
        <is>
          <t>Hydrating Cream Refill</t>
        </is>
      </c>
      <c r="D2165" t="inlineStr">
        <is>
          <t>Lumene Nordic Hydra Hydration Rescue 24H Replenishing Balm Refill - Lightweight Face Cream + Dry Skin Hydrating Moisturizer - Organic Birch Sap, Arctic Spring Water &amp; Plumping Hyaluronic Acid (1.7oz)</t>
        </is>
      </c>
      <c r="E2165" s="2">
        <f>HYPERLINK("https://www.amazon.com/Lumene-Nordic-Hydration-Rescue-Replenishing/dp/B0B6GJLRMY/ref=sr_1_6?keywords=Hydrating+Cream+Refill&amp;qid=1695170970&amp;sr=8-6", "https://www.amazon.com/Lumene-Nordic-Hydration-Rescue-Replenishing/dp/B0B6GJLRMY/ref=sr_1_6?keywords=Hydrating+Cream+Refill&amp;qid=1695170970&amp;sr=8-6")</f>
        <v/>
      </c>
      <c r="F2165" t="inlineStr">
        <is>
          <t>B0B6GJLRMY</t>
        </is>
      </c>
      <c r="G2165">
        <f>_xludf.IMAGE("https://shiseido.ipscdn.net/sa2/dw/image/v2/BBSK_PRD/on/demandware.static/-/Sites-itemmaster_shiseido/default/dw6b79172b/images/2021/December/Essential Energy/0729238182868_5.jpg?sw=540&amp;sh=540&amp;sm=fit")</f>
        <v/>
      </c>
      <c r="H2165">
        <f>_xludf.IMAGE("https://m.media-amazon.com/images/I/61olkyfiocL._AC_UL320_.jpg")</f>
        <v/>
      </c>
      <c r="K2165" t="inlineStr">
        <is>
          <t>39.0</t>
        </is>
      </c>
      <c r="L2165" t="n">
        <v>24.99</v>
      </c>
      <c r="M2165" s="1" t="inlineStr">
        <is>
          <t>-35.92%</t>
        </is>
      </c>
      <c r="N2165" s="3" t="n">
        <v>-35.92</v>
      </c>
      <c r="O2165" t="n">
        <v>3.6</v>
      </c>
      <c r="P2165" t="n">
        <v>2</v>
      </c>
      <c r="R2165" t="inlineStr">
        <is>
          <t>undefined</t>
        </is>
      </c>
      <c r="S2165" t="inlineStr">
        <is>
          <t>undefined</t>
        </is>
      </c>
      <c r="T2165" t="inlineStr">
        <is>
          <t>0729238182868</t>
        </is>
      </c>
    </row>
    <row r="2166" hidden="1" ht="15.75" customHeight="1">
      <c r="A2166" s="2">
        <f>HYPERLINK("https://www.shiseido.com/us/en/essential-energy-hydrating-cream-refill-0729238182868.html?cgid=skincare", "https://www.shiseido.com/us/en/essential-energy-hydrating-cream-refill-0729238182868.html?cgid=skincare")</f>
        <v/>
      </c>
      <c r="B2166" s="2">
        <f>HYPERLINK("https://www.shiseido.com/us/en/essential-energy-hydrating-cream-refill-0729238182868.html", "https://www.shiseido.com/us/en/essential-energy-hydrating-cream-refill-0729238182868.html")</f>
        <v/>
      </c>
      <c r="C2166" t="inlineStr">
        <is>
          <t>Hydrating Cream Refill</t>
        </is>
      </c>
      <c r="D2166" t="inlineStr">
        <is>
          <t>Lumene Nordic Hydra Intense Hydration 24H Face Moisturizer Fragrance-Free Refill - Lightweight Face Cream + Dry Skin Hydrating Moisturizer - Arctic Spring Water &amp; Plumping Hyaluronic Acid (1.7oz)</t>
        </is>
      </c>
      <c r="E2166" s="2">
        <f>HYPERLINK("https://www.amazon.com/Lumene-Intense-Hydration-Moisturizer-Fragrance-Free/dp/B0B6GK68WQ/ref=sr_1_7?keywords=Hydrating+Cream+Refill&amp;qid=1695170970&amp;sr=8-7", "https://www.amazon.com/Lumene-Intense-Hydration-Moisturizer-Fragrance-Free/dp/B0B6GK68WQ/ref=sr_1_7?keywords=Hydrating+Cream+Refill&amp;qid=1695170970&amp;sr=8-7")</f>
        <v/>
      </c>
      <c r="F2166" t="inlineStr">
        <is>
          <t>B0B6GK68WQ</t>
        </is>
      </c>
      <c r="G2166">
        <f>_xludf.IMAGE("https://shiseido.ipscdn.net/sa2/dw/image/v2/BBSK_PRD/on/demandware.static/-/Sites-itemmaster_shiseido/default/dw6b79172b/images/2021/December/Essential Energy/0729238182868_5.jpg?sw=540&amp;sh=540&amp;sm=fit")</f>
        <v/>
      </c>
      <c r="H2166">
        <f>_xludf.IMAGE("https://m.media-amazon.com/images/I/61Il1RFpmiL._AC_UL320_.jpg")</f>
        <v/>
      </c>
      <c r="K2166" t="inlineStr">
        <is>
          <t>39.0</t>
        </is>
      </c>
      <c r="L2166" t="n">
        <v>24.99</v>
      </c>
      <c r="M2166" s="1" t="inlineStr">
        <is>
          <t>-35.92%</t>
        </is>
      </c>
      <c r="N2166" s="3" t="n">
        <v>-35.92</v>
      </c>
      <c r="O2166" t="n">
        <v>4.5</v>
      </c>
      <c r="P2166" t="n">
        <v>7</v>
      </c>
      <c r="R2166" t="inlineStr">
        <is>
          <t>undefined</t>
        </is>
      </c>
      <c r="S2166" t="inlineStr">
        <is>
          <t>undefined</t>
        </is>
      </c>
      <c r="T2166" t="inlineStr">
        <is>
          <t>0729238182868</t>
        </is>
      </c>
    </row>
    <row r="2167" hidden="1" ht="15.75" customHeight="1">
      <c r="A2167" s="2">
        <f>HYPERLINK("https://www.shiseido.com/us/en/benefiance-wrinkle-smoothing-day-cream-spf-23-0730852149519.html?cgid=skincare", "https://www.shiseido.com/us/en/benefiance-wrinkle-smoothing-day-cream-spf-23-0730852149519.html?cgid=skincare")</f>
        <v/>
      </c>
      <c r="B2167" s="2">
        <f>HYPERLINK("https://www.shiseido.com/us/en/benefiance-wrinkle-smoothing-day-cream-spf-23-0730852149519.html", "https://www.shiseido.com/us/en/benefiance-wrinkle-smoothing-day-cream-spf-23-0730852149519.html")</f>
        <v/>
      </c>
      <c r="C2167" t="inlineStr">
        <is>
          <t>Wrinkle Smoothing Day Cream SPF 23</t>
        </is>
      </c>
      <c r="D2167" t="inlineStr">
        <is>
          <t>NovAge Ecollagen Wrinkle Smoothing Day Cream SPF 15</t>
        </is>
      </c>
      <c r="E2167" s="2">
        <f>HYPERLINK("https://www.amazon.com/NovAge-Ecollagen-Wrinkle-Smoothing-Cream/dp/B01M6XD2OR/ref=sr_1_4?keywords=Wrinkle+Smoothing+Day+Cream+SPF+23&amp;qid=1695170977&amp;sr=8-4", "https://www.amazon.com/NovAge-Ecollagen-Wrinkle-Smoothing-Cream/dp/B01M6XD2OR/ref=sr_1_4?keywords=Wrinkle+Smoothing+Day+Cream+SPF+23&amp;qid=1695170977&amp;sr=8-4")</f>
        <v/>
      </c>
      <c r="F2167" t="inlineStr">
        <is>
          <t>B01M6XD2OR</t>
        </is>
      </c>
      <c r="G2167">
        <f>_xludf.IMAGE("https://shiseido.ipscdn.net/sa2/dw/image/v2/BBSK_PRD/on/demandware.static/-/Sites-itemmaster_shiseido/default/dwfcc128db/images/2022/July/Top25/0730852149519_4.jpg?sw=540&amp;sh=540&amp;sm=fit")</f>
        <v/>
      </c>
      <c r="H2167">
        <f>_xludf.IMAGE("https://m.media-amazon.com/images/I/41ZmzHxaxdS._AC_UL320_.jpg")</f>
        <v/>
      </c>
      <c r="K2167" t="inlineStr">
        <is>
          <t>75.0</t>
        </is>
      </c>
      <c r="L2167" t="n">
        <v>45</v>
      </c>
      <c r="M2167" s="1" t="inlineStr">
        <is>
          <t>-40.00%</t>
        </is>
      </c>
      <c r="N2167" s="3" t="n">
        <v>-40</v>
      </c>
      <c r="O2167" t="n">
        <v>4.2</v>
      </c>
      <c r="P2167" t="n">
        <v>5</v>
      </c>
      <c r="R2167" t="inlineStr">
        <is>
          <t>undefined</t>
        </is>
      </c>
      <c r="S2167" t="inlineStr">
        <is>
          <t>undefined</t>
        </is>
      </c>
      <c r="T2167" t="inlineStr">
        <is>
          <t>0730852149519</t>
        </is>
      </c>
    </row>
    <row r="2168" hidden="1" ht="15.75" customHeight="1">
      <c r="A2168" s="2">
        <f>HYPERLINK("https://www.shiseido.com/us/en/shiseido-men-face-cleanser-0768614171522.html?cgid=skincare", "https://www.shiseido.com/us/en/shiseido-men-face-cleanser-0768614171522.html?cgid=skincare")</f>
        <v/>
      </c>
      <c r="B2168" s="2">
        <f>HYPERLINK("https://www.shiseido.com/us/en/shiseido-men-face-cleanser-0768614171522.html", "https://www.shiseido.com/us/en/shiseido-men-face-cleanser-0768614171522.html")</f>
        <v/>
      </c>
      <c r="C2168" t="inlineStr">
        <is>
          <t>Face Cleanser</t>
        </is>
      </c>
      <c r="D2168" t="inlineStr">
        <is>
          <t>CeraVe Hydrating Facial Cleanser | Moisturizing Non-Foaming Face Wash with Hyaluronic Acid, Ceramides and Glycerin | Fragrance Free Paraben Free | 16 Fluid Ounce</t>
        </is>
      </c>
      <c r="E2168" s="2">
        <f>HYPERLINK("https://www.amazon.com/CeraVe-Hydrating-Facial-Cleanser-Fragrance/dp/B01MSSDEPK/ref=sr_1_2?keywords=Face+Cleanser&amp;qid=1695170967&amp;sr=8-2", "https://www.amazon.com/CeraVe-Hydrating-Facial-Cleanser-Fragrance/dp/B01MSSDEPK/ref=sr_1_2?keywords=Face+Cleanser&amp;qid=1695170967&amp;sr=8-2")</f>
        <v/>
      </c>
      <c r="F2168" t="inlineStr">
        <is>
          <t>B01MSSDEPK</t>
        </is>
      </c>
      <c r="G2168">
        <f>_xludf.IMAGE("https://shiseido.ipscdn.net/sa2/dw/image/v2/BBSK_PRD/on/demandware.static/-/Sites-itemmaster_shiseido/default/dwfb3ba7fa/images/2021/January/men/0768614171522_6.jpg?sw=540&amp;sh=540&amp;sm=fit")</f>
        <v/>
      </c>
      <c r="H2168">
        <f>_xludf.IMAGE("https://m.media-amazon.com/images/I/51DbQev1thL._AC_UL320_.jpg")</f>
        <v/>
      </c>
      <c r="K2168" t="inlineStr">
        <is>
          <t>25.0</t>
        </is>
      </c>
      <c r="L2168" t="n">
        <v>14.57</v>
      </c>
      <c r="M2168" s="1" t="inlineStr">
        <is>
          <t>-41.72%</t>
        </is>
      </c>
      <c r="N2168" s="3" t="n">
        <v>-41.72</v>
      </c>
      <c r="O2168" t="n">
        <v>4.7</v>
      </c>
      <c r="P2168" t="n">
        <v>106913</v>
      </c>
      <c r="R2168" t="inlineStr">
        <is>
          <t>undefined</t>
        </is>
      </c>
      <c r="S2168" t="inlineStr">
        <is>
          <t>undefined</t>
        </is>
      </c>
      <c r="T2168" t="inlineStr">
        <is>
          <t>0768614171522</t>
        </is>
      </c>
    </row>
    <row r="2169" hidden="1" ht="15.75" customHeight="1">
      <c r="A2169" s="2">
        <f>HYPERLINK("https://www.shiseido.com/us/en/ultimune-power-infusing-serum-9990000000213.html?cgid=skincare", "https://www.shiseido.com/us/en/ultimune-power-infusing-serum-9990000000213.html?cgid=skincare")</f>
        <v/>
      </c>
      <c r="B2169" s="2">
        <f>HYPERLINK("https://www.shiseido.com/us/en/ultimune-power-infusing-serum-9990000000213.html", "https://www.shiseido.com/us/en/ultimune-power-infusing-serum-9990000000213.html")</f>
        <v/>
      </c>
      <c r="C2169" t="inlineStr">
        <is>
          <t>Power Infusing Serum</t>
        </is>
      </c>
      <c r="D2169" t="inlineStr">
        <is>
          <t>Shiseido Ultimune Power Infusing Concentrate - Antioxidant Anti-Aging Face Serum - Boosts Radiance, Increases Hydration &amp; Improves Visible Signs of Aging</t>
        </is>
      </c>
      <c r="E2169" s="2">
        <f>HYPERLINK("https://www.amazon.com/Shiseido-Ultimune-Power-Infusing-Concentrate/dp/B00MNF6EWI/ref=sr_1_1?keywords=Power+Infusing+Serum&amp;qid=1695170973&amp;sr=8-1", "https://www.amazon.com/Shiseido-Ultimune-Power-Infusing-Concentrate/dp/B00MNF6EWI/ref=sr_1_1?keywords=Power+Infusing+Serum&amp;qid=1695170973&amp;sr=8-1")</f>
        <v/>
      </c>
      <c r="F2169" t="inlineStr">
        <is>
          <t>B00MNF6EWI</t>
        </is>
      </c>
      <c r="G2169">
        <f>_xludf.IMAGE("https://shiseido.ipscdn.net/sa2/dw/image/v2/BBSK_PRD/on/demandware.static/-/Sites-itemmaster_shiseido/default/dwe2a7f45d/images/2023/April/Seals/0730852172852_75ml_Seal_1.jpg?sw=540&amp;sh=540&amp;sm=fit")</f>
        <v/>
      </c>
      <c r="H2169">
        <f>_xludf.IMAGE("https://m.media-amazon.com/images/I/61nbxyZlYaL._AC_UL320_.jpg")</f>
        <v/>
      </c>
      <c r="K2169" t="inlineStr">
        <is>
          <t>140.0</t>
        </is>
      </c>
      <c r="L2169" t="n">
        <v>75</v>
      </c>
      <c r="M2169" s="1" t="inlineStr">
        <is>
          <t>-46.43%</t>
        </is>
      </c>
      <c r="N2169" s="3" t="n">
        <v>-46.43</v>
      </c>
      <c r="O2169" t="n">
        <v>4.5</v>
      </c>
      <c r="P2169" t="n">
        <v>270</v>
      </c>
      <c r="R2169" t="inlineStr">
        <is>
          <t>undefined</t>
        </is>
      </c>
      <c r="S2169" t="inlineStr">
        <is>
          <t>undefined</t>
        </is>
      </c>
      <c r="T2169" t="inlineStr">
        <is>
          <t>0730852172852</t>
        </is>
      </c>
    </row>
    <row r="2170" hidden="1" ht="15.75" customHeight="1">
      <c r="A2170" s="2">
        <f>HYPERLINK("https://www.shiseido.com/us/en/shiseido-men-energizing-moisturizer-0729238171541.html?cgid=skincare", "https://www.shiseido.com/us/en/shiseido-men-energizing-moisturizer-0729238171541.html?cgid=skincare")</f>
        <v/>
      </c>
      <c r="B2170" s="2">
        <f>HYPERLINK("https://www.shiseido.com/us/en/shiseido-men-energizing-moisturizer-0729238171541.html", "https://www.shiseido.com/us/en/shiseido-men-energizing-moisturizer-0729238171541.html")</f>
        <v/>
      </c>
      <c r="C2170" t="inlineStr">
        <is>
          <t>Energizing Moisturizer</t>
        </is>
      </c>
      <c r="D2170" t="inlineStr">
        <is>
          <t>The Body Shop Guarana and Coffee Energizing Moisturizer For Men, 3.3 Fl Oz</t>
        </is>
      </c>
      <c r="E2170" s="2">
        <f>HYPERLINK("https://www.amazon.com/Body-Shop-Guarana-Energizing-Moisturizer/dp/B07BKFFGWB/ref=sr_1_6?keywords=Energizing+Moisturizer&amp;qid=1695170969&amp;sr=8-6", "https://www.amazon.com/Body-Shop-Guarana-Energizing-Moisturizer/dp/B07BKFFGWB/ref=sr_1_6?keywords=Energizing+Moisturizer&amp;qid=1695170969&amp;sr=8-6")</f>
        <v/>
      </c>
      <c r="F2170" t="inlineStr">
        <is>
          <t>B07BKFFGWB</t>
        </is>
      </c>
      <c r="G2170">
        <f>_xludf.IMAGE("https://shiseido.ipscdn.net/sa2/dw/image/v2/BBSK_PRD/on/demandware.static/-/Sites-itemmaster_shiseido/default/dw557544f0/images/2021/January/men/0729238171541_1.jpg?sw=540&amp;sh=540&amp;sm=fit")</f>
        <v/>
      </c>
      <c r="H2170">
        <f>_xludf.IMAGE("https://m.media-amazon.com/images/I/61AmrLZ3nxL._AC_UL320_.jpg")</f>
        <v/>
      </c>
      <c r="K2170" t="inlineStr">
        <is>
          <t>38.0</t>
        </is>
      </c>
      <c r="L2170" t="n">
        <v>20</v>
      </c>
      <c r="M2170" s="1" t="inlineStr">
        <is>
          <t>-47.37%</t>
        </is>
      </c>
      <c r="N2170" s="3" t="n">
        <v>-47.37</v>
      </c>
      <c r="O2170" t="n">
        <v>4.6</v>
      </c>
      <c r="P2170" t="n">
        <v>319</v>
      </c>
      <c r="R2170" t="inlineStr">
        <is>
          <t>undefined</t>
        </is>
      </c>
      <c r="S2170" t="inlineStr">
        <is>
          <t>undefined</t>
        </is>
      </c>
      <c r="T2170" t="inlineStr">
        <is>
          <t>0729238171541</t>
        </is>
      </c>
    </row>
    <row r="2171" hidden="1" ht="15.75" customHeight="1">
      <c r="A2171" s="2">
        <f>HYPERLINK("https://www.shiseido.com/us/en/future-solution-lx-extra-rich-cleansing-foam-0730852139183.html?cgid=skincare", "https://www.shiseido.com/us/en/future-solution-lx-extra-rich-cleansing-foam-0730852139183.html?cgid=skincare")</f>
        <v/>
      </c>
      <c r="B2171" s="2">
        <f>HYPERLINK("https://www.shiseido.com/us/en/future-solution-lx-extra-rich-cleansing-foam-0730852139183.html", "https://www.shiseido.com/us/en/future-solution-lx-extra-rich-cleansing-foam-0730852139183.html")</f>
        <v/>
      </c>
      <c r="C2171" t="inlineStr">
        <is>
          <t>Extra Rich Cleansing Foam</t>
        </is>
      </c>
      <c r="D2171" t="inlineStr">
        <is>
          <t>The History of Whoo Gongjinhyang Facial Foam Cleanser | Rich &amp; Gentle Foaming Cleanser for Facial Grime &amp; Makeup Removal | Fine &amp; Abundant Foam Bubbles for Mild Cleansing Effect, 180ml</t>
        </is>
      </c>
      <c r="E2171" s="2">
        <f>HYPERLINK("https://www.amazon.com/History-Whoo-Gongjinhyang-Foam-Cleanser/dp/B071NFDP4F/ref=sr_1_8?keywords=Extra+Rich+Cleansing+Foam&amp;qid=1695170969&amp;sr=8-8", "https://www.amazon.com/History-Whoo-Gongjinhyang-Foam-Cleanser/dp/B071NFDP4F/ref=sr_1_8?keywords=Extra+Rich+Cleansing+Foam&amp;qid=1695170969&amp;sr=8-8")</f>
        <v/>
      </c>
      <c r="F2171" t="inlineStr">
        <is>
          <t>B071NFDP4F</t>
        </is>
      </c>
      <c r="G2171">
        <f>_xludf.IMAGE("https://shiseido.ipscdn.net/sa2/dw/image/v2/BBSK_PRD/on/demandware.static/-/Sites-itemmaster_shiseido/default/dw1f83b08c/images/2022/July/Top25/0730852139183_ingredient.jpg?sw=540&amp;sh=540&amp;sm=fit")</f>
        <v/>
      </c>
      <c r="H2171">
        <f>_xludf.IMAGE("https://m.media-amazon.com/images/I/612FECNwSvL._AC_UL320_.jpg")</f>
        <v/>
      </c>
      <c r="K2171" t="inlineStr">
        <is>
          <t>65.0</t>
        </is>
      </c>
      <c r="L2171" t="n">
        <v>28.07</v>
      </c>
      <c r="M2171" s="1" t="inlineStr">
        <is>
          <t>-56.82%</t>
        </is>
      </c>
      <c r="N2171" s="3" t="n">
        <v>-56.82</v>
      </c>
      <c r="O2171" t="n">
        <v>4.3</v>
      </c>
      <c r="P2171" t="n">
        <v>43</v>
      </c>
      <c r="R2171" t="inlineStr">
        <is>
          <t>undefined</t>
        </is>
      </c>
      <c r="S2171" t="inlineStr">
        <is>
          <t>undefined</t>
        </is>
      </c>
      <c r="T2171" t="inlineStr">
        <is>
          <t>0730852139183</t>
        </is>
      </c>
    </row>
    <row r="2172" hidden="1" ht="15.75" customHeight="1">
      <c r="A2172" s="2">
        <f>HYPERLINK("https://www.shiseido.com/us/en/benefiance-wrinkle-smoothing-eye-cream-0768614208570.html?cgid=skincare", "https://www.shiseido.com/us/en/benefiance-wrinkle-smoothing-eye-cream-0768614208570.html?cgid=skincare")</f>
        <v/>
      </c>
      <c r="B2172" s="2">
        <f>HYPERLINK("https://www.shiseido.com/us/en/benefiance-wrinkle-smoothing-eye-cream-0768614208570.html", "https://www.shiseido.com/us/en/benefiance-wrinkle-smoothing-eye-cream-0768614208570.html")</f>
        <v/>
      </c>
      <c r="C2172" t="inlineStr">
        <is>
          <t>Wrinkle Smoothing Eye Cream</t>
        </is>
      </c>
      <c r="D2172" t="inlineStr">
        <is>
          <t>TEREZ &amp; HONOR Rapid Anti-Aging Reduction Cream Visibly Reduces Wrinkles, Under-Eye Bags and Dark Circles, Powerfully Tighten and Lifts Tired Skin - 15mL</t>
        </is>
      </c>
      <c r="E2172" s="2">
        <f>HYPERLINK("https://www.amazon.com/TEREZ-HONOR-Anti-Aging-Reduction-Powerfully/dp/B0C7DV3Q9S/ref=sr_1_9?keywords=Wrinkle+Smoothing+Eye+Cream&amp;qid=1695170967&amp;sr=8-9", "https://www.amazon.com/TEREZ-HONOR-Anti-Aging-Reduction-Powerfully/dp/B0C7DV3Q9S/ref=sr_1_9?keywords=Wrinkle+Smoothing+Eye+Cream&amp;qid=1695170967&amp;sr=8-9")</f>
        <v/>
      </c>
      <c r="F2172" t="inlineStr">
        <is>
          <t>B0C7DV3Q9S</t>
        </is>
      </c>
      <c r="G2172">
        <f>_xludf.IMAGE("https://shiseido.ipscdn.net/sa2/dw/image/v2/BBSK_PRD/on/demandware.static/-/Sites-itemmaster_shiseido/default/dw4a23473a/images/2023/July/BenefianceEyeCream/0768614208570_1.jpg?sw=540&amp;sh=540&amp;sm=fit")</f>
        <v/>
      </c>
      <c r="H2172">
        <f>_xludf.IMAGE("https://m.media-amazon.com/images/I/81VhnWLOSqL._AC_UL320_.jpg")</f>
        <v/>
      </c>
      <c r="K2172" t="inlineStr">
        <is>
          <t>65.0</t>
        </is>
      </c>
      <c r="L2172" t="n">
        <v>27.97</v>
      </c>
      <c r="M2172" s="1" t="inlineStr">
        <is>
          <t>-56.97%</t>
        </is>
      </c>
      <c r="N2172" s="3" t="n">
        <v>-56.97</v>
      </c>
      <c r="O2172" t="n">
        <v>4.5</v>
      </c>
      <c r="P2172" t="n">
        <v>102</v>
      </c>
      <c r="R2172" t="inlineStr">
        <is>
          <t>undefined</t>
        </is>
      </c>
      <c r="S2172" t="inlineStr">
        <is>
          <t>undefined</t>
        </is>
      </c>
      <c r="T2172" t="inlineStr">
        <is>
          <t>0768614208570</t>
        </is>
      </c>
    </row>
    <row r="2173" hidden="1" ht="15.75" customHeight="1">
      <c r="A2173" s="2">
        <f>HYPERLINK("https://www.shiseido.com/us/en/future-solution-lx-extra-rich-cleansing-foam-0730852139183.html?cgid=skincare", "https://www.shiseido.com/us/en/future-solution-lx-extra-rich-cleansing-foam-0730852139183.html?cgid=skincare")</f>
        <v/>
      </c>
      <c r="B2173" s="2">
        <f>HYPERLINK("https://www.shiseido.com/us/en/future-solution-lx-extra-rich-cleansing-foam-0730852139183.html", "https://www.shiseido.com/us/en/future-solution-lx-extra-rich-cleansing-foam-0730852139183.html")</f>
        <v/>
      </c>
      <c r="C2173" t="inlineStr">
        <is>
          <t>Extra Rich Cleansing Foam</t>
        </is>
      </c>
      <c r="D2173" t="inlineStr">
        <is>
          <t>Orbis U Face Wash | Anti-Aging Hydrating Gentle Facial Cleanser, Daily Face Wash, Rich Lather Cleansing Foam, Detox and Brightening Foaming Cleanser (4.2 oz)</t>
        </is>
      </c>
      <c r="E2173" s="2">
        <f>HYPERLINK("https://www.amazon.com/Anti-Aging-Hydrating-Cleanser-Cleansing-Brightening/dp/B09TXNPZGR/ref=sr_1_5?keywords=Extra+Rich+Cleansing+Foam&amp;qid=1695170969&amp;sr=8-5", "https://www.amazon.com/Anti-Aging-Hydrating-Cleanser-Cleansing-Brightening/dp/B09TXNPZGR/ref=sr_1_5?keywords=Extra+Rich+Cleansing+Foam&amp;qid=1695170969&amp;sr=8-5")</f>
        <v/>
      </c>
      <c r="F2173" t="inlineStr">
        <is>
          <t>B09TXNPZGR</t>
        </is>
      </c>
      <c r="G2173">
        <f>_xludf.IMAGE("https://shiseido.ipscdn.net/sa2/dw/image/v2/BBSK_PRD/on/demandware.static/-/Sites-itemmaster_shiseido/default/dw1f83b08c/images/2022/July/Top25/0730852139183_ingredient.jpg?sw=540&amp;sh=540&amp;sm=fit")</f>
        <v/>
      </c>
      <c r="H2173">
        <f>_xludf.IMAGE("https://m.media-amazon.com/images/I/31UF1GSHd3L._AC_UL320_.jpg")</f>
        <v/>
      </c>
      <c r="K2173" t="inlineStr">
        <is>
          <t>65.0</t>
        </is>
      </c>
      <c r="L2173" t="n">
        <v>27</v>
      </c>
      <c r="M2173" s="1" t="inlineStr">
        <is>
          <t>-58.46%</t>
        </is>
      </c>
      <c r="N2173" s="3" t="n">
        <v>-58.46</v>
      </c>
      <c r="O2173" t="n">
        <v>4.3</v>
      </c>
      <c r="P2173" t="n">
        <v>157</v>
      </c>
      <c r="R2173" t="inlineStr">
        <is>
          <t>undefined</t>
        </is>
      </c>
      <c r="S2173" t="inlineStr">
        <is>
          <t>undefined</t>
        </is>
      </c>
      <c r="T2173" t="inlineStr">
        <is>
          <t>0730852139183</t>
        </is>
      </c>
    </row>
    <row r="2174" hidden="1" ht="15.75" customHeight="1">
      <c r="A2174" s="2">
        <f>HYPERLINK("https://www.shiseido.com/us/en/benefiance-wrinkle-smoothing-eye-cream-0768614208570.html?cgid=skincare", "https://www.shiseido.com/us/en/benefiance-wrinkle-smoothing-eye-cream-0768614208570.html?cgid=skincare")</f>
        <v/>
      </c>
      <c r="B2174" s="2">
        <f>HYPERLINK("https://www.shiseido.com/us/en/benefiance-wrinkle-smoothing-eye-cream-0768614208570.html", "https://www.shiseido.com/us/en/benefiance-wrinkle-smoothing-eye-cream-0768614208570.html")</f>
        <v/>
      </c>
      <c r="C2174" t="inlineStr">
        <is>
          <t>Wrinkle Smoothing Eye Cream</t>
        </is>
      </c>
      <c r="D2174" t="inlineStr">
        <is>
          <t>LilyAna Naturals Eye Cream for Dark Circles and Puffiness, Under Eye Cream for Wrinkles and Bags, Anti Aging Eye Cream helps Improve Dryness; for Sensitive Skin - Rosehip and Hibiscus Botanicals - 1.7 oz - Made in USA</t>
        </is>
      </c>
      <c r="E2174" s="2">
        <f>HYPERLINK("https://www.amazon.com/LilyAna-Naturals-Puffiness-Wrinkles-Sensitive/dp/B00LV6VDG2/ref=sr_1_4?keywords=Wrinkle+Smoothing+Eye+Cream&amp;qid=1695170967&amp;rdc=1&amp;sr=8-4", "https://www.amazon.com/LilyAna-Naturals-Puffiness-Wrinkles-Sensitive/dp/B00LV6VDG2/ref=sr_1_4?keywords=Wrinkle+Smoothing+Eye+Cream&amp;qid=1695170967&amp;rdc=1&amp;sr=8-4")</f>
        <v/>
      </c>
      <c r="F2174" t="inlineStr">
        <is>
          <t>B00LV6VDG2</t>
        </is>
      </c>
      <c r="G2174">
        <f>_xludf.IMAGE("https://shiseido.ipscdn.net/sa2/dw/image/v2/BBSK_PRD/on/demandware.static/-/Sites-itemmaster_shiseido/default/dw4a23473a/images/2023/July/BenefianceEyeCream/0768614208570_1.jpg?sw=540&amp;sh=540&amp;sm=fit")</f>
        <v/>
      </c>
      <c r="H2174">
        <f>_xludf.IMAGE("https://m.media-amazon.com/images/I/612J3KUbRbL._AC_UL320_.jpg")</f>
        <v/>
      </c>
      <c r="K2174" t="inlineStr">
        <is>
          <t>65.0</t>
        </is>
      </c>
      <c r="L2174" t="n">
        <v>25.01</v>
      </c>
      <c r="M2174" s="1" t="inlineStr">
        <is>
          <t>-61.52%</t>
        </is>
      </c>
      <c r="N2174" s="3" t="n">
        <v>-61.52</v>
      </c>
      <c r="O2174" t="n">
        <v>4.2</v>
      </c>
      <c r="P2174" t="n">
        <v>32648</v>
      </c>
      <c r="R2174" t="inlineStr">
        <is>
          <t>undefined</t>
        </is>
      </c>
      <c r="S2174" t="inlineStr">
        <is>
          <t>undefined</t>
        </is>
      </c>
      <c r="T2174" t="inlineStr">
        <is>
          <t>0768614208570</t>
        </is>
      </c>
    </row>
    <row r="2175" hidden="1" ht="15.75" customHeight="1">
      <c r="A2175" s="2">
        <f>HYPERLINK("https://www.shiseido.com/us/en/future-solution-lx-extra-rich-cleansing-foam-0730852139183.html?cgid=skincare", "https://www.shiseido.com/us/en/future-solution-lx-extra-rich-cleansing-foam-0730852139183.html?cgid=skincare")</f>
        <v/>
      </c>
      <c r="B2175" s="2">
        <f>HYPERLINK("https://www.shiseido.com/us/en/future-solution-lx-extra-rich-cleansing-foam-0730852139183.html", "https://www.shiseido.com/us/en/future-solution-lx-extra-rich-cleansing-foam-0730852139183.html")</f>
        <v/>
      </c>
      <c r="C2175" t="inlineStr">
        <is>
          <t>Extra Rich Cleansing Foam</t>
        </is>
      </c>
      <c r="D2175" t="inlineStr">
        <is>
          <t>Primera Natural Rich Cleansing Foam 150ml</t>
        </is>
      </c>
      <c r="E2175" s="2">
        <f>HYPERLINK("https://www.amazon.com/Primera-Natural-Rich-Cleansing-150ml/dp/B01IEPYH6K/ref=sr_1_2?keywords=Extra+Rich+Cleansing+Foam&amp;qid=1695170969&amp;sr=8-2", "https://www.amazon.com/Primera-Natural-Rich-Cleansing-150ml/dp/B01IEPYH6K/ref=sr_1_2?keywords=Extra+Rich+Cleansing+Foam&amp;qid=1695170969&amp;sr=8-2")</f>
        <v/>
      </c>
      <c r="F2175" t="inlineStr">
        <is>
          <t>B01IEPYH6K</t>
        </is>
      </c>
      <c r="G2175">
        <f>_xludf.IMAGE("https://shiseido.ipscdn.net/sa2/dw/image/v2/BBSK_PRD/on/demandware.static/-/Sites-itemmaster_shiseido/default/dw1f83b08c/images/2022/July/Top25/0730852139183_ingredient.jpg?sw=540&amp;sh=540&amp;sm=fit")</f>
        <v/>
      </c>
      <c r="H2175">
        <f>_xludf.IMAGE("https://m.media-amazon.com/images/I/51of9zsnGsL._AC_UL320_.jpg")</f>
        <v/>
      </c>
      <c r="K2175" t="inlineStr">
        <is>
          <t>65.0</t>
        </is>
      </c>
      <c r="L2175" t="n">
        <v>24.76</v>
      </c>
      <c r="M2175" s="1" t="inlineStr">
        <is>
          <t>-61.91%</t>
        </is>
      </c>
      <c r="N2175" s="3" t="n">
        <v>-61.91</v>
      </c>
      <c r="O2175" t="n">
        <v>4.5</v>
      </c>
      <c r="P2175" t="n">
        <v>64</v>
      </c>
      <c r="R2175" t="inlineStr">
        <is>
          <t>undefined</t>
        </is>
      </c>
      <c r="S2175" t="inlineStr">
        <is>
          <t>undefined</t>
        </is>
      </c>
      <c r="T2175" t="inlineStr">
        <is>
          <t>0730852139183</t>
        </is>
      </c>
    </row>
    <row r="2176" hidden="1" ht="15.75" customHeight="1">
      <c r="A2176" s="2">
        <f>HYPERLINK("https://www.shiseido.com/us/en/shiseido-men-face-cleanser-0768614171522.html?cgid=skincare", "https://www.shiseido.com/us/en/shiseido-men-face-cleanser-0768614171522.html?cgid=skincare")</f>
        <v/>
      </c>
      <c r="B2176" s="2">
        <f>HYPERLINK("https://www.shiseido.com/us/en/shiseido-men-face-cleanser-0768614171522.html", "https://www.shiseido.com/us/en/shiseido-men-face-cleanser-0768614171522.html")</f>
        <v/>
      </c>
      <c r="C2176" t="inlineStr">
        <is>
          <t>Face Cleanser</t>
        </is>
      </c>
      <c r="D2176" t="inlineStr">
        <is>
          <t>Amazon Aware Balancing Face Cleanser with Arnica &amp; Calendula Extracts, Vegan, Formulated without Fragrance, Dermatologist Tested, Oily to Combination Skin, 5.8 fl oz</t>
        </is>
      </c>
      <c r="E2176" s="2" t="n"/>
      <c r="F2176" t="inlineStr">
        <is>
          <t>B09G5J56WJ</t>
        </is>
      </c>
      <c r="G2176">
        <f>_xludf.IMAGE("https://shiseido.ipscdn.net/sa2/dw/image/v2/BBSK_PRD/on/demandware.static/-/Sites-itemmaster_shiseido/default/dwfb3ba7fa/images/2021/January/men/0768614171522_6.jpg?sw=540&amp;sh=540&amp;sm=fit")</f>
        <v/>
      </c>
      <c r="H2176">
        <f>_xludf.IMAGE("https://m.media-amazon.com/images/I/51XD+E0dXaL._AC_UL320_.jpg")</f>
        <v/>
      </c>
      <c r="K2176" t="inlineStr">
        <is>
          <t>25.0</t>
        </is>
      </c>
      <c r="L2176" t="n">
        <v>8.44</v>
      </c>
      <c r="M2176" s="1" t="inlineStr">
        <is>
          <t>-66.24%</t>
        </is>
      </c>
      <c r="N2176" s="3" t="n">
        <v>-66.23999999999999</v>
      </c>
      <c r="O2176" t="n">
        <v>4.1</v>
      </c>
      <c r="P2176" t="n">
        <v>185</v>
      </c>
      <c r="R2176" t="inlineStr">
        <is>
          <t>undefined</t>
        </is>
      </c>
      <c r="S2176" t="inlineStr">
        <is>
          <t>undefined</t>
        </is>
      </c>
      <c r="T2176" t="inlineStr">
        <is>
          <t>0768614171522</t>
        </is>
      </c>
    </row>
    <row r="2177" hidden="1" ht="15.75" customHeight="1">
      <c r="A2177" s="2">
        <f>HYPERLINK("https://www.shiseido.com/us/en/essential-energy-hydrating-cream-refill-0729238182868.html?cgid=skincare", "https://www.shiseido.com/us/en/essential-energy-hydrating-cream-refill-0729238182868.html?cgid=skincare")</f>
        <v/>
      </c>
      <c r="B2177" s="2">
        <f>HYPERLINK("https://www.shiseido.com/us/en/essential-energy-hydrating-cream-refill-0729238182868.html", "https://www.shiseido.com/us/en/essential-energy-hydrating-cream-refill-0729238182868.html")</f>
        <v/>
      </c>
      <c r="C2177" t="inlineStr">
        <is>
          <t>Hydrating Cream Refill</t>
        </is>
      </c>
      <c r="D2177" t="inlineStr">
        <is>
          <t>Rituals The Ritual of Namaste Natural Hydrating Body Cream Refill 8.5 Fl Oz, 8.5 fl. oz.</t>
        </is>
      </c>
      <c r="E2177" s="2">
        <f>HYPERLINK("https://www.amazon.com/RITUALS-Ritual-Namaste-Natural-Hydrating/dp/B08L9RMYFP/ref=sr_1_4?keywords=Hydrating+Cream+Refill&amp;qid=1695170970&amp;sr=8-4", "https://www.amazon.com/RITUALS-Ritual-Namaste-Natural-Hydrating/dp/B08L9RMYFP/ref=sr_1_4?keywords=Hydrating+Cream+Refill&amp;qid=1695170970&amp;sr=8-4")</f>
        <v/>
      </c>
      <c r="F2177" t="inlineStr">
        <is>
          <t>B08L9RMYFP</t>
        </is>
      </c>
      <c r="G2177">
        <f>_xludf.IMAGE("https://shiseido.ipscdn.net/sa2/dw/image/v2/BBSK_PRD/on/demandware.static/-/Sites-itemmaster_shiseido/default/dw6b79172b/images/2021/December/Essential Energy/0729238182868_5.jpg?sw=540&amp;sh=540&amp;sm=fit")</f>
        <v/>
      </c>
      <c r="H2177">
        <f>_xludf.IMAGE("https://m.media-amazon.com/images/I/71vdO5CPyqL._AC_UL320_.jpg")</f>
        <v/>
      </c>
      <c r="K2177" t="inlineStr">
        <is>
          <t>39.0</t>
        </is>
      </c>
      <c r="L2177" t="n">
        <v>12.25</v>
      </c>
      <c r="M2177" s="1" t="inlineStr">
        <is>
          <t>-68.59%</t>
        </is>
      </c>
      <c r="N2177" s="3" t="n">
        <v>-68.59</v>
      </c>
      <c r="O2177" t="n">
        <v>5</v>
      </c>
      <c r="P2177" t="n">
        <v>3</v>
      </c>
      <c r="R2177" t="inlineStr">
        <is>
          <t>undefined</t>
        </is>
      </c>
      <c r="S2177" t="inlineStr">
        <is>
          <t>undefined</t>
        </is>
      </c>
      <c r="T2177" t="inlineStr">
        <is>
          <t>0729238182868</t>
        </is>
      </c>
    </row>
    <row r="2178" hidden="1" ht="15.75" customHeight="1">
      <c r="A2178" s="2">
        <f>HYPERLINK("https://www.shiseido.com/us/en/benefiance-wrinkle-smoothing-eye-cream-0768614208570.html?cgid=skincare", "https://www.shiseido.com/us/en/benefiance-wrinkle-smoothing-eye-cream-0768614208570.html?cgid=skincare")</f>
        <v/>
      </c>
      <c r="B2178" s="2">
        <f>HYPERLINK("https://www.shiseido.com/us/en/benefiance-wrinkle-smoothing-eye-cream-0768614208570.html", "https://www.shiseido.com/us/en/benefiance-wrinkle-smoothing-eye-cream-0768614208570.html")</f>
        <v/>
      </c>
      <c r="C2178" t="inlineStr">
        <is>
          <t>Wrinkle Smoothing Eye Cream</t>
        </is>
      </c>
      <c r="D2178" t="inlineStr">
        <is>
          <t>RoC Retinol Correxion Under Eye Cream for Dark Circles &amp; Puffiness, Daily Wrinkle Cream, Anti Aging Line Smoothing Skin Care Treatment 0.5 oz (Packaging May Vary)</t>
        </is>
      </c>
      <c r="E2178" s="2">
        <f>HYPERLINK("https://www.amazon.com/RoC-Correxion-Anti-Aging-Treatment-Puffiness/dp/B0009RFB76/ref=sr_1_2?keywords=Wrinkle+Smoothing+Eye+Cream&amp;qid=1695170967&amp;sr=8-2", "https://www.amazon.com/RoC-Correxion-Anti-Aging-Treatment-Puffiness/dp/B0009RFB76/ref=sr_1_2?keywords=Wrinkle+Smoothing+Eye+Cream&amp;qid=1695170967&amp;sr=8-2")</f>
        <v/>
      </c>
      <c r="F2178" t="inlineStr">
        <is>
          <t>B0009RFB76</t>
        </is>
      </c>
      <c r="G2178">
        <f>_xludf.IMAGE("https://shiseido.ipscdn.net/sa2/dw/image/v2/BBSK_PRD/on/demandware.static/-/Sites-itemmaster_shiseido/default/dw4a23473a/images/2023/July/BenefianceEyeCream/0768614208570_1.jpg?sw=540&amp;sh=540&amp;sm=fit")</f>
        <v/>
      </c>
      <c r="H2178">
        <f>_xludf.IMAGE("https://m.media-amazon.com/images/I/71ZNzCBk+CL._AC_UL320_.jpg")</f>
        <v/>
      </c>
      <c r="K2178" t="inlineStr">
        <is>
          <t>65.0</t>
        </is>
      </c>
      <c r="L2178" t="n">
        <v>17.99</v>
      </c>
      <c r="M2178" s="1" t="inlineStr">
        <is>
          <t>-72.32%</t>
        </is>
      </c>
      <c r="N2178" s="3" t="n">
        <v>-72.31999999999999</v>
      </c>
      <c r="O2178" t="n">
        <v>4.3</v>
      </c>
      <c r="P2178" t="n">
        <v>26844</v>
      </c>
      <c r="R2178" t="inlineStr">
        <is>
          <t>undefined</t>
        </is>
      </c>
      <c r="S2178" t="inlineStr">
        <is>
          <t>undefined</t>
        </is>
      </c>
      <c r="T2178" t="inlineStr">
        <is>
          <t>0768614208570</t>
        </is>
      </c>
    </row>
    <row r="2179" hidden="1" ht="15.75" customHeight="1">
      <c r="A2179" s="2">
        <f>HYPERLINK("https://www.shiseido.com/us/en/benefiance-wrinkle-smoothing-contour-serum-0730852155800.html?cgid=skincare", "https://www.shiseido.com/us/en/benefiance-wrinkle-smoothing-contour-serum-0730852155800.html?cgid=skincare")</f>
        <v/>
      </c>
      <c r="B2179" s="2">
        <f>HYPERLINK("https://www.shiseido.com/us/en/benefiance-wrinkle-smoothing-contour-serum-0730852155800.html", "https://www.shiseido.com/us/en/benefiance-wrinkle-smoothing-contour-serum-0730852155800.html")</f>
        <v/>
      </c>
      <c r="C2179" t="inlineStr">
        <is>
          <t>Wrinkle Smoothing Contour Serum</t>
        </is>
      </c>
      <c r="D2179" t="inlineStr">
        <is>
          <t>BodyVerde Ten Hour Tight Wrinkle Smoothing Serum, All Natural Anti Aging Serum, Wrinkle Filler Powered by Plants for an Instant Facelift, Visibly Firms &amp; Tightens, Works in Minutes, 1oz</t>
        </is>
      </c>
      <c r="E2179" s="2">
        <f>HYPERLINK("https://www.amazon.com/BodyVerde-Tight-Wrinkle-smoothing-serum/dp/B0070R3M92/ref=sr_1_4?keywords=Wrinkle+Smoothing+Contour+Serum&amp;qid=1695170969&amp;sr=8-4", "https://www.amazon.com/BodyVerde-Tight-Wrinkle-smoothing-serum/dp/B0070R3M92/ref=sr_1_4?keywords=Wrinkle+Smoothing+Contour+Serum&amp;qid=1695170969&amp;sr=8-4")</f>
        <v/>
      </c>
      <c r="F2179" t="inlineStr">
        <is>
          <t>B0070R3M92</t>
        </is>
      </c>
      <c r="G2179">
        <f>_xludf.IMAGE("https://shiseido.ipscdn.net/sa2/dw/image/v2/BBSK_PRD/on/demandware.static/-/Sites-itemmaster_shiseido/default/dw26cf71b0/images/hi-res/0730852155800_main.jpg?sw=540&amp;sh=540&amp;sm=fit")</f>
        <v/>
      </c>
      <c r="H2179">
        <f>_xludf.IMAGE("https://m.media-amazon.com/images/I/51mE-HqYMvL._AC_UL320_.jpg")</f>
        <v/>
      </c>
      <c r="K2179" t="inlineStr">
        <is>
          <t>75.0</t>
        </is>
      </c>
      <c r="L2179" t="n">
        <v>19.44</v>
      </c>
      <c r="M2179" s="1" t="inlineStr">
        <is>
          <t>-74.08%</t>
        </is>
      </c>
      <c r="N2179" s="3" t="n">
        <v>-74.08</v>
      </c>
      <c r="O2179" t="n">
        <v>3.2</v>
      </c>
      <c r="P2179" t="n">
        <v>70</v>
      </c>
      <c r="R2179" t="inlineStr">
        <is>
          <t>undefined</t>
        </is>
      </c>
      <c r="S2179" t="inlineStr">
        <is>
          <t>undefined</t>
        </is>
      </c>
      <c r="T2179" t="inlineStr">
        <is>
          <t>0730852155800</t>
        </is>
      </c>
    </row>
    <row r="2180" hidden="1" ht="15.75" customHeight="1">
      <c r="A2180" s="2">
        <f>HYPERLINK("https://www.shiseido.com/us/en/benefiance-wrinkle-smoothing-eye-cream-0768614208570.html?cgid=skincare", "https://www.shiseido.com/us/en/benefiance-wrinkle-smoothing-eye-cream-0768614208570.html?cgid=skincare")</f>
        <v/>
      </c>
      <c r="B2180" s="2">
        <f>HYPERLINK("https://www.shiseido.com/us/en/benefiance-wrinkle-smoothing-eye-cream-0768614208570.html", "https://www.shiseido.com/us/en/benefiance-wrinkle-smoothing-eye-cream-0768614208570.html")</f>
        <v/>
      </c>
      <c r="C2180" t="inlineStr">
        <is>
          <t>Wrinkle Smoothing Eye Cream</t>
        </is>
      </c>
      <c r="D2180" t="inlineStr">
        <is>
          <t>L'Oreal Paris Revitalift Triple Power Anti-Aging Eye Cream, Pro Retinol, Hyaluronic Acid &amp; Vitamin C, Reduce Wrinkles &amp; Puffiness 0.5 fl. oz.</t>
        </is>
      </c>
      <c r="E2180" s="2">
        <f>HYPERLINK("https://www.amazon.com/LOreal-Paris-Revitalift-Anti-Aging-Hyaluronic/dp/B008CT12G2/ref=sr_1_8?keywords=Wrinkle+Smoothing+Eye+Cream&amp;qid=1695170967&amp;sr=8-8", "https://www.amazon.com/LOreal-Paris-Revitalift-Anti-Aging-Hyaluronic/dp/B008CT12G2/ref=sr_1_8?keywords=Wrinkle+Smoothing+Eye+Cream&amp;qid=1695170967&amp;sr=8-8")</f>
        <v/>
      </c>
      <c r="F2180" t="inlineStr">
        <is>
          <t>B008CT12G2</t>
        </is>
      </c>
      <c r="G2180">
        <f>_xludf.IMAGE("https://shiseido.ipscdn.net/sa2/dw/image/v2/BBSK_PRD/on/demandware.static/-/Sites-itemmaster_shiseido/default/dw4a23473a/images/2023/July/BenefianceEyeCream/0768614208570_1.jpg?sw=540&amp;sh=540&amp;sm=fit")</f>
        <v/>
      </c>
      <c r="H2180">
        <f>_xludf.IMAGE("https://m.media-amazon.com/images/I/71ZsMpgeVaL._AC_UL320_.jpg")</f>
        <v/>
      </c>
      <c r="K2180" t="inlineStr">
        <is>
          <t>65.0</t>
        </is>
      </c>
      <c r="L2180" t="n">
        <v>15.72</v>
      </c>
      <c r="M2180" s="1" t="inlineStr">
        <is>
          <t>-75.82%</t>
        </is>
      </c>
      <c r="N2180" s="3" t="n">
        <v>-75.81999999999999</v>
      </c>
      <c r="O2180" t="n">
        <v>4.3</v>
      </c>
      <c r="P2180" t="n">
        <v>9973</v>
      </c>
      <c r="R2180" t="inlineStr">
        <is>
          <t>undefined</t>
        </is>
      </c>
      <c r="S2180" t="inlineStr">
        <is>
          <t>undefined</t>
        </is>
      </c>
      <c r="T2180" t="inlineStr">
        <is>
          <t>0768614208570</t>
        </is>
      </c>
    </row>
    <row r="2181" hidden="1" ht="15.75" customHeight="1">
      <c r="A2181" s="2">
        <f>HYPERLINK("https://www.shiseido.com/us/en/future-solution-lx-extra-rich-cleansing-foam-0730852139183.html?cgid=skincare", "https://www.shiseido.com/us/en/future-solution-lx-extra-rich-cleansing-foam-0730852139183.html?cgid=skincare")</f>
        <v/>
      </c>
      <c r="B2181" s="2">
        <f>HYPERLINK("https://www.shiseido.com/us/en/future-solution-lx-extra-rich-cleansing-foam-0730852139183.html", "https://www.shiseido.com/us/en/future-solution-lx-extra-rich-cleansing-foam-0730852139183.html")</f>
        <v/>
      </c>
      <c r="C2181" t="inlineStr">
        <is>
          <t>Extra Rich Cleansing Foam</t>
        </is>
      </c>
      <c r="D2181" t="inlineStr">
        <is>
          <t>[the SAEM] Healing Tea Garden Green Tea Cleansing Foam 150ml - Mild Moisturizing Facial Foam with Rich Bubble, Moisturizing, Purifying for All Skin Types</t>
        </is>
      </c>
      <c r="E2181" s="2">
        <f>HYPERLINK("https://www.amazon.com/Healing-Garden-Green-Cleansing-150ml/dp/B0722K46VM/ref=sr_1_6?keywords=Extra+Rich+Cleansing+Foam&amp;qid=1695170969&amp;sr=8-6", "https://www.amazon.com/Healing-Garden-Green-Cleansing-150ml/dp/B0722K46VM/ref=sr_1_6?keywords=Extra+Rich+Cleansing+Foam&amp;qid=1695170969&amp;sr=8-6")</f>
        <v/>
      </c>
      <c r="F2181" t="inlineStr">
        <is>
          <t>B0722K46VM</t>
        </is>
      </c>
      <c r="G2181">
        <f>_xludf.IMAGE("https://shiseido.ipscdn.net/sa2/dw/image/v2/BBSK_PRD/on/demandware.static/-/Sites-itemmaster_shiseido/default/dw1f83b08c/images/2022/July/Top25/0730852139183_ingredient.jpg?sw=540&amp;sh=540&amp;sm=fit")</f>
        <v/>
      </c>
      <c r="H2181">
        <f>_xludf.IMAGE("https://m.media-amazon.com/images/I/51mt+gIklkL._AC_UL320_.jpg")</f>
        <v/>
      </c>
      <c r="K2181" t="inlineStr">
        <is>
          <t>65.0</t>
        </is>
      </c>
      <c r="L2181" t="n">
        <v>12</v>
      </c>
      <c r="M2181" s="1" t="inlineStr">
        <is>
          <t>-81.54%</t>
        </is>
      </c>
      <c r="N2181" s="3" t="n">
        <v>-81.54000000000001</v>
      </c>
      <c r="O2181" t="n">
        <v>4.4</v>
      </c>
      <c r="P2181" t="n">
        <v>27</v>
      </c>
      <c r="R2181" t="inlineStr">
        <is>
          <t>undefined</t>
        </is>
      </c>
      <c r="S2181" t="inlineStr">
        <is>
          <t>undefined</t>
        </is>
      </c>
      <c r="T2181" t="inlineStr">
        <is>
          <t>0730852139183</t>
        </is>
      </c>
    </row>
    <row r="2182" hidden="1" ht="15.75" customHeight="1">
      <c r="A2182" s="2">
        <f>HYPERLINK("https://www.shiseido.com/us/en/future-solution-lx-extra-rich-cleansing-foam-0730852139183.html?cgid=skincare", "https://www.shiseido.com/us/en/future-solution-lx-extra-rich-cleansing-foam-0730852139183.html?cgid=skincare")</f>
        <v/>
      </c>
      <c r="B2182" s="2">
        <f>HYPERLINK("https://www.shiseido.com/us/en/future-solution-lx-extra-rich-cleansing-foam-0730852139183.html", "https://www.shiseido.com/us/en/future-solution-lx-extra-rich-cleansing-foam-0730852139183.html")</f>
        <v/>
      </c>
      <c r="C2182" t="inlineStr">
        <is>
          <t>Extra Rich Cleansing Foam</t>
        </is>
      </c>
      <c r="D2182" t="inlineStr">
        <is>
          <t>Sulwhasoo Gentle Cleansing Foam: Nutrient-rich Lather for Skin Comforting Pore Cleansing</t>
        </is>
      </c>
      <c r="E2182" s="2">
        <f>HYPERLINK("https://www.amazon.com/Sulwhasoo-Gentle-Cleansing-Foam-Nutrient-rich/dp/B09NY6L8GZ/ref=sr_1_3?keywords=Extra+Rich+Cleansing+Foam&amp;qid=1695170969&amp;sr=8-3", "https://www.amazon.com/Sulwhasoo-Gentle-Cleansing-Foam-Nutrient-rich/dp/B09NY6L8GZ/ref=sr_1_3?keywords=Extra+Rich+Cleansing+Foam&amp;qid=1695170969&amp;sr=8-3")</f>
        <v/>
      </c>
      <c r="F2182" t="inlineStr">
        <is>
          <t>B09NY6L8GZ</t>
        </is>
      </c>
      <c r="G2182">
        <f>_xludf.IMAGE("https://shiseido.ipscdn.net/sa2/dw/image/v2/BBSK_PRD/on/demandware.static/-/Sites-itemmaster_shiseido/default/dw1f83b08c/images/2022/July/Top25/0730852139183_ingredient.jpg?sw=540&amp;sh=540&amp;sm=fit")</f>
        <v/>
      </c>
      <c r="H2182">
        <f>_xludf.IMAGE("https://m.media-amazon.com/images/I/41fPgUznxbL._AC_UL320_.jpg")</f>
        <v/>
      </c>
      <c r="K2182" t="inlineStr">
        <is>
          <t>65.0</t>
        </is>
      </c>
      <c r="L2182" t="n">
        <v>12</v>
      </c>
      <c r="M2182" s="1" t="inlineStr">
        <is>
          <t>-81.54%</t>
        </is>
      </c>
      <c r="N2182" s="3" t="n">
        <v>-81.54000000000001</v>
      </c>
      <c r="O2182" t="n">
        <v>4.5</v>
      </c>
      <c r="P2182" t="n">
        <v>785</v>
      </c>
      <c r="R2182" t="inlineStr">
        <is>
          <t>undefined</t>
        </is>
      </c>
      <c r="S2182" t="inlineStr">
        <is>
          <t>undefined</t>
        </is>
      </c>
      <c r="T2182" t="inlineStr">
        <is>
          <t>0730852139183</t>
        </is>
      </c>
    </row>
    <row r="2183" hidden="1" ht="15.75" customHeight="1">
      <c r="A2183" s="2">
        <f>HYPERLINK("https://www.shiseido.com/us/en/benefiance-wrinkle-smoothing-eye-cream-0768614208570.html?cgid=skincare", "https://www.shiseido.com/us/en/benefiance-wrinkle-smoothing-eye-cream-0768614208570.html?cgid=skincare")</f>
        <v/>
      </c>
      <c r="B2183" s="2">
        <f>HYPERLINK("https://www.shiseido.com/us/en/benefiance-wrinkle-smoothing-eye-cream-0768614208570.html", "https://www.shiseido.com/us/en/benefiance-wrinkle-smoothing-eye-cream-0768614208570.html")</f>
        <v/>
      </c>
      <c r="C2183" t="inlineStr">
        <is>
          <t>Wrinkle Smoothing Eye Cream</t>
        </is>
      </c>
      <c r="D2183" t="inlineStr">
        <is>
          <t>L'Oreal Paris Wrinkle Expert 55+ Anti-Wrinkle Eye Cream with Calcium, Reduce Crow's feet 1.7 fl. Oz</t>
        </is>
      </c>
      <c r="E2183" s="2">
        <f>HYPERLINK("https://www.amazon.com/Wrinkle-Expert-55-Anti-Wrinkle-Eye/dp/B07577L71W/ref=sr_1_7?keywords=Wrinkle+Smoothing+Eye+Cream&amp;qid=1695170967&amp;sr=8-7", "https://www.amazon.com/Wrinkle-Expert-55-Anti-Wrinkle-Eye/dp/B07577L71W/ref=sr_1_7?keywords=Wrinkle+Smoothing+Eye+Cream&amp;qid=1695170967&amp;sr=8-7")</f>
        <v/>
      </c>
      <c r="F2183" t="inlineStr">
        <is>
          <t>B07577L71W</t>
        </is>
      </c>
      <c r="G2183">
        <f>_xludf.IMAGE("https://shiseido.ipscdn.net/sa2/dw/image/v2/BBSK_PRD/on/demandware.static/-/Sites-itemmaster_shiseido/default/dw4a23473a/images/2023/July/BenefianceEyeCream/0768614208570_1.jpg?sw=540&amp;sh=540&amp;sm=fit")</f>
        <v/>
      </c>
      <c r="H2183">
        <f>_xludf.IMAGE("https://m.media-amazon.com/images/I/51mT0DSMAhL._AC_UL320_.jpg")</f>
        <v/>
      </c>
      <c r="K2183" t="inlineStr">
        <is>
          <t>65.0</t>
        </is>
      </c>
      <c r="L2183" t="n">
        <v>8.98</v>
      </c>
      <c r="M2183" s="1" t="inlineStr">
        <is>
          <t>-86.18%</t>
        </is>
      </c>
      <c r="N2183" s="3" t="n">
        <v>-86.18000000000001</v>
      </c>
      <c r="O2183" t="n">
        <v>4.5</v>
      </c>
      <c r="P2183" t="n">
        <v>1170</v>
      </c>
      <c r="R2183" t="inlineStr">
        <is>
          <t>undefined</t>
        </is>
      </c>
      <c r="S2183" t="inlineStr">
        <is>
          <t>undefined</t>
        </is>
      </c>
      <c r="T2183" t="inlineStr">
        <is>
          <t>0768614208570</t>
        </is>
      </c>
    </row>
    <row r="2184" hidden="1" ht="15.75" customHeight="1">
      <c r="A2184" s="2">
        <f>HYPERLINK("https://www.shiseido.com/us/en/future-solution-lx-extra-rich-cleansing-foam-0730852139183.html?cgid=skincare", "https://www.shiseido.com/us/en/future-solution-lx-extra-rich-cleansing-foam-0730852139183.html?cgid=skincare")</f>
        <v/>
      </c>
      <c r="B2184" s="2">
        <f>HYPERLINK("https://www.shiseido.com/us/en/future-solution-lx-extra-rich-cleansing-foam-0730852139183.html", "https://www.shiseido.com/us/en/future-solution-lx-extra-rich-cleansing-foam-0730852139183.html")</f>
        <v/>
      </c>
      <c r="C2184" t="inlineStr">
        <is>
          <t>Extra Rich Cleansing Foam</t>
        </is>
      </c>
      <c r="D2184" t="inlineStr">
        <is>
          <t>Face Foam Maker, Face Wash Foamer Maker, Facial Cleansing Foam Maker, Portable Cleanser Foam Maker Cup, Rich Foam Maker for Face Wash, Facial Cleanser Accessories</t>
        </is>
      </c>
      <c r="E2184" s="2">
        <f>HYPERLINK("https://www.amazon.com/Foamer-Cleansing-Portable-Cleanser-Accessories/dp/B0B3MJWVFY/ref=sr_1_9?keywords=Extra+Rich+Cleansing+Foam&amp;qid=1695170969&amp;sr=8-9", "https://www.amazon.com/Foamer-Cleansing-Portable-Cleanser-Accessories/dp/B0B3MJWVFY/ref=sr_1_9?keywords=Extra+Rich+Cleansing+Foam&amp;qid=1695170969&amp;sr=8-9")</f>
        <v/>
      </c>
      <c r="F2184" t="inlineStr">
        <is>
          <t>B0B3MJWVFY</t>
        </is>
      </c>
      <c r="G2184">
        <f>_xludf.IMAGE("https://shiseido.ipscdn.net/sa2/dw/image/v2/BBSK_PRD/on/demandware.static/-/Sites-itemmaster_shiseido/default/dw1f83b08c/images/2022/July/Top25/0730852139183_ingredient.jpg?sw=540&amp;sh=540&amp;sm=fit")</f>
        <v/>
      </c>
      <c r="H2184">
        <f>_xludf.IMAGE("https://m.media-amazon.com/images/I/61OciCER3GL._AC_UL320_.jpg")</f>
        <v/>
      </c>
      <c r="K2184" t="inlineStr">
        <is>
          <t>65.0</t>
        </is>
      </c>
      <c r="L2184" t="n">
        <v>6.99</v>
      </c>
      <c r="M2184" s="1" t="inlineStr">
        <is>
          <t>-89.25%</t>
        </is>
      </c>
      <c r="N2184" s="3" t="n">
        <v>-89.25</v>
      </c>
      <c r="O2184" t="n">
        <v>3.4</v>
      </c>
      <c r="P2184" t="n">
        <v>2</v>
      </c>
      <c r="R2184" t="inlineStr">
        <is>
          <t>undefined</t>
        </is>
      </c>
      <c r="S2184" t="inlineStr">
        <is>
          <t>undefined</t>
        </is>
      </c>
      <c r="T2184" t="inlineStr">
        <is>
          <t>0730852139183</t>
        </is>
      </c>
    </row>
    <row r="2185" hidden="1" ht="15.75" customHeight="1">
      <c r="A2185" s="2">
        <f>HYPERLINK("https://www.shiseido.com/us/en/future-solution-lx-extra-rich-cleansing-foam-0730852139183.html?cgid=skincare", "https://www.shiseido.com/us/en/future-solution-lx-extra-rich-cleansing-foam-0730852139183.html?cgid=skincare")</f>
        <v/>
      </c>
      <c r="B2185" s="2">
        <f>HYPERLINK("https://www.shiseido.com/us/en/future-solution-lx-extra-rich-cleansing-foam-0730852139183.html", "https://www.shiseido.com/us/en/future-solution-lx-extra-rich-cleansing-foam-0730852139183.html")</f>
        <v/>
      </c>
      <c r="C2185" t="inlineStr">
        <is>
          <t>Extra Rich Cleansing Foam</t>
        </is>
      </c>
      <c r="D2185" t="inlineStr">
        <is>
          <t>Eioflia Face Cleanser Bubble Maker Face Cleanser Foamer Makeup Wash Bubble Maker Travel Household Rich Foam Maker Cup Facial Cleansing Tool Skin Care Pink</t>
        </is>
      </c>
      <c r="E2185" s="2">
        <f>HYPERLINK("https://www.amazon.com/Eioflia-Cleanser-Bubble-Household-Cleansing/dp/B0BGY2MJQD/ref=sr_1_10?keywords=Extra+Rich+Cleansing+Foam&amp;qid=1695170969&amp;sr=8-10", "https://www.amazon.com/Eioflia-Cleanser-Bubble-Household-Cleansing/dp/B0BGY2MJQD/ref=sr_1_10?keywords=Extra+Rich+Cleansing+Foam&amp;qid=1695170969&amp;sr=8-10")</f>
        <v/>
      </c>
      <c r="F2185" t="inlineStr">
        <is>
          <t>B0BGY2MJQD</t>
        </is>
      </c>
      <c r="G2185">
        <f>_xludf.IMAGE("https://shiseido.ipscdn.net/sa2/dw/image/v2/BBSK_PRD/on/demandware.static/-/Sites-itemmaster_shiseido/default/dw1f83b08c/images/2022/July/Top25/0730852139183_ingredient.jpg?sw=540&amp;sh=540&amp;sm=fit")</f>
        <v/>
      </c>
      <c r="H2185">
        <f>_xludf.IMAGE("https://m.media-amazon.com/images/I/415C6NXpfDL._AC_UL320_.jpg")</f>
        <v/>
      </c>
      <c r="K2185" t="inlineStr">
        <is>
          <t>65.0</t>
        </is>
      </c>
      <c r="L2185" t="n">
        <v>5.29</v>
      </c>
      <c r="M2185" s="1" t="inlineStr">
        <is>
          <t>-91.86%</t>
        </is>
      </c>
      <c r="N2185" s="3" t="n">
        <v>-91.86</v>
      </c>
      <c r="O2185" t="n">
        <v>3.5</v>
      </c>
      <c r="P2185" t="n">
        <v>3</v>
      </c>
      <c r="R2185" t="inlineStr">
        <is>
          <t>undefined</t>
        </is>
      </c>
      <c r="S2185" t="inlineStr">
        <is>
          <t>undefined</t>
        </is>
      </c>
      <c r="T2185" t="inlineStr">
        <is>
          <t>0730852139183</t>
        </is>
      </c>
    </row>
    <row r="2186" ht="75" customHeight="1">
      <c r="A2186" s="2">
        <f>HYPERLINK("https://www.shopflamingo.com/en/us/products/head-to-toe-wax/", "https://www.shopflamingo.com/en/us/products/head-to-toe-wax/")</f>
        <v/>
      </c>
      <c r="B2186" t="inlineStr">
        <is>
          <t>undefined</t>
        </is>
      </c>
      <c r="C2186" t="inlineStr">
        <is>
          <t>Head to Toe Wax</t>
        </is>
      </c>
      <c r="D2186" t="inlineStr">
        <is>
          <t>Braun IPL Long-lasting Hair Removal System for Women and Men, NEW Silk Expert Pro 5 PL5347, Head-to-toe Usage, for Body &amp; Face, Alternative to Salon Laser Hair Removal, With 3 Extra Caps</t>
        </is>
      </c>
      <c r="E2186" s="2">
        <f>HYPERLINK("https://www.amazon.com/Braun-Permanent-Removal-Cleared-Alternative/dp/B09WQRVPYP/ref=sr_1_4?keywords=Head+to+Toe+Wax&amp;qid=1695170989&amp;sr=8-4", "https://www.amazon.com/Braun-Permanent-Removal-Cleared-Alternative/dp/B09WQRVPYP/ref=sr_1_4?keywords=Head+to+Toe+Wax&amp;qid=1695170989&amp;sr=8-4")</f>
        <v/>
      </c>
      <c r="F2186" t="inlineStr">
        <is>
          <t>B09WQRVPYP</t>
        </is>
      </c>
      <c r="G2186">
        <f>_xlfn.IMAGE("https://www.datocms-assets.com/37225/1660253282-pdp_head-to-toe-wax_mediagallery_01.jpg?auto=compress%2Cformat&amp;dpr=0.49&amp;w=2049")</f>
        <v/>
      </c>
      <c r="H2186">
        <f>_xlfn.IMAGE("https://m.media-amazon.com/images/I/71vOrU05Q3L._AC_UL320_.jpg")</f>
        <v/>
      </c>
      <c r="K2186" t="inlineStr">
        <is>
          <t>19.0</t>
        </is>
      </c>
      <c r="L2186" t="n">
        <v>429.99</v>
      </c>
      <c r="M2186" s="1" t="inlineStr">
        <is>
          <t>2,163.11%</t>
        </is>
      </c>
      <c r="N2186" s="5" t="n">
        <v>2163.11</v>
      </c>
      <c r="O2186" t="n">
        <v>4.2</v>
      </c>
      <c r="P2186" t="n">
        <v>470</v>
      </c>
      <c r="R2186" t="inlineStr">
        <is>
          <t>undefined</t>
        </is>
      </c>
      <c r="S2186" t="inlineStr">
        <is>
          <t>undefined</t>
        </is>
      </c>
      <c r="T2186" t="inlineStr">
        <is>
          <t>undefined</t>
        </is>
      </c>
    </row>
    <row r="2187" ht="75" customHeight="1">
      <c r="A2187" s="2">
        <f>HYPERLINK("https://www.shopflamingo.com/en/us/products/pubic-hair-wax-kit/", "https://www.shopflamingo.com/en/us/products/pubic-hair-wax-kit/")</f>
        <v/>
      </c>
      <c r="B2187" t="inlineStr">
        <is>
          <t>undefined</t>
        </is>
      </c>
      <c r="C2187" t="inlineStr">
        <is>
          <t>Pubic Hair Wax Kit</t>
        </is>
      </c>
      <c r="D2187" t="inlineStr">
        <is>
          <t>Clean + Easy Waxing Spa Full Service Kit, Roll On Warmer, Hair Removal Wax Cartridges, Pre and Post Treatments, Waxing Strips, and Accessories, (120V)</t>
        </is>
      </c>
      <c r="E2187" s="2" t="n"/>
      <c r="F2187" t="inlineStr">
        <is>
          <t>B0016FWAJC</t>
        </is>
      </c>
      <c r="G2187">
        <f>_xlfn.IMAGE("https://www.datocms-assets.com/37225/1660255627-pdp_pubicwaxkit-1ct_mediagallery_01.jpg?auto=compress%2Cformat&amp;dpr=0.49&amp;w=2049")</f>
        <v/>
      </c>
      <c r="H2187">
        <f>_xlfn.IMAGE("https://m.media-amazon.com/images/I/61gi7OrFhUL._AC_UL320_.jpg")</f>
        <v/>
      </c>
      <c r="K2187" t="inlineStr">
        <is>
          <t>10.0</t>
        </is>
      </c>
      <c r="L2187" t="n">
        <v>179.95</v>
      </c>
      <c r="M2187" s="1" t="inlineStr">
        <is>
          <t>1,699.50%</t>
        </is>
      </c>
      <c r="N2187" s="5" t="n">
        <v>1699.5</v>
      </c>
      <c r="O2187" t="n">
        <v>4.3</v>
      </c>
      <c r="P2187" t="n">
        <v>897</v>
      </c>
      <c r="R2187" t="inlineStr">
        <is>
          <t>undefined</t>
        </is>
      </c>
      <c r="S2187" t="inlineStr">
        <is>
          <t>undefined</t>
        </is>
      </c>
      <c r="T2187" t="inlineStr">
        <is>
          <t>undefined</t>
        </is>
      </c>
    </row>
    <row r="2188" ht="75" customHeight="1">
      <c r="A2188" s="2">
        <f>HYPERLINK("https://www.shopflamingo.com/en/us/products/razor/", "https://www.shopflamingo.com/en/us/products/razor/")</f>
        <v/>
      </c>
      <c r="B2188" t="inlineStr">
        <is>
          <t>undefined</t>
        </is>
      </c>
      <c r="C2188" t="inlineStr">
        <is>
          <t>Razor</t>
        </is>
      </c>
      <c r="D2188" t="inlineStr">
        <is>
          <t>Schick Hydro Sensitive Razor for Men — Razor for Men Sensitive Skin with 17 Razor Blades</t>
        </is>
      </c>
      <c r="E2188" s="2" t="n"/>
      <c r="F2188" t="inlineStr">
        <is>
          <t>B07YT557MW</t>
        </is>
      </c>
      <c r="G2188">
        <f>_xlfn.IMAGE("https://www.datocms-assets.com/37225/1663080530-pdp_allure_razor_lilac_mediagallery_01.jpg?auto=compress%2Cformat&amp;dpr=0.49&amp;w=2049")</f>
        <v/>
      </c>
      <c r="H2188">
        <f>_xlfn.IMAGE("https://m.media-amazon.com/images/I/91fkhsuEayL._AC_UL320_.jpg")</f>
        <v/>
      </c>
      <c r="K2188" t="inlineStr">
        <is>
          <t>8.0</t>
        </is>
      </c>
      <c r="L2188" t="n">
        <v>40.51</v>
      </c>
      <c r="M2188" s="1" t="inlineStr">
        <is>
          <t>406.38%</t>
        </is>
      </c>
      <c r="N2188" s="3" t="n">
        <v>406.38</v>
      </c>
      <c r="O2188" t="n">
        <v>4.6</v>
      </c>
      <c r="P2188" t="n">
        <v>9909</v>
      </c>
      <c r="R2188" t="inlineStr">
        <is>
          <t>undefined</t>
        </is>
      </c>
      <c r="S2188" t="inlineStr">
        <is>
          <t>undefined</t>
        </is>
      </c>
      <c r="T2188" t="inlineStr">
        <is>
          <t>undefined</t>
        </is>
      </c>
    </row>
    <row r="2189" ht="75" customHeight="1">
      <c r="A2189" s="2">
        <f>HYPERLINK("https://www.shopflamingo.com/en/us/products/pubic-hair-wax-kit/", "https://www.shopflamingo.com/en/us/products/pubic-hair-wax-kit/")</f>
        <v/>
      </c>
      <c r="B2189" t="inlineStr">
        <is>
          <t>undefined</t>
        </is>
      </c>
      <c r="C2189" t="inlineStr">
        <is>
          <t>Pubic Hair Wax Kit</t>
        </is>
      </c>
      <c r="D2189" t="inlineStr">
        <is>
          <t>DELEXI All-in-one At Home Waxing Kit for Women +5 Pack Salon Quality Hard Wax Beads +Silicone Wax Kit Accessories + Hot Wax Melt Warmer for Hair Removal For Brows, Bikini, Legs &amp; Sensitive skin</t>
        </is>
      </c>
      <c r="E2189" s="2" t="n"/>
      <c r="F2189" t="inlineStr">
        <is>
          <t>B09WKS4M1W</t>
        </is>
      </c>
      <c r="G2189">
        <f>_xlfn.IMAGE("https://www.datocms-assets.com/37225/1660255627-pdp_pubicwaxkit-1ct_mediagallery_01.jpg?auto=compress%2Cformat&amp;dpr=0.49&amp;w=2049")</f>
        <v/>
      </c>
      <c r="H2189">
        <f>_xlfn.IMAGE("https://m.media-amazon.com/images/I/81CEija3LwL._AC_UL320_.jpg")</f>
        <v/>
      </c>
      <c r="K2189" t="inlineStr">
        <is>
          <t>10.0</t>
        </is>
      </c>
      <c r="L2189" t="n">
        <v>39.99</v>
      </c>
      <c r="M2189" s="1" t="inlineStr">
        <is>
          <t>299.90%</t>
        </is>
      </c>
      <c r="N2189" s="3" t="n">
        <v>299.9</v>
      </c>
      <c r="O2189" t="n">
        <v>4.6</v>
      </c>
      <c r="P2189" t="n">
        <v>3016</v>
      </c>
      <c r="R2189" t="inlineStr">
        <is>
          <t>undefined</t>
        </is>
      </c>
      <c r="S2189" t="inlineStr">
        <is>
          <t>undefined</t>
        </is>
      </c>
      <c r="T2189" t="inlineStr">
        <is>
          <t>undefined</t>
        </is>
      </c>
    </row>
    <row r="2190" ht="75" customHeight="1">
      <c r="A2190" s="2">
        <f>HYPERLINK("https://www.shopflamingo.com/en/us/products/deep-nourishing-cream/", "https://www.shopflamingo.com/en/us/products/deep-nourishing-cream/")</f>
        <v/>
      </c>
      <c r="B2190" t="inlineStr">
        <is>
          <t>undefined</t>
        </is>
      </c>
      <c r="C2190" t="inlineStr">
        <is>
          <t>Deep Nourishing Cream</t>
        </is>
      </c>
      <c r="D2190" t="inlineStr">
        <is>
          <t>Rosacea Care Night Cream - Nourishing, deep moisturizer for rosacea skin (1.2 Oz)</t>
        </is>
      </c>
      <c r="E2190" s="2">
        <f>HYPERLINK("https://www.amazon.com/Rosacea-Care-Night-Cream-moisturizer/dp/B00QSSHM5Y/ref=sr_1_5?keywords=Deep+Nourishing+Cream&amp;qid=1695170995&amp;sr=8-5", "https://www.amazon.com/Rosacea-Care-Night-Cream-moisturizer/dp/B00QSSHM5Y/ref=sr_1_5?keywords=Deep+Nourishing+Cream&amp;qid=1695170995&amp;sr=8-5")</f>
        <v/>
      </c>
      <c r="F2190" t="inlineStr">
        <is>
          <t>B00QSSHM5Y</t>
        </is>
      </c>
      <c r="G2190">
        <f>_xlfn.IMAGE("https://www.datocms-assets.com/37225/1663087101-pdp_allure_deep-nourishing-cream_mediagallery_01.jpg?auto=compress%2Cformat&amp;dpr=0.49&amp;w=2049")</f>
        <v/>
      </c>
      <c r="H2190">
        <f>_xlfn.IMAGE("https://m.media-amazon.com/images/I/41wPH6whzmL._AC_UL320_.jpg")</f>
        <v/>
      </c>
      <c r="K2190" t="inlineStr">
        <is>
          <t>10.0</t>
        </is>
      </c>
      <c r="L2190" t="n">
        <v>39.5</v>
      </c>
      <c r="M2190" s="1" t="inlineStr">
        <is>
          <t>295.00%</t>
        </is>
      </c>
      <c r="N2190" s="3" t="n">
        <v>295</v>
      </c>
      <c r="O2190" t="n">
        <v>4.2</v>
      </c>
      <c r="P2190" t="n">
        <v>78</v>
      </c>
      <c r="R2190" t="inlineStr">
        <is>
          <t>undefined</t>
        </is>
      </c>
      <c r="S2190" t="inlineStr">
        <is>
          <t>undefined</t>
        </is>
      </c>
      <c r="T2190" t="inlineStr">
        <is>
          <t>undefined</t>
        </is>
      </c>
    </row>
    <row r="2191" ht="75" customHeight="1">
      <c r="A2191" s="2">
        <f>HYPERLINK("https://www.shopflamingo.com/en/us/products/pubic-hair-wax-kit/", "https://www.shopflamingo.com/en/us/products/pubic-hair-wax-kit/")</f>
        <v/>
      </c>
      <c r="B2191" t="inlineStr">
        <is>
          <t>undefined</t>
        </is>
      </c>
      <c r="C2191" t="inlineStr">
        <is>
          <t>Pubic Hair Wax Kit</t>
        </is>
      </c>
      <c r="D2191" t="inlineStr">
        <is>
          <t>WAX BEAR Self Waxing Kit for Women,Touch Screen Display Wax Machine with 4 bags/17.6oz Hard Wax Beans For Sensitive Skin Hard Wax Kit for Hair Removal</t>
        </is>
      </c>
      <c r="E2191" s="2" t="n"/>
      <c r="F2191" t="inlineStr">
        <is>
          <t>B09FJWBZMF</t>
        </is>
      </c>
      <c r="G2191">
        <f>_xlfn.IMAGE("https://www.datocms-assets.com/37225/1660255627-pdp_pubicwaxkit-1ct_mediagallery_01.jpg?auto=compress%2Cformat&amp;dpr=0.49&amp;w=2049")</f>
        <v/>
      </c>
      <c r="H2191">
        <f>_xlfn.IMAGE("https://m.media-amazon.com/images/I/71hVP-sCykL._AC_UL320_.jpg")</f>
        <v/>
      </c>
      <c r="K2191" t="inlineStr">
        <is>
          <t>10.0</t>
        </is>
      </c>
      <c r="L2191" t="n">
        <v>35.99</v>
      </c>
      <c r="M2191" s="1" t="inlineStr">
        <is>
          <t>259.90%</t>
        </is>
      </c>
      <c r="N2191" s="3" t="n">
        <v>259.9</v>
      </c>
      <c r="O2191" t="n">
        <v>4.3</v>
      </c>
      <c r="P2191" t="n">
        <v>454</v>
      </c>
      <c r="R2191" t="inlineStr">
        <is>
          <t>undefined</t>
        </is>
      </c>
      <c r="S2191" t="inlineStr">
        <is>
          <t>undefined</t>
        </is>
      </c>
      <c r="T2191" t="inlineStr">
        <is>
          <t>undefined</t>
        </is>
      </c>
    </row>
    <row r="2192" ht="75" customHeight="1">
      <c r="A2192" s="2">
        <f>HYPERLINK("https://www.shopflamingo.com/en/us/products/razor/", "https://www.shopflamingo.com/en/us/products/razor/")</f>
        <v/>
      </c>
      <c r="B2192" t="inlineStr">
        <is>
          <t>undefined</t>
        </is>
      </c>
      <c r="C2192" t="inlineStr">
        <is>
          <t>Razor</t>
        </is>
      </c>
      <c r="D2192" t="inlineStr">
        <is>
          <t>Gillette Fusion5 Power Razor Blade Refills, 8 Count, Lubrastrip for a More Comfortable Shave,Gillette Fusion 5 Blades Refills, Gillette Razors for Men, Gillette Fusion 5, Razor Blades for Men</t>
        </is>
      </c>
      <c r="E2192" s="2" t="n"/>
      <c r="F2192" t="inlineStr">
        <is>
          <t>B004B8F8MM</t>
        </is>
      </c>
      <c r="G2192">
        <f>_xlfn.IMAGE("https://www.datocms-assets.com/37225/1663080530-pdp_allure_razor_lilac_mediagallery_01.jpg?auto=compress%2Cformat&amp;dpr=0.49&amp;w=2049")</f>
        <v/>
      </c>
      <c r="H2192">
        <f>_xlfn.IMAGE("https://m.media-amazon.com/images/I/81lT+a3GB-L._AC_UL320_.jpg")</f>
        <v/>
      </c>
      <c r="K2192" t="inlineStr">
        <is>
          <t>8.0</t>
        </is>
      </c>
      <c r="L2192" t="n">
        <v>28.24</v>
      </c>
      <c r="M2192" s="1" t="inlineStr">
        <is>
          <t>253.00%</t>
        </is>
      </c>
      <c r="N2192" s="3" t="n">
        <v>253</v>
      </c>
      <c r="O2192" t="n">
        <v>4.7</v>
      </c>
      <c r="P2192" t="n">
        <v>51161</v>
      </c>
      <c r="R2192" t="inlineStr">
        <is>
          <t>undefined</t>
        </is>
      </c>
      <c r="S2192" t="inlineStr">
        <is>
          <t>undefined</t>
        </is>
      </c>
      <c r="T2192" t="inlineStr">
        <is>
          <t>undefined</t>
        </is>
      </c>
    </row>
    <row r="2193" ht="75" customHeight="1">
      <c r="A2193" s="2">
        <f>HYPERLINK("https://www.shopflamingo.com/en/us/products/pubic-hair-wax-kit/", "https://www.shopflamingo.com/en/us/products/pubic-hair-wax-kit/")</f>
        <v/>
      </c>
      <c r="B2193" t="inlineStr">
        <is>
          <t>undefined</t>
        </is>
      </c>
      <c r="C2193" t="inlineStr">
        <is>
          <t>Pubic Hair Wax Kit</t>
        </is>
      </c>
      <c r="D2193" t="inlineStr">
        <is>
          <t>Lifestance Waxing Kit- L2 Digital Wax Warmer Hair Removal Machine- 4 Packs of Wax Beads(14.1 oz total) with 42 Items- Wax Pots Professional for All Hair Types- Eyebrow- Facial- Bikini</t>
        </is>
      </c>
      <c r="E2193" s="2">
        <f>HYPERLINK("https://www.amazon.com/Lifestance-Removal-Depilatory-Brazilian-Lavender/dp/B07QKWFDHC/ref=sr_1_3?keywords=Pubic+Hair+Wax+Kit&amp;qid=1695170990&amp;sr=8-3", "https://www.amazon.com/Lifestance-Removal-Depilatory-Brazilian-Lavender/dp/B07QKWFDHC/ref=sr_1_3?keywords=Pubic+Hair+Wax+Kit&amp;qid=1695170990&amp;sr=8-3")</f>
        <v/>
      </c>
      <c r="F2193" t="inlineStr">
        <is>
          <t>B07QKWFDHC</t>
        </is>
      </c>
      <c r="G2193">
        <f>_xlfn.IMAGE("https://www.datocms-assets.com/37225/1660255627-pdp_pubicwaxkit-1ct_mediagallery_01.jpg?auto=compress%2Cformat&amp;dpr=0.49&amp;w=2049")</f>
        <v/>
      </c>
      <c r="H2193">
        <f>_xlfn.IMAGE("https://m.media-amazon.com/images/I/81QXnUkXwFL._AC_UL320_.jpg")</f>
        <v/>
      </c>
      <c r="K2193" t="inlineStr">
        <is>
          <t>10.0</t>
        </is>
      </c>
      <c r="L2193" t="n">
        <v>33.89</v>
      </c>
      <c r="M2193" s="1" t="inlineStr">
        <is>
          <t>238.90%</t>
        </is>
      </c>
      <c r="N2193" s="3" t="n">
        <v>238.9</v>
      </c>
      <c r="O2193" t="n">
        <v>4.3</v>
      </c>
      <c r="P2193" t="n">
        <v>19865</v>
      </c>
      <c r="R2193" t="inlineStr">
        <is>
          <t>undefined</t>
        </is>
      </c>
      <c r="S2193" t="inlineStr">
        <is>
          <t>undefined</t>
        </is>
      </c>
      <c r="T2193" t="inlineStr">
        <is>
          <t>undefined</t>
        </is>
      </c>
    </row>
    <row r="2194" ht="75" customHeight="1">
      <c r="A2194" s="2">
        <f>HYPERLINK("https://www.shopflamingo.com/en/us/products/razor/", "https://www.shopflamingo.com/en/us/products/razor/")</f>
        <v/>
      </c>
      <c r="B2194" t="inlineStr">
        <is>
          <t>undefined</t>
        </is>
      </c>
      <c r="C2194" t="inlineStr">
        <is>
          <t>Razor</t>
        </is>
      </c>
      <c r="D2194" t="inlineStr">
        <is>
          <t>Gillette Venus Platinum Extra Smooth Razors for Women, 1 Venus Razor, 4 Razor Blade Refills, Metal Handle with Anti-Slip Grip</t>
        </is>
      </c>
      <c r="E2194" s="2" t="n"/>
      <c r="F2194" t="inlineStr">
        <is>
          <t>B07MRV34KK</t>
        </is>
      </c>
      <c r="G2194">
        <f>_xlfn.IMAGE("https://www.datocms-assets.com/37225/1663080530-pdp_allure_razor_lilac_mediagallery_01.jpg?auto=compress%2Cformat&amp;dpr=0.49&amp;w=2049")</f>
        <v/>
      </c>
      <c r="H2194">
        <f>_xlfn.IMAGE("https://m.media-amazon.com/images/I/81pS7f4FXBL._AC_UL320_.jpg")</f>
        <v/>
      </c>
      <c r="K2194" t="inlineStr">
        <is>
          <t>8.0</t>
        </is>
      </c>
      <c r="L2194" t="n">
        <v>24.99</v>
      </c>
      <c r="M2194" s="1" t="inlineStr">
        <is>
          <t>212.37%</t>
        </is>
      </c>
      <c r="N2194" s="3" t="n">
        <v>212.37</v>
      </c>
      <c r="O2194" t="n">
        <v>4.7</v>
      </c>
      <c r="P2194" t="n">
        <v>9488</v>
      </c>
      <c r="R2194" t="inlineStr">
        <is>
          <t>undefined</t>
        </is>
      </c>
      <c r="S2194" t="inlineStr">
        <is>
          <t>undefined</t>
        </is>
      </c>
      <c r="T2194" t="inlineStr">
        <is>
          <t>undefined</t>
        </is>
      </c>
    </row>
    <row r="2195" ht="75" customHeight="1">
      <c r="A2195" s="2">
        <f>HYPERLINK("https://www.shopflamingo.com/en/us/products/deep-nourishing-cream/", "https://www.shopflamingo.com/en/us/products/deep-nourishing-cream/")</f>
        <v/>
      </c>
      <c r="B2195" t="inlineStr">
        <is>
          <t>undefined</t>
        </is>
      </c>
      <c r="C2195" t="inlineStr">
        <is>
          <t>Deep Nourishing Cream</t>
        </is>
      </c>
      <c r="D2195" t="inlineStr">
        <is>
          <t>Ecoslay Banana Cream Deep Conditioner (16 oz) - Nourishing Hair Mask for Dry, Damaged, Frizzy, and Curly Hair - Plant-Based Deep Conditioning Treatment for Natural and Color Treated Hair</t>
        </is>
      </c>
      <c r="E2195" s="2">
        <f>HYPERLINK("https://www.amazon.com/Ecoslay-Banana-Cream-Deep-Conditioner/dp/B07TGFP87V/ref=sr_1_10?keywords=Deep+Nourishing+Cream&amp;qid=1695170995&amp;sr=8-10", "https://www.amazon.com/Ecoslay-Banana-Cream-Deep-Conditioner/dp/B07TGFP87V/ref=sr_1_10?keywords=Deep+Nourishing+Cream&amp;qid=1695170995&amp;sr=8-10")</f>
        <v/>
      </c>
      <c r="F2195" t="inlineStr">
        <is>
          <t>B07TGFP87V</t>
        </is>
      </c>
      <c r="G2195">
        <f>_xlfn.IMAGE("https://www.datocms-assets.com/37225/1663087101-pdp_allure_deep-nourishing-cream_mediagallery_01.jpg?auto=compress%2Cformat&amp;dpr=0.49&amp;w=2049")</f>
        <v/>
      </c>
      <c r="H2195">
        <f>_xlfn.IMAGE("https://m.media-amazon.com/images/I/71YDfTfNDyL._AC_UL320_.jpg")</f>
        <v/>
      </c>
      <c r="K2195" t="inlineStr">
        <is>
          <t>10.0</t>
        </is>
      </c>
      <c r="L2195" t="n">
        <v>30.6</v>
      </c>
      <c r="M2195" s="1" t="inlineStr">
        <is>
          <t>206.00%</t>
        </is>
      </c>
      <c r="N2195" s="3" t="n">
        <v>206</v>
      </c>
      <c r="O2195" t="n">
        <v>4.4</v>
      </c>
      <c r="P2195" t="n">
        <v>78</v>
      </c>
      <c r="R2195" t="inlineStr">
        <is>
          <t>undefined</t>
        </is>
      </c>
      <c r="S2195" t="inlineStr">
        <is>
          <t>undefined</t>
        </is>
      </c>
      <c r="T2195" t="inlineStr">
        <is>
          <t>undefined</t>
        </is>
      </c>
    </row>
    <row r="2196" ht="75" customHeight="1">
      <c r="A2196" s="2">
        <f>HYPERLINK("https://www.shopflamingo.com/en/us/products/razor/", "https://www.shopflamingo.com/en/us/products/razor/")</f>
        <v/>
      </c>
      <c r="B2196" t="inlineStr">
        <is>
          <t>undefined</t>
        </is>
      </c>
      <c r="C2196" t="inlineStr">
        <is>
          <t>Razor</t>
        </is>
      </c>
      <c r="D2196" t="inlineStr">
        <is>
          <t>Amazon Basics 5-Blade MotionSphere Razor for Men with Dual Lubrication and Precision Trimmer, Handle &amp; 16 Cartridges, Cartridges fit Amazon Basics Razor Handles only, 17 Piece Set, Black</t>
        </is>
      </c>
      <c r="E2196" s="2">
        <f>HYPERLINK("https://www.amazon.com/Amazon-Brand-MotionSphere-Lubrication-Cartridges/dp/B07CZCQ481/ref=sr_1_6?keywords=Razor&amp;qid=1695170989&amp;sr=8-6", "https://www.amazon.com/Amazon-Brand-MotionSphere-Lubrication-Cartridges/dp/B07CZCQ481/ref=sr_1_6?keywords=Razor&amp;qid=1695170989&amp;sr=8-6")</f>
        <v/>
      </c>
      <c r="F2196" t="inlineStr">
        <is>
          <t>B07CZCQ481</t>
        </is>
      </c>
      <c r="G2196">
        <f>_xlfn.IMAGE("https://www.datocms-assets.com/37225/1663080530-pdp_allure_razor_lilac_mediagallery_01.jpg?auto=compress%2Cformat&amp;dpr=0.49&amp;w=2049")</f>
        <v/>
      </c>
      <c r="H2196">
        <f>_xlfn.IMAGE("https://m.media-amazon.com/images/I/81iq2d4qY7L._AC_UL320_.jpg")</f>
        <v/>
      </c>
      <c r="K2196" t="inlineStr">
        <is>
          <t>8.0</t>
        </is>
      </c>
      <c r="L2196" t="n">
        <v>22.79</v>
      </c>
      <c r="M2196" s="1" t="inlineStr">
        <is>
          <t>184.88%</t>
        </is>
      </c>
      <c r="N2196" s="3" t="n">
        <v>184.88</v>
      </c>
      <c r="O2196" t="n">
        <v>4.3</v>
      </c>
      <c r="P2196" t="n">
        <v>59824</v>
      </c>
      <c r="R2196" t="inlineStr">
        <is>
          <t>undefined</t>
        </is>
      </c>
      <c r="S2196" t="inlineStr">
        <is>
          <t>undefined</t>
        </is>
      </c>
      <c r="T2196" t="inlineStr">
        <is>
          <t>undefined</t>
        </is>
      </c>
    </row>
    <row r="2197" ht="75" customHeight="1">
      <c r="A2197" s="2">
        <f>HYPERLINK("https://www.shopflamingo.com/en/us/products/the-face-wax-kit/", "https://www.shopflamingo.com/en/us/products/the-face-wax-kit/")</f>
        <v/>
      </c>
      <c r="B2197" t="inlineStr">
        <is>
          <t>undefined</t>
        </is>
      </c>
      <c r="C2197" t="inlineStr">
        <is>
          <t>Face Wax Kit</t>
        </is>
      </c>
      <c r="D2197" t="inlineStr">
        <is>
          <t>VENNCO Premium Digital Waxing Kit - Wax Melt Warmer Kit For Sensitive Skin Coarse Hair Removal - 14oz Hard Wax Beads &amp; Silicone Liner -For Body Face Leg Bikini Brazilian -Home Waxing Kit For Women Men</t>
        </is>
      </c>
      <c r="E2197" s="2">
        <f>HYPERLINK("https://www.amazon.com/VENNCO-Premium-Digital-Waxing-Kit/dp/B0BXLF5YZG/ref=sr_1_5?keywords=Face+Wax+Kit&amp;qid=1695170990&amp;sr=8-5", "https://www.amazon.com/VENNCO-Premium-Digital-Waxing-Kit/dp/B0BXLF5YZG/ref=sr_1_5?keywords=Face+Wax+Kit&amp;qid=1695170990&amp;sr=8-5")</f>
        <v/>
      </c>
      <c r="F2197" t="inlineStr">
        <is>
          <t>B0BXLF5YZG</t>
        </is>
      </c>
      <c r="G2197">
        <f>_xlfn.IMAGE("https://www.datocms-assets.com/37225/1660253131-pdp_facewaxkit-1ct_mediagallery_01.jpg?auto=compress%2Cformat&amp;dpr=0.49&amp;w=2049")</f>
        <v/>
      </c>
      <c r="H2197">
        <f>_xlfn.IMAGE("https://m.media-amazon.com/images/I/81gE9yd9EoL._AC_UL320_.jpg")</f>
        <v/>
      </c>
      <c r="K2197" t="inlineStr">
        <is>
          <t>10.0</t>
        </is>
      </c>
      <c r="L2197" t="n">
        <v>25.95</v>
      </c>
      <c r="M2197" s="1" t="inlineStr">
        <is>
          <t>159.50%</t>
        </is>
      </c>
      <c r="N2197" s="3" t="n">
        <v>159.5</v>
      </c>
      <c r="O2197" t="n">
        <v>4.7</v>
      </c>
      <c r="P2197" t="n">
        <v>37</v>
      </c>
      <c r="R2197" t="inlineStr">
        <is>
          <t>undefined</t>
        </is>
      </c>
      <c r="S2197" t="inlineStr">
        <is>
          <t>undefined</t>
        </is>
      </c>
      <c r="T2197" t="inlineStr">
        <is>
          <t>undefined</t>
        </is>
      </c>
    </row>
    <row r="2198" ht="75" customHeight="1">
      <c r="A2198" s="2">
        <f>HYPERLINK("https://www.shopflamingo.com/en/us/products/foaming-shave-gel/", "https://www.shopflamingo.com/en/us/products/foaming-shave-gel/")</f>
        <v/>
      </c>
      <c r="B2198" t="inlineStr">
        <is>
          <t>undefined</t>
        </is>
      </c>
      <c r="C2198" t="inlineStr">
        <is>
          <t>Foaming Shave Gel</t>
        </is>
      </c>
      <c r="D2198" t="inlineStr">
        <is>
          <t>Tea Tree Shave Gel, Refreshing Foaming Gel, For All Skin Types 7 oz.</t>
        </is>
      </c>
      <c r="E2198" s="2">
        <f>HYPERLINK("https://www.amazon.com/Tea-Tree-Shave-Gel-oz/dp/B0013YYIEQ/ref=sr_1_5?keywords=Foaming+Shave+Gel&amp;qid=1695170998&amp;sr=8-5", "https://www.amazon.com/Tea-Tree-Shave-Gel-oz/dp/B0013YYIEQ/ref=sr_1_5?keywords=Foaming+Shave+Gel&amp;qid=1695170998&amp;sr=8-5")</f>
        <v/>
      </c>
      <c r="F2198" t="inlineStr">
        <is>
          <t>B0013YYIEQ</t>
        </is>
      </c>
      <c r="G2198">
        <f>_xlfn.IMAGE("https://www.datocms-assets.com/37225/1660230222-pdp_foamingshavegel-1ct_mediagallery_01.jpg?auto=compress%2Cformat&amp;dpr=0.49&amp;w=2049")</f>
        <v/>
      </c>
      <c r="H2198">
        <f>_xlfn.IMAGE("https://m.media-amazon.com/images/I/61P4dcvxERL._AC_UL320_.jpg")</f>
        <v/>
      </c>
      <c r="K2198" t="inlineStr">
        <is>
          <t>6.0</t>
        </is>
      </c>
      <c r="L2198" t="n">
        <v>15.5</v>
      </c>
      <c r="M2198" s="1" t="inlineStr">
        <is>
          <t>158.33%</t>
        </is>
      </c>
      <c r="N2198" s="3" t="n">
        <v>158.33</v>
      </c>
      <c r="O2198" t="n">
        <v>4.6</v>
      </c>
      <c r="P2198" t="n">
        <v>694</v>
      </c>
      <c r="R2198" t="inlineStr">
        <is>
          <t>undefined</t>
        </is>
      </c>
      <c r="S2198" t="inlineStr">
        <is>
          <t>undefined</t>
        </is>
      </c>
      <c r="T2198" t="inlineStr">
        <is>
          <t>undefined</t>
        </is>
      </c>
    </row>
    <row r="2199" ht="75" customHeight="1">
      <c r="A2199" s="2">
        <f>HYPERLINK("https://www.shopflamingo.com/en/us/products/razor/", "https://www.shopflamingo.com/en/us/products/razor/")</f>
        <v/>
      </c>
      <c r="B2199" t="inlineStr">
        <is>
          <t>undefined</t>
        </is>
      </c>
      <c r="C2199" t="inlineStr">
        <is>
          <t>Razor</t>
        </is>
      </c>
      <c r="D2199" t="inlineStr">
        <is>
          <t>Gillette Labs Mens Razor with Exfoliating Bar, Shaving Kit for Men, Includes 1 Handle, 2 Razor Blade Refills, 1 Premium Magnetic Stand, Black and Gold, Razor for men</t>
        </is>
      </c>
      <c r="E2199" s="2" t="n"/>
      <c r="F2199" t="inlineStr">
        <is>
          <t>B09V1KPJF3</t>
        </is>
      </c>
      <c r="G2199">
        <f>_xlfn.IMAGE("https://www.datocms-assets.com/37225/1663080530-pdp_allure_razor_lilac_mediagallery_01.jpg?auto=compress%2Cformat&amp;dpr=0.49&amp;w=2049")</f>
        <v/>
      </c>
      <c r="H2199">
        <f>_xlfn.IMAGE("https://m.media-amazon.com/images/I/81S1mCyMA7L._AC_UL320_.jpg")</f>
        <v/>
      </c>
      <c r="K2199" t="inlineStr">
        <is>
          <t>8.0</t>
        </is>
      </c>
      <c r="L2199" t="n">
        <v>19.97</v>
      </c>
      <c r="M2199" s="1" t="inlineStr">
        <is>
          <t>149.62%</t>
        </is>
      </c>
      <c r="N2199" s="3" t="n">
        <v>149.62</v>
      </c>
      <c r="O2199" t="n">
        <v>4.4</v>
      </c>
      <c r="P2199" t="n">
        <v>2706</v>
      </c>
      <c r="R2199" t="inlineStr">
        <is>
          <t>undefined</t>
        </is>
      </c>
      <c r="S2199" t="inlineStr">
        <is>
          <t>undefined</t>
        </is>
      </c>
      <c r="T2199" t="inlineStr">
        <is>
          <t>undefined</t>
        </is>
      </c>
    </row>
    <row r="2200" ht="75" customHeight="1">
      <c r="A2200" s="2">
        <f>HYPERLINK("https://www.shopflamingo.com/en/us/products/chrome-razor/", "https://www.shopflamingo.com/en/us/products/chrome-razor/")</f>
        <v/>
      </c>
      <c r="B2200" t="inlineStr">
        <is>
          <t>undefined</t>
        </is>
      </c>
      <c r="C2200" t="inlineStr">
        <is>
          <t>Polished Chrome Razor</t>
        </is>
      </c>
      <c r="D2200" t="inlineStr">
        <is>
          <t>RoyalShave Safety Razor and Brush Stand - Polished Chrome</t>
        </is>
      </c>
      <c r="E2200" s="2">
        <f>HYPERLINK("https://www.amazon.com/RoyalShave-Safety-Razor-Brush-Stand/dp/B016Z6JVGG/ref=sr_1_1?keywords=Polished+Chrome+Razor&amp;qid=1695171010&amp;sr=8-1", "https://www.amazon.com/RoyalShave-Safety-Razor-Brush-Stand/dp/B016Z6JVGG/ref=sr_1_1?keywords=Polished+Chrome+Razor&amp;qid=1695171010&amp;sr=8-1")</f>
        <v/>
      </c>
      <c r="F2200" t="inlineStr">
        <is>
          <t>B016Z6JVGG</t>
        </is>
      </c>
      <c r="G2200">
        <f>_xlfn.IMAGE("https://www.datocms-assets.com/37225/1663080944-pdp_allure_razor_chrome_mediagallery_01.jpg?auto=compress%2Cformat&amp;dpr=0.49&amp;w=2049")</f>
        <v/>
      </c>
      <c r="H2200">
        <f>_xlfn.IMAGE("https://m.media-amazon.com/images/I/41omK1JL8dL._AC_UL320_.jpg")</f>
        <v/>
      </c>
      <c r="K2200" t="inlineStr">
        <is>
          <t>10.0</t>
        </is>
      </c>
      <c r="L2200" t="n">
        <v>24.95</v>
      </c>
      <c r="M2200" s="1" t="inlineStr">
        <is>
          <t>149.50%</t>
        </is>
      </c>
      <c r="N2200" s="3" t="n">
        <v>149.5</v>
      </c>
      <c r="O2200" t="n">
        <v>5</v>
      </c>
      <c r="P2200" t="n">
        <v>9</v>
      </c>
      <c r="R2200" t="inlineStr">
        <is>
          <t>undefined</t>
        </is>
      </c>
      <c r="S2200" t="inlineStr">
        <is>
          <t>undefined</t>
        </is>
      </c>
      <c r="T2200" t="inlineStr">
        <is>
          <t>undefined</t>
        </is>
      </c>
    </row>
    <row r="2201" ht="75" customHeight="1">
      <c r="A2201" s="2">
        <f>HYPERLINK("https://www.shopflamingo.com/en/us/products/body-hair-removal-cream/", "https://www.shopflamingo.com/en/us/products/body-hair-removal-cream/")</f>
        <v/>
      </c>
      <c r="B2201" t="inlineStr">
        <is>
          <t>undefined</t>
        </is>
      </c>
      <c r="C2201" t="inlineStr">
        <is>
          <t>Body Hair Removal Cream</t>
        </is>
      </c>
      <c r="D2201" t="inlineStr">
        <is>
          <t>Nair Men Hair Removal Body Cream, 13 Ounce (Pack of 2)</t>
        </is>
      </c>
      <c r="E2201" s="2">
        <f>HYPERLINK("https://www.amazon.com/Nair-Hair-Removal-Body-Cream/dp/B00NFUPJ2G/ref=sr_1_1?keywords=Body+Hair+Removal+Cream&amp;qid=1695171008&amp;sr=8-1", "https://www.amazon.com/Nair-Hair-Removal-Body-Cream/dp/B00NFUPJ2G/ref=sr_1_1?keywords=Body+Hair+Removal+Cream&amp;qid=1695171008&amp;sr=8-1")</f>
        <v/>
      </c>
      <c r="F2201" t="inlineStr">
        <is>
          <t>B00NFUPJ2G</t>
        </is>
      </c>
      <c r="G2201">
        <f>_xlfn.IMAGE("https://www.datocms-assets.com/37225/1674241459-body-depilatory_pdp_ecomm.jpg?auto=compress%2Cformat&amp;dpr=0.37&amp;w=2732")</f>
        <v/>
      </c>
      <c r="H2201">
        <f>_xlfn.IMAGE("https://m.media-amazon.com/images/I/71J+SAz7XPL._AC_UL320_.jpg")</f>
        <v/>
      </c>
      <c r="K2201" t="inlineStr">
        <is>
          <t>9.5</t>
        </is>
      </c>
      <c r="L2201" t="n">
        <v>22.38</v>
      </c>
      <c r="M2201" s="1" t="inlineStr">
        <is>
          <t>135.58%</t>
        </is>
      </c>
      <c r="N2201" s="3" t="n">
        <v>135.58</v>
      </c>
      <c r="O2201" t="n">
        <v>4.3</v>
      </c>
      <c r="P2201" t="n">
        <v>2650</v>
      </c>
      <c r="R2201" t="inlineStr">
        <is>
          <t>undefined</t>
        </is>
      </c>
      <c r="S2201" t="inlineStr">
        <is>
          <t>undefined</t>
        </is>
      </c>
      <c r="T2201" t="inlineStr">
        <is>
          <t>undefined</t>
        </is>
      </c>
    </row>
    <row r="2202" ht="75" customHeight="1">
      <c r="A2202" s="2">
        <f>HYPERLINK("https://www.shopflamingo.com/en/us/products/deep-nourishing-cream/", "https://www.shopflamingo.com/en/us/products/deep-nourishing-cream/")</f>
        <v/>
      </c>
      <c r="B2202" t="inlineStr">
        <is>
          <t>undefined</t>
        </is>
      </c>
      <c r="C2202" t="inlineStr">
        <is>
          <t>Deep Nourishing Cream</t>
        </is>
      </c>
      <c r="D2202" t="inlineStr">
        <is>
          <t>[heimish] Marine Care Deep Moisture Nourishing Melting Cream 2.0 fl.oz / 60ml | Hydrating Facial Moisturizer with Marine water | Moisturizer for dry skin, Korean Skincare, Anti-Aging Face Cream</t>
        </is>
      </c>
      <c r="E2202" s="2">
        <f>HYPERLINK("https://www.amazon.com/Moisture-Skincare-Hydrating-Moisturizer-Anti-Aging/dp/B089S4YSZX/ref=sr_1_9?keywords=Deep+Nourishing+Cream&amp;qid=1695170995&amp;sr=8-9", "https://www.amazon.com/Moisture-Skincare-Hydrating-Moisturizer-Anti-Aging/dp/B089S4YSZX/ref=sr_1_9?keywords=Deep+Nourishing+Cream&amp;qid=1695170995&amp;sr=8-9")</f>
        <v/>
      </c>
      <c r="F2202" t="inlineStr">
        <is>
          <t>B089S4YSZX</t>
        </is>
      </c>
      <c r="G2202">
        <f>_xlfn.IMAGE("https://www.datocms-assets.com/37225/1663087101-pdp_allure_deep-nourishing-cream_mediagallery_01.jpg?auto=compress%2Cformat&amp;dpr=0.49&amp;w=2049")</f>
        <v/>
      </c>
      <c r="H2202">
        <f>_xlfn.IMAGE("https://m.media-amazon.com/images/I/41uafAm2N9L._AC_UL320_.jpg")</f>
        <v/>
      </c>
      <c r="K2202" t="inlineStr">
        <is>
          <t>10.0</t>
        </is>
      </c>
      <c r="L2202" t="n">
        <v>20</v>
      </c>
      <c r="M2202" s="1" t="inlineStr">
        <is>
          <t>100.00%</t>
        </is>
      </c>
      <c r="N2202" s="3" t="n">
        <v>100</v>
      </c>
      <c r="O2202" t="n">
        <v>4.4</v>
      </c>
      <c r="P2202" t="n">
        <v>58</v>
      </c>
      <c r="R2202" t="inlineStr">
        <is>
          <t>undefined</t>
        </is>
      </c>
      <c r="S2202" t="inlineStr">
        <is>
          <t>undefined</t>
        </is>
      </c>
      <c r="T2202" t="inlineStr">
        <is>
          <t>undefined</t>
        </is>
      </c>
    </row>
    <row r="2203" ht="75" customHeight="1">
      <c r="A2203" s="2">
        <f>HYPERLINK("https://www.shopflamingo.com/en/us/products/pubic-hair-wax-kit/", "https://www.shopflamingo.com/en/us/products/pubic-hair-wax-kit/")</f>
        <v/>
      </c>
      <c r="B2203" t="inlineStr">
        <is>
          <t>undefined</t>
        </is>
      </c>
      <c r="C2203" t="inlineStr">
        <is>
          <t>Pubic Hair Wax Kit</t>
        </is>
      </c>
      <c r="D2203" t="inlineStr">
        <is>
          <t>Roll On Wax kit,Waxfans Roll On Wax Warmer for Hair Removal,Waxing Kit for Sensitive Skin,at Home Waxing Kit for Women men,Soft Wax Heater for Larger Areas of the Body(pink)</t>
        </is>
      </c>
      <c r="E2203" s="2">
        <f>HYPERLINK("https://www.amazon.com/Roller-Waxfans-Warmer-Removal-Sensitive/dp/B0B77WCHCQ/ref=sr_1_4?keywords=Pubic+Hair+Wax+Kit&amp;qid=1695170990&amp;sr=8-4", "https://www.amazon.com/Roller-Waxfans-Warmer-Removal-Sensitive/dp/B0B77WCHCQ/ref=sr_1_4?keywords=Pubic+Hair+Wax+Kit&amp;qid=1695170990&amp;sr=8-4")</f>
        <v/>
      </c>
      <c r="F2203" t="inlineStr">
        <is>
          <t>B0B77WCHCQ</t>
        </is>
      </c>
      <c r="G2203">
        <f>_xlfn.IMAGE("https://www.datocms-assets.com/37225/1660255627-pdp_pubicwaxkit-1ct_mediagallery_01.jpg?auto=compress%2Cformat&amp;dpr=0.49&amp;w=2049")</f>
        <v/>
      </c>
      <c r="H2203">
        <f>_xlfn.IMAGE("https://m.media-amazon.com/images/I/71PVhdzBRTL._AC_UL320_.jpg")</f>
        <v/>
      </c>
      <c r="K2203" t="inlineStr">
        <is>
          <t>10.0</t>
        </is>
      </c>
      <c r="L2203" t="n">
        <v>19.99</v>
      </c>
      <c r="M2203" s="1" t="inlineStr">
        <is>
          <t>99.90%</t>
        </is>
      </c>
      <c r="N2203" s="3" t="n">
        <v>99.90000000000001</v>
      </c>
      <c r="O2203" t="n">
        <v>4</v>
      </c>
      <c r="P2203" t="n">
        <v>1947</v>
      </c>
      <c r="R2203" t="inlineStr">
        <is>
          <t>undefined</t>
        </is>
      </c>
      <c r="S2203" t="inlineStr">
        <is>
          <t>undefined</t>
        </is>
      </c>
      <c r="T2203" t="inlineStr">
        <is>
          <t>undefined</t>
        </is>
      </c>
    </row>
    <row r="2204" ht="75" customHeight="1">
      <c r="A2204" s="2">
        <f>HYPERLINK("https://www.shopflamingo.com/en/us/products/deep-nourishing-cream/", "https://www.shopflamingo.com/en/us/products/deep-nourishing-cream/")</f>
        <v/>
      </c>
      <c r="B2204" t="inlineStr">
        <is>
          <t>undefined</t>
        </is>
      </c>
      <c r="C2204" t="inlineStr">
        <is>
          <t>Deep Nourishing Cream</t>
        </is>
      </c>
      <c r="D2204" t="inlineStr">
        <is>
          <t>UNO All In One Perfection Cream Oil Control Deep Nourishing Cream Soothing The Skin For Men (red)</t>
        </is>
      </c>
      <c r="E2204" s="2">
        <f>HYPERLINK("https://www.amazon.com/Perfection-Control-Nourishing-Brightening-Soothing/dp/B07W6MJ4WP/ref=sr_1_3?keywords=Deep+Nourishing+Cream&amp;qid=1695170995&amp;sr=8-3", "https://www.amazon.com/Perfection-Control-Nourishing-Brightening-Soothing/dp/B07W6MJ4WP/ref=sr_1_3?keywords=Deep+Nourishing+Cream&amp;qid=1695170995&amp;sr=8-3")</f>
        <v/>
      </c>
      <c r="F2204" t="inlineStr">
        <is>
          <t>B07W6MJ4WP</t>
        </is>
      </c>
      <c r="G2204">
        <f>_xlfn.IMAGE("https://www.datocms-assets.com/37225/1663087101-pdp_allure_deep-nourishing-cream_mediagallery_01.jpg?auto=compress%2Cformat&amp;dpr=0.49&amp;w=2049")</f>
        <v/>
      </c>
      <c r="H2204">
        <f>_xlfn.IMAGE("https://m.media-amazon.com/images/I/41tlQadBZ+L._AC_UL320_.jpg")</f>
        <v/>
      </c>
      <c r="K2204" t="inlineStr">
        <is>
          <t>10.0</t>
        </is>
      </c>
      <c r="L2204" t="n">
        <v>19.99</v>
      </c>
      <c r="M2204" s="1" t="inlineStr">
        <is>
          <t>99.90%</t>
        </is>
      </c>
      <c r="N2204" s="3" t="n">
        <v>99.90000000000001</v>
      </c>
      <c r="O2204" t="n">
        <v>4.6</v>
      </c>
      <c r="P2204" t="n">
        <v>12</v>
      </c>
      <c r="R2204" t="inlineStr">
        <is>
          <t>undefined</t>
        </is>
      </c>
      <c r="S2204" t="inlineStr">
        <is>
          <t>undefined</t>
        </is>
      </c>
      <c r="T2204" t="inlineStr">
        <is>
          <t>undefined</t>
        </is>
      </c>
    </row>
    <row r="2205" ht="75" customHeight="1">
      <c r="A2205" s="2">
        <f>HYPERLINK("https://www.shopflamingo.com/en/us/products/body-hair-removal-cream/", "https://www.shopflamingo.com/en/us/products/body-hair-removal-cream/")</f>
        <v/>
      </c>
      <c r="B2205" t="inlineStr">
        <is>
          <t>undefined</t>
        </is>
      </c>
      <c r="C2205" t="inlineStr">
        <is>
          <t>Body Hair Removal Cream</t>
        </is>
      </c>
      <c r="D2205" t="inlineStr">
        <is>
          <t>Flamingo Body Hair Removal Cream - 6.76 fl oz - Pack of 2  - Gentle Formula - Safe for Sensitive Skin</t>
        </is>
      </c>
      <c r="E2205" s="2">
        <f>HYPERLINK("https://www.amazon.com/Flamingo-Body-Hair-Removal-Cream/dp/B0BSVL8T6B/ref=sr_1_9?keywords=Body+Hair+Removal+Cream&amp;qid=1695171008&amp;sr=8-9", "https://www.amazon.com/Flamingo-Body-Hair-Removal-Cream/dp/B0BSVL8T6B/ref=sr_1_9?keywords=Body+Hair+Removal+Cream&amp;qid=1695171008&amp;sr=8-9")</f>
        <v/>
      </c>
      <c r="F2205" t="inlineStr">
        <is>
          <t>B0BSVL8T6B</t>
        </is>
      </c>
      <c r="G2205">
        <f>_xlfn.IMAGE("https://www.datocms-assets.com/37225/1674241459-body-depilatory_pdp_ecomm.jpg?auto=compress%2Cformat&amp;dpr=0.37&amp;w=2732")</f>
        <v/>
      </c>
      <c r="H2205">
        <f>_xlfn.IMAGE("https://m.media-amazon.com/images/I/61a0AnHn6WL._AC_UL320_.jpg")</f>
        <v/>
      </c>
      <c r="K2205" t="inlineStr">
        <is>
          <t>9.5</t>
        </is>
      </c>
      <c r="L2205" t="n">
        <v>18.95</v>
      </c>
      <c r="M2205" s="1" t="inlineStr">
        <is>
          <t>99.47%</t>
        </is>
      </c>
      <c r="N2205" s="3" t="n">
        <v>99.47</v>
      </c>
      <c r="O2205" t="n">
        <v>4.1</v>
      </c>
      <c r="P2205" t="n">
        <v>42</v>
      </c>
      <c r="R2205" t="inlineStr">
        <is>
          <t>undefined</t>
        </is>
      </c>
      <c r="S2205" t="inlineStr">
        <is>
          <t>undefined</t>
        </is>
      </c>
      <c r="T2205" t="inlineStr">
        <is>
          <t>undefined</t>
        </is>
      </c>
    </row>
    <row r="2206" ht="75" customHeight="1">
      <c r="A2206" s="2">
        <f>HYPERLINK("https://www.shopflamingo.com/en/us/products/pubic-hair-wax-kit/", "https://www.shopflamingo.com/en/us/products/pubic-hair-wax-kit/")</f>
        <v/>
      </c>
      <c r="B2206" t="inlineStr">
        <is>
          <t>undefined</t>
        </is>
      </c>
      <c r="C2206" t="inlineStr">
        <is>
          <t>Pubic Hair Wax Kit</t>
        </is>
      </c>
      <c r="D2206" t="inlineStr">
        <is>
          <t>Flamingo Women’s Pubic Hair Wax Kit - 48 Wax Strips</t>
        </is>
      </c>
      <c r="E2206" s="2">
        <f>HYPERLINK("https://www.amazon.com/Flamingo-Womens-Pubic-Hair-Wax/dp/B0BJNP7DF9/ref=sr_1_1?keywords=Pubic+Hair+Wax+Kit&amp;qid=1695170990&amp;sr=8-1", "https://www.amazon.com/Flamingo-Womens-Pubic-Hair-Wax/dp/B0BJNP7DF9/ref=sr_1_1?keywords=Pubic+Hair+Wax+Kit&amp;qid=1695170990&amp;sr=8-1")</f>
        <v/>
      </c>
      <c r="F2206" t="inlineStr">
        <is>
          <t>B0BJNP7DF9</t>
        </is>
      </c>
      <c r="G2206">
        <f>_xlfn.IMAGE("https://www.datocms-assets.com/37225/1660255627-pdp_pubicwaxkit-1ct_mediagallery_01.jpg?auto=compress%2Cformat&amp;dpr=0.49&amp;w=2049")</f>
        <v/>
      </c>
      <c r="H2206">
        <f>_xlfn.IMAGE("https://m.media-amazon.com/images/I/61bwyLIDlrL._AC_UL320_.jpg")</f>
        <v/>
      </c>
      <c r="K2206" t="inlineStr">
        <is>
          <t>10.0</t>
        </is>
      </c>
      <c r="L2206" t="n">
        <v>19.94</v>
      </c>
      <c r="M2206" s="1" t="inlineStr">
        <is>
          <t>99.40%</t>
        </is>
      </c>
      <c r="N2206" s="3" t="n">
        <v>99.40000000000001</v>
      </c>
      <c r="O2206" t="n">
        <v>3.9</v>
      </c>
      <c r="P2206" t="n">
        <v>407</v>
      </c>
      <c r="R2206" t="inlineStr">
        <is>
          <t>undefined</t>
        </is>
      </c>
      <c r="S2206" t="inlineStr">
        <is>
          <t>undefined</t>
        </is>
      </c>
      <c r="T2206" t="inlineStr">
        <is>
          <t>undefined</t>
        </is>
      </c>
    </row>
    <row r="2207" ht="75" customHeight="1">
      <c r="A2207" s="2">
        <f>HYPERLINK("https://www.shopflamingo.com/en/us/products/deep-nourishing-cream/", "https://www.shopflamingo.com/en/us/products/deep-nourishing-cream/")</f>
        <v/>
      </c>
      <c r="B2207" t="inlineStr">
        <is>
          <t>undefined</t>
        </is>
      </c>
      <c r="C2207" t="inlineStr">
        <is>
          <t>Deep Nourishing Cream</t>
        </is>
      </c>
      <c r="D2207" t="inlineStr">
        <is>
          <t>Wella Professionals Invigo Nutri-Enrich Frizz Control Cream, Deeply Nourishing, For Dry &amp; Damaged Hair, 5.07 oz</t>
        </is>
      </c>
      <c r="E2207" s="2">
        <f>HYPERLINK("https://www.amazon.com/Wella-Professionals-Nutri-Enrich-Control-Nourishing/dp/B0B64FD9KX/ref=sr_1_8?keywords=Deep+Nourishing+Cream&amp;qid=1695170995&amp;sr=8-8", "https://www.amazon.com/Wella-Professionals-Nutri-Enrich-Control-Nourishing/dp/B0B64FD9KX/ref=sr_1_8?keywords=Deep+Nourishing+Cream&amp;qid=1695170995&amp;sr=8-8")</f>
        <v/>
      </c>
      <c r="F2207" t="inlineStr">
        <is>
          <t>B0B64FD9KX</t>
        </is>
      </c>
      <c r="G2207">
        <f>_xlfn.IMAGE("https://www.datocms-assets.com/37225/1663087101-pdp_allure_deep-nourishing-cream_mediagallery_01.jpg?auto=compress%2Cformat&amp;dpr=0.49&amp;w=2049")</f>
        <v/>
      </c>
      <c r="H2207">
        <f>_xlfn.IMAGE("https://m.media-amazon.com/images/I/61wgSgINNsL._AC_UL320_.jpg")</f>
        <v/>
      </c>
      <c r="K2207" t="inlineStr">
        <is>
          <t>10.0</t>
        </is>
      </c>
      <c r="L2207" t="n">
        <v>19</v>
      </c>
      <c r="M2207" s="1" t="inlineStr">
        <is>
          <t>90.00%</t>
        </is>
      </c>
      <c r="N2207" s="3" t="n">
        <v>90</v>
      </c>
      <c r="O2207" t="n">
        <v>4.3</v>
      </c>
      <c r="P2207" t="n">
        <v>79</v>
      </c>
      <c r="R2207" t="inlineStr">
        <is>
          <t>undefined</t>
        </is>
      </c>
      <c r="S2207" t="inlineStr">
        <is>
          <t>undefined</t>
        </is>
      </c>
      <c r="T2207" t="inlineStr">
        <is>
          <t>undefined</t>
        </is>
      </c>
    </row>
    <row r="2208" hidden="1" ht="15.75" customHeight="1">
      <c r="A2208" s="2">
        <f>HYPERLINK("https://www.shopflamingo.com/en/us/products/razor/", "https://www.shopflamingo.com/en/us/products/razor/")</f>
        <v/>
      </c>
      <c r="B2208" t="inlineStr">
        <is>
          <t>undefined</t>
        </is>
      </c>
      <c r="C2208" t="inlineStr">
        <is>
          <t>Razor</t>
        </is>
      </c>
      <c r="D2208" t="inlineStr">
        <is>
          <t>Dollar Shave Club - Shaving Kit with Diamond Grip Razor Handle, 4-Blade Blade Refills, &amp; Blade Cover, Easy to Grip Handle, Shaving Starter Set, Great for Travel, Blue</t>
        </is>
      </c>
      <c r="E2208" s="2" t="n"/>
      <c r="F2208" t="inlineStr">
        <is>
          <t>B09YFLPZP6</t>
        </is>
      </c>
      <c r="G2208">
        <f>_xludf.IMAGE("https://www.datocms-assets.com/37225/1663080530-pdp_allure_razor_lilac_mediagallery_01.jpg?auto=compress%2Cformat&amp;dpr=0.49&amp;w=2049")</f>
        <v/>
      </c>
      <c r="H2208">
        <f>_xludf.IMAGE("https://m.media-amazon.com/images/I/81pmZVJ58dL._AC_UL320_.jpg")</f>
        <v/>
      </c>
      <c r="K2208" t="inlineStr">
        <is>
          <t>8.0</t>
        </is>
      </c>
      <c r="L2208" t="n">
        <v>14.85</v>
      </c>
      <c r="M2208" s="1" t="inlineStr">
        <is>
          <t>85.62%</t>
        </is>
      </c>
      <c r="N2208" s="3" t="n">
        <v>85.62</v>
      </c>
      <c r="O2208" t="n">
        <v>4.3</v>
      </c>
      <c r="P2208" t="n">
        <v>10074</v>
      </c>
      <c r="R2208" t="inlineStr">
        <is>
          <t>undefined</t>
        </is>
      </c>
      <c r="S2208" t="inlineStr">
        <is>
          <t>undefined</t>
        </is>
      </c>
      <c r="T2208" t="inlineStr">
        <is>
          <t>undefined</t>
        </is>
      </c>
    </row>
    <row r="2209" ht="75" customHeight="1">
      <c r="A2209" s="2">
        <f>HYPERLINK("https://www.shopflamingo.com/en/us/products/pubic-hair-wax-kit/", "https://www.shopflamingo.com/en/us/products/pubic-hair-wax-kit/")</f>
        <v/>
      </c>
      <c r="B2209" t="inlineStr">
        <is>
          <t>undefined</t>
        </is>
      </c>
      <c r="C2209" t="inlineStr">
        <is>
          <t>Pubic Hair Wax Kit</t>
        </is>
      </c>
      <c r="D2209" t="inlineStr">
        <is>
          <t>Nose Wax Kit | 100 g Wax, 24 Applicators | The Original and Best Nose and Ear Hair Removal Kit from Kenashii | Nasal Waxing For Men and Women | 12 Applications | 12 Balm Wipes | 12 Mustache Guards</t>
        </is>
      </c>
      <c r="E2209" s="2" t="n"/>
      <c r="F2209" t="inlineStr">
        <is>
          <t>B076XTJFPY</t>
        </is>
      </c>
      <c r="G2209">
        <f>_xlfn.IMAGE("https://www.datocms-assets.com/37225/1660255627-pdp_pubicwaxkit-1ct_mediagallery_01.jpg?auto=compress%2Cformat&amp;dpr=0.49&amp;w=2049")</f>
        <v/>
      </c>
      <c r="H2209">
        <f>_xlfn.IMAGE("https://m.media-amazon.com/images/I/91-colXF7yL._AC_UL320_.jpg")</f>
        <v/>
      </c>
      <c r="K2209" t="inlineStr">
        <is>
          <t>10.0</t>
        </is>
      </c>
      <c r="L2209" t="n">
        <v>17.99</v>
      </c>
      <c r="M2209" s="1" t="inlineStr">
        <is>
          <t>79.90%</t>
        </is>
      </c>
      <c r="N2209" s="3" t="n">
        <v>79.90000000000001</v>
      </c>
      <c r="O2209" t="n">
        <v>4.5</v>
      </c>
      <c r="P2209" t="n">
        <v>18620</v>
      </c>
      <c r="R2209" t="inlineStr">
        <is>
          <t>undefined</t>
        </is>
      </c>
      <c r="S2209" t="inlineStr">
        <is>
          <t>undefined</t>
        </is>
      </c>
      <c r="T2209" t="inlineStr">
        <is>
          <t>undefined</t>
        </is>
      </c>
    </row>
    <row r="2210" ht="75" customHeight="1">
      <c r="A2210" s="2">
        <f>HYPERLINK("https://www.shopflamingo.com/en/us/products/body-hair-removal-cream/", "https://www.shopflamingo.com/en/us/products/body-hair-removal-cream/")</f>
        <v/>
      </c>
      <c r="B2210" t="inlineStr">
        <is>
          <t>undefined</t>
        </is>
      </c>
      <c r="C2210" t="inlineStr">
        <is>
          <t>Body Hair Removal Cream</t>
        </is>
      </c>
      <c r="D2210" t="inlineStr">
        <is>
          <t>Intimate/Private Hair Removal Cream for Women, for Unwanted Hair in Underarms, Private Parts, Pubic &amp; Bikini Area, Painless Flawless Depilatory Cream, Sensitive Formula Suitable for All Skin Types</t>
        </is>
      </c>
      <c r="E2210" s="2">
        <f>HYPERLINK("https://www.amazon.com/Intimate-Unwanted-Underarms-Depilatory-Sensitive/dp/B0B5YMV9Z9/ref=sr_1_5?keywords=Body+Hair+Removal+Cream&amp;qid=1695171008&amp;sr=8-5", "https://www.amazon.com/Intimate-Unwanted-Underarms-Depilatory-Sensitive/dp/B0B5YMV9Z9/ref=sr_1_5?keywords=Body+Hair+Removal+Cream&amp;qid=1695171008&amp;sr=8-5")</f>
        <v/>
      </c>
      <c r="F2210" t="inlineStr">
        <is>
          <t>B0B5YMV9Z9</t>
        </is>
      </c>
      <c r="G2210">
        <f>_xlfn.IMAGE("https://www.datocms-assets.com/37225/1674241459-body-depilatory_pdp_ecomm.jpg?auto=compress%2Cformat&amp;dpr=0.37&amp;w=2732")</f>
        <v/>
      </c>
      <c r="H2210">
        <f>_xlfn.IMAGE("https://m.media-amazon.com/images/I/61xvjj4zGeL._AC_UL320_.jpg")</f>
        <v/>
      </c>
      <c r="K2210" t="inlineStr">
        <is>
          <t>9.5</t>
        </is>
      </c>
      <c r="L2210" t="n">
        <v>16.99</v>
      </c>
      <c r="M2210" s="1" t="inlineStr">
        <is>
          <t>78.84%</t>
        </is>
      </c>
      <c r="N2210" s="3" t="n">
        <v>78.84</v>
      </c>
      <c r="O2210" t="n">
        <v>4.2</v>
      </c>
      <c r="P2210" t="n">
        <v>3460</v>
      </c>
      <c r="R2210" t="inlineStr">
        <is>
          <t>undefined</t>
        </is>
      </c>
      <c r="S2210" t="inlineStr">
        <is>
          <t>undefined</t>
        </is>
      </c>
      <c r="T2210" t="inlineStr">
        <is>
          <t>undefined</t>
        </is>
      </c>
    </row>
    <row r="2211" ht="75" customHeight="1">
      <c r="A2211" s="2">
        <f>HYPERLINK("https://www.shopflamingo.com/en/us/products/body-hair-removal-cream/", "https://www.shopflamingo.com/en/us/products/body-hair-removal-cream/")</f>
        <v/>
      </c>
      <c r="B2211" t="inlineStr">
        <is>
          <t>undefined</t>
        </is>
      </c>
      <c r="C2211" t="inlineStr">
        <is>
          <t>Body Hair Removal Cream</t>
        </is>
      </c>
      <c r="D2211" t="inlineStr">
        <is>
          <t>Hair Removal Spray Foam, Hair Removal Cream for Women and Men, Hair Removal Cream for Pubic Hair, Bikini Hair Removal Cream, Depilatory Cream, Body Cream for Hair Removal, Hair Removal Cream for Women</t>
        </is>
      </c>
      <c r="E2211" s="2">
        <f>HYPERLINK("https://www.amazon.com/Removal-Spray-Cream-Bikini-Depilatory/dp/B0CD4C7948/ref=sr_1_6?keywords=Body+Hair+Removal+Cream&amp;qid=1695171008&amp;sr=8-6", "https://www.amazon.com/Removal-Spray-Cream-Bikini-Depilatory/dp/B0CD4C7948/ref=sr_1_6?keywords=Body+Hair+Removal+Cream&amp;qid=1695171008&amp;sr=8-6")</f>
        <v/>
      </c>
      <c r="F2211" t="inlineStr">
        <is>
          <t>B0CD4C7948</t>
        </is>
      </c>
      <c r="G2211">
        <f>_xlfn.IMAGE("https://www.datocms-assets.com/37225/1674241459-body-depilatory_pdp_ecomm.jpg?auto=compress%2Cformat&amp;dpr=0.37&amp;w=2732")</f>
        <v/>
      </c>
      <c r="H2211">
        <f>_xlfn.IMAGE("https://m.media-amazon.com/images/I/61m+vvepeXL._AC_UL320_.jpg")</f>
        <v/>
      </c>
      <c r="K2211" t="inlineStr">
        <is>
          <t>9.5</t>
        </is>
      </c>
      <c r="L2211" t="n">
        <v>16.99</v>
      </c>
      <c r="M2211" s="1" t="inlineStr">
        <is>
          <t>78.84%</t>
        </is>
      </c>
      <c r="N2211" s="3" t="n">
        <v>78.84</v>
      </c>
      <c r="O2211" t="n">
        <v>4.7</v>
      </c>
      <c r="P2211" t="n">
        <v>84</v>
      </c>
      <c r="R2211" t="inlineStr">
        <is>
          <t>undefined</t>
        </is>
      </c>
      <c r="S2211" t="inlineStr">
        <is>
          <t>undefined</t>
        </is>
      </c>
      <c r="T2211" t="inlineStr">
        <is>
          <t>undefined</t>
        </is>
      </c>
    </row>
    <row r="2212" ht="75" customHeight="1">
      <c r="A2212" s="2">
        <f>HYPERLINK("https://www.shopflamingo.com/en/us/products/body-hair-removal-cream/", "https://www.shopflamingo.com/en/us/products/body-hair-removal-cream/")</f>
        <v/>
      </c>
      <c r="B2212" t="inlineStr">
        <is>
          <t>undefined</t>
        </is>
      </c>
      <c r="C2212" t="inlineStr">
        <is>
          <t>Body Hair Removal Cream</t>
        </is>
      </c>
      <c r="D2212" t="inlineStr">
        <is>
          <t>No Hair Crew Intimate/Private At Home Hair Removal Cream for Men - Painless, Flawless, Soothing Depilatory for Unwanted Coarse Male Body Hair, 100ml</t>
        </is>
      </c>
      <c r="E2212" s="2">
        <f>HYPERLINK("https://www.amazon.com/Hair-Intimate-Private-Removal-Cream/dp/B08D67MF73/ref=sr_1_10?keywords=Body+Hair+Removal+Cream&amp;qid=1695171008&amp;sr=8-10", "https://www.amazon.com/Hair-Intimate-Private-Removal-Cream/dp/B08D67MF73/ref=sr_1_10?keywords=Body+Hair+Removal+Cream&amp;qid=1695171008&amp;sr=8-10")</f>
        <v/>
      </c>
      <c r="F2212" t="inlineStr">
        <is>
          <t>B08D67MF73</t>
        </is>
      </c>
      <c r="G2212">
        <f>_xlfn.IMAGE("https://www.datocms-assets.com/37225/1674241459-body-depilatory_pdp_ecomm.jpg?auto=compress%2Cformat&amp;dpr=0.37&amp;w=2732")</f>
        <v/>
      </c>
      <c r="H2212">
        <f>_xlfn.IMAGE("https://m.media-amazon.com/images/I/6131BbuRxOL._AC_UL320_.jpg")</f>
        <v/>
      </c>
      <c r="K2212" t="inlineStr">
        <is>
          <t>9.5</t>
        </is>
      </c>
      <c r="L2212" t="n">
        <v>16.99</v>
      </c>
      <c r="M2212" s="1" t="inlineStr">
        <is>
          <t>78.84%</t>
        </is>
      </c>
      <c r="N2212" s="3" t="n">
        <v>78.84</v>
      </c>
      <c r="O2212" t="n">
        <v>4</v>
      </c>
      <c r="P2212" t="n">
        <v>10472</v>
      </c>
      <c r="R2212" t="inlineStr">
        <is>
          <t>undefined</t>
        </is>
      </c>
      <c r="S2212" t="inlineStr">
        <is>
          <t>undefined</t>
        </is>
      </c>
      <c r="T2212" t="inlineStr">
        <is>
          <t>undefined</t>
        </is>
      </c>
    </row>
    <row r="2213" ht="75" customHeight="1">
      <c r="A2213" s="2">
        <f>HYPERLINK("https://www.shopflamingo.com/en/us/products/body-hair-removal-cream/", "https://www.shopflamingo.com/en/us/products/body-hair-removal-cream/")</f>
        <v/>
      </c>
      <c r="B2213" t="inlineStr">
        <is>
          <t>undefined</t>
        </is>
      </c>
      <c r="C2213" t="inlineStr">
        <is>
          <t>Body Hair Removal Cream</t>
        </is>
      </c>
      <c r="D2213" t="inlineStr">
        <is>
          <t>Hair Removal Cream - Skin Friendly Depilatory Cream - Fast and Effective Body Hair Removal Cream - Painless Flawless Hair Remover Cream For Women and Men (green MKR)</t>
        </is>
      </c>
      <c r="E2213" s="2">
        <f>HYPERLINK("https://www.amazon.com/Hair-Removal-Cream-Depilatory-Effective/dp/B0C5JXYMKR/ref=sr_1_8?keywords=Body+Hair+Removal+Cream&amp;qid=1695171008&amp;sr=8-8", "https://www.amazon.com/Hair-Removal-Cream-Depilatory-Effective/dp/B0C5JXYMKR/ref=sr_1_8?keywords=Body+Hair+Removal+Cream&amp;qid=1695171008&amp;sr=8-8")</f>
        <v/>
      </c>
      <c r="F2213" t="inlineStr">
        <is>
          <t>B0C5JXYMKR</t>
        </is>
      </c>
      <c r="G2213">
        <f>_xlfn.IMAGE("https://www.datocms-assets.com/37225/1674241459-body-depilatory_pdp_ecomm.jpg?auto=compress%2Cformat&amp;dpr=0.37&amp;w=2732")</f>
        <v/>
      </c>
      <c r="H2213">
        <f>_xlfn.IMAGE("https://m.media-amazon.com/images/I/61XfOAQb7oL._AC_UL320_.jpg")</f>
        <v/>
      </c>
      <c r="K2213" t="inlineStr">
        <is>
          <t>9.5</t>
        </is>
      </c>
      <c r="L2213" t="n">
        <v>16.99</v>
      </c>
      <c r="M2213" s="1" t="inlineStr">
        <is>
          <t>78.84%</t>
        </is>
      </c>
      <c r="N2213" s="3" t="n">
        <v>78.84</v>
      </c>
      <c r="O2213" t="n">
        <v>4.4</v>
      </c>
      <c r="P2213" t="n">
        <v>292</v>
      </c>
      <c r="R2213" t="inlineStr">
        <is>
          <t>undefined</t>
        </is>
      </c>
      <c r="S2213" t="inlineStr">
        <is>
          <t>undefined</t>
        </is>
      </c>
      <c r="T2213" t="inlineStr">
        <is>
          <t>undefined</t>
        </is>
      </c>
    </row>
    <row r="2214" ht="75" customHeight="1">
      <c r="A2214" s="2">
        <f>HYPERLINK("https://www.shopflamingo.com/en/us/products/moisture-trio/", "https://www.shopflamingo.com/en/us/products/moisture-trio/")</f>
        <v/>
      </c>
      <c r="B2214" t="inlineStr">
        <is>
          <t>undefined</t>
        </is>
      </c>
      <c r="C2214" t="inlineStr">
        <is>
          <t>Body Moisture Trio</t>
        </is>
      </c>
      <c r="D2214" t="inlineStr">
        <is>
          <t>Be Enchanted Triple Moisture Body Cream Trio - Full Size</t>
        </is>
      </c>
      <c r="E2214" s="2">
        <f>HYPERLINK("https://www.amazon.com/Enchanted-Triple-Moisture-Body-Cream/dp/B0BFG3HVGN/ref=sr_1_1?keywords=Body+Moisture+Trio&amp;qid=1695170989&amp;sr=8-1", "https://www.amazon.com/Enchanted-Triple-Moisture-Body-Cream/dp/B0BFG3HVGN/ref=sr_1_1?keywords=Body+Moisture+Trio&amp;qid=1695170989&amp;sr=8-1")</f>
        <v/>
      </c>
      <c r="F2214" t="inlineStr">
        <is>
          <t>B0BFG3HVGN</t>
        </is>
      </c>
      <c r="G2214">
        <f>_xlfn.IMAGE("https://www.datocms-assets.com/37225/1677261615-moisturetrio_ecomm_pdp_1.png?auto=compress%2Cformat&amp;dpr=0.74&amp;w=1366")</f>
        <v/>
      </c>
      <c r="H2214">
        <f>_xlfn.IMAGE("https://m.media-amazon.com/images/I/81UffzfKBmL._AC_UL320_.jpg")</f>
        <v/>
      </c>
      <c r="K2214" t="inlineStr">
        <is>
          <t>25.0</t>
        </is>
      </c>
      <c r="L2214" t="n">
        <v>42.5</v>
      </c>
      <c r="M2214" s="1" t="inlineStr">
        <is>
          <t>70.00%</t>
        </is>
      </c>
      <c r="N2214" s="3" t="n">
        <v>70</v>
      </c>
      <c r="O2214" t="n">
        <v>4.8</v>
      </c>
      <c r="P2214" t="n">
        <v>201</v>
      </c>
      <c r="R2214" t="inlineStr">
        <is>
          <t>undefined</t>
        </is>
      </c>
      <c r="S2214" t="inlineStr">
        <is>
          <t>undefined</t>
        </is>
      </c>
      <c r="T2214" t="inlineStr">
        <is>
          <t>undefined</t>
        </is>
      </c>
    </row>
    <row r="2215" hidden="1" ht="15.75" customHeight="1">
      <c r="A2215" s="2">
        <f>HYPERLINK("https://www.shopflamingo.com/en/us/products/foaming-shave-gel/", "https://www.shopflamingo.com/en/us/products/foaming-shave-gel/")</f>
        <v/>
      </c>
      <c r="B2215" t="inlineStr">
        <is>
          <t>undefined</t>
        </is>
      </c>
      <c r="C2215" t="inlineStr">
        <is>
          <t>Foaming Shave Gel</t>
        </is>
      </c>
      <c r="D2215" t="inlineStr">
        <is>
          <t>Tomb 45 Shave Gel for Men, Non-Foaming Fresh Scent Clear Shaving Gel with Skin Replenishing Vitamin E and Soothing Aloe Vera, Sensitive Skin Moisturizer 8oz</t>
        </is>
      </c>
      <c r="E2215" s="2">
        <f>HYPERLINK("https://www.amazon.com/Tomb-45-Non-Foaming-Replenishing-Moisturizer/dp/B01N4HNRY9/ref=sr_1_8?keywords=Foaming+Shave+Gel&amp;qid=1695170998&amp;sr=8-8", "https://www.amazon.com/Tomb-45-Non-Foaming-Replenishing-Moisturizer/dp/B01N4HNRY9/ref=sr_1_8?keywords=Foaming+Shave+Gel&amp;qid=1695170998&amp;sr=8-8")</f>
        <v/>
      </c>
      <c r="F2215" t="inlineStr">
        <is>
          <t>B01N4HNRY9</t>
        </is>
      </c>
      <c r="G2215">
        <f>_xludf.IMAGE("https://www.datocms-assets.com/37225/1660230222-pdp_foamingshavegel-1ct_mediagallery_01.jpg?auto=compress%2Cformat&amp;dpr=0.49&amp;w=2049")</f>
        <v/>
      </c>
      <c r="H2215">
        <f>_xludf.IMAGE("https://m.media-amazon.com/images/I/519VfzaKv-L._AC_UL320_.jpg")</f>
        <v/>
      </c>
      <c r="K2215" t="inlineStr">
        <is>
          <t>6.0</t>
        </is>
      </c>
      <c r="L2215" t="n">
        <v>9.99</v>
      </c>
      <c r="M2215" s="1" t="inlineStr">
        <is>
          <t>66.50%</t>
        </is>
      </c>
      <c r="N2215" s="3" t="n">
        <v>66.5</v>
      </c>
      <c r="O2215" t="n">
        <v>4.6</v>
      </c>
      <c r="P2215" t="n">
        <v>8443</v>
      </c>
      <c r="R2215" t="inlineStr">
        <is>
          <t>undefined</t>
        </is>
      </c>
      <c r="S2215" t="inlineStr">
        <is>
          <t>undefined</t>
        </is>
      </c>
      <c r="T2215" t="inlineStr">
        <is>
          <t>undefined</t>
        </is>
      </c>
    </row>
    <row r="2216" hidden="1" ht="15.75" customHeight="1">
      <c r="A2216" s="2">
        <f>HYPERLINK("https://www.shopflamingo.com/en/us/products/razor/", "https://www.shopflamingo.com/en/us/products/razor/")</f>
        <v/>
      </c>
      <c r="B2216" t="inlineStr">
        <is>
          <t>undefined</t>
        </is>
      </c>
      <c r="C2216" t="inlineStr">
        <is>
          <t>Razor</t>
        </is>
      </c>
      <c r="D2216" t="inlineStr">
        <is>
          <t>Preserve POPi Shave 5 Razor System Made with Recycled Ocean Plastic and 5-blade cartridge, Charcoal Grey</t>
        </is>
      </c>
      <c r="E2216" s="2" t="n"/>
      <c r="F2216" t="inlineStr">
        <is>
          <t>B07ZK5RDCQ</t>
        </is>
      </c>
      <c r="G2216">
        <f>_xludf.IMAGE("https://www.datocms-assets.com/37225/1663080530-pdp_allure_razor_lilac_mediagallery_01.jpg?auto=compress%2Cformat&amp;dpr=0.49&amp;w=2049")</f>
        <v/>
      </c>
      <c r="H2216">
        <f>_xludf.IMAGE("https://m.media-amazon.com/images/I/71X0ixvuuAL._AC_UL320_.jpg")</f>
        <v/>
      </c>
      <c r="K2216" t="inlineStr">
        <is>
          <t>8.0</t>
        </is>
      </c>
      <c r="L2216" t="n">
        <v>11.99</v>
      </c>
      <c r="M2216" s="1" t="inlineStr">
        <is>
          <t>49.88%</t>
        </is>
      </c>
      <c r="N2216" s="3" t="n">
        <v>49.88</v>
      </c>
      <c r="O2216" t="n">
        <v>4.4</v>
      </c>
      <c r="P2216" t="n">
        <v>1353</v>
      </c>
      <c r="R2216" t="inlineStr">
        <is>
          <t>undefined</t>
        </is>
      </c>
      <c r="S2216" t="inlineStr">
        <is>
          <t>undefined</t>
        </is>
      </c>
      <c r="T2216" t="inlineStr">
        <is>
          <t>undefined</t>
        </is>
      </c>
    </row>
    <row r="2217" hidden="1" ht="15.75" customHeight="1">
      <c r="A2217" s="2">
        <f>HYPERLINK("https://www.shopflamingo.com/en/us/products/foaming-shave-gel/", "https://www.shopflamingo.com/en/us/products/foaming-shave-gel/")</f>
        <v/>
      </c>
      <c r="B2217" t="inlineStr">
        <is>
          <t>undefined</t>
        </is>
      </c>
      <c r="C2217" t="inlineStr">
        <is>
          <t>Foaming Shave Gel</t>
        </is>
      </c>
      <c r="D2217" t="inlineStr">
        <is>
          <t>Facón Transparent Non-Foaming Clear Shave Gel with Skin Soothing Aloe Vera, Cooling Menthol Peppermint Oil, Sandalwood Oil Scent - Extra Glide for an Ultra-Clean Smooth Shave (10 fl oz / 296 ml)</t>
        </is>
      </c>
      <c r="E2217" s="2">
        <f>HYPERLINK("https://www.amazon.com/Transparent-Non-Foaming-Soothing-Peppermint-Sandalwood/dp/B08GK1SN9R/ref=sr_1_10?keywords=Foaming+Shave+Gel&amp;qid=1695170998&amp;sr=8-10", "https://www.amazon.com/Transparent-Non-Foaming-Soothing-Peppermint-Sandalwood/dp/B08GK1SN9R/ref=sr_1_10?keywords=Foaming+Shave+Gel&amp;qid=1695170998&amp;sr=8-10")</f>
        <v/>
      </c>
      <c r="F2217" t="inlineStr">
        <is>
          <t>B08GK1SN9R</t>
        </is>
      </c>
      <c r="G2217">
        <f>_xludf.IMAGE("https://www.datocms-assets.com/37225/1660230222-pdp_foamingshavegel-1ct_mediagallery_01.jpg?auto=compress%2Cformat&amp;dpr=0.49&amp;w=2049")</f>
        <v/>
      </c>
      <c r="H2217">
        <f>_xludf.IMAGE("https://m.media-amazon.com/images/I/811h-UNX8iL._AC_UL320_.jpg")</f>
        <v/>
      </c>
      <c r="K2217" t="inlineStr">
        <is>
          <t>6.0</t>
        </is>
      </c>
      <c r="L2217" t="n">
        <v>8.949999999999999</v>
      </c>
      <c r="M2217" s="1" t="inlineStr">
        <is>
          <t>49.17%</t>
        </is>
      </c>
      <c r="N2217" s="3" t="n">
        <v>49.17</v>
      </c>
      <c r="O2217" t="n">
        <v>4.5</v>
      </c>
      <c r="P2217" t="n">
        <v>1471</v>
      </c>
      <c r="R2217" t="inlineStr">
        <is>
          <t>undefined</t>
        </is>
      </c>
      <c r="S2217" t="inlineStr">
        <is>
          <t>undefined</t>
        </is>
      </c>
      <c r="T2217" t="inlineStr">
        <is>
          <t>undefined</t>
        </is>
      </c>
    </row>
    <row r="2218" hidden="1" ht="15.75" customHeight="1">
      <c r="A2218" s="2">
        <f>HYPERLINK("https://www.shopflamingo.com/en/us/products/head-to-toe-wax/", "https://www.shopflamingo.com/en/us/products/head-to-toe-wax/")</f>
        <v/>
      </c>
      <c r="B2218" t="inlineStr">
        <is>
          <t>undefined</t>
        </is>
      </c>
      <c r="C2218" t="inlineStr">
        <is>
          <t>Head to Toe Wax</t>
        </is>
      </c>
      <c r="D2218" t="inlineStr">
        <is>
          <t>Johnsons Baby Head To Toe Wash And Shampoo 1.7 Ounce (12 Pieces) (50ml)</t>
        </is>
      </c>
      <c r="E2218" s="2">
        <f>HYPERLINK("https://www.amazon.com/Johnsons-Baby-Shampoo-Ounce-Pieces/dp/B07J9Q9KHN/ref=sr_1_9?keywords=Head+to+Toe+Wax&amp;qid=1695170989&amp;sr=8-9", "https://www.amazon.com/Johnsons-Baby-Shampoo-Ounce-Pieces/dp/B07J9Q9KHN/ref=sr_1_9?keywords=Head+to+Toe+Wax&amp;qid=1695170989&amp;sr=8-9")</f>
        <v/>
      </c>
      <c r="F2218" t="inlineStr">
        <is>
          <t>B07J9Q9KHN</t>
        </is>
      </c>
      <c r="G2218">
        <f>_xludf.IMAGE("https://www.datocms-assets.com/37225/1660253282-pdp_head-to-toe-wax_mediagallery_01.jpg?auto=compress%2Cformat&amp;dpr=0.49&amp;w=2049")</f>
        <v/>
      </c>
      <c r="H2218">
        <f>_xludf.IMAGE("https://m.media-amazon.com/images/I/516ZYf6fYYL._AC_UL320_.jpg")</f>
        <v/>
      </c>
      <c r="K2218" t="inlineStr">
        <is>
          <t>19.0</t>
        </is>
      </c>
      <c r="L2218" t="n">
        <v>25.34</v>
      </c>
      <c r="M2218" s="1" t="inlineStr">
        <is>
          <t>33.37%</t>
        </is>
      </c>
      <c r="N2218" s="3" t="n">
        <v>33.37</v>
      </c>
      <c r="O2218" t="n">
        <v>5</v>
      </c>
      <c r="P2218" t="n">
        <v>3</v>
      </c>
      <c r="R2218" t="inlineStr">
        <is>
          <t>undefined</t>
        </is>
      </c>
      <c r="S2218" t="inlineStr">
        <is>
          <t>undefined</t>
        </is>
      </c>
      <c r="T2218" t="inlineStr">
        <is>
          <t>undefined</t>
        </is>
      </c>
    </row>
    <row r="2219" hidden="1" ht="15.75" customHeight="1">
      <c r="A2219" s="2">
        <f>HYPERLINK("https://www.shopflamingo.com/en/us/products/foaming-shave-gel/", "https://www.shopflamingo.com/en/us/products/foaming-shave-gel/")</f>
        <v/>
      </c>
      <c r="B2219" t="inlineStr">
        <is>
          <t>undefined</t>
        </is>
      </c>
      <c r="C2219" t="inlineStr">
        <is>
          <t>Foaming Shave Gel</t>
        </is>
      </c>
      <c r="D2219" t="inlineStr">
        <is>
          <t>Facón Transparent Non-Foaming Clear Shave Gel with Skin Soothing Aloe Vera, Cooling Menthol Peppermint Oil, Bourbon Luxury Scent - Extra Glide for an Ultra-Clean Smooth Shave (10 fl oz / 296 ml)</t>
        </is>
      </c>
      <c r="E2219" s="2">
        <f>HYPERLINK("https://www.amazon.com/Transparent-Non-Foaming-Soothing-Cooling-Peppermint/dp/B0B2NS8NKB/ref=sr_1_3?keywords=Foaming+Shave+Gel&amp;qid=1695170998&amp;sr=8-3", "https://www.amazon.com/Transparent-Non-Foaming-Soothing-Cooling-Peppermint/dp/B0B2NS8NKB/ref=sr_1_3?keywords=Foaming+Shave+Gel&amp;qid=1695170998&amp;sr=8-3")</f>
        <v/>
      </c>
      <c r="F2219" t="inlineStr">
        <is>
          <t>B0B2NS8NKB</t>
        </is>
      </c>
      <c r="G2219">
        <f>_xludf.IMAGE("https://www.datocms-assets.com/37225/1660230222-pdp_foamingshavegel-1ct_mediagallery_01.jpg?auto=compress%2Cformat&amp;dpr=0.49&amp;w=2049")</f>
        <v/>
      </c>
      <c r="H2219">
        <f>_xludf.IMAGE("https://m.media-amazon.com/images/I/71g9UjUVL6L._AC_UL320_.jpg")</f>
        <v/>
      </c>
      <c r="K2219" t="inlineStr">
        <is>
          <t>6.0</t>
        </is>
      </c>
      <c r="L2219" t="n">
        <v>7.95</v>
      </c>
      <c r="M2219" s="1" t="inlineStr">
        <is>
          <t>32.50%</t>
        </is>
      </c>
      <c r="N2219" s="3" t="n">
        <v>32.5</v>
      </c>
      <c r="O2219" t="n">
        <v>4.3</v>
      </c>
      <c r="P2219" t="n">
        <v>128</v>
      </c>
      <c r="R2219" t="inlineStr">
        <is>
          <t>undefined</t>
        </is>
      </c>
      <c r="S2219" t="inlineStr">
        <is>
          <t>undefined</t>
        </is>
      </c>
      <c r="T2219" t="inlineStr">
        <is>
          <t>undefined</t>
        </is>
      </c>
    </row>
    <row r="2220" hidden="1" ht="15.75" customHeight="1">
      <c r="A2220" s="2">
        <f>HYPERLINK("https://www.shopflamingo.com/en/us/products/moisture-trio/", "https://www.shopflamingo.com/en/us/products/moisture-trio/")</f>
        <v/>
      </c>
      <c r="B2220" t="inlineStr">
        <is>
          <t>undefined</t>
        </is>
      </c>
      <c r="C2220" t="inlineStr">
        <is>
          <t>Body Moisture Trio</t>
        </is>
      </c>
      <c r="D2220" t="inlineStr">
        <is>
          <t>Bliss Intense Moisture Trio: Lemon and Sage Body Butter, Naked Body Butter Unscented, Grapefruit and Aloe Body Butter - Maximum Moisture Cream</t>
        </is>
      </c>
      <c r="E2220" s="2">
        <f>HYPERLINK("https://www.amazon.com/Bliss-Intense-Moisture-Trio-Grapefruit/dp/B0C4CQJDDM/ref=sr_1_9?keywords=Body+Moisture+Trio&amp;qid=1695170989&amp;sr=8-9", "https://www.amazon.com/Bliss-Intense-Moisture-Trio-Grapefruit/dp/B0C4CQJDDM/ref=sr_1_9?keywords=Body+Moisture+Trio&amp;qid=1695170989&amp;sr=8-9")</f>
        <v/>
      </c>
      <c r="F2220" t="inlineStr">
        <is>
          <t>B0C4CQJDDM</t>
        </is>
      </c>
      <c r="G2220">
        <f>_xludf.IMAGE("https://www.datocms-assets.com/37225/1677261615-moisturetrio_ecomm_pdp_1.png?auto=compress%2Cformat&amp;dpr=0.74&amp;w=1366")</f>
        <v/>
      </c>
      <c r="H2220">
        <f>_xludf.IMAGE("https://m.media-amazon.com/images/I/715RWdC0GwL._AC_UL320_.jpg")</f>
        <v/>
      </c>
      <c r="K2220" t="inlineStr">
        <is>
          <t>25.0</t>
        </is>
      </c>
      <c r="L2220" t="n">
        <v>32</v>
      </c>
      <c r="M2220" s="1" t="inlineStr">
        <is>
          <t>28.00%</t>
        </is>
      </c>
      <c r="N2220" s="3" t="n">
        <v>28</v>
      </c>
      <c r="O2220" t="n">
        <v>5</v>
      </c>
      <c r="P2220" t="n">
        <v>1</v>
      </c>
      <c r="R2220" t="inlineStr">
        <is>
          <t>undefined</t>
        </is>
      </c>
      <c r="S2220" t="inlineStr">
        <is>
          <t>undefined</t>
        </is>
      </c>
      <c r="T2220" t="inlineStr">
        <is>
          <t>undefined</t>
        </is>
      </c>
    </row>
    <row r="2221" hidden="1" ht="15.75" customHeight="1">
      <c r="A2221" s="2">
        <f>HYPERLINK("https://www.shopflamingo.com/en/us/products/body-hair-removal-cream/", "https://www.shopflamingo.com/en/us/products/body-hair-removal-cream/")</f>
        <v/>
      </c>
      <c r="B2221" t="inlineStr">
        <is>
          <t>undefined</t>
        </is>
      </c>
      <c r="C2221" t="inlineStr">
        <is>
          <t>Body Hair Removal Cream</t>
        </is>
      </c>
      <c r="D2221" t="inlineStr">
        <is>
          <t>VEET Professional 2 Minute Hair Removal Cream For All Skin Types with Shea Butter | Effective Full Bikini Hair Removal, Pubic Hair Removal Gel | Dermatologically Tested | 13.5 FL OZ Bottle w/Spatula</t>
        </is>
      </c>
      <c r="E2221" s="2">
        <f>HYPERLINK("https://www.amazon.com/Veet-Professional-Long-Lasting-Fast-Acting-Dermatologically/dp/B0BG1T2DTZ/ref=sr_1_7?keywords=Body+Hair+Removal+Cream&amp;qid=1695171008&amp;sr=8-7", "https://www.amazon.com/Veet-Professional-Long-Lasting-Fast-Acting-Dermatologically/dp/B0BG1T2DTZ/ref=sr_1_7?keywords=Body+Hair+Removal+Cream&amp;qid=1695171008&amp;sr=8-7")</f>
        <v/>
      </c>
      <c r="F2221" t="inlineStr">
        <is>
          <t>B0BG1T2DTZ</t>
        </is>
      </c>
      <c r="G2221">
        <f>_xludf.IMAGE("https://www.datocms-assets.com/37225/1674241459-body-depilatory_pdp_ecomm.jpg?auto=compress%2Cformat&amp;dpr=0.37&amp;w=2732")</f>
        <v/>
      </c>
      <c r="H2221">
        <f>_xludf.IMAGE("https://m.media-amazon.com/images/I/71YYxUeUm2L._AC_UL320_.jpg")</f>
        <v/>
      </c>
      <c r="K2221" t="inlineStr">
        <is>
          <t>9.5</t>
        </is>
      </c>
      <c r="L2221" t="n">
        <v>11.97</v>
      </c>
      <c r="M2221" s="1" t="inlineStr">
        <is>
          <t>26.00%</t>
        </is>
      </c>
      <c r="N2221" s="3" t="n">
        <v>26</v>
      </c>
      <c r="O2221" t="n">
        <v>4.2</v>
      </c>
      <c r="P2221" t="n">
        <v>1787</v>
      </c>
      <c r="R2221" t="inlineStr">
        <is>
          <t>undefined</t>
        </is>
      </c>
      <c r="S2221" t="inlineStr">
        <is>
          <t>undefined</t>
        </is>
      </c>
      <c r="T2221" t="inlineStr">
        <is>
          <t>undefined</t>
        </is>
      </c>
    </row>
    <row r="2222" hidden="1" ht="15.75" customHeight="1">
      <c r="A2222" s="2">
        <f>HYPERLINK("https://www.shopflamingo.com/en/us/products/razor/", "https://www.shopflamingo.com/en/us/products/razor/")</f>
        <v/>
      </c>
      <c r="B2222" t="inlineStr">
        <is>
          <t>undefined</t>
        </is>
      </c>
      <c r="C2222" t="inlineStr">
        <is>
          <t>Razor</t>
        </is>
      </c>
      <c r="D2222" t="inlineStr">
        <is>
          <t>Gillette Sensor3 Comfort Disposable Razors for Men, 8 Count, Lubrastrip Glides Easily Over Your Skin</t>
        </is>
      </c>
      <c r="E2222" s="2">
        <f>HYPERLINK("https://www.amazon.com/Gillette-Sensor3-Disposable-Razors-Blades/dp/B001JQLNGY/ref=sr_1_7?keywords=Razor&amp;qid=1695170989&amp;sr=8-7", "https://www.amazon.com/Gillette-Sensor3-Disposable-Razors-Blades/dp/B001JQLNGY/ref=sr_1_7?keywords=Razor&amp;qid=1695170989&amp;sr=8-7")</f>
        <v/>
      </c>
      <c r="F2222" t="inlineStr">
        <is>
          <t>B001JQLNGY</t>
        </is>
      </c>
      <c r="G2222">
        <f>_xludf.IMAGE("https://www.datocms-assets.com/37225/1663080530-pdp_allure_razor_lilac_mediagallery_01.jpg?auto=compress%2Cformat&amp;dpr=0.49&amp;w=2049")</f>
        <v/>
      </c>
      <c r="H2222">
        <f>_xludf.IMAGE("https://m.media-amazon.com/images/I/81xXC-ao1TL._AC_UL320_.jpg")</f>
        <v/>
      </c>
      <c r="K2222" t="inlineStr">
        <is>
          <t>8.0</t>
        </is>
      </c>
      <c r="L2222" t="n">
        <v>9.99</v>
      </c>
      <c r="M2222" s="1" t="inlineStr">
        <is>
          <t>24.88%</t>
        </is>
      </c>
      <c r="N2222" s="3" t="n">
        <v>24.88</v>
      </c>
      <c r="O2222" t="n">
        <v>4.5</v>
      </c>
      <c r="P2222" t="n">
        <v>38693</v>
      </c>
      <c r="R2222" t="inlineStr">
        <is>
          <t>undefined</t>
        </is>
      </c>
      <c r="S2222" t="inlineStr">
        <is>
          <t>undefined</t>
        </is>
      </c>
      <c r="T2222" t="inlineStr">
        <is>
          <t>undefined</t>
        </is>
      </c>
    </row>
    <row r="2223" hidden="1" ht="15.75" customHeight="1">
      <c r="A2223" s="2">
        <f>HYPERLINK("https://www.shopflamingo.com/en/us/products/razor/", "https://www.shopflamingo.com/en/us/products/razor/")</f>
        <v/>
      </c>
      <c r="B2223" t="inlineStr">
        <is>
          <t>undefined</t>
        </is>
      </c>
      <c r="C2223" t="inlineStr">
        <is>
          <t>Razor</t>
        </is>
      </c>
      <c r="D2223" t="inlineStr">
        <is>
          <t>BIC Comfort 3 Refillable Three-Blade Disposable Razors for Men, Sensitive Skin Razor for a Comfortable Shave, 1 Handle and 12 Cartridges With 3 Blades, 13 Piece Razor Kit</t>
        </is>
      </c>
      <c r="E2223" s="2" t="n"/>
      <c r="F2223" t="inlineStr">
        <is>
          <t>B00VBUYGNA</t>
        </is>
      </c>
      <c r="G2223">
        <f>_xludf.IMAGE("https://www.datocms-assets.com/37225/1663080530-pdp_allure_razor_lilac_mediagallery_01.jpg?auto=compress%2Cformat&amp;dpr=0.49&amp;w=2049")</f>
        <v/>
      </c>
      <c r="H2223">
        <f>_xludf.IMAGE("https://m.media-amazon.com/images/I/81z1yvQ6b3L._AC_UL320_.jpg")</f>
        <v/>
      </c>
      <c r="K2223" t="inlineStr">
        <is>
          <t>8.0</t>
        </is>
      </c>
      <c r="L2223" t="n">
        <v>9.92</v>
      </c>
      <c r="M2223" s="1" t="inlineStr">
        <is>
          <t>24.00%</t>
        </is>
      </c>
      <c r="N2223" s="3" t="n">
        <v>24</v>
      </c>
      <c r="O2223" t="n">
        <v>4.4</v>
      </c>
      <c r="P2223" t="n">
        <v>23897</v>
      </c>
      <c r="R2223" t="inlineStr">
        <is>
          <t>undefined</t>
        </is>
      </c>
      <c r="S2223" t="inlineStr">
        <is>
          <t>undefined</t>
        </is>
      </c>
      <c r="T2223" t="inlineStr">
        <is>
          <t>undefined</t>
        </is>
      </c>
    </row>
    <row r="2224" hidden="1" ht="15.75" customHeight="1">
      <c r="A2224" s="2">
        <f>HYPERLINK("https://www.shopflamingo.com/en/us/products/the-face-wax-kit/", "https://www.shopflamingo.com/en/us/products/the-face-wax-kit/")</f>
        <v/>
      </c>
      <c r="B2224" t="inlineStr">
        <is>
          <t>undefined</t>
        </is>
      </c>
      <c r="C2224" t="inlineStr">
        <is>
          <t>Face Wax Kit</t>
        </is>
      </c>
      <c r="D2224" t="inlineStr">
        <is>
          <t>Parissa No-Strip Face &amp; Lip Hot Wax Kit for Short &amp; Coarse Hair Removal At-Home Waxing Kit on Face, Chin, and Upper Lip, Blue</t>
        </is>
      </c>
      <c r="E2224" s="2">
        <f>HYPERLINK("https://www.amazon.com/Parissa-No-Strip-Coarse-Removal-At-Home/dp/B09V1PZDDM/ref=sr_1_1?keywords=Face+Wax+Kit&amp;qid=1695170990&amp;sr=8-1", "https://www.amazon.com/Parissa-No-Strip-Coarse-Removal-At-Home/dp/B09V1PZDDM/ref=sr_1_1?keywords=Face+Wax+Kit&amp;qid=1695170990&amp;sr=8-1")</f>
        <v/>
      </c>
      <c r="F2224" t="inlineStr">
        <is>
          <t>B09V1PZDDM</t>
        </is>
      </c>
      <c r="G2224">
        <f>_xludf.IMAGE("https://www.datocms-assets.com/37225/1660253131-pdp_facewaxkit-1ct_mediagallery_01.jpg?auto=compress%2Cformat&amp;dpr=0.49&amp;w=2049")</f>
        <v/>
      </c>
      <c r="H2224">
        <f>_xludf.IMAGE("https://m.media-amazon.com/images/I/71tYasYrRKL._AC_UL320_.jpg")</f>
        <v/>
      </c>
      <c r="K2224" t="inlineStr">
        <is>
          <t>10.0</t>
        </is>
      </c>
      <c r="L2224" t="n">
        <v>11.99</v>
      </c>
      <c r="M2224" s="1" t="inlineStr">
        <is>
          <t>19.90%</t>
        </is>
      </c>
      <c r="N2224" s="3" t="n">
        <v>19.9</v>
      </c>
      <c r="O2224" t="n">
        <v>4.3</v>
      </c>
      <c r="P2224" t="n">
        <v>264</v>
      </c>
      <c r="R2224" t="inlineStr">
        <is>
          <t>undefined</t>
        </is>
      </c>
      <c r="S2224" t="inlineStr">
        <is>
          <t>undefined</t>
        </is>
      </c>
      <c r="T2224" t="inlineStr">
        <is>
          <t>undefined</t>
        </is>
      </c>
    </row>
    <row r="2225" hidden="1" ht="15.75" customHeight="1">
      <c r="A2225" s="2">
        <f>HYPERLINK("https://www.shopflamingo.com/en/us/products/head-to-toe-wax/", "https://www.shopflamingo.com/en/us/products/head-to-toe-wax/")</f>
        <v/>
      </c>
      <c r="B2225" t="inlineStr">
        <is>
          <t>undefined</t>
        </is>
      </c>
      <c r="C2225" t="inlineStr">
        <is>
          <t>Head to Toe Wax</t>
        </is>
      </c>
      <c r="D2225" t="inlineStr">
        <is>
          <t>Johnson's Head-To-Toe Gentle Baby Body Wash &amp; Shampoo, Tear-Free, Sulfate-Free &amp; Hypoallergenic Bath Wash &amp; Shampoo for Baby's Sensitive Skin &amp; Hair, Washes Away 99.9% Of Germs 16.9 fl. oz (Pack of 3)</t>
        </is>
      </c>
      <c r="E2225" s="2">
        <f>HYPERLINK("https://www.amazon.com/Johnsons-Gentle-Baby-Shampoo-Sensitive/dp/B07DGKWH6V/ref=sr_1_5?keywords=Head+to+Toe+Wax&amp;qid=1695170989&amp;sr=8-5", "https://www.amazon.com/Johnsons-Gentle-Baby-Shampoo-Sensitive/dp/B07DGKWH6V/ref=sr_1_5?keywords=Head+to+Toe+Wax&amp;qid=1695170989&amp;sr=8-5")</f>
        <v/>
      </c>
      <c r="F2225" t="inlineStr">
        <is>
          <t>B07DGKWH6V</t>
        </is>
      </c>
      <c r="G2225">
        <f>_xludf.IMAGE("https://www.datocms-assets.com/37225/1660253282-pdp_head-to-toe-wax_mediagallery_01.jpg?auto=compress%2Cformat&amp;dpr=0.49&amp;w=2049")</f>
        <v/>
      </c>
      <c r="H2225">
        <f>_xludf.IMAGE("https://m.media-amazon.com/images/I/71hSDbqveOL._AC_UL320_.jpg")</f>
        <v/>
      </c>
      <c r="K2225" t="inlineStr">
        <is>
          <t>19.0</t>
        </is>
      </c>
      <c r="L2225" t="n">
        <v>22.24</v>
      </c>
      <c r="M2225" s="1" t="inlineStr">
        <is>
          <t>17.05%</t>
        </is>
      </c>
      <c r="N2225" s="3" t="n">
        <v>17.05</v>
      </c>
      <c r="O2225" t="n">
        <v>3.6</v>
      </c>
      <c r="P2225" t="n">
        <v>203</v>
      </c>
      <c r="R2225" t="inlineStr">
        <is>
          <t>undefined</t>
        </is>
      </c>
      <c r="S2225" t="inlineStr">
        <is>
          <t>undefined</t>
        </is>
      </c>
      <c r="T2225" t="inlineStr">
        <is>
          <t>undefined</t>
        </is>
      </c>
    </row>
    <row r="2226" hidden="1" ht="15.75" customHeight="1">
      <c r="A2226" s="2">
        <f>HYPERLINK("https://www.shopflamingo.com/en/us/products/wax-trio/", "https://www.shopflamingo.com/en/us/products/wax-trio/")</f>
        <v/>
      </c>
      <c r="B2226" t="inlineStr">
        <is>
          <t>undefined</t>
        </is>
      </c>
      <c r="C2226" t="inlineStr">
        <is>
          <t>Wax Trio</t>
        </is>
      </c>
      <c r="D2226" t="inlineStr">
        <is>
          <t>Hair Gel Wax Bundle Trio - Dreadlocks, Braids, Edges, Natural Curls, Natural Twist, Wave Pomade (Bundle Trio)</t>
        </is>
      </c>
      <c r="E2226" s="2">
        <f>HYPERLINK("https://www.amazon.com/Twist-Up-Hair-Bundle-Trio/dp/B0C8PDN23B/ref=sr_1_3?keywords=Wax+Trio&amp;qid=1695170995&amp;sr=8-3", "https://www.amazon.com/Twist-Up-Hair-Bundle-Trio/dp/B0C8PDN23B/ref=sr_1_3?keywords=Wax+Trio&amp;qid=1695170995&amp;sr=8-3")</f>
        <v/>
      </c>
      <c r="F2226" t="inlineStr">
        <is>
          <t>B0C8PDN23B</t>
        </is>
      </c>
      <c r="G2226">
        <f>_xludf.IMAGE("https://www.datocms-assets.com/37225/1660256080-pdp_wax-trio_mediagallery_01.jpg?auto=compress%2Cformat&amp;dpr=0.49&amp;w=2049")</f>
        <v/>
      </c>
      <c r="H2226">
        <f>_xludf.IMAGE("https://m.media-amazon.com/images/I/71s-TSb01GL._AC_UL320_.jpg")</f>
        <v/>
      </c>
      <c r="K2226" t="inlineStr">
        <is>
          <t>28.0</t>
        </is>
      </c>
      <c r="L2226" t="n">
        <v>30</v>
      </c>
      <c r="M2226" s="1" t="inlineStr">
        <is>
          <t>7.14%</t>
        </is>
      </c>
      <c r="N2226" s="3" t="n">
        <v>7.14</v>
      </c>
      <c r="O2226" t="n">
        <v>4.4</v>
      </c>
      <c r="P2226" t="n">
        <v>74</v>
      </c>
      <c r="R2226" t="inlineStr">
        <is>
          <t>undefined</t>
        </is>
      </c>
      <c r="S2226" t="inlineStr">
        <is>
          <t>undefined</t>
        </is>
      </c>
      <c r="T2226" t="inlineStr">
        <is>
          <t>undefined</t>
        </is>
      </c>
    </row>
    <row r="2227" hidden="1" ht="15.75" customHeight="1">
      <c r="A2227" s="2">
        <f>HYPERLINK("https://www.shopflamingo.com/en/us/products/the-face-wax-kit/", "https://www.shopflamingo.com/en/us/products/the-face-wax-kit/")</f>
        <v/>
      </c>
      <c r="B2227" t="inlineStr">
        <is>
          <t>undefined</t>
        </is>
      </c>
      <c r="C2227" t="inlineStr">
        <is>
          <t>Face Wax Kit</t>
        </is>
      </c>
      <c r="D2227" t="inlineStr">
        <is>
          <t>100g Wax Beads, Face Waxing Kit For Women, Hard Wax Beads for Fine Hair Removal, Facial Wax Hair Removal for Women Face, Eyebrow, Upper Lip, and Cheek Hair Removal Used at Least 8 Times Usage</t>
        </is>
      </c>
      <c r="E2227" s="2">
        <f>HYPERLINK("https://www.amazon.com/Beads-Waxing-Removal-Facial-Eyebrow/dp/B0C4YC8BDY/ref=sr_1_9?keywords=Face+Wax+Kit&amp;qid=1695170990&amp;sr=8-9", "https://www.amazon.com/Beads-Waxing-Removal-Facial-Eyebrow/dp/B0C4YC8BDY/ref=sr_1_9?keywords=Face+Wax+Kit&amp;qid=1695170990&amp;sr=8-9")</f>
        <v/>
      </c>
      <c r="F2227" t="inlineStr">
        <is>
          <t>B0C4YC8BDY</t>
        </is>
      </c>
      <c r="G2227">
        <f>_xludf.IMAGE("https://www.datocms-assets.com/37225/1660253131-pdp_facewaxkit-1ct_mediagallery_01.jpg?auto=compress%2Cformat&amp;dpr=0.49&amp;w=2049")</f>
        <v/>
      </c>
      <c r="H2227">
        <f>_xludf.IMAGE("https://m.media-amazon.com/images/I/71NjXpp1EIL._AC_UL320_.jpg")</f>
        <v/>
      </c>
      <c r="K2227" t="inlineStr">
        <is>
          <t>10.0</t>
        </is>
      </c>
      <c r="L2227" t="n">
        <v>9.99</v>
      </c>
      <c r="M2227" s="1" t="inlineStr">
        <is>
          <t>-0.10%</t>
        </is>
      </c>
      <c r="N2227" s="3" t="n">
        <v>-0.1</v>
      </c>
      <c r="O2227" t="n">
        <v>3.4</v>
      </c>
      <c r="P2227" t="n">
        <v>303</v>
      </c>
      <c r="R2227" t="inlineStr">
        <is>
          <t>undefined</t>
        </is>
      </c>
      <c r="S2227" t="inlineStr">
        <is>
          <t>undefined</t>
        </is>
      </c>
      <c r="T2227" t="inlineStr">
        <is>
          <t>undefined</t>
        </is>
      </c>
    </row>
    <row r="2228" hidden="1" ht="15.75" customHeight="1">
      <c r="A2228" s="2">
        <f>HYPERLINK("https://www.shopflamingo.com/en/us/products/pubic-hair-wax-kit/", "https://www.shopflamingo.com/en/us/products/pubic-hair-wax-kit/")</f>
        <v/>
      </c>
      <c r="B2228" t="inlineStr">
        <is>
          <t>undefined</t>
        </is>
      </c>
      <c r="C2228" t="inlineStr">
        <is>
          <t>Pubic Hair Wax Kit</t>
        </is>
      </c>
      <c r="D2228" t="inlineStr">
        <is>
          <t>Schick Hydro Silk Sugar Wax Roller for Body + Pubic, Roll On Body Wax Kit, Soft , Hair Removal Wax, Bikini Line Hair Removal</t>
        </is>
      </c>
      <c r="E2228" s="2">
        <f>HYPERLINK("https://www.amazon.com/Schick-Hydro-Silk-Roller-Removal/dp/B0BPDW88ZG/ref=sr_1_5?keywords=Pubic+Hair+Wax+Kit&amp;qid=1695170990&amp;sr=8-5", "https://www.amazon.com/Schick-Hydro-Silk-Roller-Removal/dp/B0BPDW88ZG/ref=sr_1_5?keywords=Pubic+Hair+Wax+Kit&amp;qid=1695170990&amp;sr=8-5")</f>
        <v/>
      </c>
      <c r="F2228" t="inlineStr">
        <is>
          <t>B0BPDW88ZG</t>
        </is>
      </c>
      <c r="G2228">
        <f>_xludf.IMAGE("https://www.datocms-assets.com/37225/1660255627-pdp_pubicwaxkit-1ct_mediagallery_01.jpg?auto=compress%2Cformat&amp;dpr=0.49&amp;w=2049")</f>
        <v/>
      </c>
      <c r="H2228">
        <f>_xludf.IMAGE("https://m.media-amazon.com/images/I/71OBkZE6tyL._AC_UL320_.jpg")</f>
        <v/>
      </c>
      <c r="K2228" t="inlineStr">
        <is>
          <t>10.0</t>
        </is>
      </c>
      <c r="L2228" t="n">
        <v>9.970000000000001</v>
      </c>
      <c r="M2228" s="1" t="inlineStr">
        <is>
          <t>-0.30%</t>
        </is>
      </c>
      <c r="N2228" s="3" t="n">
        <v>-0.3</v>
      </c>
      <c r="O2228" t="n">
        <v>3.4</v>
      </c>
      <c r="P2228" t="n">
        <v>1666</v>
      </c>
      <c r="R2228" t="inlineStr">
        <is>
          <t>undefined</t>
        </is>
      </c>
      <c r="S2228" t="inlineStr">
        <is>
          <t>undefined</t>
        </is>
      </c>
      <c r="T2228" t="inlineStr">
        <is>
          <t>undefined</t>
        </is>
      </c>
    </row>
    <row r="2229" hidden="1" ht="15.75" customHeight="1">
      <c r="A2229" s="2">
        <f>HYPERLINK("https://www.shopflamingo.com/en/us/products/body-hair-removal-cream/", "https://www.shopflamingo.com/en/us/products/body-hair-removal-cream/")</f>
        <v/>
      </c>
      <c r="B2229" t="inlineStr">
        <is>
          <t>undefined</t>
        </is>
      </c>
      <c r="C2229" t="inlineStr">
        <is>
          <t>Body Hair Removal Cream</t>
        </is>
      </c>
      <c r="D2229" t="inlineStr">
        <is>
          <t>VEET Sensitive Skin Hair Removal Cream For Women, Painless Bikini Hair Removal Gel, Dermatologically Tested Depilatory Cream For Intimate Areas, 13.5 FL OZ Pump Bottle with Tool</t>
        </is>
      </c>
      <c r="E2229" s="2">
        <f>HYPERLINK("https://www.amazon.com/Remover-Veet-Removal-Sensitive-Packaging/dp/B001KYPZ4G/ref=sr_1_2?keywords=Body+Hair+Removal+Cream&amp;qid=1695171008&amp;sr=8-2", "https://www.amazon.com/Remover-Veet-Removal-Sensitive-Packaging/dp/B001KYPZ4G/ref=sr_1_2?keywords=Body+Hair+Removal+Cream&amp;qid=1695171008&amp;sr=8-2")</f>
        <v/>
      </c>
      <c r="F2229" t="inlineStr">
        <is>
          <t>B001KYPZ4G</t>
        </is>
      </c>
      <c r="G2229">
        <f>_xludf.IMAGE("https://www.datocms-assets.com/37225/1674241459-body-depilatory_pdp_ecomm.jpg?auto=compress%2Cformat&amp;dpr=0.37&amp;w=2732")</f>
        <v/>
      </c>
      <c r="H2229">
        <f>_xludf.IMAGE("https://m.media-amazon.com/images/I/81E3lJom2-L._AC_UL320_.jpg")</f>
        <v/>
      </c>
      <c r="K2229" t="inlineStr">
        <is>
          <t>9.5</t>
        </is>
      </c>
      <c r="L2229" t="n">
        <v>9.470000000000001</v>
      </c>
      <c r="M2229" s="1" t="inlineStr">
        <is>
          <t>-0.32%</t>
        </is>
      </c>
      <c r="N2229" s="3" t="n">
        <v>-0.32</v>
      </c>
      <c r="O2229" t="n">
        <v>4.2</v>
      </c>
      <c r="P2229" t="n">
        <v>69558</v>
      </c>
      <c r="R2229" t="inlineStr">
        <is>
          <t>undefined</t>
        </is>
      </c>
      <c r="S2229" t="inlineStr">
        <is>
          <t>undefined</t>
        </is>
      </c>
      <c r="T2229" t="inlineStr">
        <is>
          <t>undefined</t>
        </is>
      </c>
    </row>
    <row r="2230" hidden="1" ht="15.75" customHeight="1">
      <c r="A2230" s="2">
        <f>HYPERLINK("https://www.shopflamingo.com/en/us/products/moisture-trio/", "https://www.shopflamingo.com/en/us/products/moisture-trio/")</f>
        <v/>
      </c>
      <c r="B2230" t="inlineStr">
        <is>
          <t>undefined</t>
        </is>
      </c>
      <c r="C2230" t="inlineStr">
        <is>
          <t>Body Moisture Trio</t>
        </is>
      </c>
      <c r="D2230" t="inlineStr">
        <is>
          <t>The Body Shop Comfort &amp; Cheer Body Butter Trio Gift Set – Hydrating &amp; Rejuvenating Skincare with 96hr Moisture for Smooth, Softer-Feeling Skin – Vegan – 3 * 50ml Body Butters</t>
        </is>
      </c>
      <c r="E2230" s="2">
        <f>HYPERLINK("https://www.amazon.com/Body-Shop-Comfort-Cheer-Butter/dp/B0B7CRJDMD/ref=sr_1_7?keywords=Body+Moisture+Trio&amp;qid=1695170989&amp;sr=8-7", "https://www.amazon.com/Body-Shop-Comfort-Cheer-Butter/dp/B0B7CRJDMD/ref=sr_1_7?keywords=Body+Moisture+Trio&amp;qid=1695170989&amp;sr=8-7")</f>
        <v/>
      </c>
      <c r="F2230" t="inlineStr">
        <is>
          <t>B0B7CRJDMD</t>
        </is>
      </c>
      <c r="G2230">
        <f>_xludf.IMAGE("https://www.datocms-assets.com/37225/1677261615-moisturetrio_ecomm_pdp_1.png?auto=compress%2Cformat&amp;dpr=0.74&amp;w=1366")</f>
        <v/>
      </c>
      <c r="H2230">
        <f>_xludf.IMAGE("https://m.media-amazon.com/images/I/71f1sqoF2SL._AC_UL320_.jpg")</f>
        <v/>
      </c>
      <c r="K2230" t="inlineStr">
        <is>
          <t>25.0</t>
        </is>
      </c>
      <c r="L2230" t="n">
        <v>23.44</v>
      </c>
      <c r="M2230" s="1" t="inlineStr">
        <is>
          <t>-6.24%</t>
        </is>
      </c>
      <c r="N2230" s="3" t="n">
        <v>-6.24</v>
      </c>
      <c r="O2230" t="n">
        <v>4.7</v>
      </c>
      <c r="P2230" t="n">
        <v>32</v>
      </c>
      <c r="R2230" t="inlineStr">
        <is>
          <t>undefined</t>
        </is>
      </c>
      <c r="S2230" t="inlineStr">
        <is>
          <t>undefined</t>
        </is>
      </c>
      <c r="T2230" t="inlineStr">
        <is>
          <t>undefined</t>
        </is>
      </c>
    </row>
    <row r="2231" hidden="1" ht="15.75" customHeight="1">
      <c r="A2231" s="2">
        <f>HYPERLINK("https://www.shopflamingo.com/en/us/products/razor/", "https://www.shopflamingo.com/en/us/products/razor/")</f>
        <v/>
      </c>
      <c r="B2231" t="inlineStr">
        <is>
          <t>undefined</t>
        </is>
      </c>
      <c r="C2231" t="inlineStr">
        <is>
          <t>Razor</t>
        </is>
      </c>
      <c r="D2231" t="inlineStr">
        <is>
          <t>Gillette Venus Sensitive Women's Disposable Razors - Single Package of 3 Razors (Packaging May Vary)</t>
        </is>
      </c>
      <c r="E2231" s="2">
        <f>HYPERLINK("https://www.amazon.com/Gillette-Venus-Womens-Disposable-Sensitive/dp/B0039LMTAQ/ref=sr_1_5?keywords=Razor&amp;qid=1695170989&amp;sr=8-5", "https://www.amazon.com/Gillette-Venus-Womens-Disposable-Sensitive/dp/B0039LMTAQ/ref=sr_1_5?keywords=Razor&amp;qid=1695170989&amp;sr=8-5")</f>
        <v/>
      </c>
      <c r="F2231" t="inlineStr">
        <is>
          <t>B0039LMTAQ</t>
        </is>
      </c>
      <c r="G2231">
        <f>_xludf.IMAGE("https://www.datocms-assets.com/37225/1663080530-pdp_allure_razor_lilac_mediagallery_01.jpg?auto=compress%2Cformat&amp;dpr=0.49&amp;w=2049")</f>
        <v/>
      </c>
      <c r="H2231">
        <f>_xludf.IMAGE("https://m.media-amazon.com/images/I/81XmHhRkMdL._AC_UL320_.jpg")</f>
        <v/>
      </c>
      <c r="K2231" t="inlineStr">
        <is>
          <t>8.0</t>
        </is>
      </c>
      <c r="L2231" t="n">
        <v>6.94</v>
      </c>
      <c r="M2231" s="1" t="inlineStr">
        <is>
          <t>-13.25%</t>
        </is>
      </c>
      <c r="N2231" s="3" t="n">
        <v>-13.25</v>
      </c>
      <c r="O2231" t="n">
        <v>4.6</v>
      </c>
      <c r="P2231" t="n">
        <v>22461</v>
      </c>
      <c r="R2231" t="inlineStr">
        <is>
          <t>undefined</t>
        </is>
      </c>
      <c r="S2231" t="inlineStr">
        <is>
          <t>undefined</t>
        </is>
      </c>
      <c r="T2231" t="inlineStr">
        <is>
          <t>undefined</t>
        </is>
      </c>
    </row>
    <row r="2232" hidden="1" ht="15.75" customHeight="1">
      <c r="A2232" s="2">
        <f>HYPERLINK("https://www.shopflamingo.com/en/us/products/deep-nourishing-cream/", "https://www.shopflamingo.com/en/us/products/deep-nourishing-cream/")</f>
        <v/>
      </c>
      <c r="B2232" t="inlineStr">
        <is>
          <t>undefined</t>
        </is>
      </c>
      <c r="C2232" t="inlineStr">
        <is>
          <t>Deep Nourishing Cream</t>
        </is>
      </c>
      <c r="D2232" t="inlineStr">
        <is>
          <t>Deep Tea Tree Formula Nourishing Night Cream, 1.69 fl. oz.</t>
        </is>
      </c>
      <c r="E2232" s="2">
        <f>HYPERLINK("https://www.amazon.com/Deep-Formula-Nourishing-Night-Cream/dp/B07HVGCF15/ref=sr_1_2?keywords=Deep+Nourishing+Cream&amp;qid=1695170995&amp;sr=8-2", "https://www.amazon.com/Deep-Formula-Nourishing-Night-Cream/dp/B07HVGCF15/ref=sr_1_2?keywords=Deep+Nourishing+Cream&amp;qid=1695170995&amp;sr=8-2")</f>
        <v/>
      </c>
      <c r="F2232" t="inlineStr">
        <is>
          <t>B07HVGCF15</t>
        </is>
      </c>
      <c r="G2232">
        <f>_xludf.IMAGE("https://www.datocms-assets.com/37225/1663087101-pdp_allure_deep-nourishing-cream_mediagallery_01.jpg?auto=compress%2Cformat&amp;dpr=0.49&amp;w=2049")</f>
        <v/>
      </c>
      <c r="H2232">
        <f>_xludf.IMAGE("https://m.media-amazon.com/images/I/71G-iCGbEPL._AC_UL320_.jpg")</f>
        <v/>
      </c>
      <c r="K2232" t="inlineStr">
        <is>
          <t>10.0</t>
        </is>
      </c>
      <c r="L2232" t="n">
        <v>7</v>
      </c>
      <c r="M2232" s="1" t="inlineStr">
        <is>
          <t>-30.00%</t>
        </is>
      </c>
      <c r="N2232" s="3" t="n">
        <v>-30</v>
      </c>
      <c r="O2232" t="n">
        <v>5</v>
      </c>
      <c r="P2232" t="n">
        <v>4</v>
      </c>
      <c r="R2232" t="inlineStr">
        <is>
          <t>undefined</t>
        </is>
      </c>
      <c r="S2232" t="inlineStr">
        <is>
          <t>undefined</t>
        </is>
      </c>
      <c r="T2232" t="inlineStr">
        <is>
          <t>undefined</t>
        </is>
      </c>
    </row>
    <row r="2233" hidden="1" ht="15.75" customHeight="1">
      <c r="A2233" s="2">
        <f>HYPERLINK("https://www.shopflamingo.com/en/us/products/the-face-wax-kit/", "https://www.shopflamingo.com/en/us/products/the-face-wax-kit/")</f>
        <v/>
      </c>
      <c r="B2233" t="inlineStr">
        <is>
          <t>undefined</t>
        </is>
      </c>
      <c r="C2233" t="inlineStr">
        <is>
          <t>Face Wax Kit</t>
        </is>
      </c>
      <c r="D2233" t="inlineStr">
        <is>
          <t>Sally Hansen Eyebrow, Face &amp; Lip Wax Kit, Pack Of 1</t>
        </is>
      </c>
      <c r="E2233" s="2">
        <f>HYPERLINK("https://www.amazon.com/Sally-Hansen-Eyebrow-Microwaveable-Extrasoothe/dp/B000AA5VE0/ref=sr_1_4?keywords=Face+Wax+Kit&amp;qid=1695170990&amp;sr=8-4", "https://www.amazon.com/Sally-Hansen-Eyebrow-Microwaveable-Extrasoothe/dp/B000AA5VE0/ref=sr_1_4?keywords=Face+Wax+Kit&amp;qid=1695170990&amp;sr=8-4")</f>
        <v/>
      </c>
      <c r="F2233" t="inlineStr">
        <is>
          <t>B000AA5VE0</t>
        </is>
      </c>
      <c r="G2233">
        <f>_xludf.IMAGE("https://www.datocms-assets.com/37225/1660253131-pdp_facewaxkit-1ct_mediagallery_01.jpg?auto=compress%2Cformat&amp;dpr=0.49&amp;w=2049")</f>
        <v/>
      </c>
      <c r="H2233">
        <f>_xludf.IMAGE("https://m.media-amazon.com/images/I/81EwRJp0FzL._AC_UL320_.jpg")</f>
        <v/>
      </c>
      <c r="K2233" t="inlineStr">
        <is>
          <t>10.0</t>
        </is>
      </c>
      <c r="L2233" t="n">
        <v>6.99</v>
      </c>
      <c r="M2233" s="1" t="inlineStr">
        <is>
          <t>-30.10%</t>
        </is>
      </c>
      <c r="N2233" s="3" t="n">
        <v>-30.1</v>
      </c>
      <c r="O2233" t="n">
        <v>4</v>
      </c>
      <c r="P2233" t="n">
        <v>12021</v>
      </c>
      <c r="R2233" t="inlineStr">
        <is>
          <t>undefined</t>
        </is>
      </c>
      <c r="S2233" t="inlineStr">
        <is>
          <t>undefined</t>
        </is>
      </c>
      <c r="T2233" t="inlineStr">
        <is>
          <t>undefined</t>
        </is>
      </c>
    </row>
    <row r="2234" hidden="1" ht="15.75" customHeight="1">
      <c r="A2234" s="2">
        <f>HYPERLINK("https://www.shopflamingo.com/en/us/products/body-hair-removal-cream/", "https://www.shopflamingo.com/en/us/products/body-hair-removal-cream/")</f>
        <v/>
      </c>
      <c r="B2234" t="inlineStr">
        <is>
          <t>undefined</t>
        </is>
      </c>
      <c r="C2234" t="inlineStr">
        <is>
          <t>Body Hair Removal Cream</t>
        </is>
      </c>
      <c r="D2234" t="inlineStr">
        <is>
          <t>Nad's for Men Hair Removal Cream - Painless Hair Removal For Men - Soothing Depilatory Cream For Unwanted Coarse Male Body Hair, 6.8 Oz</t>
        </is>
      </c>
      <c r="E2234" s="2">
        <f>HYPERLINK("https://www.amazon.com/Nads-Men-Hair-Removal-Cream/dp/B003JFJF5E/ref=sr_1_3?keywords=Body+Hair+Removal+Cream&amp;qid=1695171008&amp;sr=8-3", "https://www.amazon.com/Nads-Men-Hair-Removal-Cream/dp/B003JFJF5E/ref=sr_1_3?keywords=Body+Hair+Removal+Cream&amp;qid=1695171008&amp;sr=8-3")</f>
        <v/>
      </c>
      <c r="F2234" t="inlineStr">
        <is>
          <t>B003JFJF5E</t>
        </is>
      </c>
      <c r="G2234">
        <f>_xludf.IMAGE("https://www.datocms-assets.com/37225/1674241459-body-depilatory_pdp_ecomm.jpg?auto=compress%2Cformat&amp;dpr=0.37&amp;w=2732")</f>
        <v/>
      </c>
      <c r="H2234">
        <f>_xludf.IMAGE("https://m.media-amazon.com/images/I/61EdS5myCaL._AC_UL320_.jpg")</f>
        <v/>
      </c>
      <c r="K2234" t="inlineStr">
        <is>
          <t>9.5</t>
        </is>
      </c>
      <c r="L2234" t="n">
        <v>5.98</v>
      </c>
      <c r="M2234" s="1" t="inlineStr">
        <is>
          <t>-37.05%</t>
        </is>
      </c>
      <c r="N2234" s="3" t="n">
        <v>-37.05</v>
      </c>
      <c r="O2234" t="n">
        <v>3.9</v>
      </c>
      <c r="P2234" t="n">
        <v>24497</v>
      </c>
      <c r="R2234" t="inlineStr">
        <is>
          <t>undefined</t>
        </is>
      </c>
      <c r="S2234" t="inlineStr">
        <is>
          <t>undefined</t>
        </is>
      </c>
      <c r="T2234" t="inlineStr">
        <is>
          <t>undefined</t>
        </is>
      </c>
    </row>
    <row r="2235" hidden="1" ht="15.75" customHeight="1">
      <c r="A2235" s="2">
        <f>HYPERLINK("https://www.shopflamingo.com/en/us/products/wax-trio/", "https://www.shopflamingo.com/en/us/products/wax-trio/")</f>
        <v/>
      </c>
      <c r="B2235" t="inlineStr">
        <is>
          <t>undefined</t>
        </is>
      </c>
      <c r="C2235" t="inlineStr">
        <is>
          <t>Wax Trio</t>
        </is>
      </c>
      <c r="D2235" t="inlineStr">
        <is>
          <t>3Pack Leather Mix Trio Soy Blend Wax Melts Leather Country, Leather Fiery, Strawberry Leather, 9oz 18 Wax Cubes Wax Tarts Wax Chunks, 100 Plus Hours of Quality Fragrance</t>
        </is>
      </c>
      <c r="E2235" s="2">
        <f>HYPERLINK("https://www.amazon.com/ChicWick-Candles-Leather-Strawberry-Fragrance/dp/B01HIT98NU/ref=sr_1_1?keywords=Wax+Trio&amp;qid=1695170995&amp;sr=8-1", "https://www.amazon.com/ChicWick-Candles-Leather-Strawberry-Fragrance/dp/B01HIT98NU/ref=sr_1_1?keywords=Wax+Trio&amp;qid=1695170995&amp;sr=8-1")</f>
        <v/>
      </c>
      <c r="F2235" t="inlineStr">
        <is>
          <t>B01HIT98NU</t>
        </is>
      </c>
      <c r="G2235">
        <f>_xludf.IMAGE("https://www.datocms-assets.com/37225/1660256080-pdp_wax-trio_mediagallery_01.jpg?auto=compress%2Cformat&amp;dpr=0.49&amp;w=2049")</f>
        <v/>
      </c>
      <c r="H2235">
        <f>_xludf.IMAGE("https://m.media-amazon.com/images/I/71YuBnWlqLL._AC_UL320_.jpg")</f>
        <v/>
      </c>
      <c r="K2235" t="inlineStr">
        <is>
          <t>28.0</t>
        </is>
      </c>
      <c r="L2235" t="n">
        <v>17.5</v>
      </c>
      <c r="M2235" s="1" t="inlineStr">
        <is>
          <t>-37.50%</t>
        </is>
      </c>
      <c r="N2235" s="3" t="n">
        <v>-37.5</v>
      </c>
      <c r="O2235" t="n">
        <v>4</v>
      </c>
      <c r="P2235" t="n">
        <v>20</v>
      </c>
      <c r="R2235" t="inlineStr">
        <is>
          <t>undefined</t>
        </is>
      </c>
      <c r="S2235" t="inlineStr">
        <is>
          <t>undefined</t>
        </is>
      </c>
      <c r="T2235" t="inlineStr">
        <is>
          <t>undefined</t>
        </is>
      </c>
    </row>
    <row r="2236" hidden="1" ht="15.75" customHeight="1">
      <c r="A2236" s="2">
        <f>HYPERLINK("https://www.shopflamingo.com/en/us/products/the-face-wax-kit/", "https://www.shopflamingo.com/en/us/products/the-face-wax-kit/")</f>
        <v/>
      </c>
      <c r="B2236" t="inlineStr">
        <is>
          <t>undefined</t>
        </is>
      </c>
      <c r="C2236" t="inlineStr">
        <is>
          <t>Face Wax Kit</t>
        </is>
      </c>
      <c r="D2236" t="inlineStr">
        <is>
          <t>Nad's Facial Wax Strips - Hypoallergenic All Skin Types - Facial Hair Removal For Women - At Home Waxing Kit with 20 Face Wax Strips + 4 Calming Oil Wipes + Skin Protection Powder</t>
        </is>
      </c>
      <c r="E2236" s="2">
        <f>HYPERLINK("https://www.amazon.com/NADs-Piece-Facial-Wax-Strips/dp/B003JFJF4A/ref=sr_1_8?keywords=Face+Wax+Kit&amp;qid=1695170990&amp;sr=8-8", "https://www.amazon.com/NADs-Piece-Facial-Wax-Strips/dp/B003JFJF4A/ref=sr_1_8?keywords=Face+Wax+Kit&amp;qid=1695170990&amp;sr=8-8")</f>
        <v/>
      </c>
      <c r="F2236" t="inlineStr">
        <is>
          <t>B003JFJF4A</t>
        </is>
      </c>
      <c r="G2236">
        <f>_xludf.IMAGE("https://www.datocms-assets.com/37225/1660253131-pdp_facewaxkit-1ct_mediagallery_01.jpg?auto=compress%2Cformat&amp;dpr=0.49&amp;w=2049")</f>
        <v/>
      </c>
      <c r="H2236">
        <f>_xludf.IMAGE("https://m.media-amazon.com/images/I/71oNHsvAzhL._AC_UL320_.jpg")</f>
        <v/>
      </c>
      <c r="K2236" t="inlineStr">
        <is>
          <t>10.0</t>
        </is>
      </c>
      <c r="L2236" t="n">
        <v>4.99</v>
      </c>
      <c r="M2236" s="1" t="inlineStr">
        <is>
          <t>-50.10%</t>
        </is>
      </c>
      <c r="N2236" s="3" t="n">
        <v>-50.1</v>
      </c>
      <c r="O2236" t="n">
        <v>3.8</v>
      </c>
      <c r="P2236" t="n">
        <v>31906</v>
      </c>
      <c r="R2236" t="inlineStr">
        <is>
          <t>undefined</t>
        </is>
      </c>
      <c r="S2236" t="inlineStr">
        <is>
          <t>undefined</t>
        </is>
      </c>
      <c r="T2236" t="inlineStr">
        <is>
          <t>undefined</t>
        </is>
      </c>
    </row>
    <row r="2237" hidden="1" ht="15.75" customHeight="1">
      <c r="A2237" s="2">
        <f>HYPERLINK("https://www.shopflamingo.com/en/us/products/wax-trio/", "https://www.shopflamingo.com/en/us/products/wax-trio/")</f>
        <v/>
      </c>
      <c r="B2237" t="inlineStr">
        <is>
          <t>undefined</t>
        </is>
      </c>
      <c r="C2237" t="inlineStr">
        <is>
          <t>Wax Trio</t>
        </is>
      </c>
      <c r="D2237" t="inlineStr">
        <is>
          <t>Lot of 3 - Multistrand string bracelet surfer beach friendship handemade with waxed brazilian polycord - Blue trio</t>
        </is>
      </c>
      <c r="E2237" s="2">
        <f>HYPERLINK("https://www.amazon.com/Lot-Multistrand-friendship-handemade-brazilian/dp/B0719T8R8P/ref=sr_1_2?keywords=Wax+Trio&amp;qid=1695170995&amp;sr=8-2", "https://www.amazon.com/Lot-Multistrand-friendship-handemade-brazilian/dp/B0719T8R8P/ref=sr_1_2?keywords=Wax+Trio&amp;qid=1695170995&amp;sr=8-2")</f>
        <v/>
      </c>
      <c r="F2237" t="inlineStr">
        <is>
          <t>B0719T8R8P</t>
        </is>
      </c>
      <c r="G2237">
        <f>_xludf.IMAGE("https://www.datocms-assets.com/37225/1660256080-pdp_wax-trio_mediagallery_01.jpg?auto=compress%2Cformat&amp;dpr=0.49&amp;w=2049")</f>
        <v/>
      </c>
      <c r="H2237">
        <f>_xludf.IMAGE("https://m.media-amazon.com/images/I/61ANGQzE1fL._AC_UL320_.jpg")</f>
        <v/>
      </c>
      <c r="K2237" t="inlineStr">
        <is>
          <t>28.0</t>
        </is>
      </c>
      <c r="L2237" t="n">
        <v>12.99</v>
      </c>
      <c r="M2237" s="1" t="inlineStr">
        <is>
          <t>-53.61%</t>
        </is>
      </c>
      <c r="N2237" s="3" t="n">
        <v>-53.61</v>
      </c>
      <c r="O2237" t="n">
        <v>2</v>
      </c>
      <c r="P2237" t="n">
        <v>3</v>
      </c>
      <c r="R2237" t="inlineStr">
        <is>
          <t>undefined</t>
        </is>
      </c>
      <c r="S2237" t="inlineStr">
        <is>
          <t>undefined</t>
        </is>
      </c>
      <c r="T2237" t="inlineStr">
        <is>
          <t>undefined</t>
        </is>
      </c>
    </row>
    <row r="2238" hidden="1" ht="15.75" customHeight="1">
      <c r="A2238" s="2">
        <f>HYPERLINK("https://www.shopflamingo.com/en/us/products/head-to-toe-wax/", "https://www.shopflamingo.com/en/us/products/head-to-toe-wax/")</f>
        <v/>
      </c>
      <c r="B2238" t="inlineStr">
        <is>
          <t>undefined</t>
        </is>
      </c>
      <c r="C2238" t="inlineStr">
        <is>
          <t>Head to Toe Wax</t>
        </is>
      </c>
      <c r="D2238" t="inlineStr">
        <is>
          <t>Johnson's Head-To-Toe Gentle Baby Body Wash &amp; Shampoo, Tear-Free, Sulfate-Free &amp; Hypoallergenic Bath Wash &amp; Shampoo for Baby's Sensitive Skin &amp; Hair, Washes Away 99.9% Of Germs 27.1 fl. oz</t>
        </is>
      </c>
      <c r="E2238" s="2">
        <f>HYPERLINK("https://www.amazon.com/Johnsons-Baby-Tear-Free-Sulfate-Free-Hypoallergenic/dp/B07D2JMJPS/ref=sr_1_1?keywords=Head+to+Toe+Wax&amp;qid=1695170989&amp;sr=8-1", "https://www.amazon.com/Johnsons-Baby-Tear-Free-Sulfate-Free-Hypoallergenic/dp/B07D2JMJPS/ref=sr_1_1?keywords=Head+to+Toe+Wax&amp;qid=1695170989&amp;sr=8-1")</f>
        <v/>
      </c>
      <c r="F2238" t="inlineStr">
        <is>
          <t>B07D2JMJPS</t>
        </is>
      </c>
      <c r="G2238">
        <f>_xludf.IMAGE("https://www.datocms-assets.com/37225/1660253282-pdp_head-to-toe-wax_mediagallery_01.jpg?auto=compress%2Cformat&amp;dpr=0.49&amp;w=2049")</f>
        <v/>
      </c>
      <c r="H2238">
        <f>_xludf.IMAGE("https://m.media-amazon.com/images/I/710tmcYnNoL._AC_UL320_.jpg")</f>
        <v/>
      </c>
      <c r="K2238" t="inlineStr">
        <is>
          <t>19.0</t>
        </is>
      </c>
      <c r="L2238" t="n">
        <v>7.68</v>
      </c>
      <c r="M2238" s="1" t="inlineStr">
        <is>
          <t>-59.58%</t>
        </is>
      </c>
      <c r="N2238" s="3" t="n">
        <v>-59.58</v>
      </c>
      <c r="O2238" t="n">
        <v>4.7</v>
      </c>
      <c r="P2238" t="n">
        <v>32278</v>
      </c>
      <c r="R2238" t="inlineStr">
        <is>
          <t>undefined</t>
        </is>
      </c>
      <c r="S2238" t="inlineStr">
        <is>
          <t>undefined</t>
        </is>
      </c>
      <c r="T2238" t="inlineStr">
        <is>
          <t>undefined</t>
        </is>
      </c>
    </row>
    <row r="2239" hidden="1" ht="15.75" customHeight="1">
      <c r="A2239" s="2">
        <f>HYPERLINK("https://www.shopflamingo.com/en/us/products/head-to-toe-wax/", "https://www.shopflamingo.com/en/us/products/head-to-toe-wax/")</f>
        <v/>
      </c>
      <c r="B2239" t="inlineStr">
        <is>
          <t>undefined</t>
        </is>
      </c>
      <c r="C2239" t="inlineStr">
        <is>
          <t>Head to Toe Wax</t>
        </is>
      </c>
      <c r="D2239" t="inlineStr">
        <is>
          <t>Johnsons Baby Head To Toe Wash And Shampoo 3 pack 1.7 Ounce Each</t>
        </is>
      </c>
      <c r="E2239" s="2">
        <f>HYPERLINK("https://www.amazon.com/Johnsons-Baby-Head-Shampoo-Ounce/dp/B07K5ZDQJ5/ref=sr_1_6?keywords=Head+to+Toe+Wax&amp;qid=1695170989&amp;sr=8-6", "https://www.amazon.com/Johnsons-Baby-Head-Shampoo-Ounce/dp/B07K5ZDQJ5/ref=sr_1_6?keywords=Head+to+Toe+Wax&amp;qid=1695170989&amp;sr=8-6")</f>
        <v/>
      </c>
      <c r="F2239" t="inlineStr">
        <is>
          <t>B07K5ZDQJ5</t>
        </is>
      </c>
      <c r="G2239">
        <f>_xludf.IMAGE("https://www.datocms-assets.com/37225/1660253282-pdp_head-to-toe-wax_mediagallery_01.jpg?auto=compress%2Cformat&amp;dpr=0.49&amp;w=2049")</f>
        <v/>
      </c>
      <c r="H2239">
        <f>_xludf.IMAGE("https://m.media-amazon.com/images/I/713921Jh2AL._AC_UL320_.jpg")</f>
        <v/>
      </c>
      <c r="K2239" t="inlineStr">
        <is>
          <t>19.0</t>
        </is>
      </c>
      <c r="L2239" t="n">
        <v>6.92</v>
      </c>
      <c r="M2239" s="1" t="inlineStr">
        <is>
          <t>-63.58%</t>
        </is>
      </c>
      <c r="N2239" s="3" t="n">
        <v>-63.58</v>
      </c>
      <c r="O2239" t="n">
        <v>4.4</v>
      </c>
      <c r="P2239" t="n">
        <v>300</v>
      </c>
      <c r="R2239" t="inlineStr">
        <is>
          <t>undefined</t>
        </is>
      </c>
      <c r="S2239" t="inlineStr">
        <is>
          <t>undefined</t>
        </is>
      </c>
      <c r="T2239" t="inlineStr">
        <is>
          <t>undefined</t>
        </is>
      </c>
    </row>
    <row r="2240" hidden="1" ht="15.75" customHeight="1">
      <c r="A2240" s="2">
        <f>HYPERLINK("https://www.soccerplususa.com/reusch/reusch-attrakt-solid-jr-46207", "https://www.soccerplususa.com/reusch/reusch-attrakt-solid-jr-46207")</f>
        <v/>
      </c>
      <c r="B2240" t="inlineStr">
        <is>
          <t>undefined</t>
        </is>
      </c>
      <c r="C2240" t="inlineStr">
        <is>
          <t>Reusch Attrakt Solid Jr</t>
        </is>
      </c>
      <c r="D2240" t="inlineStr">
        <is>
          <t>Reusch Attrakt Solid Finger Support Junior Goalkeeper Gloves</t>
        </is>
      </c>
      <c r="E2240" s="2">
        <f>HYPERLINK("https://www.amazon.com/Reusch-Attrakt-Finger-Support-Junior/dp/B09TG5YBF2/ref=sr_1_1?keywords=Reusch+Attrakt+Solid+Jr&amp;qid=1695171021&amp;sr=8-1", "https://www.amazon.com/Reusch-Attrakt-Finger-Support-Junior/dp/B09TG5YBF2/ref=sr_1_1?keywords=Reusch+Attrakt+Solid+Jr&amp;qid=1695171021&amp;sr=8-1")</f>
        <v/>
      </c>
      <c r="F2240" t="inlineStr">
        <is>
          <t>B09TG5YBF2</t>
        </is>
      </c>
      <c r="G2240">
        <f>_xludf.IMAGE("https://www.soccerplususa.com/prodimages//37587-YELLOW-M.jpg")</f>
        <v/>
      </c>
      <c r="H2240">
        <f>_xludf.IMAGE("https://m.media-amazon.com/images/I/71+8hzRG7pL._AC_UL320_.jpg")</f>
        <v/>
      </c>
      <c r="K2240" t="inlineStr">
        <is>
          <t>24.95</t>
        </is>
      </c>
      <c r="L2240" t="n">
        <v>44.99</v>
      </c>
      <c r="M2240" s="1" t="inlineStr">
        <is>
          <t>80.32%</t>
        </is>
      </c>
      <c r="N2240" s="3" t="n">
        <v>80.31999999999999</v>
      </c>
      <c r="O2240" t="n">
        <v>3.3</v>
      </c>
      <c r="P2240" t="n">
        <v>3</v>
      </c>
      <c r="R2240" t="inlineStr">
        <is>
          <t>InStock</t>
        </is>
      </c>
      <c r="S2240" t="inlineStr">
        <is>
          <t>undefined</t>
        </is>
      </c>
      <c r="T2240" t="inlineStr">
        <is>
          <t>5372515</t>
        </is>
      </c>
    </row>
    <row r="2241" hidden="1" ht="15.75" customHeight="1">
      <c r="A2241" s="2">
        <f>HYPERLINK("https://www.soccerplususa.com/nike/nike-goalkeeper-match-gloves-46125", "https://www.soccerplususa.com/nike/nike-goalkeeper-match-gloves-46125")</f>
        <v/>
      </c>
      <c r="B2241" t="inlineStr">
        <is>
          <t>undefined</t>
        </is>
      </c>
      <c r="C2241" t="inlineStr">
        <is>
          <t>Nike Goalkeeper Match Gloves</t>
        </is>
      </c>
      <c r="D2241" t="inlineStr">
        <is>
          <t>Nike GK Grip3 Goalkeeper Gloves</t>
        </is>
      </c>
      <c r="E2241" s="2">
        <f>HYPERLINK("https://www.amazon.com/NIKE-Grip3-Soccer-Goalkeeper-Gloves/dp/B07FBGMD9P/ref=sr_1_10?keywords=Nike+Goalkeeper+Match+Gloves&amp;qid=1695171028&amp;sr=8-10", "https://www.amazon.com/NIKE-Grip3-Soccer-Goalkeeper-Gloves/dp/B07FBGMD9P/ref=sr_1_10?keywords=Nike+Goalkeeper+Match+Gloves&amp;qid=1695171028&amp;sr=8-10")</f>
        <v/>
      </c>
      <c r="F2241" t="inlineStr">
        <is>
          <t>B07FBGMD9P</t>
        </is>
      </c>
      <c r="G2241">
        <f>_xludf.IMAGE("https://www.soccerplususa.com/prodimages//37892-Bright_CrimsonBlack-M.jpg")</f>
        <v/>
      </c>
      <c r="H2241">
        <f>_xludf.IMAGE("https://m.media-amazon.com/images/I/61MPFoP2YgL._AC_UL320_.jpg")</f>
        <v/>
      </c>
      <c r="K2241" t="inlineStr">
        <is>
          <t>31.95</t>
        </is>
      </c>
      <c r="L2241" t="n">
        <v>57</v>
      </c>
      <c r="M2241" s="1" t="inlineStr">
        <is>
          <t>78.40%</t>
        </is>
      </c>
      <c r="N2241" s="3" t="n">
        <v>78.40000000000001</v>
      </c>
      <c r="O2241" t="n">
        <v>3.7</v>
      </c>
      <c r="P2241" t="n">
        <v>37</v>
      </c>
      <c r="R2241" t="inlineStr">
        <is>
          <t>InStock</t>
        </is>
      </c>
      <c r="S2241" t="inlineStr">
        <is>
          <t>undefined</t>
        </is>
      </c>
      <c r="T2241" t="inlineStr">
        <is>
          <t>CQ7799-637</t>
        </is>
      </c>
    </row>
    <row r="2242" ht="75" customHeight="1">
      <c r="A2242" s="2">
        <f>HYPERLINK("https://www.soccerplususa.com/reusch/reusch-attrakt-grip-finger-support-46203", "https://www.soccerplususa.com/reusch/reusch-attrakt-grip-finger-support-46203")</f>
        <v/>
      </c>
      <c r="B2242" t="inlineStr">
        <is>
          <t>undefined</t>
        </is>
      </c>
      <c r="C2242" t="inlineStr">
        <is>
          <t>Reusch Attrakt Grip Finger Support</t>
        </is>
      </c>
      <c r="D2242" t="inlineStr">
        <is>
          <t>Reusch Attrakt Gold X Evolution Cut Finger Support Goalkeeper Gloves</t>
        </is>
      </c>
      <c r="E2242" s="2">
        <f>HYPERLINK("https://www.amazon.com/Reusch-Attrakt-Evolution-Support-Goalkeeper/dp/B09YQMPBFP/ref=sr_1_3?keywords=Reusch+Attrakt+Grip+Finger+Support&amp;qid=1695171017&amp;sr=8-3", "https://www.amazon.com/Reusch-Attrakt-Evolution-Support-Goalkeeper/dp/B09YQMPBFP/ref=sr_1_3?keywords=Reusch+Attrakt+Grip+Finger+Support&amp;qid=1695171017&amp;sr=8-3")</f>
        <v/>
      </c>
      <c r="F2242" t="inlineStr">
        <is>
          <t>B09YQMPBFP</t>
        </is>
      </c>
      <c r="G2242">
        <f>_xlfn.IMAGE("https://www.soccerplususa.com/prodimages//37584-GREEN-M.jpg")</f>
        <v/>
      </c>
      <c r="H2242">
        <f>_xlfn.IMAGE("https://m.media-amazon.com/images/I/81ltk32IBjL._AC_UL320_.jpg")</f>
        <v/>
      </c>
      <c r="K2242" t="inlineStr">
        <is>
          <t>54.95</t>
        </is>
      </c>
      <c r="L2242" t="n">
        <v>90.3</v>
      </c>
      <c r="M2242" s="1" t="inlineStr">
        <is>
          <t>64.33%</t>
        </is>
      </c>
      <c r="N2242" s="3" t="n">
        <v>64.33</v>
      </c>
      <c r="O2242" t="n">
        <v>3.9</v>
      </c>
      <c r="P2242" t="n">
        <v>3</v>
      </c>
      <c r="R2242" t="inlineStr">
        <is>
          <t>InStock</t>
        </is>
      </c>
      <c r="S2242" t="inlineStr">
        <is>
          <t>undefined</t>
        </is>
      </c>
      <c r="T2242" t="inlineStr">
        <is>
          <t>5370010</t>
        </is>
      </c>
    </row>
    <row r="2243" hidden="1" ht="15.75" customHeight="1">
      <c r="A2243" s="2">
        <f>HYPERLINK("https://www.soccerplususa.com/reusch/reusch-attrakt-grip-finger-support-46203", "https://www.soccerplususa.com/reusch/reusch-attrakt-grip-finger-support-46203")</f>
        <v/>
      </c>
      <c r="B2243" t="inlineStr">
        <is>
          <t>undefined</t>
        </is>
      </c>
      <c r="C2243" t="inlineStr">
        <is>
          <t>Reusch Attrakt Grip Finger Support</t>
        </is>
      </c>
      <c r="D2243" t="inlineStr">
        <is>
          <t>Reusch Attrakt Freegel Gold Finger Support Junior Goalkeeper Gloves</t>
        </is>
      </c>
      <c r="E2243" s="2">
        <f>HYPERLINK("https://www.amazon.com/Reusch-Attrakt-Freegel-Support-Goalkeeper/dp/B0B11P7G9K/ref=sr_1_2?keywords=Reusch+Attrakt+Grip+Finger+Support&amp;qid=1695171017&amp;sr=8-2", "https://www.amazon.com/Reusch-Attrakt-Freegel-Support-Goalkeeper/dp/B0B11P7G9K/ref=sr_1_2?keywords=Reusch+Attrakt+Grip+Finger+Support&amp;qid=1695171017&amp;sr=8-2")</f>
        <v/>
      </c>
      <c r="F2243" t="inlineStr">
        <is>
          <t>B0B11P7G9K</t>
        </is>
      </c>
      <c r="G2243">
        <f>_xludf.IMAGE("https://www.soccerplususa.com/prodimages//37584-GREEN-M.jpg")</f>
        <v/>
      </c>
      <c r="H2243">
        <f>_xludf.IMAGE("https://m.media-amazon.com/images/I/71MaNq5O-XL._AC_UL320_.jpg")</f>
        <v/>
      </c>
      <c r="K2243" t="inlineStr">
        <is>
          <t>54.95</t>
        </is>
      </c>
      <c r="L2243" t="n">
        <v>86.56</v>
      </c>
      <c r="M2243" s="1" t="inlineStr">
        <is>
          <t>57.53%</t>
        </is>
      </c>
      <c r="N2243" s="3" t="n">
        <v>57.53</v>
      </c>
      <c r="O2243" t="n">
        <v>4.2</v>
      </c>
      <c r="P2243" t="n">
        <v>9</v>
      </c>
      <c r="R2243" t="inlineStr">
        <is>
          <t>InStock</t>
        </is>
      </c>
      <c r="S2243" t="inlineStr">
        <is>
          <t>undefined</t>
        </is>
      </c>
      <c r="T2243" t="inlineStr">
        <is>
          <t>5370010</t>
        </is>
      </c>
    </row>
    <row r="2244" hidden="1" ht="15.75" customHeight="1">
      <c r="A2244" s="2">
        <f>HYPERLINK("https://www.soccerplususa.com/reusch/reusch-attrakt-grip-finger-support-46203", "https://www.soccerplususa.com/reusch/reusch-attrakt-grip-finger-support-46203")</f>
        <v/>
      </c>
      <c r="B2244" t="inlineStr">
        <is>
          <t>undefined</t>
        </is>
      </c>
      <c r="C2244" t="inlineStr">
        <is>
          <t>Reusch Attrakt Grip Finger Support</t>
        </is>
      </c>
      <c r="D2244" t="inlineStr">
        <is>
          <t>Reusch Attrakt Freegel Infinity Finger Support Goalkeeper Gloves</t>
        </is>
      </c>
      <c r="E2244" s="2">
        <f>HYPERLINK("https://www.amazon.com/Reusch-Attrakt-Freegel-Infinity-Goalkeeper/dp/B0BLTH6X93/ref=sr_1_4?keywords=Reusch+Attrakt+Grip+Finger+Support&amp;qid=1695171017&amp;sr=8-4", "https://www.amazon.com/Reusch-Attrakt-Freegel-Infinity-Goalkeeper/dp/B0BLTH6X93/ref=sr_1_4?keywords=Reusch+Attrakt+Grip+Finger+Support&amp;qid=1695171017&amp;sr=8-4")</f>
        <v/>
      </c>
      <c r="F2244" t="inlineStr">
        <is>
          <t>B0BLTH6X93</t>
        </is>
      </c>
      <c r="G2244">
        <f>_xludf.IMAGE("https://www.soccerplususa.com/prodimages//37584-GREEN-M.jpg")</f>
        <v/>
      </c>
      <c r="H2244">
        <f>_xludf.IMAGE("https://m.media-amazon.com/images/I/81o0G304P3L._AC_UL320_.jpg")</f>
        <v/>
      </c>
      <c r="K2244" t="inlineStr">
        <is>
          <t>54.95</t>
        </is>
      </c>
      <c r="L2244" t="n">
        <v>84.66</v>
      </c>
      <c r="M2244" s="1" t="inlineStr">
        <is>
          <t>54.07%</t>
        </is>
      </c>
      <c r="N2244" s="3" t="n">
        <v>54.07</v>
      </c>
      <c r="O2244" t="n">
        <v>3</v>
      </c>
      <c r="P2244" t="n">
        <v>3</v>
      </c>
      <c r="R2244" t="inlineStr">
        <is>
          <t>InStock</t>
        </is>
      </c>
      <c r="S2244" t="inlineStr">
        <is>
          <t>undefined</t>
        </is>
      </c>
      <c r="T2244" t="inlineStr">
        <is>
          <t>5370010</t>
        </is>
      </c>
    </row>
    <row r="2245" hidden="1" ht="15.75" customHeight="1">
      <c r="A2245" s="2">
        <f>HYPERLINK("https://www.soccerplususa.com/nike/nike-goalkeeper-match-gloves-46125", "https://www.soccerplususa.com/nike/nike-goalkeeper-match-gloves-46125")</f>
        <v/>
      </c>
      <c r="B2245" t="inlineStr">
        <is>
          <t>undefined</t>
        </is>
      </c>
      <c r="C2245" t="inlineStr">
        <is>
          <t>Nike Goalkeeper Match Gloves</t>
        </is>
      </c>
      <c r="D2245" t="inlineStr">
        <is>
          <t>Nike Goalkeeper Match Adult Unisex Soccer Gloves</t>
        </is>
      </c>
      <c r="E2245" s="2">
        <f>HYPERLINK("https://www.amazon.com/Nike-Goalkeeper-Unisex-Soccer-Gloves/dp/B0C1WQDDC8/ref=sr_1_1?keywords=Nike+Goalkeeper+Match+Gloves&amp;qid=1695171028&amp;sr=8-1", "https://www.amazon.com/Nike-Goalkeeper-Unisex-Soccer-Gloves/dp/B0C1WQDDC8/ref=sr_1_1?keywords=Nike+Goalkeeper+Match+Gloves&amp;qid=1695171028&amp;sr=8-1")</f>
        <v/>
      </c>
      <c r="F2245" t="inlineStr">
        <is>
          <t>B0C1WQDDC8</t>
        </is>
      </c>
      <c r="G2245">
        <f>_xludf.IMAGE("https://www.soccerplususa.com/prodimages//37892-Bright_CrimsonBlack-M.jpg")</f>
        <v/>
      </c>
      <c r="H2245">
        <f>_xludf.IMAGE("https://m.media-amazon.com/images/I/61lqYps4eVL._AC_UL320_.jpg")</f>
        <v/>
      </c>
      <c r="K2245" t="inlineStr">
        <is>
          <t>31.95</t>
        </is>
      </c>
      <c r="L2245" t="n">
        <v>37.99</v>
      </c>
      <c r="M2245" s="1" t="inlineStr">
        <is>
          <t>18.90%</t>
        </is>
      </c>
      <c r="N2245" s="3" t="n">
        <v>18.9</v>
      </c>
      <c r="O2245" t="n">
        <v>5</v>
      </c>
      <c r="P2245" t="n">
        <v>1</v>
      </c>
      <c r="R2245" t="inlineStr">
        <is>
          <t>InStock</t>
        </is>
      </c>
      <c r="S2245" t="inlineStr">
        <is>
          <t>undefined</t>
        </is>
      </c>
      <c r="T2245" t="inlineStr">
        <is>
          <t>CQ7799-637</t>
        </is>
      </c>
    </row>
    <row r="2246" hidden="1" ht="15.75" customHeight="1">
      <c r="A2246" s="2">
        <f>HYPERLINK("https://www.soccerplususa.com/reusch/reusch-attrakt-freegel-gold-finger-support-46202", "https://www.soccerplususa.com/reusch/reusch-attrakt-freegel-gold-finger-support-46202")</f>
        <v/>
      </c>
      <c r="B2246" t="inlineStr">
        <is>
          <t>undefined</t>
        </is>
      </c>
      <c r="C2246" t="inlineStr">
        <is>
          <t>Reusch Attrakt FreeGel Gold Finger Support</t>
        </is>
      </c>
      <c r="D2246" t="inlineStr">
        <is>
          <t>Reusch Attrakt Freegel Gold X Finger Support Goalkeeper Gloves, Desert Green/Shocking Orange, Size 10</t>
        </is>
      </c>
      <c r="E2246" s="2">
        <f>HYPERLINK("https://www.amazon.com/Reusch-Attrakt-Freegel-Goalkeeper-Shocking/dp/B0BZ8Z1V66/ref=sr_1_5?keywords=Reusch+Attrakt+FreeGel+Gold+Finger+Support&amp;qid=1695171017&amp;sr=8-5", "https://www.amazon.com/Reusch-Attrakt-Freegel-Goalkeeper-Shocking/dp/B0BZ8Z1V66/ref=sr_1_5?keywords=Reusch+Attrakt+FreeGel+Gold+Finger+Support&amp;qid=1695171017&amp;sr=8-5")</f>
        <v/>
      </c>
      <c r="F2246" t="inlineStr">
        <is>
          <t>B0BZ8Z1V66</t>
        </is>
      </c>
      <c r="G2246">
        <f>_xludf.IMAGE("https://www.soccerplususa.com/prodimages//37582-RED-M.jpg")</f>
        <v/>
      </c>
      <c r="H2246">
        <f>_xludf.IMAGE("https://m.media-amazon.com/images/I/71lpR10SI6L._AC_UL320_.jpg")</f>
        <v/>
      </c>
      <c r="K2246" t="inlineStr">
        <is>
          <t>139.95</t>
        </is>
      </c>
      <c r="L2246" t="n">
        <v>144.41</v>
      </c>
      <c r="M2246" s="1" t="inlineStr">
        <is>
          <t>3.19%</t>
        </is>
      </c>
      <c r="N2246" s="3" t="n">
        <v>3.19</v>
      </c>
      <c r="O2246" t="n">
        <v>5</v>
      </c>
      <c r="P2246" t="n">
        <v>1</v>
      </c>
      <c r="R2246" t="inlineStr">
        <is>
          <t>InStock</t>
        </is>
      </c>
      <c r="S2246" t="inlineStr">
        <is>
          <t>undefined</t>
        </is>
      </c>
      <c r="T2246" t="inlineStr">
        <is>
          <t>5360110</t>
        </is>
      </c>
    </row>
    <row r="2247" hidden="1" ht="15.75" customHeight="1">
      <c r="A2247" s="2">
        <f>HYPERLINK("https://www.soccerplususa.com/reusch/reusch-attrakt-freegel-gold-finger-support-46202", "https://www.soccerplususa.com/reusch/reusch-attrakt-freegel-gold-finger-support-46202")</f>
        <v/>
      </c>
      <c r="B2247" t="inlineStr">
        <is>
          <t>undefined</t>
        </is>
      </c>
      <c r="C2247" t="inlineStr">
        <is>
          <t>Reusch Attrakt FreeGel Gold Finger Support</t>
        </is>
      </c>
      <c r="D2247" t="inlineStr">
        <is>
          <t>Reusch Attrakt Freegel Gold X Finger Support Goalkeeper Gloves</t>
        </is>
      </c>
      <c r="E2247" s="2">
        <f>HYPERLINK("https://www.amazon.com/Reusch-Attrakt-Freegel-Support-Goalkeeper/dp/B09YQM934W/ref=sr_1_4?keywords=Reusch+Attrakt+FreeGel+Gold+Finger+Support&amp;qid=1695171017&amp;sr=8-4", "https://www.amazon.com/Reusch-Attrakt-Freegel-Support-Goalkeeper/dp/B09YQM934W/ref=sr_1_4?keywords=Reusch+Attrakt+FreeGel+Gold+Finger+Support&amp;qid=1695171017&amp;sr=8-4")</f>
        <v/>
      </c>
      <c r="F2247" t="inlineStr">
        <is>
          <t>B09YQM934W</t>
        </is>
      </c>
      <c r="G2247">
        <f>_xludf.IMAGE("https://www.soccerplususa.com/prodimages//37582-RED-M.jpg")</f>
        <v/>
      </c>
      <c r="H2247">
        <f>_xludf.IMAGE("https://m.media-amazon.com/images/I/71i9hBVQLiL._AC_UL320_.jpg")</f>
        <v/>
      </c>
      <c r="K2247" t="inlineStr">
        <is>
          <t>139.95</t>
        </is>
      </c>
      <c r="L2247" t="n">
        <v>133.96</v>
      </c>
      <c r="M2247" s="1" t="inlineStr">
        <is>
          <t>-4.28%</t>
        </is>
      </c>
      <c r="N2247" s="3" t="n">
        <v>-4.28</v>
      </c>
      <c r="O2247" t="n">
        <v>4</v>
      </c>
      <c r="P2247" t="n">
        <v>10</v>
      </c>
      <c r="R2247" t="inlineStr">
        <is>
          <t>InStock</t>
        </is>
      </c>
      <c r="S2247" t="inlineStr">
        <is>
          <t>undefined</t>
        </is>
      </c>
      <c r="T2247" t="inlineStr">
        <is>
          <t>5360110</t>
        </is>
      </c>
    </row>
    <row r="2248" hidden="1" ht="15.75" customHeight="1">
      <c r="A2248" s="2">
        <f>HYPERLINK("https://www.soccerplususa.com/nike/nike-goalkeeper-match-gloves-46125", "https://www.soccerplususa.com/nike/nike-goalkeeper-match-gloves-46125")</f>
        <v/>
      </c>
      <c r="B2248" t="inlineStr">
        <is>
          <t>undefined</t>
        </is>
      </c>
      <c r="C2248" t="inlineStr">
        <is>
          <t>Nike Goalkeeper Match Gloves</t>
        </is>
      </c>
      <c r="D2248" t="inlineStr">
        <is>
          <t>Nike Match Goalkeeper Soccer Goalkeeper Gloves</t>
        </is>
      </c>
      <c r="E2248" s="2">
        <f>HYPERLINK("https://www.amazon.com/Match-Goalkeeper-Soccer-Gloves-Orange/dp/B01AD97366/ref=sr_1_9?keywords=Nike+Goalkeeper+Match+Gloves&amp;qid=1695171028&amp;sr=8-9", "https://www.amazon.com/Match-Goalkeeper-Soccer-Gloves-Orange/dp/B01AD97366/ref=sr_1_9?keywords=Nike+Goalkeeper+Match+Gloves&amp;qid=1695171028&amp;sr=8-9")</f>
        <v/>
      </c>
      <c r="F2248" t="inlineStr">
        <is>
          <t>B01AD97366</t>
        </is>
      </c>
      <c r="G2248">
        <f>_xludf.IMAGE("https://www.soccerplususa.com/prodimages//37892-Bright_CrimsonBlack-M.jpg")</f>
        <v/>
      </c>
      <c r="H2248">
        <f>_xludf.IMAGE("https://m.media-amazon.com/images/I/71GrzdyD-2L._AC_UL320_.jpg")</f>
        <v/>
      </c>
      <c r="K2248" t="inlineStr">
        <is>
          <t>31.95</t>
        </is>
      </c>
      <c r="L2248" t="n">
        <v>29.99</v>
      </c>
      <c r="M2248" s="1" t="inlineStr">
        <is>
          <t>-6.13%</t>
        </is>
      </c>
      <c r="N2248" s="3" t="n">
        <v>-6.13</v>
      </c>
      <c r="O2248" t="n">
        <v>4.7</v>
      </c>
      <c r="P2248" t="n">
        <v>4</v>
      </c>
      <c r="R2248" t="inlineStr">
        <is>
          <t>InStock</t>
        </is>
      </c>
      <c r="S2248" t="inlineStr">
        <is>
          <t>undefined</t>
        </is>
      </c>
      <c r="T2248" t="inlineStr">
        <is>
          <t>CQ7799-637</t>
        </is>
      </c>
    </row>
    <row r="2249" hidden="1" ht="15.75" customHeight="1">
      <c r="A2249" s="2">
        <f>HYPERLINK("https://www.soccerplususa.com/nike/nike-goalkeeper-match-gloves-46125", "https://www.soccerplususa.com/nike/nike-goalkeeper-match-gloves-46125")</f>
        <v/>
      </c>
      <c r="B2249" t="inlineStr">
        <is>
          <t>undefined</t>
        </is>
      </c>
      <c r="C2249" t="inlineStr">
        <is>
          <t>Nike Goalkeeper Match Gloves</t>
        </is>
      </c>
      <c r="D2249" t="inlineStr">
        <is>
          <t>Nike Jr. Big Kids Match Goalkeeper Soccer Gloves</t>
        </is>
      </c>
      <c r="E2249" s="2">
        <f>HYPERLINK("https://www.amazon.com/Nike-Kids-Match-Jr-Little/dp/B083FRBXXD/ref=sr_1_7?keywords=Nike+Goalkeeper+Match+Gloves&amp;qid=1695171028&amp;sr=8-7", "https://www.amazon.com/Nike-Kids-Match-Jr-Little/dp/B083FRBXXD/ref=sr_1_7?keywords=Nike+Goalkeeper+Match+Gloves&amp;qid=1695171028&amp;sr=8-7")</f>
        <v/>
      </c>
      <c r="F2249" t="inlineStr">
        <is>
          <t>B083FRBXXD</t>
        </is>
      </c>
      <c r="G2249">
        <f>_xludf.IMAGE("https://www.soccerplususa.com/prodimages//37892-Bright_CrimsonBlack-M.jpg")</f>
        <v/>
      </c>
      <c r="H2249">
        <f>_xludf.IMAGE("https://m.media-amazon.com/images/I/91++kUrLXjL._AC_UL320_.jpg")</f>
        <v/>
      </c>
      <c r="K2249" t="inlineStr">
        <is>
          <t>31.95</t>
        </is>
      </c>
      <c r="L2249" t="n">
        <v>29.95</v>
      </c>
      <c r="M2249" s="1" t="inlineStr">
        <is>
          <t>-6.26%</t>
        </is>
      </c>
      <c r="N2249" s="3" t="n">
        <v>-6.26</v>
      </c>
      <c r="O2249" t="n">
        <v>4.1</v>
      </c>
      <c r="P2249" t="n">
        <v>56</v>
      </c>
      <c r="R2249" t="inlineStr">
        <is>
          <t>InStock</t>
        </is>
      </c>
      <c r="S2249" t="inlineStr">
        <is>
          <t>undefined</t>
        </is>
      </c>
      <c r="T2249" t="inlineStr">
        <is>
          <t>CQ7799-637</t>
        </is>
      </c>
    </row>
    <row r="2250" hidden="1" ht="15.75" customHeight="1">
      <c r="A2250" s="2">
        <f>HYPERLINK("https://www.soccerplususa.com/reusch/reusch-attrakt-freegel-silver-gk-glove-46205", "https://www.soccerplususa.com/reusch/reusch-attrakt-freegel-silver-gk-glove-46205")</f>
        <v/>
      </c>
      <c r="B2250" t="inlineStr">
        <is>
          <t>undefined</t>
        </is>
      </c>
      <c r="C2250" t="inlineStr">
        <is>
          <t>Reusch Attrakt FreeGel Silver GK Glove</t>
        </is>
      </c>
      <c r="D2250" t="inlineStr">
        <is>
          <t>Reusch Attrakt Freegel Silver Goalkeeper Gloves Size 8.5 Vapor Grey/DEEP Blue</t>
        </is>
      </c>
      <c r="E2250" s="2">
        <f>HYPERLINK("https://www.amazon.com/Reusch-Attrakt-Freegel-Silver-Goalkeeper/dp/B09S5Y22WY/ref=sr_1_2?keywords=Reusch+Attrakt+FreeGel+Silver+GK+Glove&amp;qid=1695171017&amp;sr=8-2", "https://www.amazon.com/Reusch-Attrakt-Freegel-Silver-Goalkeeper/dp/B09S5Y22WY/ref=sr_1_2?keywords=Reusch+Attrakt+FreeGel+Silver+GK+Glove&amp;qid=1695171017&amp;sr=8-2")</f>
        <v/>
      </c>
      <c r="F2250" t="inlineStr">
        <is>
          <t>B09S5Y22WY</t>
        </is>
      </c>
      <c r="G2250">
        <f>_xludf.IMAGE("https://www.soccerplususa.com/prodimages//37583-WHITE-M.jpg")</f>
        <v/>
      </c>
      <c r="H2250">
        <f>_xludf.IMAGE("https://m.media-amazon.com/images/I/71tzzgAzVEL._AC_UL320_.jpg")</f>
        <v/>
      </c>
      <c r="K2250" t="inlineStr">
        <is>
          <t>64.95</t>
        </is>
      </c>
      <c r="L2250" t="n">
        <v>60.72</v>
      </c>
      <c r="M2250" s="1" t="inlineStr">
        <is>
          <t>-6.51%</t>
        </is>
      </c>
      <c r="N2250" s="3" t="n">
        <v>-6.51</v>
      </c>
      <c r="O2250" t="n">
        <v>4</v>
      </c>
      <c r="P2250" t="n">
        <v>1</v>
      </c>
      <c r="R2250" t="inlineStr">
        <is>
          <t>InStock</t>
        </is>
      </c>
      <c r="S2250" t="inlineStr">
        <is>
          <t>undefined</t>
        </is>
      </c>
      <c r="T2250" t="inlineStr">
        <is>
          <t>5370235</t>
        </is>
      </c>
    </row>
    <row r="2251" hidden="1" ht="15.75" customHeight="1">
      <c r="A2251" s="2">
        <f>HYPERLINK("https://www.soccerplususa.com/reusch/reusch-attrakt-solid-finger-support-jr-46204", "https://www.soccerplususa.com/reusch/reusch-attrakt-solid-finger-support-jr-46204")</f>
        <v/>
      </c>
      <c r="B2251" t="inlineStr">
        <is>
          <t>undefined</t>
        </is>
      </c>
      <c r="C2251" t="inlineStr">
        <is>
          <t>Reusch Attrakt Solid Finger Support Jr</t>
        </is>
      </c>
      <c r="D2251" t="inlineStr">
        <is>
          <t>Reusch Attrakt Solid Finger Support Junior Goalkeeper Gloves</t>
        </is>
      </c>
      <c r="E2251" s="2">
        <f>HYPERLINK("https://www.amazon.com/Reusch-Attrakt-Finger-Support-Junior/dp/B09TG5YBF2/ref=sr_1_1?keywords=Reusch+Attrakt+Solid+Finger+Support+Jr&amp;qid=1695171016&amp;sr=8-1", "https://www.amazon.com/Reusch-Attrakt-Finger-Support-Junior/dp/B09TG5YBF2/ref=sr_1_1?keywords=Reusch+Attrakt+Solid+Finger+Support+Jr&amp;qid=1695171016&amp;sr=8-1")</f>
        <v/>
      </c>
      <c r="F2251" t="inlineStr">
        <is>
          <t>B09TG5YBF2</t>
        </is>
      </c>
      <c r="G2251">
        <f>_xludf.IMAGE("https://www.soccerplususa.com/prodimages//37585-BLACK-M.jpg")</f>
        <v/>
      </c>
      <c r="H2251">
        <f>_xludf.IMAGE("https://m.media-amazon.com/images/I/71+8hzRG7pL._AC_UL320_.jpg")</f>
        <v/>
      </c>
      <c r="K2251" t="inlineStr">
        <is>
          <t>49.95</t>
        </is>
      </c>
      <c r="L2251" t="n">
        <v>44.99</v>
      </c>
      <c r="M2251" s="1" t="inlineStr">
        <is>
          <t>-9.93%</t>
        </is>
      </c>
      <c r="N2251" s="3" t="n">
        <v>-9.93</v>
      </c>
      <c r="O2251" t="n">
        <v>3.3</v>
      </c>
      <c r="P2251" t="n">
        <v>3</v>
      </c>
      <c r="R2251" t="inlineStr">
        <is>
          <t>InStock</t>
        </is>
      </c>
      <c r="S2251" t="inlineStr">
        <is>
          <t>undefined</t>
        </is>
      </c>
      <c r="T2251" t="inlineStr">
        <is>
          <t>5372510</t>
        </is>
      </c>
    </row>
    <row r="2252" hidden="1" ht="15.75" customHeight="1">
      <c r="A2252" s="2">
        <f>HYPERLINK("https://www.soccerplususa.com/reusch/reusch-attrakt-grip-finger-support-46203", "https://www.soccerplususa.com/reusch/reusch-attrakt-grip-finger-support-46203")</f>
        <v/>
      </c>
      <c r="B2252" t="inlineStr">
        <is>
          <t>undefined</t>
        </is>
      </c>
      <c r="C2252" t="inlineStr">
        <is>
          <t>Reusch Attrakt Grip Finger Support</t>
        </is>
      </c>
      <c r="D2252" t="inlineStr">
        <is>
          <t>Reusch Attrakt Resist Finger Support Goalkeeper Gloves</t>
        </is>
      </c>
      <c r="E2252" s="2">
        <f>HYPERLINK("https://www.amazon.com/Reusch-Attrakt-Resist-Support-Goalkeeper/dp/B0B11J4HRX/ref=sr_1_1?keywords=Reusch+Attrakt+Grip+Finger+Support&amp;qid=1695171017&amp;sr=8-1", "https://www.amazon.com/Reusch-Attrakt-Resist-Support-Goalkeeper/dp/B0B11J4HRX/ref=sr_1_1?keywords=Reusch+Attrakt+Grip+Finger+Support&amp;qid=1695171017&amp;sr=8-1")</f>
        <v/>
      </c>
      <c r="F2252" t="inlineStr">
        <is>
          <t>B0B11J4HRX</t>
        </is>
      </c>
      <c r="G2252">
        <f>_xludf.IMAGE("https://www.soccerplususa.com/prodimages//37584-GREEN-M.jpg")</f>
        <v/>
      </c>
      <c r="H2252">
        <f>_xludf.IMAGE("https://m.media-amazon.com/images/I/81Zy5h9Q8RL._AC_UL320_.jpg")</f>
        <v/>
      </c>
      <c r="K2252" t="inlineStr">
        <is>
          <t>54.95</t>
        </is>
      </c>
      <c r="L2252" t="n">
        <v>48.8</v>
      </c>
      <c r="M2252" s="1" t="inlineStr">
        <is>
          <t>-11.19%</t>
        </is>
      </c>
      <c r="N2252" s="3" t="n">
        <v>-11.19</v>
      </c>
      <c r="O2252" t="n">
        <v>2.7</v>
      </c>
      <c r="P2252" t="n">
        <v>2</v>
      </c>
      <c r="R2252" t="inlineStr">
        <is>
          <t>InStock</t>
        </is>
      </c>
      <c r="S2252" t="inlineStr">
        <is>
          <t>undefined</t>
        </is>
      </c>
      <c r="T2252" t="inlineStr">
        <is>
          <t>5370010</t>
        </is>
      </c>
    </row>
    <row r="2253" hidden="1" ht="15.75" customHeight="1">
      <c r="A2253" s="2">
        <f>HYPERLINK("https://www.soccerplususa.com/nike/nike-grip3-gk-glove-46126", "https://www.soccerplususa.com/nike/nike-grip3-gk-glove-46126")</f>
        <v/>
      </c>
      <c r="B2253" t="inlineStr">
        <is>
          <t>undefined</t>
        </is>
      </c>
      <c r="C2253" t="inlineStr">
        <is>
          <t>Nike Grip3 GK Glove</t>
        </is>
      </c>
      <c r="D2253" t="inlineStr">
        <is>
          <t>Nike GK Grip3 Goalkeeper Gloves</t>
        </is>
      </c>
      <c r="E2253" s="2">
        <f>HYPERLINK("https://www.amazon.com/NIKE-Grip3-Soccer-Goalkeeper-Gloves/dp/B07FBGMD9P/ref=sr_1_5?keywords=Nike+Grip3+GK+Glove&amp;qid=1695171017&amp;sr=8-5", "https://www.amazon.com/NIKE-Grip3-Soccer-Goalkeeper-Gloves/dp/B07FBGMD9P/ref=sr_1_5?keywords=Nike+Grip3+GK+Glove&amp;qid=1695171017&amp;sr=8-5")</f>
        <v/>
      </c>
      <c r="F2253" t="inlineStr">
        <is>
          <t>B07FBGMD9P</t>
        </is>
      </c>
      <c r="G2253">
        <f>_xludf.IMAGE("https://www.soccerplususa.com/prodimages//37891-Bright_CrimsonBlack-M.jpg")</f>
        <v/>
      </c>
      <c r="H2253">
        <f>_xludf.IMAGE("https://m.media-amazon.com/images/I/61MPFoP2YgL._AC_UL320_.jpg")</f>
        <v/>
      </c>
      <c r="K2253" t="inlineStr">
        <is>
          <t>71.95</t>
        </is>
      </c>
      <c r="L2253" t="n">
        <v>57</v>
      </c>
      <c r="M2253" s="1" t="inlineStr">
        <is>
          <t>-20.78%</t>
        </is>
      </c>
      <c r="N2253" s="3" t="n">
        <v>-20.78</v>
      </c>
      <c r="O2253" t="n">
        <v>3.7</v>
      </c>
      <c r="P2253" t="n">
        <v>37</v>
      </c>
      <c r="R2253" t="inlineStr">
        <is>
          <t>InStock</t>
        </is>
      </c>
      <c r="S2253" t="inlineStr">
        <is>
          <t>undefined</t>
        </is>
      </c>
      <c r="T2253" t="inlineStr">
        <is>
          <t>CN5651-636</t>
        </is>
      </c>
    </row>
    <row r="2254" hidden="1" ht="15.75" customHeight="1">
      <c r="A2254" s="2">
        <f>HYPERLINK("https://www.soccerplususa.com/reusch/reusch-attrakt-freegel-gold-finger-support-46202", "https://www.soccerplususa.com/reusch/reusch-attrakt-freegel-gold-finger-support-46202")</f>
        <v/>
      </c>
      <c r="B2254" t="inlineStr">
        <is>
          <t>undefined</t>
        </is>
      </c>
      <c r="C2254" t="inlineStr">
        <is>
          <t>Reusch Attrakt FreeGel Gold Finger Support</t>
        </is>
      </c>
      <c r="D2254" t="inlineStr">
        <is>
          <t>Reusch Attrakt Freegel Gold Finger Support Junior Goalkeeper Gloves</t>
        </is>
      </c>
      <c r="E2254" s="2">
        <f>HYPERLINK("https://www.amazon.com/Reusch-Attrakt-Freegel-Support-Goalkeeper/dp/B0B11P7G9K/ref=sr_1_2?keywords=Reusch+Attrakt+FreeGel+Gold+Finger+Support&amp;qid=1695171017&amp;sr=8-2", "https://www.amazon.com/Reusch-Attrakt-Freegel-Support-Goalkeeper/dp/B0B11P7G9K/ref=sr_1_2?keywords=Reusch+Attrakt+FreeGel+Gold+Finger+Support&amp;qid=1695171017&amp;sr=8-2")</f>
        <v/>
      </c>
      <c r="F2254" t="inlineStr">
        <is>
          <t>B0B11P7G9K</t>
        </is>
      </c>
      <c r="G2254">
        <f>_xludf.IMAGE("https://www.soccerplususa.com/prodimages//37582-RED-M.jpg")</f>
        <v/>
      </c>
      <c r="H2254">
        <f>_xludf.IMAGE("https://m.media-amazon.com/images/I/71MaNq5O-XL._AC_UL320_.jpg")</f>
        <v/>
      </c>
      <c r="K2254" t="inlineStr">
        <is>
          <t>139.95</t>
        </is>
      </c>
      <c r="L2254" t="n">
        <v>86.56</v>
      </c>
      <c r="M2254" s="1" t="inlineStr">
        <is>
          <t>-38.15%</t>
        </is>
      </c>
      <c r="N2254" s="3" t="n">
        <v>-38.15</v>
      </c>
      <c r="O2254" t="n">
        <v>4.2</v>
      </c>
      <c r="P2254" t="n">
        <v>9</v>
      </c>
      <c r="R2254" t="inlineStr">
        <is>
          <t>InStock</t>
        </is>
      </c>
      <c r="S2254" t="inlineStr">
        <is>
          <t>undefined</t>
        </is>
      </c>
      <c r="T2254" t="inlineStr">
        <is>
          <t>5360110</t>
        </is>
      </c>
    </row>
    <row r="2255" hidden="1" ht="15.75" customHeight="1">
      <c r="A2255" s="2">
        <f>HYPERLINK("https://www.soccerplususa.com/nike/nike-vapor-grip3-gk-glove-46124", "https://www.soccerplususa.com/nike/nike-vapor-grip3-gk-glove-46124")</f>
        <v/>
      </c>
      <c r="B2255" t="inlineStr">
        <is>
          <t>undefined</t>
        </is>
      </c>
      <c r="C2255" t="inlineStr">
        <is>
          <t>Nike Vapor Grip3 GK Glove</t>
        </is>
      </c>
      <c r="D2255" t="inlineStr">
        <is>
          <t>Nike GK Grip3 Goalkeeper Gloves</t>
        </is>
      </c>
      <c r="E2255" s="2">
        <f>HYPERLINK("https://www.amazon.com/NIKE-Grip3-Soccer-Goalkeeper-Gloves/dp/B07FBGMD9P/ref=sr_1_4?keywords=nike+vapor+grip+3+gk+glove&amp;qid=1695171023&amp;sr=8-4", "https://www.amazon.com/NIKE-Grip3-Soccer-Goalkeeper-Gloves/dp/B07FBGMD9P/ref=sr_1_4?keywords=nike+vapor+grip+3+gk+glove&amp;qid=1695171023&amp;sr=8-4")</f>
        <v/>
      </c>
      <c r="F2255" t="inlineStr">
        <is>
          <t>B07FBGMD9P</t>
        </is>
      </c>
      <c r="G2255">
        <f>_xludf.IMAGE("https://www.soccerplususa.com/prodimages//37845-Bright_CrimsonBlack-M.jpg")</f>
        <v/>
      </c>
      <c r="H2255">
        <f>_xludf.IMAGE("https://m.media-amazon.com/images/I/61MPFoP2YgL._AC_UL320_.jpg")</f>
        <v/>
      </c>
      <c r="K2255" t="inlineStr">
        <is>
          <t>131.95</t>
        </is>
      </c>
      <c r="L2255" t="n">
        <v>57</v>
      </c>
      <c r="M2255" s="1" t="inlineStr">
        <is>
          <t>-56.80%</t>
        </is>
      </c>
      <c r="N2255" s="3" t="n">
        <v>-56.8</v>
      </c>
      <c r="O2255" t="n">
        <v>3.7</v>
      </c>
      <c r="P2255" t="n">
        <v>37</v>
      </c>
      <c r="R2255" t="inlineStr">
        <is>
          <t>InStock</t>
        </is>
      </c>
      <c r="S2255" t="inlineStr">
        <is>
          <t>undefined</t>
        </is>
      </c>
      <c r="T2255" t="inlineStr">
        <is>
          <t>CN5650-636</t>
        </is>
      </c>
    </row>
    <row r="2256" hidden="1" ht="15.75" customHeight="1">
      <c r="A2256" s="2">
        <f>HYPERLINK("https://www.soccerplususa.com/nike/nike-grip3-gk-glove-46126", "https://www.soccerplususa.com/nike/nike-grip3-gk-glove-46126")</f>
        <v/>
      </c>
      <c r="B2256" t="inlineStr">
        <is>
          <t>undefined</t>
        </is>
      </c>
      <c r="C2256" t="inlineStr">
        <is>
          <t>Nike Grip3 GK Glove</t>
        </is>
      </c>
      <c r="D2256" t="inlineStr">
        <is>
          <t>Nike Adult GK Match Gloves</t>
        </is>
      </c>
      <c r="E2256" s="2">
        <f>HYPERLINK("https://www.amazon.com/Nike-Adult-GK-Match-Gloves/dp/B018VVUIS8/ref=sr_1_1?keywords=Nike+Grip3+GK+Glove&amp;qid=1695171017&amp;sr=8-1", "https://www.amazon.com/Nike-Adult-GK-Match-Gloves/dp/B018VVUIS8/ref=sr_1_1?keywords=Nike+Grip3+GK+Glove&amp;qid=1695171017&amp;sr=8-1")</f>
        <v/>
      </c>
      <c r="F2256" t="inlineStr">
        <is>
          <t>B018VVUIS8</t>
        </is>
      </c>
      <c r="G2256">
        <f>_xludf.IMAGE("https://www.soccerplususa.com/prodimages//37891-Bright_CrimsonBlack-M.jpg")</f>
        <v/>
      </c>
      <c r="H2256">
        <f>_xludf.IMAGE("https://m.media-amazon.com/images/I/41cXuOwH3ML._AC_UL320_.jpg")</f>
        <v/>
      </c>
      <c r="K2256" t="inlineStr">
        <is>
          <t>71.95</t>
        </is>
      </c>
      <c r="L2256" t="n">
        <v>29.99</v>
      </c>
      <c r="M2256" s="1" t="inlineStr">
        <is>
          <t>-58.32%</t>
        </is>
      </c>
      <c r="N2256" s="3" t="n">
        <v>-58.32</v>
      </c>
      <c r="O2256" t="n">
        <v>5</v>
      </c>
      <c r="P2256" t="n">
        <v>1</v>
      </c>
      <c r="R2256" t="inlineStr">
        <is>
          <t>InStock</t>
        </is>
      </c>
      <c r="S2256" t="inlineStr">
        <is>
          <t>undefined</t>
        </is>
      </c>
      <c r="T2256" t="inlineStr">
        <is>
          <t>CN5651-636</t>
        </is>
      </c>
    </row>
    <row r="2257" hidden="1" ht="15.75" customHeight="1">
      <c r="A2257" s="2">
        <f>HYPERLINK("https://www.soccerplususa.com/nike/nike-grip3-gk-glove-46126", "https://www.soccerplususa.com/nike/nike-grip3-gk-glove-46126")</f>
        <v/>
      </c>
      <c r="B2257" t="inlineStr">
        <is>
          <t>undefined</t>
        </is>
      </c>
      <c r="C2257" t="inlineStr">
        <is>
          <t>Nike Grip3 GK Glove</t>
        </is>
      </c>
      <c r="D2257" t="inlineStr">
        <is>
          <t>Nike Youth GK Match Gloves</t>
        </is>
      </c>
      <c r="E2257" s="2">
        <f>HYPERLINK("https://www.amazon.com/Nike-Youth-Match-Glove-Purple/dp/B00EK1Z3DE/ref=sr_1_2?keywords=Nike+Grip3+GK+Glove&amp;qid=1695171017&amp;sr=8-2", "https://www.amazon.com/Nike-Youth-Match-Glove-Purple/dp/B00EK1Z3DE/ref=sr_1_2?keywords=Nike+Grip3+GK+Glove&amp;qid=1695171017&amp;sr=8-2")</f>
        <v/>
      </c>
      <c r="F2257" t="inlineStr">
        <is>
          <t>B00EK1Z3DE</t>
        </is>
      </c>
      <c r="G2257">
        <f>_xludf.IMAGE("https://www.soccerplususa.com/prodimages//37891-Bright_CrimsonBlack-M.jpg")</f>
        <v/>
      </c>
      <c r="H2257">
        <f>_xludf.IMAGE("https://m.media-amazon.com/images/I/41pFCorSw2L._AC_UL320_.jpg")</f>
        <v/>
      </c>
      <c r="K2257" t="inlineStr">
        <is>
          <t>71.95</t>
        </is>
      </c>
      <c r="L2257" t="n">
        <v>29.99</v>
      </c>
      <c r="M2257" s="1" t="inlineStr">
        <is>
          <t>-58.32%</t>
        </is>
      </c>
      <c r="N2257" s="3" t="n">
        <v>-58.32</v>
      </c>
      <c r="O2257" t="n">
        <v>2</v>
      </c>
      <c r="P2257" t="n">
        <v>4</v>
      </c>
      <c r="R2257" t="inlineStr">
        <is>
          <t>InStock</t>
        </is>
      </c>
      <c r="S2257" t="inlineStr">
        <is>
          <t>undefined</t>
        </is>
      </c>
      <c r="T2257" t="inlineStr">
        <is>
          <t>CN5651-636</t>
        </is>
      </c>
    </row>
    <row r="2258" ht="75" customHeight="1">
      <c r="A2258" s="2">
        <f>HYPERLINK("https://www.soccerplususa.com/cramer/cramer-athletic-tape-roll-12533", "https://www.soccerplususa.com/cramer/cramer-athletic-tape-roll-12533")</f>
        <v/>
      </c>
      <c r="B2258" t="inlineStr">
        <is>
          <t>undefined</t>
        </is>
      </c>
      <c r="C2258" t="inlineStr">
        <is>
          <t>Cramer Athletic Tape Roll</t>
        </is>
      </c>
      <c r="D2258" t="inlineStr">
        <is>
          <t>Cramer 750 Athletic Tape (CS of 32) (EA) &amp; Cramer Tape Underwrap, Bulk Case of 48 Rolls of PreWrap, 2.75" X 30 Yard Rolls of Pre Wrap</t>
        </is>
      </c>
      <c r="E2258" s="2">
        <f>HYPERLINK("https://www.amazon.com/Cramer-Athletic-Underwrap-Rolls-PreWrap/dp/B0BLNBBL5Q/ref=sr_1_8?keywords=Cramer+Athletic+Tape+Roll&amp;qid=1695171060&amp;sr=8-8", "https://www.amazon.com/Cramer-Athletic-Underwrap-Rolls-PreWrap/dp/B0BLNBBL5Q/ref=sr_1_8?keywords=Cramer+Athletic+Tape+Roll&amp;qid=1695171060&amp;sr=8-8")</f>
        <v/>
      </c>
      <c r="F2258" t="inlineStr">
        <is>
          <t>B0BLNBBL5Q</t>
        </is>
      </c>
      <c r="G2258">
        <f>_xlfn.IMAGE("https://www.soccerplususa.com/prodimages/2576-DEFAULT-l.jpg")</f>
        <v/>
      </c>
      <c r="H2258">
        <f>_xlfn.IMAGE("https://m.media-amazon.com/images/I/51z-bp559kL._AC_UL320_.jpg")</f>
        <v/>
      </c>
      <c r="K2258" t="inlineStr">
        <is>
          <t>4.95</t>
        </is>
      </c>
      <c r="L2258" t="n">
        <v>112</v>
      </c>
      <c r="M2258" s="1" t="inlineStr">
        <is>
          <t>2,162.63%</t>
        </is>
      </c>
      <c r="N2258" s="5" t="n">
        <v>2162.63</v>
      </c>
      <c r="O2258" t="n">
        <v>5</v>
      </c>
      <c r="P2258" t="n">
        <v>1</v>
      </c>
      <c r="R2258" t="inlineStr">
        <is>
          <t>InStock</t>
        </is>
      </c>
      <c r="S2258" t="inlineStr">
        <is>
          <t>undefined</t>
        </is>
      </c>
      <c r="T2258" t="inlineStr">
        <is>
          <t>762701</t>
        </is>
      </c>
    </row>
    <row r="2259" ht="75" customHeight="1">
      <c r="A2259" s="2">
        <f>HYPERLINK("https://www.soccerplususa.com/cramer/cramer-athletic-tape-roll-12538", "https://www.soccerplususa.com/cramer/cramer-athletic-tape-roll-12538")</f>
        <v/>
      </c>
      <c r="B2259" t="inlineStr">
        <is>
          <t>undefined</t>
        </is>
      </c>
      <c r="C2259" t="inlineStr">
        <is>
          <t>Cramer Athletic Tape Roll</t>
        </is>
      </c>
      <c r="D2259" t="inlineStr">
        <is>
          <t>Cramer 750 Athletic Tape (CS of 32) (EA) &amp; Cramer Tape Underwrap, Bulk Case of 48 Rolls of PreWrap, 2.75" X 30 Yard Rolls of Pre Wrap</t>
        </is>
      </c>
      <c r="E2259" s="2">
        <f>HYPERLINK("https://www.amazon.com/Cramer-Athletic-Underwrap-Rolls-PreWrap/dp/B0BLNBBL5Q/ref=sr_1_8?keywords=Cramer+Athletic+Tape+Roll&amp;qid=1695171060&amp;sr=8-8", "https://www.amazon.com/Cramer-Athletic-Underwrap-Rolls-PreWrap/dp/B0BLNBBL5Q/ref=sr_1_8?keywords=Cramer+Athletic+Tape+Roll&amp;qid=1695171060&amp;sr=8-8")</f>
        <v/>
      </c>
      <c r="F2259" t="inlineStr">
        <is>
          <t>B0BLNBBL5Q</t>
        </is>
      </c>
      <c r="G2259">
        <f>_xlfn.IMAGE("https://www.soccerplususa.com/prodimages/2581-DEFAULT-l.jpg")</f>
        <v/>
      </c>
      <c r="H2259">
        <f>_xlfn.IMAGE("https://m.media-amazon.com/images/I/51z-bp559kL._AC_UL320_.jpg")</f>
        <v/>
      </c>
      <c r="K2259" t="inlineStr">
        <is>
          <t>4.95</t>
        </is>
      </c>
      <c r="L2259" t="n">
        <v>112</v>
      </c>
      <c r="M2259" s="1" t="inlineStr">
        <is>
          <t>2,162.63%</t>
        </is>
      </c>
      <c r="N2259" s="5" t="n">
        <v>2162.63</v>
      </c>
      <c r="O2259" t="n">
        <v>5</v>
      </c>
      <c r="P2259" t="n">
        <v>1</v>
      </c>
      <c r="R2259" t="inlineStr">
        <is>
          <t>InStock</t>
        </is>
      </c>
      <c r="S2259" t="inlineStr">
        <is>
          <t>undefined</t>
        </is>
      </c>
      <c r="T2259" t="inlineStr">
        <is>
          <t>762707</t>
        </is>
      </c>
    </row>
    <row r="2260" ht="75" customHeight="1">
      <c r="A2260" s="2">
        <f>HYPERLINK("https://www.soccerplususa.com/cramer/cramer-athletic-tape-roll-12532", "https://www.soccerplususa.com/cramer/cramer-athletic-tape-roll-12532")</f>
        <v/>
      </c>
      <c r="B2260" t="inlineStr">
        <is>
          <t>undefined</t>
        </is>
      </c>
      <c r="C2260" t="inlineStr">
        <is>
          <t>Cramer Athletic Tape Roll</t>
        </is>
      </c>
      <c r="D2260" t="inlineStr">
        <is>
          <t>Cramer 750 Athletic Tape (CS of 32) (EA) &amp; Cramer Tape Underwrap, Bulk Case of 48 Rolls of PreWrap, 2.75" X 30 Yard Rolls of Pre Wrap</t>
        </is>
      </c>
      <c r="E2260" s="2">
        <f>HYPERLINK("https://www.amazon.com/Cramer-Athletic-Underwrap-Rolls-PreWrap/dp/B0BLNBBL5Q/ref=sr_1_8?keywords=Cramer+Athletic+Tape+Roll&amp;qid=1695171057&amp;sr=8-8", "https://www.amazon.com/Cramer-Athletic-Underwrap-Rolls-PreWrap/dp/B0BLNBBL5Q/ref=sr_1_8?keywords=Cramer+Athletic+Tape+Roll&amp;qid=1695171057&amp;sr=8-8")</f>
        <v/>
      </c>
      <c r="F2260" t="inlineStr">
        <is>
          <t>B0BLNBBL5Q</t>
        </is>
      </c>
      <c r="G2260">
        <f>_xlfn.IMAGE("https://www.soccerplususa.com/prodimages/2575-DEFAULT-l.jpg")</f>
        <v/>
      </c>
      <c r="H2260">
        <f>_xlfn.IMAGE("https://m.media-amazon.com/images/I/51z-bp559kL._AC_UL320_.jpg")</f>
        <v/>
      </c>
      <c r="K2260" t="inlineStr">
        <is>
          <t>4.95</t>
        </is>
      </c>
      <c r="L2260" t="n">
        <v>112</v>
      </c>
      <c r="M2260" s="1" t="inlineStr">
        <is>
          <t>2,162.63%</t>
        </is>
      </c>
      <c r="N2260" s="5" t="n">
        <v>2162.63</v>
      </c>
      <c r="O2260" t="n">
        <v>5</v>
      </c>
      <c r="P2260" t="n">
        <v>1</v>
      </c>
      <c r="R2260" t="inlineStr">
        <is>
          <t>InStock</t>
        </is>
      </c>
      <c r="S2260" t="inlineStr">
        <is>
          <t>undefined</t>
        </is>
      </c>
      <c r="T2260" t="inlineStr">
        <is>
          <t>762700</t>
        </is>
      </c>
    </row>
    <row r="2261" ht="75" customHeight="1">
      <c r="A2261" s="2">
        <f>HYPERLINK("https://www.soccerplususa.com/cramer/cramer-athletic-tape-roll-12539", "https://www.soccerplususa.com/cramer/cramer-athletic-tape-roll-12539")</f>
        <v/>
      </c>
      <c r="B2261" t="inlineStr">
        <is>
          <t>undefined</t>
        </is>
      </c>
      <c r="C2261" t="inlineStr">
        <is>
          <t>Cramer Athletic Tape Roll</t>
        </is>
      </c>
      <c r="D2261" t="inlineStr">
        <is>
          <t>Cramer 750 Athletic Tape (CS of 32) (EA) &amp; Cramer Tape Underwrap, Bulk Case of 48 Rolls of PreWrap, 2.75" X 30 Yard Rolls of Pre Wrap</t>
        </is>
      </c>
      <c r="E2261" s="2">
        <f>HYPERLINK("https://www.amazon.com/Cramer-Athletic-Underwrap-Rolls-PreWrap/dp/B0BLNBBL5Q/ref=sr_1_8?keywords=Cramer+Athletic+Tape+Roll&amp;qid=1695171061&amp;sr=8-8", "https://www.amazon.com/Cramer-Athletic-Underwrap-Rolls-PreWrap/dp/B0BLNBBL5Q/ref=sr_1_8?keywords=Cramer+Athletic+Tape+Roll&amp;qid=1695171061&amp;sr=8-8")</f>
        <v/>
      </c>
      <c r="F2261" t="inlineStr">
        <is>
          <t>B0BLNBBL5Q</t>
        </is>
      </c>
      <c r="G2261">
        <f>_xlfn.IMAGE("https://www.soccerplususa.com/prodimages/2582-DEFAULT-l.jpg")</f>
        <v/>
      </c>
      <c r="H2261">
        <f>_xlfn.IMAGE("https://m.media-amazon.com/images/I/51z-bp559kL._AC_UL320_.jpg")</f>
        <v/>
      </c>
      <c r="K2261" t="inlineStr">
        <is>
          <t>4.95</t>
        </is>
      </c>
      <c r="L2261" t="n">
        <v>112</v>
      </c>
      <c r="M2261" s="1" t="inlineStr">
        <is>
          <t>2,162.63%</t>
        </is>
      </c>
      <c r="N2261" s="5" t="n">
        <v>2162.63</v>
      </c>
      <c r="O2261" t="n">
        <v>5</v>
      </c>
      <c r="P2261" t="n">
        <v>1</v>
      </c>
      <c r="R2261" t="inlineStr">
        <is>
          <t>InStock</t>
        </is>
      </c>
      <c r="S2261" t="inlineStr">
        <is>
          <t>undefined</t>
        </is>
      </c>
      <c r="T2261" t="inlineStr">
        <is>
          <t>762708</t>
        </is>
      </c>
    </row>
    <row r="2262" ht="75" customHeight="1">
      <c r="A2262" s="2">
        <f>HYPERLINK("https://www.soccerplususa.com/cramer/cramer-athletic-tape-roll-12535", "https://www.soccerplususa.com/cramer/cramer-athletic-tape-roll-12535")</f>
        <v/>
      </c>
      <c r="B2262" t="inlineStr">
        <is>
          <t>undefined</t>
        </is>
      </c>
      <c r="C2262" t="inlineStr">
        <is>
          <t>Cramer Athletic Tape Roll</t>
        </is>
      </c>
      <c r="D2262" t="inlineStr">
        <is>
          <t>Cramer 750 Athletic Tape (CS of 32) (EA) &amp; Cramer Tape Underwrap, Bulk Case of 48 Rolls of PreWrap, 2.75" X 30 Yard Rolls of Pre Wrap</t>
        </is>
      </c>
      <c r="E2262" s="2">
        <f>HYPERLINK("https://www.amazon.com/Cramer-Athletic-Underwrap-Rolls-PreWrap/dp/B0BLNBBL5Q/ref=sr_1_8?keywords=Cramer+Athletic+Tape+Roll&amp;qid=1695171054&amp;sr=8-8", "https://www.amazon.com/Cramer-Athletic-Underwrap-Rolls-PreWrap/dp/B0BLNBBL5Q/ref=sr_1_8?keywords=Cramer+Athletic+Tape+Roll&amp;qid=1695171054&amp;sr=8-8")</f>
        <v/>
      </c>
      <c r="F2262" t="inlineStr">
        <is>
          <t>B0BLNBBL5Q</t>
        </is>
      </c>
      <c r="G2262">
        <f>_xlfn.IMAGE("https://www.soccerplususa.com/prodimages/2578-DEFAULT-l.jpg")</f>
        <v/>
      </c>
      <c r="H2262">
        <f>_xlfn.IMAGE("https://m.media-amazon.com/images/I/51z-bp559kL._AC_UL320_.jpg")</f>
        <v/>
      </c>
      <c r="K2262" t="inlineStr">
        <is>
          <t>4.95</t>
        </is>
      </c>
      <c r="L2262" t="n">
        <v>112</v>
      </c>
      <c r="M2262" s="1" t="inlineStr">
        <is>
          <t>2,162.63%</t>
        </is>
      </c>
      <c r="N2262" s="5" t="n">
        <v>2162.63</v>
      </c>
      <c r="O2262" t="n">
        <v>5</v>
      </c>
      <c r="P2262" t="n">
        <v>1</v>
      </c>
      <c r="R2262" t="inlineStr">
        <is>
          <t>InStock</t>
        </is>
      </c>
      <c r="S2262" t="inlineStr">
        <is>
          <t>undefined</t>
        </is>
      </c>
      <c r="T2262" t="inlineStr">
        <is>
          <t>762703</t>
        </is>
      </c>
    </row>
    <row r="2263" ht="75" customHeight="1">
      <c r="A2263" s="2">
        <f>HYPERLINK("https://www.soccerplususa.com/cramer/cramer-athletic-tape-roll-12536", "https://www.soccerplususa.com/cramer/cramer-athletic-tape-roll-12536")</f>
        <v/>
      </c>
      <c r="B2263" t="inlineStr">
        <is>
          <t>undefined</t>
        </is>
      </c>
      <c r="C2263" t="inlineStr">
        <is>
          <t>Cramer Athletic Tape Roll</t>
        </is>
      </c>
      <c r="D2263" t="inlineStr">
        <is>
          <t>Cramer 750 Athletic Tape (CS of 32) (EA) &amp; Cramer Tape Underwrap, Bulk Case of 48 Rolls of PreWrap, 2.75" X 30 Yard Rolls of Pre Wrap</t>
        </is>
      </c>
      <c r="E2263" s="2">
        <f>HYPERLINK("https://www.amazon.com/Cramer-Athletic-Underwrap-Rolls-PreWrap/dp/B0BLNBBL5Q/ref=sr_1_8?keywords=Cramer+Athletic+Tape+Roll&amp;qid=1695171054&amp;sr=8-8", "https://www.amazon.com/Cramer-Athletic-Underwrap-Rolls-PreWrap/dp/B0BLNBBL5Q/ref=sr_1_8?keywords=Cramer+Athletic+Tape+Roll&amp;qid=1695171054&amp;sr=8-8")</f>
        <v/>
      </c>
      <c r="F2263" t="inlineStr">
        <is>
          <t>B0BLNBBL5Q</t>
        </is>
      </c>
      <c r="G2263">
        <f>_xlfn.IMAGE("https://www.soccerplususa.com/prodimages/2579-DEFAULT-l.jpg")</f>
        <v/>
      </c>
      <c r="H2263">
        <f>_xlfn.IMAGE("https://m.media-amazon.com/images/I/51z-bp559kL._AC_UL320_.jpg")</f>
        <v/>
      </c>
      <c r="K2263" t="inlineStr">
        <is>
          <t>4.95</t>
        </is>
      </c>
      <c r="L2263" t="n">
        <v>112</v>
      </c>
      <c r="M2263" s="1" t="inlineStr">
        <is>
          <t>2,162.63%</t>
        </is>
      </c>
      <c r="N2263" s="5" t="n">
        <v>2162.63</v>
      </c>
      <c r="O2263" t="n">
        <v>5</v>
      </c>
      <c r="P2263" t="n">
        <v>1</v>
      </c>
      <c r="R2263" t="inlineStr">
        <is>
          <t>InStock</t>
        </is>
      </c>
      <c r="S2263" t="inlineStr">
        <is>
          <t>undefined</t>
        </is>
      </c>
      <c r="T2263" t="inlineStr">
        <is>
          <t>762704</t>
        </is>
      </c>
    </row>
    <row r="2264" ht="75" customHeight="1">
      <c r="A2264" s="2">
        <f>HYPERLINK("https://www.soccerplususa.com/cramer/cramer-athletic-tape-roll-12536", "https://www.soccerplususa.com/cramer/cramer-athletic-tape-roll-12536")</f>
        <v/>
      </c>
      <c r="B2264" t="inlineStr">
        <is>
          <t>undefined</t>
        </is>
      </c>
      <c r="C2264" t="inlineStr">
        <is>
          <t>Cramer Athletic Tape Roll</t>
        </is>
      </c>
      <c r="D2264" t="inlineStr">
        <is>
          <t>Cramer Pro-Lastic Stretch Tape, Easy Tear Athletic Tape, Flexible Elastic Tape with Premium Adhesive, Support for Wrist &amp; Ankle Injury Taping, Athletic Training Supplies, Compression Wrap, Bulk Case</t>
        </is>
      </c>
      <c r="E2264" s="2">
        <f>HYPERLINK("https://www.amazon.com/Cramer-Pro-Lastic-Athletic-Flexible-Compression/dp/B0059267PG/ref=sr_1_7?keywords=Cramer+Athletic+Tape+Roll&amp;qid=1695171054&amp;sr=8-7", "https://www.amazon.com/Cramer-Pro-Lastic-Athletic-Flexible-Compression/dp/B0059267PG/ref=sr_1_7?keywords=Cramer+Athletic+Tape+Roll&amp;qid=1695171054&amp;sr=8-7")</f>
        <v/>
      </c>
      <c r="F2264" t="inlineStr">
        <is>
          <t>B0059267PG</t>
        </is>
      </c>
      <c r="G2264">
        <f>_xlfn.IMAGE("https://www.soccerplususa.com/prodimages/2579-DEFAULT-l.jpg")</f>
        <v/>
      </c>
      <c r="H2264">
        <f>_xlfn.IMAGE("https://m.media-amazon.com/images/I/61u9Hl5WwQL._AC_UL320_.jpg")</f>
        <v/>
      </c>
      <c r="K2264" t="inlineStr">
        <is>
          <t>4.95</t>
        </is>
      </c>
      <c r="L2264" t="n">
        <v>82.98</v>
      </c>
      <c r="M2264" s="1" t="inlineStr">
        <is>
          <t>1,576.36%</t>
        </is>
      </c>
      <c r="N2264" s="5" t="n">
        <v>1576.36</v>
      </c>
      <c r="O2264" t="n">
        <v>5</v>
      </c>
      <c r="P2264" t="n">
        <v>13</v>
      </c>
      <c r="R2264" t="inlineStr">
        <is>
          <t>InStock</t>
        </is>
      </c>
      <c r="S2264" t="inlineStr">
        <is>
          <t>undefined</t>
        </is>
      </c>
      <c r="T2264" t="inlineStr">
        <is>
          <t>762704</t>
        </is>
      </c>
    </row>
    <row r="2265" ht="75" customHeight="1">
      <c r="A2265" s="2">
        <f>HYPERLINK("https://www.soccerplususa.com/cramer/cramer-athletic-tape-roll-12532", "https://www.soccerplususa.com/cramer/cramer-athletic-tape-roll-12532")</f>
        <v/>
      </c>
      <c r="B2265" t="inlineStr">
        <is>
          <t>undefined</t>
        </is>
      </c>
      <c r="C2265" t="inlineStr">
        <is>
          <t>Cramer Athletic Tape Roll</t>
        </is>
      </c>
      <c r="D2265" t="inlineStr">
        <is>
          <t>Cramer Pro-Lastic Stretch Tape, Easy Tear Athletic Tape, Flexible Elastic Tape with Premium Adhesive, Support for Wrist &amp; Ankle Injury Taping, Athletic Training Supplies, Compression Wrap, Bulk Case</t>
        </is>
      </c>
      <c r="E2265" s="2">
        <f>HYPERLINK("https://www.amazon.com/Cramer-Pro-Lastic-Athletic-Flexible-Compression/dp/B0059267PG/ref=sr_1_7?keywords=Cramer+Athletic+Tape+Roll&amp;qid=1695171057&amp;sr=8-7", "https://www.amazon.com/Cramer-Pro-Lastic-Athletic-Flexible-Compression/dp/B0059267PG/ref=sr_1_7?keywords=Cramer+Athletic+Tape+Roll&amp;qid=1695171057&amp;sr=8-7")</f>
        <v/>
      </c>
      <c r="F2265" t="inlineStr">
        <is>
          <t>B0059267PG</t>
        </is>
      </c>
      <c r="G2265">
        <f>_xlfn.IMAGE("https://www.soccerplususa.com/prodimages/2575-DEFAULT-l.jpg")</f>
        <v/>
      </c>
      <c r="H2265">
        <f>_xlfn.IMAGE("https://m.media-amazon.com/images/I/61u9Hl5WwQL._AC_UL320_.jpg")</f>
        <v/>
      </c>
      <c r="K2265" t="inlineStr">
        <is>
          <t>4.95</t>
        </is>
      </c>
      <c r="L2265" t="n">
        <v>82.98</v>
      </c>
      <c r="M2265" s="1" t="inlineStr">
        <is>
          <t>1,576.36%</t>
        </is>
      </c>
      <c r="N2265" s="5" t="n">
        <v>1576.36</v>
      </c>
      <c r="O2265" t="n">
        <v>5</v>
      </c>
      <c r="P2265" t="n">
        <v>13</v>
      </c>
      <c r="R2265" t="inlineStr">
        <is>
          <t>InStock</t>
        </is>
      </c>
      <c r="S2265" t="inlineStr">
        <is>
          <t>undefined</t>
        </is>
      </c>
      <c r="T2265" t="inlineStr">
        <is>
          <t>762700</t>
        </is>
      </c>
    </row>
    <row r="2266" ht="75" customHeight="1">
      <c r="A2266" s="2">
        <f>HYPERLINK("https://www.soccerplususa.com/cramer/cramer-athletic-tape-roll-12538", "https://www.soccerplususa.com/cramer/cramer-athletic-tape-roll-12538")</f>
        <v/>
      </c>
      <c r="B2266" t="inlineStr">
        <is>
          <t>undefined</t>
        </is>
      </c>
      <c r="C2266" t="inlineStr">
        <is>
          <t>Cramer Athletic Tape Roll</t>
        </is>
      </c>
      <c r="D2266" t="inlineStr">
        <is>
          <t>Cramer Pro-Lastic Stretch Tape, Easy Tear Athletic Tape, Flexible Elastic Tape with Premium Adhesive, Support for Wrist &amp; Ankle Injury Taping, Athletic Training Supplies, Compression Wrap, Bulk Case</t>
        </is>
      </c>
      <c r="E2266" s="2">
        <f>HYPERLINK("https://www.amazon.com/Cramer-Pro-Lastic-Athletic-Flexible-Compression/dp/B0059267PG/ref=sr_1_7?keywords=Cramer+Athletic+Tape+Roll&amp;qid=1695171060&amp;sr=8-7", "https://www.amazon.com/Cramer-Pro-Lastic-Athletic-Flexible-Compression/dp/B0059267PG/ref=sr_1_7?keywords=Cramer+Athletic+Tape+Roll&amp;qid=1695171060&amp;sr=8-7")</f>
        <v/>
      </c>
      <c r="F2266" t="inlineStr">
        <is>
          <t>B0059267PG</t>
        </is>
      </c>
      <c r="G2266">
        <f>_xlfn.IMAGE("https://www.soccerplususa.com/prodimages/2581-DEFAULT-l.jpg")</f>
        <v/>
      </c>
      <c r="H2266">
        <f>_xlfn.IMAGE("https://m.media-amazon.com/images/I/61u9Hl5WwQL._AC_UL320_.jpg")</f>
        <v/>
      </c>
      <c r="K2266" t="inlineStr">
        <is>
          <t>4.95</t>
        </is>
      </c>
      <c r="L2266" t="n">
        <v>82.98</v>
      </c>
      <c r="M2266" s="1" t="inlineStr">
        <is>
          <t>1,576.36%</t>
        </is>
      </c>
      <c r="N2266" s="5" t="n">
        <v>1576.36</v>
      </c>
      <c r="O2266" t="n">
        <v>5</v>
      </c>
      <c r="P2266" t="n">
        <v>13</v>
      </c>
      <c r="R2266" t="inlineStr">
        <is>
          <t>InStock</t>
        </is>
      </c>
      <c r="S2266" t="inlineStr">
        <is>
          <t>undefined</t>
        </is>
      </c>
      <c r="T2266" t="inlineStr">
        <is>
          <t>762707</t>
        </is>
      </c>
    </row>
    <row r="2267" ht="75" customHeight="1">
      <c r="A2267" s="2">
        <f>HYPERLINK("https://www.soccerplususa.com/cramer/cramer-athletic-tape-roll-12539", "https://www.soccerplususa.com/cramer/cramer-athletic-tape-roll-12539")</f>
        <v/>
      </c>
      <c r="B2267" t="inlineStr">
        <is>
          <t>undefined</t>
        </is>
      </c>
      <c r="C2267" t="inlineStr">
        <is>
          <t>Cramer Athletic Tape Roll</t>
        </is>
      </c>
      <c r="D2267" t="inlineStr">
        <is>
          <t>Cramer Pro-Lastic Stretch Tape, Easy Tear Athletic Tape, Flexible Elastic Tape with Premium Adhesive, Support for Wrist &amp; Ankle Injury Taping, Athletic Training Supplies, Compression Wrap, Bulk Case</t>
        </is>
      </c>
      <c r="E2267" s="2">
        <f>HYPERLINK("https://www.amazon.com/Cramer-Pro-Lastic-Athletic-Flexible-Compression/dp/B0059267PG/ref=sr_1_7?keywords=Cramer+Athletic+Tape+Roll&amp;qid=1695171061&amp;sr=8-7", "https://www.amazon.com/Cramer-Pro-Lastic-Athletic-Flexible-Compression/dp/B0059267PG/ref=sr_1_7?keywords=Cramer+Athletic+Tape+Roll&amp;qid=1695171061&amp;sr=8-7")</f>
        <v/>
      </c>
      <c r="F2267" t="inlineStr">
        <is>
          <t>B0059267PG</t>
        </is>
      </c>
      <c r="G2267">
        <f>_xlfn.IMAGE("https://www.soccerplususa.com/prodimages/2582-DEFAULT-l.jpg")</f>
        <v/>
      </c>
      <c r="H2267">
        <f>_xlfn.IMAGE("https://m.media-amazon.com/images/I/61u9Hl5WwQL._AC_UL320_.jpg")</f>
        <v/>
      </c>
      <c r="K2267" t="inlineStr">
        <is>
          <t>4.95</t>
        </is>
      </c>
      <c r="L2267" t="n">
        <v>82.98</v>
      </c>
      <c r="M2267" s="1" t="inlineStr">
        <is>
          <t>1,576.36%</t>
        </is>
      </c>
      <c r="N2267" s="5" t="n">
        <v>1576.36</v>
      </c>
      <c r="O2267" t="n">
        <v>5</v>
      </c>
      <c r="P2267" t="n">
        <v>13</v>
      </c>
      <c r="R2267" t="inlineStr">
        <is>
          <t>InStock</t>
        </is>
      </c>
      <c r="S2267" t="inlineStr">
        <is>
          <t>undefined</t>
        </is>
      </c>
      <c r="T2267" t="inlineStr">
        <is>
          <t>762708</t>
        </is>
      </c>
    </row>
    <row r="2268" ht="75" customHeight="1">
      <c r="A2268" s="2">
        <f>HYPERLINK("https://www.soccerplususa.com/cramer/cramer-athletic-tape-roll-12535", "https://www.soccerplususa.com/cramer/cramer-athletic-tape-roll-12535")</f>
        <v/>
      </c>
      <c r="B2268" t="inlineStr">
        <is>
          <t>undefined</t>
        </is>
      </c>
      <c r="C2268" t="inlineStr">
        <is>
          <t>Cramer Athletic Tape Roll</t>
        </is>
      </c>
      <c r="D2268" t="inlineStr">
        <is>
          <t>Cramer Pro-Lastic Stretch Tape, Easy Tear Athletic Tape, Flexible Elastic Tape with Premium Adhesive, Support for Wrist &amp; Ankle Injury Taping, Athletic Training Supplies, Compression Wrap, Bulk Case</t>
        </is>
      </c>
      <c r="E2268" s="2">
        <f>HYPERLINK("https://www.amazon.com/Cramer-Pro-Lastic-Athletic-Flexible-Compression/dp/B0059267PG/ref=sr_1_7?keywords=Cramer+Athletic+Tape+Roll&amp;qid=1695171054&amp;sr=8-7", "https://www.amazon.com/Cramer-Pro-Lastic-Athletic-Flexible-Compression/dp/B0059267PG/ref=sr_1_7?keywords=Cramer+Athletic+Tape+Roll&amp;qid=1695171054&amp;sr=8-7")</f>
        <v/>
      </c>
      <c r="F2268" t="inlineStr">
        <is>
          <t>B0059267PG</t>
        </is>
      </c>
      <c r="G2268">
        <f>_xlfn.IMAGE("https://www.soccerplususa.com/prodimages/2578-DEFAULT-l.jpg")</f>
        <v/>
      </c>
      <c r="H2268">
        <f>_xlfn.IMAGE("https://m.media-amazon.com/images/I/61u9Hl5WwQL._AC_UL320_.jpg")</f>
        <v/>
      </c>
      <c r="K2268" t="inlineStr">
        <is>
          <t>4.95</t>
        </is>
      </c>
      <c r="L2268" t="n">
        <v>82.98</v>
      </c>
      <c r="M2268" s="1" t="inlineStr">
        <is>
          <t>1,576.36%</t>
        </is>
      </c>
      <c r="N2268" s="5" t="n">
        <v>1576.36</v>
      </c>
      <c r="O2268" t="n">
        <v>5</v>
      </c>
      <c r="P2268" t="n">
        <v>13</v>
      </c>
      <c r="R2268" t="inlineStr">
        <is>
          <t>InStock</t>
        </is>
      </c>
      <c r="S2268" t="inlineStr">
        <is>
          <t>undefined</t>
        </is>
      </c>
      <c r="T2268" t="inlineStr">
        <is>
          <t>762703</t>
        </is>
      </c>
    </row>
    <row r="2269" ht="75" customHeight="1">
      <c r="A2269" s="2">
        <f>HYPERLINK("https://www.soccerplususa.com/cramer/cramer-athletic-tape-roll-12533", "https://www.soccerplususa.com/cramer/cramer-athletic-tape-roll-12533")</f>
        <v/>
      </c>
      <c r="B2269" t="inlineStr">
        <is>
          <t>undefined</t>
        </is>
      </c>
      <c r="C2269" t="inlineStr">
        <is>
          <t>Cramer Athletic Tape Roll</t>
        </is>
      </c>
      <c r="D2269" t="inlineStr">
        <is>
          <t>Cramer Pro-Lastic Stretch Tape, Easy Tear Athletic Tape, Flexible Elastic Tape with Premium Adhesive, Support for Wrist &amp; Ankle Injury Taping, Athletic Training Supplies, Compression Wrap, Bulk Case</t>
        </is>
      </c>
      <c r="E2269" s="2">
        <f>HYPERLINK("https://www.amazon.com/Cramer-Pro-Lastic-Athletic-Flexible-Compression/dp/B0059267PG/ref=sr_1_7?keywords=Cramer+Athletic+Tape+Roll&amp;qid=1695171060&amp;sr=8-7", "https://www.amazon.com/Cramer-Pro-Lastic-Athletic-Flexible-Compression/dp/B0059267PG/ref=sr_1_7?keywords=Cramer+Athletic+Tape+Roll&amp;qid=1695171060&amp;sr=8-7")</f>
        <v/>
      </c>
      <c r="F2269" t="inlineStr">
        <is>
          <t>B0059267PG</t>
        </is>
      </c>
      <c r="G2269">
        <f>_xlfn.IMAGE("https://www.soccerplususa.com/prodimages/2576-DEFAULT-l.jpg")</f>
        <v/>
      </c>
      <c r="H2269">
        <f>_xlfn.IMAGE("https://m.media-amazon.com/images/I/61u9Hl5WwQL._AC_UL320_.jpg")</f>
        <v/>
      </c>
      <c r="K2269" t="inlineStr">
        <is>
          <t>4.95</t>
        </is>
      </c>
      <c r="L2269" t="n">
        <v>82.98</v>
      </c>
      <c r="M2269" s="1" t="inlineStr">
        <is>
          <t>1,576.36%</t>
        </is>
      </c>
      <c r="N2269" s="5" t="n">
        <v>1576.36</v>
      </c>
      <c r="O2269" t="n">
        <v>5</v>
      </c>
      <c r="P2269" t="n">
        <v>13</v>
      </c>
      <c r="R2269" t="inlineStr">
        <is>
          <t>InStock</t>
        </is>
      </c>
      <c r="S2269" t="inlineStr">
        <is>
          <t>undefined</t>
        </is>
      </c>
      <c r="T2269" t="inlineStr">
        <is>
          <t>762701</t>
        </is>
      </c>
    </row>
    <row r="2270" ht="75" customHeight="1">
      <c r="A2270" s="2">
        <f>HYPERLINK("https://www.soccerplususa.com/cramer/cramer-prewrap-12523", "https://www.soccerplususa.com/cramer/cramer-prewrap-12523")</f>
        <v/>
      </c>
      <c r="B2270" t="inlineStr">
        <is>
          <t>undefined</t>
        </is>
      </c>
      <c r="C2270" t="inlineStr">
        <is>
          <t>Cramer Pre-Wrap</t>
        </is>
      </c>
      <c r="D2270" t="inlineStr">
        <is>
          <t>Cramer Tape Underwrap, Bulk Case of 48 Rolls of PreWrap for Athletic Taping, Hair Tie, Headband, Patellar Support, Pre-Wrap Athletic Tape Supplies, 2.75" X 30 Yard Rolls of Pre Wrap</t>
        </is>
      </c>
      <c r="E2270" s="2">
        <f>HYPERLINK("https://www.amazon.com/Cramer-Underwrap-Athletic-Headband-Patellar/dp/B00027G8HU/ref=sr_1_1?keywords=Cramer+Pre-Wrap&amp;qid=1695171058&amp;sr=8-1", "https://www.amazon.com/Cramer-Underwrap-Athletic-Headband-Patellar/dp/B00027G8HU/ref=sr_1_1?keywords=Cramer+Pre-Wrap&amp;qid=1695171058&amp;sr=8-1")</f>
        <v/>
      </c>
      <c r="F2270" t="inlineStr">
        <is>
          <t>B00027G8HU</t>
        </is>
      </c>
      <c r="G2270">
        <f>_xlfn.IMAGE("https://www.soccerplususa.com/prodimages/2562-DEFAULT-l.jpg")</f>
        <v/>
      </c>
      <c r="H2270">
        <f>_xlfn.IMAGE("https://m.media-amazon.com/images/I/71OYCmmasOL._AC_UL320_.jpg")</f>
        <v/>
      </c>
      <c r="K2270" t="inlineStr">
        <is>
          <t>3.5</t>
        </is>
      </c>
      <c r="L2270" t="n">
        <v>48.95</v>
      </c>
      <c r="M2270" s="1" t="inlineStr">
        <is>
          <t>1,298.57%</t>
        </is>
      </c>
      <c r="N2270" s="5" t="n">
        <v>1298.57</v>
      </c>
      <c r="O2270" t="n">
        <v>4.7</v>
      </c>
      <c r="P2270" t="n">
        <v>234</v>
      </c>
      <c r="R2270" t="inlineStr">
        <is>
          <t>InStock</t>
        </is>
      </c>
      <c r="S2270" t="inlineStr">
        <is>
          <t>3.95</t>
        </is>
      </c>
      <c r="T2270" t="inlineStr">
        <is>
          <t>762220</t>
        </is>
      </c>
    </row>
    <row r="2271" ht="75" customHeight="1">
      <c r="A2271" s="2">
        <f>HYPERLINK("https://www.soccerplususa.com/cramer/cramer-athletic-tape-roll-12533", "https://www.soccerplususa.com/cramer/cramer-athletic-tape-roll-12533")</f>
        <v/>
      </c>
      <c r="B2271" t="inlineStr">
        <is>
          <t>undefined</t>
        </is>
      </c>
      <c r="C2271" t="inlineStr">
        <is>
          <t>Cramer Athletic Tape Roll</t>
        </is>
      </c>
      <c r="D2271" t="inlineStr">
        <is>
          <t>Cramer Athletic Tape (32 Rolls)</t>
        </is>
      </c>
      <c r="E2271" s="2">
        <f>HYPERLINK("https://www.amazon.com/Cramer-Athletic-Injuries-Promotes-Training/dp/B005929NRU/ref=sr_1_1?keywords=Cramer+Athletic+Tape+Roll&amp;qid=1695171060&amp;sr=8-1", "https://www.amazon.com/Cramer-Athletic-Injuries-Promotes-Training/dp/B005929NRU/ref=sr_1_1?keywords=Cramer+Athletic+Tape+Roll&amp;qid=1695171060&amp;sr=8-1")</f>
        <v/>
      </c>
      <c r="F2271" t="inlineStr">
        <is>
          <t>B005929NRU</t>
        </is>
      </c>
      <c r="G2271">
        <f>_xlfn.IMAGE("https://www.soccerplususa.com/prodimages/2576-DEFAULT-l.jpg")</f>
        <v/>
      </c>
      <c r="H2271">
        <f>_xlfn.IMAGE("https://m.media-amazon.com/images/I/61hl7PmY9vL._AC_UL320_.jpg")</f>
        <v/>
      </c>
      <c r="K2271" t="inlineStr">
        <is>
          <t>4.95</t>
        </is>
      </c>
      <c r="L2271" t="n">
        <v>63.05</v>
      </c>
      <c r="M2271" s="1" t="inlineStr">
        <is>
          <t>1,173.74%</t>
        </is>
      </c>
      <c r="N2271" s="5" t="n">
        <v>1173.74</v>
      </c>
      <c r="O2271" t="n">
        <v>4.7</v>
      </c>
      <c r="P2271" t="n">
        <v>812</v>
      </c>
      <c r="R2271" t="inlineStr">
        <is>
          <t>InStock</t>
        </is>
      </c>
      <c r="S2271" t="inlineStr">
        <is>
          <t>undefined</t>
        </is>
      </c>
      <c r="T2271" t="inlineStr">
        <is>
          <t>762701</t>
        </is>
      </c>
    </row>
    <row r="2272" ht="75" customHeight="1">
      <c r="A2272" s="2">
        <f>HYPERLINK("https://www.soccerplususa.com/cramer/cramer-athletic-tape-roll-12535", "https://www.soccerplususa.com/cramer/cramer-athletic-tape-roll-12535")</f>
        <v/>
      </c>
      <c r="B2272" t="inlineStr">
        <is>
          <t>undefined</t>
        </is>
      </c>
      <c r="C2272" t="inlineStr">
        <is>
          <t>Cramer Athletic Tape Roll</t>
        </is>
      </c>
      <c r="D2272" t="inlineStr">
        <is>
          <t>Cramer Athletic Tape (32 Rolls)</t>
        </is>
      </c>
      <c r="E2272" s="2">
        <f>HYPERLINK("https://www.amazon.com/Cramer-Athletic-Injuries-Promotes-Training/dp/B005929NRU/ref=sr_1_1?keywords=Cramer+Athletic+Tape+Roll&amp;qid=1695171054&amp;sr=8-1", "https://www.amazon.com/Cramer-Athletic-Injuries-Promotes-Training/dp/B005929NRU/ref=sr_1_1?keywords=Cramer+Athletic+Tape+Roll&amp;qid=1695171054&amp;sr=8-1")</f>
        <v/>
      </c>
      <c r="F2272" t="inlineStr">
        <is>
          <t>B005929NRU</t>
        </is>
      </c>
      <c r="G2272">
        <f>_xlfn.IMAGE("https://www.soccerplususa.com/prodimages/2578-DEFAULT-l.jpg")</f>
        <v/>
      </c>
      <c r="H2272">
        <f>_xlfn.IMAGE("https://m.media-amazon.com/images/I/61hl7PmY9vL._AC_UL320_.jpg")</f>
        <v/>
      </c>
      <c r="K2272" t="inlineStr">
        <is>
          <t>4.95</t>
        </is>
      </c>
      <c r="L2272" t="n">
        <v>63.05</v>
      </c>
      <c r="M2272" s="1" t="inlineStr">
        <is>
          <t>1,173.74%</t>
        </is>
      </c>
      <c r="N2272" s="5" t="n">
        <v>1173.74</v>
      </c>
      <c r="O2272" t="n">
        <v>4.7</v>
      </c>
      <c r="P2272" t="n">
        <v>812</v>
      </c>
      <c r="R2272" t="inlineStr">
        <is>
          <t>InStock</t>
        </is>
      </c>
      <c r="S2272" t="inlineStr">
        <is>
          <t>undefined</t>
        </is>
      </c>
      <c r="T2272" t="inlineStr">
        <is>
          <t>762703</t>
        </is>
      </c>
    </row>
    <row r="2273" ht="75" customHeight="1">
      <c r="A2273" s="2">
        <f>HYPERLINK("https://www.soccerplususa.com/cramer/cramer-athletic-tape-roll-12536", "https://www.soccerplususa.com/cramer/cramer-athletic-tape-roll-12536")</f>
        <v/>
      </c>
      <c r="B2273" t="inlineStr">
        <is>
          <t>undefined</t>
        </is>
      </c>
      <c r="C2273" t="inlineStr">
        <is>
          <t>Cramer Athletic Tape Roll</t>
        </is>
      </c>
      <c r="D2273" t="inlineStr">
        <is>
          <t>Cramer Athletic Tape (32 Rolls)</t>
        </is>
      </c>
      <c r="E2273" s="2">
        <f>HYPERLINK("https://www.amazon.com/Cramer-Athletic-Injuries-Promotes-Training/dp/B005929NRU/ref=sr_1_1?keywords=Cramer+Athletic+Tape+Roll&amp;qid=1695171054&amp;sr=8-1", "https://www.amazon.com/Cramer-Athletic-Injuries-Promotes-Training/dp/B005929NRU/ref=sr_1_1?keywords=Cramer+Athletic+Tape+Roll&amp;qid=1695171054&amp;sr=8-1")</f>
        <v/>
      </c>
      <c r="F2273" t="inlineStr">
        <is>
          <t>B005929NRU</t>
        </is>
      </c>
      <c r="G2273">
        <f>_xlfn.IMAGE("https://www.soccerplususa.com/prodimages/2579-DEFAULT-l.jpg")</f>
        <v/>
      </c>
      <c r="H2273">
        <f>_xlfn.IMAGE("https://m.media-amazon.com/images/I/61hl7PmY9vL._AC_UL320_.jpg")</f>
        <v/>
      </c>
      <c r="K2273" t="inlineStr">
        <is>
          <t>4.95</t>
        </is>
      </c>
      <c r="L2273" t="n">
        <v>63.05</v>
      </c>
      <c r="M2273" s="1" t="inlineStr">
        <is>
          <t>1,173.74%</t>
        </is>
      </c>
      <c r="N2273" s="5" t="n">
        <v>1173.74</v>
      </c>
      <c r="O2273" t="n">
        <v>4.7</v>
      </c>
      <c r="P2273" t="n">
        <v>812</v>
      </c>
      <c r="R2273" t="inlineStr">
        <is>
          <t>InStock</t>
        </is>
      </c>
      <c r="S2273" t="inlineStr">
        <is>
          <t>undefined</t>
        </is>
      </c>
      <c r="T2273" t="inlineStr">
        <is>
          <t>762704</t>
        </is>
      </c>
    </row>
    <row r="2274" ht="75" customHeight="1">
      <c r="A2274" s="2">
        <f>HYPERLINK("https://www.soccerplususa.com/cramer/cramer-athletic-tape-roll-12539", "https://www.soccerplususa.com/cramer/cramer-athletic-tape-roll-12539")</f>
        <v/>
      </c>
      <c r="B2274" t="inlineStr">
        <is>
          <t>undefined</t>
        </is>
      </c>
      <c r="C2274" t="inlineStr">
        <is>
          <t>Cramer Athletic Tape Roll</t>
        </is>
      </c>
      <c r="D2274" t="inlineStr">
        <is>
          <t>Cramer Athletic Tape (32 Rolls)</t>
        </is>
      </c>
      <c r="E2274" s="2">
        <f>HYPERLINK("https://www.amazon.com/Cramer-Athletic-Injuries-Promotes-Training/dp/B005929NRU/ref=sr_1_1?keywords=Cramer+Athletic+Tape+Roll&amp;qid=1695171061&amp;sr=8-1", "https://www.amazon.com/Cramer-Athletic-Injuries-Promotes-Training/dp/B005929NRU/ref=sr_1_1?keywords=Cramer+Athletic+Tape+Roll&amp;qid=1695171061&amp;sr=8-1")</f>
        <v/>
      </c>
      <c r="F2274" t="inlineStr">
        <is>
          <t>B005929NRU</t>
        </is>
      </c>
      <c r="G2274">
        <f>_xlfn.IMAGE("https://www.soccerplususa.com/prodimages/2582-DEFAULT-l.jpg")</f>
        <v/>
      </c>
      <c r="H2274">
        <f>_xlfn.IMAGE("https://m.media-amazon.com/images/I/61hl7PmY9vL._AC_UL320_.jpg")</f>
        <v/>
      </c>
      <c r="K2274" t="inlineStr">
        <is>
          <t>4.95</t>
        </is>
      </c>
      <c r="L2274" t="n">
        <v>63.05</v>
      </c>
      <c r="M2274" s="1" t="inlineStr">
        <is>
          <t>1,173.74%</t>
        </is>
      </c>
      <c r="N2274" s="5" t="n">
        <v>1173.74</v>
      </c>
      <c r="O2274" t="n">
        <v>4.7</v>
      </c>
      <c r="P2274" t="n">
        <v>812</v>
      </c>
      <c r="R2274" t="inlineStr">
        <is>
          <t>InStock</t>
        </is>
      </c>
      <c r="S2274" t="inlineStr">
        <is>
          <t>undefined</t>
        </is>
      </c>
      <c r="T2274" t="inlineStr">
        <is>
          <t>762708</t>
        </is>
      </c>
    </row>
    <row r="2275" ht="75" customHeight="1">
      <c r="A2275" s="2">
        <f>HYPERLINK("https://www.soccerplususa.com/cramer/cramer-athletic-tape-roll-12538", "https://www.soccerplususa.com/cramer/cramer-athletic-tape-roll-12538")</f>
        <v/>
      </c>
      <c r="B2275" t="inlineStr">
        <is>
          <t>undefined</t>
        </is>
      </c>
      <c r="C2275" t="inlineStr">
        <is>
          <t>Cramer Athletic Tape Roll</t>
        </is>
      </c>
      <c r="D2275" t="inlineStr">
        <is>
          <t>Cramer Athletic Tape (32 Rolls)</t>
        </is>
      </c>
      <c r="E2275" s="2">
        <f>HYPERLINK("https://www.amazon.com/Cramer-Athletic-Injuries-Promotes-Training/dp/B005929NRU/ref=sr_1_1?keywords=Cramer+Athletic+Tape+Roll&amp;qid=1695171060&amp;sr=8-1", "https://www.amazon.com/Cramer-Athletic-Injuries-Promotes-Training/dp/B005929NRU/ref=sr_1_1?keywords=Cramer+Athletic+Tape+Roll&amp;qid=1695171060&amp;sr=8-1")</f>
        <v/>
      </c>
      <c r="F2275" t="inlineStr">
        <is>
          <t>B005929NRU</t>
        </is>
      </c>
      <c r="G2275">
        <f>_xlfn.IMAGE("https://www.soccerplususa.com/prodimages/2581-DEFAULT-l.jpg")</f>
        <v/>
      </c>
      <c r="H2275">
        <f>_xlfn.IMAGE("https://m.media-amazon.com/images/I/61hl7PmY9vL._AC_UL320_.jpg")</f>
        <v/>
      </c>
      <c r="K2275" t="inlineStr">
        <is>
          <t>4.95</t>
        </is>
      </c>
      <c r="L2275" t="n">
        <v>63.05</v>
      </c>
      <c r="M2275" s="1" t="inlineStr">
        <is>
          <t>1,173.74%</t>
        </is>
      </c>
      <c r="N2275" s="5" t="n">
        <v>1173.74</v>
      </c>
      <c r="O2275" t="n">
        <v>4.7</v>
      </c>
      <c r="P2275" t="n">
        <v>812</v>
      </c>
      <c r="R2275" t="inlineStr">
        <is>
          <t>InStock</t>
        </is>
      </c>
      <c r="S2275" t="inlineStr">
        <is>
          <t>undefined</t>
        </is>
      </c>
      <c r="T2275" t="inlineStr">
        <is>
          <t>762707</t>
        </is>
      </c>
    </row>
    <row r="2276" ht="75" customHeight="1">
      <c r="A2276" s="2">
        <f>HYPERLINK("https://www.soccerplususa.com/cramer/cramer-athletic-tape-roll-12532", "https://www.soccerplususa.com/cramer/cramer-athletic-tape-roll-12532")</f>
        <v/>
      </c>
      <c r="B2276" t="inlineStr">
        <is>
          <t>undefined</t>
        </is>
      </c>
      <c r="C2276" t="inlineStr">
        <is>
          <t>Cramer Athletic Tape Roll</t>
        </is>
      </c>
      <c r="D2276" t="inlineStr">
        <is>
          <t>Cramer Athletic Tape (32 Rolls)</t>
        </is>
      </c>
      <c r="E2276" s="2">
        <f>HYPERLINK("https://www.amazon.com/Cramer-Athletic-Injuries-Promotes-Training/dp/B005929NRU/ref=sr_1_1?keywords=Cramer+Athletic+Tape+Roll&amp;qid=1695171057&amp;sr=8-1", "https://www.amazon.com/Cramer-Athletic-Injuries-Promotes-Training/dp/B005929NRU/ref=sr_1_1?keywords=Cramer+Athletic+Tape+Roll&amp;qid=1695171057&amp;sr=8-1")</f>
        <v/>
      </c>
      <c r="F2276" t="inlineStr">
        <is>
          <t>B005929NRU</t>
        </is>
      </c>
      <c r="G2276">
        <f>_xlfn.IMAGE("https://www.soccerplususa.com/prodimages/2575-DEFAULT-l.jpg")</f>
        <v/>
      </c>
      <c r="H2276">
        <f>_xlfn.IMAGE("https://m.media-amazon.com/images/I/61hl7PmY9vL._AC_UL320_.jpg")</f>
        <v/>
      </c>
      <c r="K2276" t="inlineStr">
        <is>
          <t>4.95</t>
        </is>
      </c>
      <c r="L2276" t="n">
        <v>63.05</v>
      </c>
      <c r="M2276" s="1" t="inlineStr">
        <is>
          <t>1,173.74%</t>
        </is>
      </c>
      <c r="N2276" s="5" t="n">
        <v>1173.74</v>
      </c>
      <c r="O2276" t="n">
        <v>4.7</v>
      </c>
      <c r="P2276" t="n">
        <v>812</v>
      </c>
      <c r="R2276" t="inlineStr">
        <is>
          <t>InStock</t>
        </is>
      </c>
      <c r="S2276" t="inlineStr">
        <is>
          <t>undefined</t>
        </is>
      </c>
      <c r="T2276" t="inlineStr">
        <is>
          <t>762700</t>
        </is>
      </c>
    </row>
    <row r="2277" ht="75" customHeight="1">
      <c r="A2277" s="2">
        <f>HYPERLINK("https://www.soccerplususa.com/cramer/cramer-athletic-tape-roll-12533", "https://www.soccerplususa.com/cramer/cramer-athletic-tape-roll-12533")</f>
        <v/>
      </c>
      <c r="B2277" t="inlineStr">
        <is>
          <t>undefined</t>
        </is>
      </c>
      <c r="C2277" t="inlineStr">
        <is>
          <t>Cramer Athletic Tape Roll</t>
        </is>
      </c>
      <c r="D2277" t="inlineStr">
        <is>
          <t>Hampton Adams (32 Pack White Bulk Athletic Tape - 1.5" x 45 feet Per Roll - NO Sticky Residue &amp; Easy to Tear - Perfect for Sports Athletes, Trainers &amp; First Aid Injury Wrap: Fingers Ankles Wrist</t>
        </is>
      </c>
      <c r="E2277" s="2">
        <f>HYPERLINK("https://www.amazon.com/Hampton-Adams-Pack-White-Athletic/dp/B07QYQ3N7W/ref=sr_1_10?keywords=Cramer+Athletic+Tape+Roll&amp;qid=1695171060&amp;sr=8-10", "https://www.amazon.com/Hampton-Adams-Pack-White-Athletic/dp/B07QYQ3N7W/ref=sr_1_10?keywords=Cramer+Athletic+Tape+Roll&amp;qid=1695171060&amp;sr=8-10")</f>
        <v/>
      </c>
      <c r="F2277" t="inlineStr">
        <is>
          <t>B07QYQ3N7W</t>
        </is>
      </c>
      <c r="G2277">
        <f>_xlfn.IMAGE("https://www.soccerplususa.com/prodimages/2576-DEFAULT-l.jpg")</f>
        <v/>
      </c>
      <c r="H2277">
        <f>_xlfn.IMAGE("https://m.media-amazon.com/images/I/81lLDmh6fyL._AC_UL320_.jpg")</f>
        <v/>
      </c>
      <c r="K2277" t="inlineStr">
        <is>
          <t>4.95</t>
        </is>
      </c>
      <c r="L2277" t="n">
        <v>62.97</v>
      </c>
      <c r="M2277" s="1" t="inlineStr">
        <is>
          <t>1,172.12%</t>
        </is>
      </c>
      <c r="N2277" s="5" t="n">
        <v>1172.12</v>
      </c>
      <c r="O2277" t="n">
        <v>4.7</v>
      </c>
      <c r="P2277" t="n">
        <v>431</v>
      </c>
      <c r="R2277" t="inlineStr">
        <is>
          <t>InStock</t>
        </is>
      </c>
      <c r="S2277" t="inlineStr">
        <is>
          <t>undefined</t>
        </is>
      </c>
      <c r="T2277" t="inlineStr">
        <is>
          <t>762701</t>
        </is>
      </c>
    </row>
    <row r="2278" ht="75" customHeight="1">
      <c r="A2278" s="2">
        <f>HYPERLINK("https://www.soccerplususa.com/cramer/cramer-athletic-tape-roll-12536", "https://www.soccerplususa.com/cramer/cramer-athletic-tape-roll-12536")</f>
        <v/>
      </c>
      <c r="B2278" t="inlineStr">
        <is>
          <t>undefined</t>
        </is>
      </c>
      <c r="C2278" t="inlineStr">
        <is>
          <t>Cramer Athletic Tape Roll</t>
        </is>
      </c>
      <c r="D2278" t="inlineStr">
        <is>
          <t>Hampton Adams (32 Pack White Bulk Athletic Tape - 1.5" x 45 feet Per Roll - NO Sticky Residue &amp; Easy to Tear - Perfect for Sports Athletes, Trainers &amp; First Aid Injury Wrap: Fingers Ankles Wrist</t>
        </is>
      </c>
      <c r="E2278" s="2">
        <f>HYPERLINK("https://www.amazon.com/Hampton-Adams-Pack-White-Athletic/dp/B07QYQ3N7W/ref=sr_1_10?keywords=Cramer+Athletic+Tape+Roll&amp;qid=1695171054&amp;sr=8-10", "https://www.amazon.com/Hampton-Adams-Pack-White-Athletic/dp/B07QYQ3N7W/ref=sr_1_10?keywords=Cramer+Athletic+Tape+Roll&amp;qid=1695171054&amp;sr=8-10")</f>
        <v/>
      </c>
      <c r="F2278" t="inlineStr">
        <is>
          <t>B07QYQ3N7W</t>
        </is>
      </c>
      <c r="G2278">
        <f>_xlfn.IMAGE("https://www.soccerplususa.com/prodimages/2579-DEFAULT-l.jpg")</f>
        <v/>
      </c>
      <c r="H2278">
        <f>_xlfn.IMAGE("https://m.media-amazon.com/images/I/81lLDmh6fyL._AC_UL320_.jpg")</f>
        <v/>
      </c>
      <c r="K2278" t="inlineStr">
        <is>
          <t>4.95</t>
        </is>
      </c>
      <c r="L2278" t="n">
        <v>62.97</v>
      </c>
      <c r="M2278" s="1" t="inlineStr">
        <is>
          <t>1,172.12%</t>
        </is>
      </c>
      <c r="N2278" s="5" t="n">
        <v>1172.12</v>
      </c>
      <c r="O2278" t="n">
        <v>4.7</v>
      </c>
      <c r="P2278" t="n">
        <v>431</v>
      </c>
      <c r="R2278" t="inlineStr">
        <is>
          <t>InStock</t>
        </is>
      </c>
      <c r="S2278" t="inlineStr">
        <is>
          <t>undefined</t>
        </is>
      </c>
      <c r="T2278" t="inlineStr">
        <is>
          <t>762704</t>
        </is>
      </c>
    </row>
    <row r="2279" ht="75" customHeight="1">
      <c r="A2279" s="2">
        <f>HYPERLINK("https://www.soccerplususa.com/cramer/cramer-athletic-tape-roll-12532", "https://www.soccerplususa.com/cramer/cramer-athletic-tape-roll-12532")</f>
        <v/>
      </c>
      <c r="B2279" t="inlineStr">
        <is>
          <t>undefined</t>
        </is>
      </c>
      <c r="C2279" t="inlineStr">
        <is>
          <t>Cramer Athletic Tape Roll</t>
        </is>
      </c>
      <c r="D2279" t="inlineStr">
        <is>
          <t>Hampton Adams (32 Pack White Bulk Athletic Tape - 1.5" x 45 feet Per Roll - NO Sticky Residue &amp; Easy to Tear - Perfect for Sports Athletes, Trainers &amp; First Aid Injury Wrap: Fingers Ankles Wrist</t>
        </is>
      </c>
      <c r="E2279" s="2">
        <f>HYPERLINK("https://www.amazon.com/Hampton-Adams-Pack-White-Athletic/dp/B07QYQ3N7W/ref=sr_1_10?keywords=Cramer+Athletic+Tape+Roll&amp;qid=1695171057&amp;sr=8-10", "https://www.amazon.com/Hampton-Adams-Pack-White-Athletic/dp/B07QYQ3N7W/ref=sr_1_10?keywords=Cramer+Athletic+Tape+Roll&amp;qid=1695171057&amp;sr=8-10")</f>
        <v/>
      </c>
      <c r="F2279" t="inlineStr">
        <is>
          <t>B07QYQ3N7W</t>
        </is>
      </c>
      <c r="G2279">
        <f>_xlfn.IMAGE("https://www.soccerplususa.com/prodimages/2575-DEFAULT-l.jpg")</f>
        <v/>
      </c>
      <c r="H2279">
        <f>_xlfn.IMAGE("https://m.media-amazon.com/images/I/81lLDmh6fyL._AC_UL320_.jpg")</f>
        <v/>
      </c>
      <c r="K2279" t="inlineStr">
        <is>
          <t>4.95</t>
        </is>
      </c>
      <c r="L2279" t="n">
        <v>62.97</v>
      </c>
      <c r="M2279" s="1" t="inlineStr">
        <is>
          <t>1,172.12%</t>
        </is>
      </c>
      <c r="N2279" s="5" t="n">
        <v>1172.12</v>
      </c>
      <c r="O2279" t="n">
        <v>4.7</v>
      </c>
      <c r="P2279" t="n">
        <v>431</v>
      </c>
      <c r="R2279" t="inlineStr">
        <is>
          <t>InStock</t>
        </is>
      </c>
      <c r="S2279" t="inlineStr">
        <is>
          <t>undefined</t>
        </is>
      </c>
      <c r="T2279" t="inlineStr">
        <is>
          <t>762700</t>
        </is>
      </c>
    </row>
    <row r="2280" ht="75" customHeight="1">
      <c r="A2280" s="2">
        <f>HYPERLINK("https://www.soccerplususa.com/cramer/cramer-athletic-tape-roll-12539", "https://www.soccerplususa.com/cramer/cramer-athletic-tape-roll-12539")</f>
        <v/>
      </c>
      <c r="B2280" t="inlineStr">
        <is>
          <t>undefined</t>
        </is>
      </c>
      <c r="C2280" t="inlineStr">
        <is>
          <t>Cramer Athletic Tape Roll</t>
        </is>
      </c>
      <c r="D2280" t="inlineStr">
        <is>
          <t>Hampton Adams (32 Pack White Bulk Athletic Tape - 1.5" x 45 feet Per Roll - NO Sticky Residue &amp; Easy to Tear - Perfect for Sports Athletes, Trainers &amp; First Aid Injury Wrap: Fingers Ankles Wrist</t>
        </is>
      </c>
      <c r="E2280" s="2">
        <f>HYPERLINK("https://www.amazon.com/Hampton-Adams-Pack-White-Athletic/dp/B07QYQ3N7W/ref=sr_1_10?keywords=Cramer+Athletic+Tape+Roll&amp;qid=1695171061&amp;sr=8-10", "https://www.amazon.com/Hampton-Adams-Pack-White-Athletic/dp/B07QYQ3N7W/ref=sr_1_10?keywords=Cramer+Athletic+Tape+Roll&amp;qid=1695171061&amp;sr=8-10")</f>
        <v/>
      </c>
      <c r="F2280" t="inlineStr">
        <is>
          <t>B07QYQ3N7W</t>
        </is>
      </c>
      <c r="G2280">
        <f>_xlfn.IMAGE("https://www.soccerplususa.com/prodimages/2582-DEFAULT-l.jpg")</f>
        <v/>
      </c>
      <c r="H2280">
        <f>_xlfn.IMAGE("https://m.media-amazon.com/images/I/81lLDmh6fyL._AC_UL320_.jpg")</f>
        <v/>
      </c>
      <c r="K2280" t="inlineStr">
        <is>
          <t>4.95</t>
        </is>
      </c>
      <c r="L2280" t="n">
        <v>62.97</v>
      </c>
      <c r="M2280" s="1" t="inlineStr">
        <is>
          <t>1,172.12%</t>
        </is>
      </c>
      <c r="N2280" s="5" t="n">
        <v>1172.12</v>
      </c>
      <c r="O2280" t="n">
        <v>4.7</v>
      </c>
      <c r="P2280" t="n">
        <v>431</v>
      </c>
      <c r="R2280" t="inlineStr">
        <is>
          <t>InStock</t>
        </is>
      </c>
      <c r="S2280" t="inlineStr">
        <is>
          <t>undefined</t>
        </is>
      </c>
      <c r="T2280" t="inlineStr">
        <is>
          <t>762708</t>
        </is>
      </c>
    </row>
    <row r="2281" ht="75" customHeight="1">
      <c r="A2281" s="2">
        <f>HYPERLINK("https://www.soccerplususa.com/cramer/cramer-athletic-tape-roll-12538", "https://www.soccerplususa.com/cramer/cramer-athletic-tape-roll-12538")</f>
        <v/>
      </c>
      <c r="B2281" t="inlineStr">
        <is>
          <t>undefined</t>
        </is>
      </c>
      <c r="C2281" t="inlineStr">
        <is>
          <t>Cramer Athletic Tape Roll</t>
        </is>
      </c>
      <c r="D2281" t="inlineStr">
        <is>
          <t>Hampton Adams (32 Pack White Bulk Athletic Tape - 1.5" x 45 feet Per Roll - NO Sticky Residue &amp; Easy to Tear - Perfect for Sports Athletes, Trainers &amp; First Aid Injury Wrap: Fingers Ankles Wrist</t>
        </is>
      </c>
      <c r="E2281" s="2">
        <f>HYPERLINK("https://www.amazon.com/Hampton-Adams-Pack-White-Athletic/dp/B07QYQ3N7W/ref=sr_1_10?keywords=Cramer+Athletic+Tape+Roll&amp;qid=1695171060&amp;sr=8-10", "https://www.amazon.com/Hampton-Adams-Pack-White-Athletic/dp/B07QYQ3N7W/ref=sr_1_10?keywords=Cramer+Athletic+Tape+Roll&amp;qid=1695171060&amp;sr=8-10")</f>
        <v/>
      </c>
      <c r="F2281" t="inlineStr">
        <is>
          <t>B07QYQ3N7W</t>
        </is>
      </c>
      <c r="G2281">
        <f>_xlfn.IMAGE("https://www.soccerplususa.com/prodimages/2581-DEFAULT-l.jpg")</f>
        <v/>
      </c>
      <c r="H2281">
        <f>_xlfn.IMAGE("https://m.media-amazon.com/images/I/81lLDmh6fyL._AC_UL320_.jpg")</f>
        <v/>
      </c>
      <c r="K2281" t="inlineStr">
        <is>
          <t>4.95</t>
        </is>
      </c>
      <c r="L2281" t="n">
        <v>62.97</v>
      </c>
      <c r="M2281" s="1" t="inlineStr">
        <is>
          <t>1,172.12%</t>
        </is>
      </c>
      <c r="N2281" s="5" t="n">
        <v>1172.12</v>
      </c>
      <c r="O2281" t="n">
        <v>4.7</v>
      </c>
      <c r="P2281" t="n">
        <v>431</v>
      </c>
      <c r="R2281" t="inlineStr">
        <is>
          <t>InStock</t>
        </is>
      </c>
      <c r="S2281" t="inlineStr">
        <is>
          <t>undefined</t>
        </is>
      </c>
      <c r="T2281" t="inlineStr">
        <is>
          <t>762707</t>
        </is>
      </c>
    </row>
    <row r="2282" ht="75" customHeight="1">
      <c r="A2282" s="2">
        <f>HYPERLINK("https://www.soccerplususa.com/cramer/cramer-athletic-tape-roll-12535", "https://www.soccerplususa.com/cramer/cramer-athletic-tape-roll-12535")</f>
        <v/>
      </c>
      <c r="B2282" t="inlineStr">
        <is>
          <t>undefined</t>
        </is>
      </c>
      <c r="C2282" t="inlineStr">
        <is>
          <t>Cramer Athletic Tape Roll</t>
        </is>
      </c>
      <c r="D2282" t="inlineStr">
        <is>
          <t>Hampton Adams (32 Pack White Bulk Athletic Tape - 1.5" x 45 feet Per Roll - NO Sticky Residue &amp; Easy to Tear - Perfect for Sports Athletes, Trainers &amp; First Aid Injury Wrap: Fingers Ankles Wrist</t>
        </is>
      </c>
      <c r="E2282" s="2">
        <f>HYPERLINK("https://www.amazon.com/Hampton-Adams-Pack-White-Athletic/dp/B07QYQ3N7W/ref=sr_1_10?keywords=Cramer+Athletic+Tape+Roll&amp;qid=1695171054&amp;sr=8-10", "https://www.amazon.com/Hampton-Adams-Pack-White-Athletic/dp/B07QYQ3N7W/ref=sr_1_10?keywords=Cramer+Athletic+Tape+Roll&amp;qid=1695171054&amp;sr=8-10")</f>
        <v/>
      </c>
      <c r="F2282" t="inlineStr">
        <is>
          <t>B07QYQ3N7W</t>
        </is>
      </c>
      <c r="G2282">
        <f>_xlfn.IMAGE("https://www.soccerplususa.com/prodimages/2578-DEFAULT-l.jpg")</f>
        <v/>
      </c>
      <c r="H2282">
        <f>_xlfn.IMAGE("https://m.media-amazon.com/images/I/81lLDmh6fyL._AC_UL320_.jpg")</f>
        <v/>
      </c>
      <c r="K2282" t="inlineStr">
        <is>
          <t>4.95</t>
        </is>
      </c>
      <c r="L2282" t="n">
        <v>62.97</v>
      </c>
      <c r="M2282" s="1" t="inlineStr">
        <is>
          <t>1,172.12%</t>
        </is>
      </c>
      <c r="N2282" s="5" t="n">
        <v>1172.12</v>
      </c>
      <c r="O2282" t="n">
        <v>4.7</v>
      </c>
      <c r="P2282" t="n">
        <v>431</v>
      </c>
      <c r="R2282" t="inlineStr">
        <is>
          <t>InStock</t>
        </is>
      </c>
      <c r="S2282" t="inlineStr">
        <is>
          <t>undefined</t>
        </is>
      </c>
      <c r="T2282" t="inlineStr">
        <is>
          <t>762703</t>
        </is>
      </c>
    </row>
    <row r="2283" ht="75" customHeight="1">
      <c r="A2283" s="2">
        <f>HYPERLINK("https://www.soccerplususa.com/cramer/cramer-athletic-tape-roll-12533", "https://www.soccerplususa.com/cramer/cramer-athletic-tape-roll-12533")</f>
        <v/>
      </c>
      <c r="B2283" t="inlineStr">
        <is>
          <t>undefined</t>
        </is>
      </c>
      <c r="C2283" t="inlineStr">
        <is>
          <t>Cramer Athletic Tape Roll</t>
        </is>
      </c>
      <c r="D2283" t="inlineStr">
        <is>
          <t>Cramer 950 Premium White Athletic Tape for Ankle, Wrist, and Injury Taping, Helps Protect and Prevent Injuries, Promotes Faster Healing, Athletic Training Supplies, Bulk Case of AT Tape, White</t>
        </is>
      </c>
      <c r="E2283" s="2">
        <f>HYPERLINK("https://www.amazon.com/Cramer-950-Porous-Tape-CS/dp/B005929P3W/ref=sr_1_5?keywords=Cramer+Athletic+Tape+Roll&amp;qid=1695171060&amp;sr=8-5", "https://www.amazon.com/Cramer-950-Porous-Tape-CS/dp/B005929P3W/ref=sr_1_5?keywords=Cramer+Athletic+Tape+Roll&amp;qid=1695171060&amp;sr=8-5")</f>
        <v/>
      </c>
      <c r="F2283" t="inlineStr">
        <is>
          <t>B005929P3W</t>
        </is>
      </c>
      <c r="G2283">
        <f>_xlfn.IMAGE("https://www.soccerplususa.com/prodimages/2576-DEFAULT-l.jpg")</f>
        <v/>
      </c>
      <c r="H2283">
        <f>_xlfn.IMAGE("https://m.media-amazon.com/images/I/61tRGefEuNS._AC_UL320_.jpg")</f>
        <v/>
      </c>
      <c r="K2283" t="inlineStr">
        <is>
          <t>4.95</t>
        </is>
      </c>
      <c r="L2283" t="n">
        <v>58.72</v>
      </c>
      <c r="M2283" s="1" t="inlineStr">
        <is>
          <t>1,086.26%</t>
        </is>
      </c>
      <c r="N2283" s="5" t="n">
        <v>1086.26</v>
      </c>
      <c r="O2283" t="n">
        <v>4.4</v>
      </c>
      <c r="P2283" t="n">
        <v>180</v>
      </c>
      <c r="R2283" t="inlineStr">
        <is>
          <t>InStock</t>
        </is>
      </c>
      <c r="S2283" t="inlineStr">
        <is>
          <t>undefined</t>
        </is>
      </c>
      <c r="T2283" t="inlineStr">
        <is>
          <t>762701</t>
        </is>
      </c>
    </row>
    <row r="2284" ht="75" customHeight="1">
      <c r="A2284" s="2">
        <f>HYPERLINK("https://www.soccerplususa.com/cramer/cramer-athletic-tape-roll-12535", "https://www.soccerplususa.com/cramer/cramer-athletic-tape-roll-12535")</f>
        <v/>
      </c>
      <c r="B2284" t="inlineStr">
        <is>
          <t>undefined</t>
        </is>
      </c>
      <c r="C2284" t="inlineStr">
        <is>
          <t>Cramer Athletic Tape Roll</t>
        </is>
      </c>
      <c r="D2284" t="inlineStr">
        <is>
          <t>Cramer 950 Premium White Athletic Tape for Ankle, Wrist, and Injury Taping, Helps Protect and Prevent Injuries, Promotes Faster Healing, Athletic Training Supplies, Bulk Case of AT Tape, White</t>
        </is>
      </c>
      <c r="E2284" s="2">
        <f>HYPERLINK("https://www.amazon.com/Cramer-950-Porous-Tape-CS/dp/B005929P3W/ref=sr_1_5?keywords=Cramer+Athletic+Tape+Roll&amp;qid=1695171054&amp;sr=8-5", "https://www.amazon.com/Cramer-950-Porous-Tape-CS/dp/B005929P3W/ref=sr_1_5?keywords=Cramer+Athletic+Tape+Roll&amp;qid=1695171054&amp;sr=8-5")</f>
        <v/>
      </c>
      <c r="F2284" t="inlineStr">
        <is>
          <t>B005929P3W</t>
        </is>
      </c>
      <c r="G2284">
        <f>_xlfn.IMAGE("https://www.soccerplususa.com/prodimages/2578-DEFAULT-l.jpg")</f>
        <v/>
      </c>
      <c r="H2284">
        <f>_xlfn.IMAGE("https://m.media-amazon.com/images/I/61tRGefEuNS._AC_UL320_.jpg")</f>
        <v/>
      </c>
      <c r="K2284" t="inlineStr">
        <is>
          <t>4.95</t>
        </is>
      </c>
      <c r="L2284" t="n">
        <v>58.72</v>
      </c>
      <c r="M2284" s="1" t="inlineStr">
        <is>
          <t>1,086.26%</t>
        </is>
      </c>
      <c r="N2284" s="5" t="n">
        <v>1086.26</v>
      </c>
      <c r="O2284" t="n">
        <v>4.4</v>
      </c>
      <c r="P2284" t="n">
        <v>180</v>
      </c>
      <c r="R2284" t="inlineStr">
        <is>
          <t>InStock</t>
        </is>
      </c>
      <c r="S2284" t="inlineStr">
        <is>
          <t>undefined</t>
        </is>
      </c>
      <c r="T2284" t="inlineStr">
        <is>
          <t>762703</t>
        </is>
      </c>
    </row>
    <row r="2285" ht="75" customHeight="1">
      <c r="A2285" s="2">
        <f>HYPERLINK("https://www.soccerplususa.com/cramer/cramer-athletic-tape-roll-12536", "https://www.soccerplususa.com/cramer/cramer-athletic-tape-roll-12536")</f>
        <v/>
      </c>
      <c r="B2285" t="inlineStr">
        <is>
          <t>undefined</t>
        </is>
      </c>
      <c r="C2285" t="inlineStr">
        <is>
          <t>Cramer Athletic Tape Roll</t>
        </is>
      </c>
      <c r="D2285" t="inlineStr">
        <is>
          <t>Cramer 950 Premium White Athletic Tape for Ankle, Wrist, and Injury Taping, Helps Protect and Prevent Injuries, Promotes Faster Healing, Athletic Training Supplies, Bulk Case of AT Tape, White</t>
        </is>
      </c>
      <c r="E2285" s="2">
        <f>HYPERLINK("https://www.amazon.com/Cramer-950-Porous-Tape-CS/dp/B005929P3W/ref=sr_1_5?keywords=Cramer+Athletic+Tape+Roll&amp;qid=1695171054&amp;sr=8-5", "https://www.amazon.com/Cramer-950-Porous-Tape-CS/dp/B005929P3W/ref=sr_1_5?keywords=Cramer+Athletic+Tape+Roll&amp;qid=1695171054&amp;sr=8-5")</f>
        <v/>
      </c>
      <c r="F2285" t="inlineStr">
        <is>
          <t>B005929P3W</t>
        </is>
      </c>
      <c r="G2285">
        <f>_xlfn.IMAGE("https://www.soccerplususa.com/prodimages/2579-DEFAULT-l.jpg")</f>
        <v/>
      </c>
      <c r="H2285">
        <f>_xlfn.IMAGE("https://m.media-amazon.com/images/I/61tRGefEuNS._AC_UL320_.jpg")</f>
        <v/>
      </c>
      <c r="K2285" t="inlineStr">
        <is>
          <t>4.95</t>
        </is>
      </c>
      <c r="L2285" t="n">
        <v>56.95</v>
      </c>
      <c r="M2285" s="1" t="inlineStr">
        <is>
          <t>1,050.51%</t>
        </is>
      </c>
      <c r="N2285" s="5" t="n">
        <v>1050.51</v>
      </c>
      <c r="O2285" t="n">
        <v>4.4</v>
      </c>
      <c r="P2285" t="n">
        <v>180</v>
      </c>
      <c r="R2285" t="inlineStr">
        <is>
          <t>InStock</t>
        </is>
      </c>
      <c r="S2285" t="inlineStr">
        <is>
          <t>undefined</t>
        </is>
      </c>
      <c r="T2285" t="inlineStr">
        <is>
          <t>762704</t>
        </is>
      </c>
    </row>
    <row r="2286" ht="75" customHeight="1">
      <c r="A2286" s="2">
        <f>HYPERLINK("https://www.soccerplususa.com/cramer/cramer-athletic-tape-roll-12538", "https://www.soccerplususa.com/cramer/cramer-athletic-tape-roll-12538")</f>
        <v/>
      </c>
      <c r="B2286" t="inlineStr">
        <is>
          <t>undefined</t>
        </is>
      </c>
      <c r="C2286" t="inlineStr">
        <is>
          <t>Cramer Athletic Tape Roll</t>
        </is>
      </c>
      <c r="D2286" t="inlineStr">
        <is>
          <t>Cramer 950 Premium White Athletic Tape for Ankle, Wrist, and Injury Taping, Helps Protect and Prevent Injuries, Promotes Faster Healing, Athletic Training Supplies, Bulk Case of AT Tape, White</t>
        </is>
      </c>
      <c r="E2286" s="2">
        <f>HYPERLINK("https://www.amazon.com/Cramer-950-Porous-Tape-CS/dp/B005929P3W/ref=sr_1_5?keywords=Cramer+Athletic+Tape+Roll&amp;qid=1695171060&amp;sr=8-5", "https://www.amazon.com/Cramer-950-Porous-Tape-CS/dp/B005929P3W/ref=sr_1_5?keywords=Cramer+Athletic+Tape+Roll&amp;qid=1695171060&amp;sr=8-5")</f>
        <v/>
      </c>
      <c r="F2286" t="inlineStr">
        <is>
          <t>B005929P3W</t>
        </is>
      </c>
      <c r="G2286">
        <f>_xlfn.IMAGE("https://www.soccerplususa.com/prodimages/2581-DEFAULT-l.jpg")</f>
        <v/>
      </c>
      <c r="H2286">
        <f>_xlfn.IMAGE("https://m.media-amazon.com/images/I/61tRGefEuNS._AC_UL320_.jpg")</f>
        <v/>
      </c>
      <c r="K2286" t="inlineStr">
        <is>
          <t>4.95</t>
        </is>
      </c>
      <c r="L2286" t="n">
        <v>56.95</v>
      </c>
      <c r="M2286" s="1" t="inlineStr">
        <is>
          <t>1,050.51%</t>
        </is>
      </c>
      <c r="N2286" s="5" t="n">
        <v>1050.51</v>
      </c>
      <c r="O2286" t="n">
        <v>4.4</v>
      </c>
      <c r="P2286" t="n">
        <v>180</v>
      </c>
      <c r="R2286" t="inlineStr">
        <is>
          <t>InStock</t>
        </is>
      </c>
      <c r="S2286" t="inlineStr">
        <is>
          <t>undefined</t>
        </is>
      </c>
      <c r="T2286" t="inlineStr">
        <is>
          <t>762707</t>
        </is>
      </c>
    </row>
    <row r="2287" ht="75" customHeight="1">
      <c r="A2287" s="2">
        <f>HYPERLINK("https://www.soccerplususa.com/cramer/cramer-athletic-tape-roll-12532", "https://www.soccerplususa.com/cramer/cramer-athletic-tape-roll-12532")</f>
        <v/>
      </c>
      <c r="B2287" t="inlineStr">
        <is>
          <t>undefined</t>
        </is>
      </c>
      <c r="C2287" t="inlineStr">
        <is>
          <t>Cramer Athletic Tape Roll</t>
        </is>
      </c>
      <c r="D2287" t="inlineStr">
        <is>
          <t>Cramer 950 Premium White Athletic Tape for Ankle, Wrist, and Injury Taping, Helps Protect and Prevent Injuries, Promotes Faster Healing, Athletic Training Supplies, Bulk Case of AT Tape, White</t>
        </is>
      </c>
      <c r="E2287" s="2">
        <f>HYPERLINK("https://www.amazon.com/Cramer-950-Porous-Tape-CS/dp/B005929P3W/ref=sr_1_5?keywords=Cramer+Athletic+Tape+Roll&amp;qid=1695171057&amp;sr=8-5", "https://www.amazon.com/Cramer-950-Porous-Tape-CS/dp/B005929P3W/ref=sr_1_5?keywords=Cramer+Athletic+Tape+Roll&amp;qid=1695171057&amp;sr=8-5")</f>
        <v/>
      </c>
      <c r="F2287" t="inlineStr">
        <is>
          <t>B005929P3W</t>
        </is>
      </c>
      <c r="G2287">
        <f>_xlfn.IMAGE("https://www.soccerplususa.com/prodimages/2575-DEFAULT-l.jpg")</f>
        <v/>
      </c>
      <c r="H2287">
        <f>_xlfn.IMAGE("https://m.media-amazon.com/images/I/61tRGefEuNS._AC_UL320_.jpg")</f>
        <v/>
      </c>
      <c r="K2287" t="inlineStr">
        <is>
          <t>4.95</t>
        </is>
      </c>
      <c r="L2287" t="n">
        <v>56.95</v>
      </c>
      <c r="M2287" s="1" t="inlineStr">
        <is>
          <t>1,050.51%</t>
        </is>
      </c>
      <c r="N2287" s="5" t="n">
        <v>1050.51</v>
      </c>
      <c r="O2287" t="n">
        <v>4.4</v>
      </c>
      <c r="P2287" t="n">
        <v>180</v>
      </c>
      <c r="R2287" t="inlineStr">
        <is>
          <t>InStock</t>
        </is>
      </c>
      <c r="S2287" t="inlineStr">
        <is>
          <t>undefined</t>
        </is>
      </c>
      <c r="T2287" t="inlineStr">
        <is>
          <t>762700</t>
        </is>
      </c>
    </row>
    <row r="2288" ht="75" customHeight="1">
      <c r="A2288" s="2">
        <f>HYPERLINK("https://www.soccerplususa.com/cramer/cramer-athletic-tape-roll-12539", "https://www.soccerplususa.com/cramer/cramer-athletic-tape-roll-12539")</f>
        <v/>
      </c>
      <c r="B2288" t="inlineStr">
        <is>
          <t>undefined</t>
        </is>
      </c>
      <c r="C2288" t="inlineStr">
        <is>
          <t>Cramer Athletic Tape Roll</t>
        </is>
      </c>
      <c r="D2288" t="inlineStr">
        <is>
          <t>Cramer 950 Premium White Athletic Tape for Ankle, Wrist, and Injury Taping, Helps Protect and Prevent Injuries, Promotes Faster Healing, Athletic Training Supplies, Bulk Case of AT Tape, White</t>
        </is>
      </c>
      <c r="E2288" s="2">
        <f>HYPERLINK("https://www.amazon.com/Cramer-950-Porous-Tape-CS/dp/B005929P3W/ref=sr_1_5?keywords=Cramer+Athletic+Tape+Roll&amp;qid=1695171061&amp;sr=8-5", "https://www.amazon.com/Cramer-950-Porous-Tape-CS/dp/B005929P3W/ref=sr_1_5?keywords=Cramer+Athletic+Tape+Roll&amp;qid=1695171061&amp;sr=8-5")</f>
        <v/>
      </c>
      <c r="F2288" t="inlineStr">
        <is>
          <t>B005929P3W</t>
        </is>
      </c>
      <c r="G2288">
        <f>_xlfn.IMAGE("https://www.soccerplususa.com/prodimages/2582-DEFAULT-l.jpg")</f>
        <v/>
      </c>
      <c r="H2288">
        <f>_xlfn.IMAGE("https://m.media-amazon.com/images/I/61tRGefEuNS._AC_UL320_.jpg")</f>
        <v/>
      </c>
      <c r="K2288" t="inlineStr">
        <is>
          <t>4.95</t>
        </is>
      </c>
      <c r="L2288" t="n">
        <v>56.95</v>
      </c>
      <c r="M2288" s="1" t="inlineStr">
        <is>
          <t>1,050.51%</t>
        </is>
      </c>
      <c r="N2288" s="5" t="n">
        <v>1050.51</v>
      </c>
      <c r="O2288" t="n">
        <v>4.4</v>
      </c>
      <c r="P2288" t="n">
        <v>180</v>
      </c>
      <c r="R2288" t="inlineStr">
        <is>
          <t>InStock</t>
        </is>
      </c>
      <c r="S2288" t="inlineStr">
        <is>
          <t>undefined</t>
        </is>
      </c>
      <c r="T2288" t="inlineStr">
        <is>
          <t>762708</t>
        </is>
      </c>
    </row>
    <row r="2289" hidden="1" ht="15.75" customHeight="1">
      <c r="A2289" s="2">
        <f>HYPERLINK("https://www.soccerplususa.com/cramer/cramer-athletic-tape-roll-12533", "https://www.soccerplususa.com/cramer/cramer-athletic-tape-roll-12533")</f>
        <v/>
      </c>
      <c r="B2289" t="inlineStr">
        <is>
          <t>undefined</t>
        </is>
      </c>
      <c r="C2289" t="inlineStr">
        <is>
          <t>Cramer Athletic Tape Roll</t>
        </is>
      </c>
      <c r="D2289" t="inlineStr">
        <is>
          <t>Cramer Eco-Flex Self-Stick Stretch Tape, Cohesive Tape, Flexible Elastic Sports Tape, Athletic Training Supplies, Easy Tear Self-Adherent Bandage Wrap, Bulk Cases, 6 Yard Rolls, Compression Tape</t>
        </is>
      </c>
      <c r="E2289" s="2">
        <f>HYPERLINK("https://www.amazon.com/Cramer-Eco-Flex-Self-Stick-Self-Adherent-Compression/dp/B005926QZ2/ref=sr_1_4?keywords=Cramer+Athletic+Tape+Roll&amp;qid=1695171060&amp;sr=8-4", "https://www.amazon.com/Cramer-Eco-Flex-Self-Stick-Self-Adherent-Compression/dp/B005926QZ2/ref=sr_1_4?keywords=Cramer+Athletic+Tape+Roll&amp;qid=1695171060&amp;sr=8-4")</f>
        <v/>
      </c>
      <c r="F2289" t="inlineStr">
        <is>
          <t>B005926QZ2</t>
        </is>
      </c>
      <c r="G2289">
        <f>_xludf.IMAGE("https://www.soccerplususa.com/prodimages/2576-DEFAULT-l.jpg")</f>
        <v/>
      </c>
      <c r="H2289">
        <f>_xludf.IMAGE("https://m.media-amazon.com/images/I/71Vbsa2F-UL._AC_UL320_.jpg")</f>
        <v/>
      </c>
      <c r="K2289" t="inlineStr">
        <is>
          <t>4.95</t>
        </is>
      </c>
      <c r="L2289" t="n">
        <v>52.64</v>
      </c>
      <c r="M2289" s="1" t="inlineStr">
        <is>
          <t>963.43%</t>
        </is>
      </c>
      <c r="N2289" s="3" t="n">
        <v>963.4299999999999</v>
      </c>
      <c r="O2289" t="n">
        <v>3.6</v>
      </c>
      <c r="P2289" t="n">
        <v>16</v>
      </c>
      <c r="R2289" t="inlineStr">
        <is>
          <t>InStock</t>
        </is>
      </c>
      <c r="S2289" t="inlineStr">
        <is>
          <t>undefined</t>
        </is>
      </c>
      <c r="T2289" t="inlineStr">
        <is>
          <t>762701</t>
        </is>
      </c>
    </row>
    <row r="2290" hidden="1" ht="15.75" customHeight="1">
      <c r="A2290" s="2">
        <f>HYPERLINK("https://www.soccerplususa.com/cramer/cramer-athletic-tape-roll-12539", "https://www.soccerplususa.com/cramer/cramer-athletic-tape-roll-12539")</f>
        <v/>
      </c>
      <c r="B2290" t="inlineStr">
        <is>
          <t>undefined</t>
        </is>
      </c>
      <c r="C2290" t="inlineStr">
        <is>
          <t>Cramer Athletic Tape Roll</t>
        </is>
      </c>
      <c r="D2290" t="inlineStr">
        <is>
          <t>Cramer Eco-Flex Self-Stick Stretch Tape, Cohesive Tape, Flexible Elastic Sports Tape, Athletic Training Supplies, Easy Tear Self-Adherent Bandage Wrap, Bulk Cases, 6 Yard Rolls, Compression Tape</t>
        </is>
      </c>
      <c r="E2290" s="2">
        <f>HYPERLINK("https://www.amazon.com/Cramer-Eco-Flex-Self-Stick-Self-Adherent-Compression/dp/B005926QZ2/ref=sr_1_4?keywords=Cramer+Athletic+Tape+Roll&amp;qid=1695171061&amp;sr=8-4", "https://www.amazon.com/Cramer-Eco-Flex-Self-Stick-Self-Adherent-Compression/dp/B005926QZ2/ref=sr_1_4?keywords=Cramer+Athletic+Tape+Roll&amp;qid=1695171061&amp;sr=8-4")</f>
        <v/>
      </c>
      <c r="F2290" t="inlineStr">
        <is>
          <t>B005926QZ2</t>
        </is>
      </c>
      <c r="G2290">
        <f>_xludf.IMAGE("https://www.soccerplususa.com/prodimages/2582-DEFAULT-l.jpg")</f>
        <v/>
      </c>
      <c r="H2290">
        <f>_xludf.IMAGE("https://m.media-amazon.com/images/I/71Vbsa2F-UL._AC_UL320_.jpg")</f>
        <v/>
      </c>
      <c r="K2290" t="inlineStr">
        <is>
          <t>4.95</t>
        </is>
      </c>
      <c r="L2290" t="n">
        <v>52.64</v>
      </c>
      <c r="M2290" s="1" t="inlineStr">
        <is>
          <t>963.43%</t>
        </is>
      </c>
      <c r="N2290" s="3" t="n">
        <v>963.4299999999999</v>
      </c>
      <c r="O2290" t="n">
        <v>3.6</v>
      </c>
      <c r="P2290" t="n">
        <v>16</v>
      </c>
      <c r="R2290" t="inlineStr">
        <is>
          <t>InStock</t>
        </is>
      </c>
      <c r="S2290" t="inlineStr">
        <is>
          <t>undefined</t>
        </is>
      </c>
      <c r="T2290" t="inlineStr">
        <is>
          <t>762708</t>
        </is>
      </c>
    </row>
    <row r="2291" hidden="1" ht="15.75" customHeight="1">
      <c r="A2291" s="2">
        <f>HYPERLINK("https://www.soccerplususa.com/cramer/cramer-athletic-tape-roll-12536", "https://www.soccerplususa.com/cramer/cramer-athletic-tape-roll-12536")</f>
        <v/>
      </c>
      <c r="B2291" t="inlineStr">
        <is>
          <t>undefined</t>
        </is>
      </c>
      <c r="C2291" t="inlineStr">
        <is>
          <t>Cramer Athletic Tape Roll</t>
        </is>
      </c>
      <c r="D2291" t="inlineStr">
        <is>
          <t>Cramer Eco-Flex Self-Stick Stretch Tape, Cohesive Tape, Flexible Elastic Sports Tape, Athletic Training Supplies, Easy Tear Self-Adherent Bandage Wrap, Bulk Cases, 6 Yard Rolls, Compression Tape</t>
        </is>
      </c>
      <c r="E2291" s="2">
        <f>HYPERLINK("https://www.amazon.com/Cramer-Eco-Flex-Self-Stick-Self-Adherent-Compression/dp/B005926QZ2/ref=sr_1_4?keywords=Cramer+Athletic+Tape+Roll&amp;qid=1695171054&amp;sr=8-4", "https://www.amazon.com/Cramer-Eco-Flex-Self-Stick-Self-Adherent-Compression/dp/B005926QZ2/ref=sr_1_4?keywords=Cramer+Athletic+Tape+Roll&amp;qid=1695171054&amp;sr=8-4")</f>
        <v/>
      </c>
      <c r="F2291" t="inlineStr">
        <is>
          <t>B005926QZ2</t>
        </is>
      </c>
      <c r="G2291">
        <f>_xludf.IMAGE("https://www.soccerplususa.com/prodimages/2579-DEFAULT-l.jpg")</f>
        <v/>
      </c>
      <c r="H2291">
        <f>_xludf.IMAGE("https://m.media-amazon.com/images/I/71Vbsa2F-UL._AC_UL320_.jpg")</f>
        <v/>
      </c>
      <c r="K2291" t="inlineStr">
        <is>
          <t>4.95</t>
        </is>
      </c>
      <c r="L2291" t="n">
        <v>52.64</v>
      </c>
      <c r="M2291" s="1" t="inlineStr">
        <is>
          <t>963.43%</t>
        </is>
      </c>
      <c r="N2291" s="3" t="n">
        <v>963.4299999999999</v>
      </c>
      <c r="O2291" t="n">
        <v>3.6</v>
      </c>
      <c r="P2291" t="n">
        <v>16</v>
      </c>
      <c r="R2291" t="inlineStr">
        <is>
          <t>InStock</t>
        </is>
      </c>
      <c r="S2291" t="inlineStr">
        <is>
          <t>undefined</t>
        </is>
      </c>
      <c r="T2291" t="inlineStr">
        <is>
          <t>762704</t>
        </is>
      </c>
    </row>
    <row r="2292" hidden="1" ht="15.75" customHeight="1">
      <c r="A2292" s="2">
        <f>HYPERLINK("https://www.soccerplususa.com/cramer/cramer-athletic-tape-roll-12538", "https://www.soccerplususa.com/cramer/cramer-athletic-tape-roll-12538")</f>
        <v/>
      </c>
      <c r="B2292" t="inlineStr">
        <is>
          <t>undefined</t>
        </is>
      </c>
      <c r="C2292" t="inlineStr">
        <is>
          <t>Cramer Athletic Tape Roll</t>
        </is>
      </c>
      <c r="D2292" t="inlineStr">
        <is>
          <t>Cramer Eco-Flex Self-Stick Stretch Tape, Cohesive Tape, Flexible Elastic Sports Tape, Athletic Training Supplies, Easy Tear Self-Adherent Bandage Wrap, Bulk Cases, 6 Yard Rolls, Compression Tape</t>
        </is>
      </c>
      <c r="E2292" s="2">
        <f>HYPERLINK("https://www.amazon.com/Cramer-Eco-Flex-Self-Stick-Self-Adherent-Compression/dp/B005926QZ2/ref=sr_1_4?keywords=Cramer+Athletic+Tape+Roll&amp;qid=1695171060&amp;sr=8-4", "https://www.amazon.com/Cramer-Eco-Flex-Self-Stick-Self-Adherent-Compression/dp/B005926QZ2/ref=sr_1_4?keywords=Cramer+Athletic+Tape+Roll&amp;qid=1695171060&amp;sr=8-4")</f>
        <v/>
      </c>
      <c r="F2292" t="inlineStr">
        <is>
          <t>B005926QZ2</t>
        </is>
      </c>
      <c r="G2292">
        <f>_xludf.IMAGE("https://www.soccerplususa.com/prodimages/2581-DEFAULT-l.jpg")</f>
        <v/>
      </c>
      <c r="H2292">
        <f>_xludf.IMAGE("https://m.media-amazon.com/images/I/71Vbsa2F-UL._AC_UL320_.jpg")</f>
        <v/>
      </c>
      <c r="K2292" t="inlineStr">
        <is>
          <t>4.95</t>
        </is>
      </c>
      <c r="L2292" t="n">
        <v>52.64</v>
      </c>
      <c r="M2292" s="1" t="inlineStr">
        <is>
          <t>963.43%</t>
        </is>
      </c>
      <c r="N2292" s="3" t="n">
        <v>963.4299999999999</v>
      </c>
      <c r="O2292" t="n">
        <v>3.6</v>
      </c>
      <c r="P2292" t="n">
        <v>16</v>
      </c>
      <c r="R2292" t="inlineStr">
        <is>
          <t>InStock</t>
        </is>
      </c>
      <c r="S2292" t="inlineStr">
        <is>
          <t>undefined</t>
        </is>
      </c>
      <c r="T2292" t="inlineStr">
        <is>
          <t>762707</t>
        </is>
      </c>
    </row>
    <row r="2293" hidden="1" ht="15.75" customHeight="1">
      <c r="A2293" s="2">
        <f>HYPERLINK("https://www.soccerplususa.com/cramer/cramer-athletic-tape-roll-12532", "https://www.soccerplususa.com/cramer/cramer-athletic-tape-roll-12532")</f>
        <v/>
      </c>
      <c r="B2293" t="inlineStr">
        <is>
          <t>undefined</t>
        </is>
      </c>
      <c r="C2293" t="inlineStr">
        <is>
          <t>Cramer Athletic Tape Roll</t>
        </is>
      </c>
      <c r="D2293" t="inlineStr">
        <is>
          <t>Cramer Eco-Flex Self-Stick Stretch Tape, Cohesive Tape, Flexible Elastic Sports Tape, Athletic Training Supplies, Easy Tear Self-Adherent Bandage Wrap, Bulk Cases, 6 Yard Rolls, Compression Tape</t>
        </is>
      </c>
      <c r="E2293" s="2">
        <f>HYPERLINK("https://www.amazon.com/Cramer-Eco-Flex-Self-Stick-Self-Adherent-Compression/dp/B005926QZ2/ref=sr_1_4?keywords=Cramer+Athletic+Tape+Roll&amp;qid=1695171057&amp;sr=8-4", "https://www.amazon.com/Cramer-Eco-Flex-Self-Stick-Self-Adherent-Compression/dp/B005926QZ2/ref=sr_1_4?keywords=Cramer+Athletic+Tape+Roll&amp;qid=1695171057&amp;sr=8-4")</f>
        <v/>
      </c>
      <c r="F2293" t="inlineStr">
        <is>
          <t>B005926QZ2</t>
        </is>
      </c>
      <c r="G2293">
        <f>_xludf.IMAGE("https://www.soccerplususa.com/prodimages/2575-DEFAULT-l.jpg")</f>
        <v/>
      </c>
      <c r="H2293">
        <f>_xludf.IMAGE("https://m.media-amazon.com/images/I/71Vbsa2F-UL._AC_UL320_.jpg")</f>
        <v/>
      </c>
      <c r="K2293" t="inlineStr">
        <is>
          <t>4.95</t>
        </is>
      </c>
      <c r="L2293" t="n">
        <v>52.64</v>
      </c>
      <c r="M2293" s="1" t="inlineStr">
        <is>
          <t>963.43%</t>
        </is>
      </c>
      <c r="N2293" s="3" t="n">
        <v>963.4299999999999</v>
      </c>
      <c r="O2293" t="n">
        <v>3.6</v>
      </c>
      <c r="P2293" t="n">
        <v>16</v>
      </c>
      <c r="R2293" t="inlineStr">
        <is>
          <t>InStock</t>
        </is>
      </c>
      <c r="S2293" t="inlineStr">
        <is>
          <t>undefined</t>
        </is>
      </c>
      <c r="T2293" t="inlineStr">
        <is>
          <t>762700</t>
        </is>
      </c>
    </row>
    <row r="2294" hidden="1" ht="15.75" customHeight="1">
      <c r="A2294" s="2">
        <f>HYPERLINK("https://www.soccerplususa.com/cramer/cramer-athletic-tape-roll-12535", "https://www.soccerplususa.com/cramer/cramer-athletic-tape-roll-12535")</f>
        <v/>
      </c>
      <c r="B2294" t="inlineStr">
        <is>
          <t>undefined</t>
        </is>
      </c>
      <c r="C2294" t="inlineStr">
        <is>
          <t>Cramer Athletic Tape Roll</t>
        </is>
      </c>
      <c r="D2294" t="inlineStr">
        <is>
          <t>Cramer Eco-Flex Self-Stick Stretch Tape, Cohesive Tape, Flexible Elastic Sports Tape, Athletic Training Supplies, Easy Tear Self-Adherent Bandage Wrap, Bulk Cases, 6 Yard Rolls, Compression Tape</t>
        </is>
      </c>
      <c r="E2294" s="2">
        <f>HYPERLINK("https://www.amazon.com/Cramer-Eco-Flex-Self-Stick-Self-Adherent-Compression/dp/B005926QZ2/ref=sr_1_4?keywords=Cramer+Athletic+Tape+Roll&amp;qid=1695171054&amp;sr=8-4", "https://www.amazon.com/Cramer-Eco-Flex-Self-Stick-Self-Adherent-Compression/dp/B005926QZ2/ref=sr_1_4?keywords=Cramer+Athletic+Tape+Roll&amp;qid=1695171054&amp;sr=8-4")</f>
        <v/>
      </c>
      <c r="F2294" t="inlineStr">
        <is>
          <t>B005926QZ2</t>
        </is>
      </c>
      <c r="G2294">
        <f>_xludf.IMAGE("https://www.soccerplususa.com/prodimages/2578-DEFAULT-l.jpg")</f>
        <v/>
      </c>
      <c r="H2294">
        <f>_xludf.IMAGE("https://m.media-amazon.com/images/I/71Vbsa2F-UL._AC_UL320_.jpg")</f>
        <v/>
      </c>
      <c r="K2294" t="inlineStr">
        <is>
          <t>4.95</t>
        </is>
      </c>
      <c r="L2294" t="n">
        <v>52.64</v>
      </c>
      <c r="M2294" s="1" t="inlineStr">
        <is>
          <t>963.43%</t>
        </is>
      </c>
      <c r="N2294" s="3" t="n">
        <v>963.4299999999999</v>
      </c>
      <c r="O2294" t="n">
        <v>3.6</v>
      </c>
      <c r="P2294" t="n">
        <v>16</v>
      </c>
      <c r="R2294" t="inlineStr">
        <is>
          <t>InStock</t>
        </is>
      </c>
      <c r="S2294" t="inlineStr">
        <is>
          <t>undefined</t>
        </is>
      </c>
      <c r="T2294" t="inlineStr">
        <is>
          <t>762703</t>
        </is>
      </c>
    </row>
    <row r="2295" ht="75" customHeight="1">
      <c r="A2295" s="2">
        <f>HYPERLINK("https://www.soccerplususa.com/cramer/cramer-athletic-tape-roll-12533", "https://www.soccerplususa.com/cramer/cramer-athletic-tape-roll-12533")</f>
        <v/>
      </c>
      <c r="B2295" t="inlineStr">
        <is>
          <t>undefined</t>
        </is>
      </c>
      <c r="C2295" t="inlineStr">
        <is>
          <t>Cramer Athletic Tape Roll</t>
        </is>
      </c>
      <c r="D2295" t="inlineStr">
        <is>
          <t>Cramer Tape Underwrap, Bulk Case of 48 Rolls of PreWrap for Athletic Taping, Hair Tie, Headband, Patellar Support, Pre-Wrap Athletic Tape Supplies, 2.75" X 30 Yard Rolls of Pre Wrap</t>
        </is>
      </c>
      <c r="E2295" s="2">
        <f>HYPERLINK("https://www.amazon.com/Cramer-Underwrap-Athletic-Headband-Patellar/dp/B00027G8HU/ref=sr_1_2?keywords=Cramer+Athletic+Tape+Roll&amp;qid=1695171060&amp;sr=8-2", "https://www.amazon.com/Cramer-Underwrap-Athletic-Headband-Patellar/dp/B00027G8HU/ref=sr_1_2?keywords=Cramer+Athletic+Tape+Roll&amp;qid=1695171060&amp;sr=8-2")</f>
        <v/>
      </c>
      <c r="F2295" t="inlineStr">
        <is>
          <t>B00027G8HU</t>
        </is>
      </c>
      <c r="G2295">
        <f>_xlfn.IMAGE("https://www.soccerplususa.com/prodimages/2576-DEFAULT-l.jpg")</f>
        <v/>
      </c>
      <c r="H2295">
        <f>_xlfn.IMAGE("https://m.media-amazon.com/images/I/71OYCmmasOL._AC_UL320_.jpg")</f>
        <v/>
      </c>
      <c r="K2295" t="inlineStr">
        <is>
          <t>4.95</t>
        </is>
      </c>
      <c r="L2295" t="n">
        <v>48.95</v>
      </c>
      <c r="M2295" s="1" t="inlineStr">
        <is>
          <t>888.89%</t>
        </is>
      </c>
      <c r="N2295" s="3" t="n">
        <v>888.89</v>
      </c>
      <c r="O2295" t="n">
        <v>4.7</v>
      </c>
      <c r="P2295" t="n">
        <v>234</v>
      </c>
      <c r="R2295" t="inlineStr">
        <is>
          <t>InStock</t>
        </is>
      </c>
      <c r="S2295" t="inlineStr">
        <is>
          <t>undefined</t>
        </is>
      </c>
      <c r="T2295" t="inlineStr">
        <is>
          <t>762701</t>
        </is>
      </c>
    </row>
    <row r="2296" ht="75" customHeight="1">
      <c r="A2296" s="2">
        <f>HYPERLINK("https://www.soccerplususa.com/cramer/cramer-athletic-tape-roll-12535", "https://www.soccerplususa.com/cramer/cramer-athletic-tape-roll-12535")</f>
        <v/>
      </c>
      <c r="B2296" t="inlineStr">
        <is>
          <t>undefined</t>
        </is>
      </c>
      <c r="C2296" t="inlineStr">
        <is>
          <t>Cramer Athletic Tape Roll</t>
        </is>
      </c>
      <c r="D2296" t="inlineStr">
        <is>
          <t>Cramer Tape Underwrap, Bulk Case of 48 Rolls of PreWrap for Athletic Taping, Hair Tie, Headband, Patellar Support, Pre-Wrap Athletic Tape Supplies, 2.75" X 30 Yard Rolls of Pre Wrap</t>
        </is>
      </c>
      <c r="E2296" s="2">
        <f>HYPERLINK("https://www.amazon.com/Cramer-Underwrap-Athletic-Headband-Patellar/dp/B00027G8HU/ref=sr_1_2?keywords=Cramer+Athletic+Tape+Roll&amp;qid=1695171054&amp;sr=8-2", "https://www.amazon.com/Cramer-Underwrap-Athletic-Headband-Patellar/dp/B00027G8HU/ref=sr_1_2?keywords=Cramer+Athletic+Tape+Roll&amp;qid=1695171054&amp;sr=8-2")</f>
        <v/>
      </c>
      <c r="F2296" t="inlineStr">
        <is>
          <t>B00027G8HU</t>
        </is>
      </c>
      <c r="G2296">
        <f>_xlfn.IMAGE("https://www.soccerplususa.com/prodimages/2578-DEFAULT-l.jpg")</f>
        <v/>
      </c>
      <c r="H2296">
        <f>_xlfn.IMAGE("https://m.media-amazon.com/images/I/71OYCmmasOL._AC_UL320_.jpg")</f>
        <v/>
      </c>
      <c r="K2296" t="inlineStr">
        <is>
          <t>4.95</t>
        </is>
      </c>
      <c r="L2296" t="n">
        <v>48.95</v>
      </c>
      <c r="M2296" s="1" t="inlineStr">
        <is>
          <t>888.89%</t>
        </is>
      </c>
      <c r="N2296" s="3" t="n">
        <v>888.89</v>
      </c>
      <c r="O2296" t="n">
        <v>4.7</v>
      </c>
      <c r="P2296" t="n">
        <v>234</v>
      </c>
      <c r="R2296" t="inlineStr">
        <is>
          <t>InStock</t>
        </is>
      </c>
      <c r="S2296" t="inlineStr">
        <is>
          <t>undefined</t>
        </is>
      </c>
      <c r="T2296" t="inlineStr">
        <is>
          <t>762703</t>
        </is>
      </c>
    </row>
    <row r="2297" ht="75" customHeight="1">
      <c r="A2297" s="2">
        <f>HYPERLINK("https://www.soccerplususa.com/cramer/cramer-athletic-tape-roll-12532", "https://www.soccerplususa.com/cramer/cramer-athletic-tape-roll-12532")</f>
        <v/>
      </c>
      <c r="B2297" t="inlineStr">
        <is>
          <t>undefined</t>
        </is>
      </c>
      <c r="C2297" t="inlineStr">
        <is>
          <t>Cramer Athletic Tape Roll</t>
        </is>
      </c>
      <c r="D2297" t="inlineStr">
        <is>
          <t>Cramer Tape Underwrap, Bulk Case of 48 Rolls of PreWrap for Athletic Taping, Hair Tie, Headband, Patellar Support, Pre-Wrap Athletic Tape Supplies, 2.75" X 30 Yard Rolls of Pre Wrap</t>
        </is>
      </c>
      <c r="E2297" s="2">
        <f>HYPERLINK("https://www.amazon.com/Cramer-Underwrap-Athletic-Headband-Patellar/dp/B00027G8HU/ref=sr_1_2?keywords=Cramer+Athletic+Tape+Roll&amp;qid=1695171057&amp;sr=8-2", "https://www.amazon.com/Cramer-Underwrap-Athletic-Headband-Patellar/dp/B00027G8HU/ref=sr_1_2?keywords=Cramer+Athletic+Tape+Roll&amp;qid=1695171057&amp;sr=8-2")</f>
        <v/>
      </c>
      <c r="F2297" t="inlineStr">
        <is>
          <t>B00027G8HU</t>
        </is>
      </c>
      <c r="G2297">
        <f>_xlfn.IMAGE("https://www.soccerplususa.com/prodimages/2575-DEFAULT-l.jpg")</f>
        <v/>
      </c>
      <c r="H2297">
        <f>_xlfn.IMAGE("https://m.media-amazon.com/images/I/71OYCmmasOL._AC_UL320_.jpg")</f>
        <v/>
      </c>
      <c r="K2297" t="inlineStr">
        <is>
          <t>4.95</t>
        </is>
      </c>
      <c r="L2297" t="n">
        <v>48.95</v>
      </c>
      <c r="M2297" s="1" t="inlineStr">
        <is>
          <t>888.89%</t>
        </is>
      </c>
      <c r="N2297" s="3" t="n">
        <v>888.89</v>
      </c>
      <c r="O2297" t="n">
        <v>4.7</v>
      </c>
      <c r="P2297" t="n">
        <v>234</v>
      </c>
      <c r="R2297" t="inlineStr">
        <is>
          <t>InStock</t>
        </is>
      </c>
      <c r="S2297" t="inlineStr">
        <is>
          <t>undefined</t>
        </is>
      </c>
      <c r="T2297" t="inlineStr">
        <is>
          <t>762700</t>
        </is>
      </c>
    </row>
    <row r="2298" ht="75" customHeight="1">
      <c r="A2298" s="2">
        <f>HYPERLINK("https://www.soccerplususa.com/cramer/cramer-prewrap-12511", "https://www.soccerplususa.com/cramer/cramer-prewrap-12511")</f>
        <v/>
      </c>
      <c r="B2298" t="inlineStr">
        <is>
          <t>undefined</t>
        </is>
      </c>
      <c r="C2298" t="inlineStr">
        <is>
          <t>Cramer Pre-Wrap</t>
        </is>
      </c>
      <c r="D2298" t="inlineStr">
        <is>
          <t>Cramer Tape Underwrap, Bulk Case of 48 Rolls of PreWrap for Athletic Taping, Hair Tie, Headband, Patellar Support, Pre-Wrap Athletic Tape Supplies, 2.75" X 30 Yard Rolls of Pre Wrap</t>
        </is>
      </c>
      <c r="E2298" s="2">
        <f>HYPERLINK("https://www.amazon.com/Cramer-Underwrap-Athletic-Headband-Patellar/dp/B00027G8HU/ref=sr_1_1?keywords=Cramer+Pre-Wrap&amp;qid=1695171067&amp;sr=8-1", "https://www.amazon.com/Cramer-Underwrap-Athletic-Headband-Patellar/dp/B00027G8HU/ref=sr_1_1?keywords=Cramer+Pre-Wrap&amp;qid=1695171067&amp;sr=8-1")</f>
        <v/>
      </c>
      <c r="F2298" t="inlineStr">
        <is>
          <t>B00027G8HU</t>
        </is>
      </c>
      <c r="G2298">
        <f>_xlfn.IMAGE("https://www.soccerplususa.com/prodimages/2529-DEFAULT-l.jpg")</f>
        <v/>
      </c>
      <c r="H2298">
        <f>_xlfn.IMAGE("https://m.media-amazon.com/images/I/71OYCmmasOL._AC_UL320_.jpg")</f>
        <v/>
      </c>
      <c r="K2298" t="inlineStr">
        <is>
          <t>4.95</t>
        </is>
      </c>
      <c r="L2298" t="n">
        <v>48.95</v>
      </c>
      <c r="M2298" s="1" t="inlineStr">
        <is>
          <t>888.89%</t>
        </is>
      </c>
      <c r="N2298" s="3" t="n">
        <v>888.89</v>
      </c>
      <c r="O2298" t="n">
        <v>4.7</v>
      </c>
      <c r="P2298" t="n">
        <v>234</v>
      </c>
      <c r="R2298" t="inlineStr">
        <is>
          <t>InStock</t>
        </is>
      </c>
      <c r="S2298" t="inlineStr">
        <is>
          <t>undefined</t>
        </is>
      </c>
      <c r="T2298" t="inlineStr">
        <is>
          <t>762187</t>
        </is>
      </c>
    </row>
    <row r="2299" ht="75" customHeight="1">
      <c r="A2299" s="2">
        <f>HYPERLINK("https://www.soccerplususa.com/cramer/cramer-prewrap-12513", "https://www.soccerplususa.com/cramer/cramer-prewrap-12513")</f>
        <v/>
      </c>
      <c r="B2299" t="inlineStr">
        <is>
          <t>undefined</t>
        </is>
      </c>
      <c r="C2299" t="inlineStr">
        <is>
          <t>Cramer Pre-Wrap</t>
        </is>
      </c>
      <c r="D2299" t="inlineStr">
        <is>
          <t>Cramer Tape Underwrap, Bulk Case of 48 Rolls of PreWrap for Athletic Taping, Hair Tie, Headband, Patellar Support, Pre-Wrap Athletic Tape Supplies, 2.75" X 30 Yard Rolls of Pre Wrap</t>
        </is>
      </c>
      <c r="E2299" s="2">
        <f>HYPERLINK("https://www.amazon.com/Cramer-Underwrap-Athletic-Headband-Patellar/dp/B00027G8HU/ref=sr_1_1?keywords=Cramer+Pre-Wrap&amp;qid=1695171063&amp;sr=8-1", "https://www.amazon.com/Cramer-Underwrap-Athletic-Headband-Patellar/dp/B00027G8HU/ref=sr_1_1?keywords=Cramer+Pre-Wrap&amp;qid=1695171063&amp;sr=8-1")</f>
        <v/>
      </c>
      <c r="F2299" t="inlineStr">
        <is>
          <t>B00027G8HU</t>
        </is>
      </c>
      <c r="G2299">
        <f>_xlfn.IMAGE("https://www.soccerplususa.com/prodimages/2553-DEFAULT-l.jpg")</f>
        <v/>
      </c>
      <c r="H2299">
        <f>_xlfn.IMAGE("https://m.media-amazon.com/images/I/71OYCmmasOL._AC_UL320_.jpg")</f>
        <v/>
      </c>
      <c r="K2299" t="inlineStr">
        <is>
          <t>4.95</t>
        </is>
      </c>
      <c r="L2299" t="n">
        <v>48.95</v>
      </c>
      <c r="M2299" s="1" t="inlineStr">
        <is>
          <t>888.89%</t>
        </is>
      </c>
      <c r="N2299" s="3" t="n">
        <v>888.89</v>
      </c>
      <c r="O2299" t="n">
        <v>4.7</v>
      </c>
      <c r="P2299" t="n">
        <v>234</v>
      </c>
      <c r="R2299" t="inlineStr">
        <is>
          <t>InStock</t>
        </is>
      </c>
      <c r="S2299" t="inlineStr">
        <is>
          <t>undefined</t>
        </is>
      </c>
      <c r="T2299" t="inlineStr">
        <is>
          <t>762190</t>
        </is>
      </c>
    </row>
    <row r="2300" ht="75" customHeight="1">
      <c r="A2300" s="2">
        <f>HYPERLINK("https://www.soccerplususa.com/cramer/cramer-athletic-tape-roll-12539", "https://www.soccerplususa.com/cramer/cramer-athletic-tape-roll-12539")</f>
        <v/>
      </c>
      <c r="B2300" t="inlineStr">
        <is>
          <t>undefined</t>
        </is>
      </c>
      <c r="C2300" t="inlineStr">
        <is>
          <t>Cramer Athletic Tape Roll</t>
        </is>
      </c>
      <c r="D2300" t="inlineStr">
        <is>
          <t>Cramer Tape Underwrap, Bulk Case of 48 Rolls of PreWrap for Athletic Taping, Hair Tie, Headband, Patellar Support, Pre-Wrap Athletic Tape Supplies, 2.75" X 30 Yard Rolls of Pre Wrap</t>
        </is>
      </c>
      <c r="E2300" s="2">
        <f>HYPERLINK("https://www.amazon.com/Cramer-Underwrap-Athletic-Headband-Patellar/dp/B00027G8HU/ref=sr_1_2?keywords=Cramer+Athletic+Tape+Roll&amp;qid=1695171061&amp;sr=8-2", "https://www.amazon.com/Cramer-Underwrap-Athletic-Headband-Patellar/dp/B00027G8HU/ref=sr_1_2?keywords=Cramer+Athletic+Tape+Roll&amp;qid=1695171061&amp;sr=8-2")</f>
        <v/>
      </c>
      <c r="F2300" t="inlineStr">
        <is>
          <t>B00027G8HU</t>
        </is>
      </c>
      <c r="G2300">
        <f>_xlfn.IMAGE("https://www.soccerplususa.com/prodimages/2582-DEFAULT-l.jpg")</f>
        <v/>
      </c>
      <c r="H2300">
        <f>_xlfn.IMAGE("https://m.media-amazon.com/images/I/71OYCmmasOL._AC_UL320_.jpg")</f>
        <v/>
      </c>
      <c r="K2300" t="inlineStr">
        <is>
          <t>4.95</t>
        </is>
      </c>
      <c r="L2300" t="n">
        <v>48.95</v>
      </c>
      <c r="M2300" s="1" t="inlineStr">
        <is>
          <t>888.89%</t>
        </is>
      </c>
      <c r="N2300" s="3" t="n">
        <v>888.89</v>
      </c>
      <c r="O2300" t="n">
        <v>4.7</v>
      </c>
      <c r="P2300" t="n">
        <v>234</v>
      </c>
      <c r="R2300" t="inlineStr">
        <is>
          <t>InStock</t>
        </is>
      </c>
      <c r="S2300" t="inlineStr">
        <is>
          <t>undefined</t>
        </is>
      </c>
      <c r="T2300" t="inlineStr">
        <is>
          <t>762708</t>
        </is>
      </c>
    </row>
    <row r="2301" ht="75" customHeight="1">
      <c r="A2301" s="2">
        <f>HYPERLINK("https://www.soccerplususa.com/cramer/cramer-prewrap-12515", "https://www.soccerplususa.com/cramer/cramer-prewrap-12515")</f>
        <v/>
      </c>
      <c r="B2301" t="inlineStr">
        <is>
          <t>undefined</t>
        </is>
      </c>
      <c r="C2301" t="inlineStr">
        <is>
          <t>Cramer Pre-Wrap</t>
        </is>
      </c>
      <c r="D2301" t="inlineStr">
        <is>
          <t>Cramer Tape Underwrap, Bulk Case of 48 Rolls of PreWrap for Athletic Taping, Hair Tie, Headband, Patellar Support, Pre-Wrap Athletic Tape Supplies, 2.75" X 30 Yard Rolls of Pre Wrap</t>
        </is>
      </c>
      <c r="E2301" s="2">
        <f>HYPERLINK("https://www.amazon.com/Cramer-Underwrap-Athletic-Headband-Patellar/dp/B00027G8HU/ref=sr_1_1?keywords=Cramer+Pre-Wrap&amp;qid=1695171061&amp;sr=8-1", "https://www.amazon.com/Cramer-Underwrap-Athletic-Headband-Patellar/dp/B00027G8HU/ref=sr_1_1?keywords=Cramer+Pre-Wrap&amp;qid=1695171061&amp;sr=8-1")</f>
        <v/>
      </c>
      <c r="F2301" t="inlineStr">
        <is>
          <t>B00027G8HU</t>
        </is>
      </c>
      <c r="G2301">
        <f>_xlfn.IMAGE("https://www.soccerplususa.com/prodimages/2555-DEFAULT-l.jpg")</f>
        <v/>
      </c>
      <c r="H2301">
        <f>_xlfn.IMAGE("https://m.media-amazon.com/images/I/71OYCmmasOL._AC_UL320_.jpg")</f>
        <v/>
      </c>
      <c r="K2301" t="inlineStr">
        <is>
          <t>4.95</t>
        </is>
      </c>
      <c r="L2301" t="n">
        <v>48.95</v>
      </c>
      <c r="M2301" s="1" t="inlineStr">
        <is>
          <t>888.89%</t>
        </is>
      </c>
      <c r="N2301" s="3" t="n">
        <v>888.89</v>
      </c>
      <c r="O2301" t="n">
        <v>4.7</v>
      </c>
      <c r="P2301" t="n">
        <v>234</v>
      </c>
      <c r="R2301" t="inlineStr">
        <is>
          <t>InStock</t>
        </is>
      </c>
      <c r="S2301" t="inlineStr">
        <is>
          <t>undefined</t>
        </is>
      </c>
      <c r="T2301" t="inlineStr">
        <is>
          <t>762192</t>
        </is>
      </c>
    </row>
    <row r="2302" ht="75" customHeight="1">
      <c r="A2302" s="2">
        <f>HYPERLINK("https://www.soccerplususa.com/cramer/cramer-prewrap-12517", "https://www.soccerplususa.com/cramer/cramer-prewrap-12517")</f>
        <v/>
      </c>
      <c r="B2302" t="inlineStr">
        <is>
          <t>undefined</t>
        </is>
      </c>
      <c r="C2302" t="inlineStr">
        <is>
          <t>Cramer Pre-Wrap</t>
        </is>
      </c>
      <c r="D2302" t="inlineStr">
        <is>
          <t>Cramer Tape Underwrap, Bulk Case of 48 Rolls of PreWrap for Athletic Taping, Hair Tie, Headband, Patellar Support, Pre-Wrap Athletic Tape Supplies, 2.75" X 30 Yard Rolls of Pre Wrap</t>
        </is>
      </c>
      <c r="E2302" s="2">
        <f>HYPERLINK("https://www.amazon.com/Cramer-Underwrap-Athletic-Headband-Patellar/dp/B00027G8HU/ref=sr_1_1?keywords=Cramer+Pre-Wrap&amp;qid=1695171056&amp;sr=8-1", "https://www.amazon.com/Cramer-Underwrap-Athletic-Headband-Patellar/dp/B00027G8HU/ref=sr_1_1?keywords=Cramer+Pre-Wrap&amp;qid=1695171056&amp;sr=8-1")</f>
        <v/>
      </c>
      <c r="F2302" t="inlineStr">
        <is>
          <t>B00027G8HU</t>
        </is>
      </c>
      <c r="G2302">
        <f>_xlfn.IMAGE("https://www.soccerplususa.com/prodimages/2557-DEFAULT-l.jpg")</f>
        <v/>
      </c>
      <c r="H2302">
        <f>_xlfn.IMAGE("https://m.media-amazon.com/images/I/71OYCmmasOL._AC_UL320_.jpg")</f>
        <v/>
      </c>
      <c r="K2302" t="inlineStr">
        <is>
          <t>4.95</t>
        </is>
      </c>
      <c r="L2302" t="n">
        <v>48.95</v>
      </c>
      <c r="M2302" s="1" t="inlineStr">
        <is>
          <t>888.89%</t>
        </is>
      </c>
      <c r="N2302" s="3" t="n">
        <v>888.89</v>
      </c>
      <c r="O2302" t="n">
        <v>4.7</v>
      </c>
      <c r="P2302" t="n">
        <v>234</v>
      </c>
      <c r="R2302" t="inlineStr">
        <is>
          <t>InStock</t>
        </is>
      </c>
      <c r="S2302" t="inlineStr">
        <is>
          <t>undefined</t>
        </is>
      </c>
      <c r="T2302" t="inlineStr">
        <is>
          <t>762194</t>
        </is>
      </c>
    </row>
    <row r="2303" ht="75" customHeight="1">
      <c r="A2303" s="2">
        <f>HYPERLINK("https://www.soccerplususa.com/cramer/cramer-prewrap-12514", "https://www.soccerplususa.com/cramer/cramer-prewrap-12514")</f>
        <v/>
      </c>
      <c r="B2303" t="inlineStr">
        <is>
          <t>undefined</t>
        </is>
      </c>
      <c r="C2303" t="inlineStr">
        <is>
          <t>Cramer Pre-Wrap</t>
        </is>
      </c>
      <c r="D2303" t="inlineStr">
        <is>
          <t>Cramer Tape Underwrap, Bulk Case of 48 Rolls of PreWrap for Athletic Taping, Hair Tie, Headband, Patellar Support, Pre-Wrap Athletic Tape Supplies, 2.75" X 30 Yard Rolls of Pre Wrap</t>
        </is>
      </c>
      <c r="E2303" s="2">
        <f>HYPERLINK("https://www.amazon.com/Cramer-Underwrap-Athletic-Headband-Patellar/dp/B00027G8HU/ref=sr_1_1?keywords=Cramer+Pre-Wrap&amp;qid=1695171057&amp;sr=8-1", "https://www.amazon.com/Cramer-Underwrap-Athletic-Headband-Patellar/dp/B00027G8HU/ref=sr_1_1?keywords=Cramer+Pre-Wrap&amp;qid=1695171057&amp;sr=8-1")</f>
        <v/>
      </c>
      <c r="F2303" t="inlineStr">
        <is>
          <t>B00027G8HU</t>
        </is>
      </c>
      <c r="G2303">
        <f>_xlfn.IMAGE("https://www.soccerplususa.com/prodimages/2554-DEFAULT-l.jpg")</f>
        <v/>
      </c>
      <c r="H2303">
        <f>_xlfn.IMAGE("https://m.media-amazon.com/images/I/71OYCmmasOL._AC_UL320_.jpg")</f>
        <v/>
      </c>
      <c r="K2303" t="inlineStr">
        <is>
          <t>4.95</t>
        </is>
      </c>
      <c r="L2303" t="n">
        <v>48.95</v>
      </c>
      <c r="M2303" s="1" t="inlineStr">
        <is>
          <t>888.89%</t>
        </is>
      </c>
      <c r="N2303" s="3" t="n">
        <v>888.89</v>
      </c>
      <c r="O2303" t="n">
        <v>4.7</v>
      </c>
      <c r="P2303" t="n">
        <v>234</v>
      </c>
      <c r="R2303" t="inlineStr">
        <is>
          <t>InStock</t>
        </is>
      </c>
      <c r="S2303" t="inlineStr">
        <is>
          <t>undefined</t>
        </is>
      </c>
      <c r="T2303" t="inlineStr">
        <is>
          <t>762191</t>
        </is>
      </c>
    </row>
    <row r="2304" ht="75" customHeight="1">
      <c r="A2304" s="2">
        <f>HYPERLINK("https://www.soccerplususa.com/cramer/cramer-athletic-tape-roll-12538", "https://www.soccerplususa.com/cramer/cramer-athletic-tape-roll-12538")</f>
        <v/>
      </c>
      <c r="B2304" t="inlineStr">
        <is>
          <t>undefined</t>
        </is>
      </c>
      <c r="C2304" t="inlineStr">
        <is>
          <t>Cramer Athletic Tape Roll</t>
        </is>
      </c>
      <c r="D2304" t="inlineStr">
        <is>
          <t>Cramer Tape Underwrap, Bulk Case of 48 Rolls of PreWrap for Athletic Taping, Hair Tie, Headband, Patellar Support, Pre-Wrap Athletic Tape Supplies, 2.75" X 30 Yard Rolls of Pre Wrap</t>
        </is>
      </c>
      <c r="E2304" s="2">
        <f>HYPERLINK("https://www.amazon.com/Cramer-Underwrap-Athletic-Headband-Patellar/dp/B00027G8HU/ref=sr_1_2?keywords=Cramer+Athletic+Tape+Roll&amp;qid=1695171060&amp;sr=8-2", "https://www.amazon.com/Cramer-Underwrap-Athletic-Headband-Patellar/dp/B00027G8HU/ref=sr_1_2?keywords=Cramer+Athletic+Tape+Roll&amp;qid=1695171060&amp;sr=8-2")</f>
        <v/>
      </c>
      <c r="F2304" t="inlineStr">
        <is>
          <t>B00027G8HU</t>
        </is>
      </c>
      <c r="G2304">
        <f>_xlfn.IMAGE("https://www.soccerplususa.com/prodimages/2581-DEFAULT-l.jpg")</f>
        <v/>
      </c>
      <c r="H2304">
        <f>_xlfn.IMAGE("https://m.media-amazon.com/images/I/71OYCmmasOL._AC_UL320_.jpg")</f>
        <v/>
      </c>
      <c r="K2304" t="inlineStr">
        <is>
          <t>4.95</t>
        </is>
      </c>
      <c r="L2304" t="n">
        <v>48.95</v>
      </c>
      <c r="M2304" s="1" t="inlineStr">
        <is>
          <t>888.89%</t>
        </is>
      </c>
      <c r="N2304" s="3" t="n">
        <v>888.89</v>
      </c>
      <c r="O2304" t="n">
        <v>4.7</v>
      </c>
      <c r="P2304" t="n">
        <v>234</v>
      </c>
      <c r="R2304" t="inlineStr">
        <is>
          <t>InStock</t>
        </is>
      </c>
      <c r="S2304" t="inlineStr">
        <is>
          <t>undefined</t>
        </is>
      </c>
      <c r="T2304" t="inlineStr">
        <is>
          <t>762707</t>
        </is>
      </c>
    </row>
    <row r="2305" ht="75" customHeight="1">
      <c r="A2305" s="2">
        <f>HYPERLINK("https://www.soccerplususa.com/cramer/cramer-athletic-tape-roll-12536", "https://www.soccerplususa.com/cramer/cramer-athletic-tape-roll-12536")</f>
        <v/>
      </c>
      <c r="B2305" t="inlineStr">
        <is>
          <t>undefined</t>
        </is>
      </c>
      <c r="C2305" t="inlineStr">
        <is>
          <t>Cramer Athletic Tape Roll</t>
        </is>
      </c>
      <c r="D2305" t="inlineStr">
        <is>
          <t>Cramer Tape Underwrap, Bulk Case of 48 Rolls of PreWrap for Athletic Taping, Hair Tie, Headband, Patellar Support, Pre-Wrap Athletic Tape Supplies, 2.75" X 30 Yard Rolls of Pre Wrap</t>
        </is>
      </c>
      <c r="E2305" s="2">
        <f>HYPERLINK("https://www.amazon.com/Cramer-Underwrap-Athletic-Headband-Patellar/dp/B00027G8HU/ref=sr_1_2?keywords=Cramer+Athletic+Tape+Roll&amp;qid=1695171054&amp;sr=8-2", "https://www.amazon.com/Cramer-Underwrap-Athletic-Headband-Patellar/dp/B00027G8HU/ref=sr_1_2?keywords=Cramer+Athletic+Tape+Roll&amp;qid=1695171054&amp;sr=8-2")</f>
        <v/>
      </c>
      <c r="F2305" t="inlineStr">
        <is>
          <t>B00027G8HU</t>
        </is>
      </c>
      <c r="G2305">
        <f>_xlfn.IMAGE("https://www.soccerplususa.com/prodimages/2579-DEFAULT-l.jpg")</f>
        <v/>
      </c>
      <c r="H2305">
        <f>_xlfn.IMAGE("https://m.media-amazon.com/images/I/71OYCmmasOL._AC_UL320_.jpg")</f>
        <v/>
      </c>
      <c r="K2305" t="inlineStr">
        <is>
          <t>4.95</t>
        </is>
      </c>
      <c r="L2305" t="n">
        <v>48.95</v>
      </c>
      <c r="M2305" s="1" t="inlineStr">
        <is>
          <t>888.89%</t>
        </is>
      </c>
      <c r="N2305" s="3" t="n">
        <v>888.89</v>
      </c>
      <c r="O2305" t="n">
        <v>4.7</v>
      </c>
      <c r="P2305" t="n">
        <v>234</v>
      </c>
      <c r="R2305" t="inlineStr">
        <is>
          <t>InStock</t>
        </is>
      </c>
      <c r="S2305" t="inlineStr">
        <is>
          <t>undefined</t>
        </is>
      </c>
      <c r="T2305" t="inlineStr">
        <is>
          <t>762704</t>
        </is>
      </c>
    </row>
    <row r="2306" ht="75" customHeight="1">
      <c r="A2306" s="2">
        <f>HYPERLINK("https://www.soccerplususa.com/premier-sock-tape/pro-shin-guard-wrap-37591", "https://www.soccerplususa.com/premier-sock-tape/pro-shin-guard-wrap-37591")</f>
        <v/>
      </c>
      <c r="B2306" t="inlineStr">
        <is>
          <t>undefined</t>
        </is>
      </c>
      <c r="C2306" t="inlineStr">
        <is>
          <t>Pro Shin Guard Wrap</t>
        </is>
      </c>
      <c r="D2306" t="inlineStr">
        <is>
          <t>G-Form Pro-S Vento Soccer Shin Guard</t>
        </is>
      </c>
      <c r="E2306" s="2">
        <f>HYPERLINK("https://www.amazon.com/G-Form-Pro-S-Vento-Soccer-Guard/dp/B0BNNYWPN7/ref=sr_1_7?keywords=Pro+Shin+Guard+Wrap&amp;qid=1695171047&amp;sr=8-7", "https://www.amazon.com/G-Form-Pro-S-Vento-Soccer-Guard/dp/B0BNNYWPN7/ref=sr_1_7?keywords=Pro+Shin+Guard+Wrap&amp;qid=1695171047&amp;sr=8-7")</f>
        <v/>
      </c>
      <c r="F2306" t="inlineStr">
        <is>
          <t>B0BNNYWPN7</t>
        </is>
      </c>
      <c r="G2306">
        <f>_xlfn.IMAGE("https://www.soccerplususa.com/prodimages/10572-DEFAULT-l.jpg")</f>
        <v/>
      </c>
      <c r="H2306">
        <f>_xlfn.IMAGE("https://m.media-amazon.com/images/I/81K4xEWrVXL._AC_UL320_.jpg")</f>
        <v/>
      </c>
      <c r="K2306" t="inlineStr">
        <is>
          <t>7.99</t>
        </is>
      </c>
      <c r="L2306" t="n">
        <v>39.99</v>
      </c>
      <c r="M2306" s="1" t="inlineStr">
        <is>
          <t>400.50%</t>
        </is>
      </c>
      <c r="N2306" s="3" t="n">
        <v>400.5</v>
      </c>
      <c r="O2306" t="n">
        <v>4.1</v>
      </c>
      <c r="P2306" t="n">
        <v>134</v>
      </c>
      <c r="R2306" t="inlineStr">
        <is>
          <t>InStock</t>
        </is>
      </c>
      <c r="S2306" t="inlineStr">
        <is>
          <t>undefined</t>
        </is>
      </c>
      <c r="T2306" t="inlineStr">
        <is>
          <t>PSGW</t>
        </is>
      </c>
    </row>
    <row r="2307" ht="75" customHeight="1">
      <c r="A2307" s="2">
        <f>HYPERLINK("https://www.soccerplususa.com/premier-sock-tape/pro-shin-guard-wrap-37591", "https://www.soccerplususa.com/premier-sock-tape/pro-shin-guard-wrap-37591")</f>
        <v/>
      </c>
      <c r="B2307" t="inlineStr">
        <is>
          <t>undefined</t>
        </is>
      </c>
      <c r="C2307" t="inlineStr">
        <is>
          <t>Pro Shin Guard Wrap</t>
        </is>
      </c>
      <c r="D2307" t="inlineStr">
        <is>
          <t>RUNTOP Neoprene Shin Sleeves for Rope Climbing Shin Guards Sleeves for Deadlifting Weightlifting Powerlifting Cross Fitness Training Box Jumping Compression Leg Calf Support Protector Men Women</t>
        </is>
      </c>
      <c r="E2307" s="2">
        <f>HYPERLINK("https://www.amazon.com/RUNTOP-Neoprene-Protector-Compression-Crossfit/dp/B08BXC4QLW/ref=sr_1_10?keywords=Pro+Shin+Guard+Wrap&amp;qid=1695171047&amp;sr=8-10", "https://www.amazon.com/RUNTOP-Neoprene-Protector-Compression-Crossfit/dp/B08BXC4QLW/ref=sr_1_10?keywords=Pro+Shin+Guard+Wrap&amp;qid=1695171047&amp;sr=8-10")</f>
        <v/>
      </c>
      <c r="F2307" t="inlineStr">
        <is>
          <t>B08BXC4QLW</t>
        </is>
      </c>
      <c r="G2307">
        <f>_xlfn.IMAGE("https://www.soccerplususa.com/prodimages/10572-DEFAULT-l.jpg")</f>
        <v/>
      </c>
      <c r="H2307">
        <f>_xlfn.IMAGE("https://m.media-amazon.com/images/I/61WI+vHCrhL._AC_UL320_.jpg")</f>
        <v/>
      </c>
      <c r="K2307" t="inlineStr">
        <is>
          <t>7.99</t>
        </is>
      </c>
      <c r="L2307" t="n">
        <v>28.99</v>
      </c>
      <c r="M2307" s="1" t="inlineStr">
        <is>
          <t>262.83%</t>
        </is>
      </c>
      <c r="N2307" s="3" t="n">
        <v>262.83</v>
      </c>
      <c r="O2307" t="n">
        <v>4.2</v>
      </c>
      <c r="P2307" t="n">
        <v>35</v>
      </c>
      <c r="R2307" t="inlineStr">
        <is>
          <t>InStock</t>
        </is>
      </c>
      <c r="S2307" t="inlineStr">
        <is>
          <t>undefined</t>
        </is>
      </c>
      <c r="T2307" t="inlineStr">
        <is>
          <t>PSGW</t>
        </is>
      </c>
    </row>
    <row r="2308" ht="75" customHeight="1">
      <c r="A2308" s="2">
        <f>HYPERLINK("https://www.soccerplususa.com/premier-sock-tape/pro-shin-guard-wrap-37591", "https://www.soccerplususa.com/premier-sock-tape/pro-shin-guard-wrap-37591")</f>
        <v/>
      </c>
      <c r="B2308" t="inlineStr">
        <is>
          <t>undefined</t>
        </is>
      </c>
      <c r="C2308" t="inlineStr">
        <is>
          <t>Pro Shin Guard Wrap</t>
        </is>
      </c>
      <c r="D2308" t="inlineStr">
        <is>
          <t>Trend Changer Weightlifting Shin Guards / Calf Support Brace 5mm - 7mm Thick Neoprene for EasyWear-Deadlift Shin Guards, Box Jump, Crossfit Adjustable Shin Splint Compression Calf Wrap for Men Women (Pair)</t>
        </is>
      </c>
      <c r="E2308" s="2">
        <f>HYPERLINK("https://www.amazon.com/Trend-Changer-Weightlifting-EasyWear-Deadlift-Compression/dp/B09236Y2BY/ref=sr_1_4?keywords=Pro+Shin+Guard+Wrap&amp;qid=1695171047&amp;sr=8-4", "https://www.amazon.com/Trend-Changer-Weightlifting-EasyWear-Deadlift-Compression/dp/B09236Y2BY/ref=sr_1_4?keywords=Pro+Shin+Guard+Wrap&amp;qid=1695171047&amp;sr=8-4")</f>
        <v/>
      </c>
      <c r="F2308" t="inlineStr">
        <is>
          <t>B09236Y2BY</t>
        </is>
      </c>
      <c r="G2308">
        <f>_xlfn.IMAGE("https://www.soccerplususa.com/prodimages/10572-DEFAULT-l.jpg")</f>
        <v/>
      </c>
      <c r="H2308">
        <f>_xlfn.IMAGE("https://m.media-amazon.com/images/I/71IZbVm33EL._AC_UL320_.jpg")</f>
        <v/>
      </c>
      <c r="K2308" t="inlineStr">
        <is>
          <t>7.99</t>
        </is>
      </c>
      <c r="L2308" t="n">
        <v>21.99</v>
      </c>
      <c r="M2308" s="1" t="inlineStr">
        <is>
          <t>175.22%</t>
        </is>
      </c>
      <c r="N2308" s="3" t="n">
        <v>175.22</v>
      </c>
      <c r="O2308" t="n">
        <v>4.6</v>
      </c>
      <c r="P2308" t="n">
        <v>108</v>
      </c>
      <c r="R2308" t="inlineStr">
        <is>
          <t>InStock</t>
        </is>
      </c>
      <c r="S2308" t="inlineStr">
        <is>
          <t>undefined</t>
        </is>
      </c>
      <c r="T2308" t="inlineStr">
        <is>
          <t>PSGW</t>
        </is>
      </c>
    </row>
    <row r="2309" ht="75" customHeight="1">
      <c r="A2309" s="2">
        <f>HYPERLINK("https://www.soccerplususa.com/premier-sock-tape/pro-shin-guard-wrap-37591", "https://www.soccerplususa.com/premier-sock-tape/pro-shin-guard-wrap-37591")</f>
        <v/>
      </c>
      <c r="B2309" t="inlineStr">
        <is>
          <t>undefined</t>
        </is>
      </c>
      <c r="C2309" t="inlineStr">
        <is>
          <t>Pro Shin Guard Wrap</t>
        </is>
      </c>
      <c r="D2309" t="inlineStr">
        <is>
          <t>ProForce Shin Guards</t>
        </is>
      </c>
      <c r="E2309" s="2">
        <f>HYPERLINK("https://www.amazon.com/Pro-Force-SG_B0086OIL12_US-ProForce-Guards/dp/B0086OIL12/ref=sr_1_8?keywords=Pro+Shin+Guard+Wrap&amp;qid=1695171047&amp;sr=8-8", "https://www.amazon.com/Pro-Force-SG_B0086OIL12_US-ProForce-Guards/dp/B0086OIL12/ref=sr_1_8?keywords=Pro+Shin+Guard+Wrap&amp;qid=1695171047&amp;sr=8-8")</f>
        <v/>
      </c>
      <c r="F2309" t="inlineStr">
        <is>
          <t>B0086OIL12</t>
        </is>
      </c>
      <c r="G2309">
        <f>_xlfn.IMAGE("https://www.soccerplususa.com/prodimages/10572-DEFAULT-l.jpg")</f>
        <v/>
      </c>
      <c r="H2309">
        <f>_xlfn.IMAGE("https://m.media-amazon.com/images/I/61kST4XlFUL._AC_UL320_.jpg")</f>
        <v/>
      </c>
      <c r="K2309" t="inlineStr">
        <is>
          <t>7.99</t>
        </is>
      </c>
      <c r="L2309" t="n">
        <v>19.37</v>
      </c>
      <c r="M2309" s="1" t="inlineStr">
        <is>
          <t>142.43%</t>
        </is>
      </c>
      <c r="N2309" s="3" t="n">
        <v>142.43</v>
      </c>
      <c r="O2309" t="n">
        <v>4.5</v>
      </c>
      <c r="P2309" t="n">
        <v>1898</v>
      </c>
      <c r="R2309" t="inlineStr">
        <is>
          <t>InStock</t>
        </is>
      </c>
      <c r="S2309" t="inlineStr">
        <is>
          <t>undefined</t>
        </is>
      </c>
      <c r="T2309" t="inlineStr">
        <is>
          <t>PSGW</t>
        </is>
      </c>
    </row>
    <row r="2310" ht="75" customHeight="1">
      <c r="A2310" s="2">
        <f>HYPERLINK("https://www.soccerplususa.com/nike/nike-hyperfuel-24oz-bottle-37495", "https://www.soccerplususa.com/nike/nike-hyperfuel-24oz-bottle-37495")</f>
        <v/>
      </c>
      <c r="B2310" t="inlineStr">
        <is>
          <t>undefined</t>
        </is>
      </c>
      <c r="C2310" t="inlineStr">
        <is>
          <t>Nike Hyperfuel 24oz. Bottle</t>
        </is>
      </c>
      <c r="D2310" t="inlineStr">
        <is>
          <t>Nike HYPERFUEL Water Bottle</t>
        </is>
      </c>
      <c r="E2310" s="2">
        <f>HYPERLINK("https://www.amazon.com/Nike-N-000-0014-665-24-HYPERFUEL-Water-Bottle/dp/B07NXZZJFF/ref=sr_1_8?keywords=Nike+Hyperfuel+24oz.+Bottle&amp;qid=1695171040&amp;sr=8-8", "https://www.amazon.com/Nike-N-000-0014-665-24-HYPERFUEL-Water-Bottle/dp/B07NXZZJFF/ref=sr_1_8?keywords=Nike+Hyperfuel+24oz.+Bottle&amp;qid=1695171040&amp;sr=8-8")</f>
        <v/>
      </c>
      <c r="F2310" t="inlineStr">
        <is>
          <t>B07NXZZJFF</t>
        </is>
      </c>
      <c r="G2310">
        <f>_xlfn.IMAGE("https://www.soccerplususa.com/prodimages/24256-DEFAULT-l.jpg")</f>
        <v/>
      </c>
      <c r="H2310">
        <f>_xlfn.IMAGE("https://m.media-amazon.com/images/I/51I5uMnQjHL._AC_UL320_.jpg")</f>
        <v/>
      </c>
      <c r="K2310" t="inlineStr">
        <is>
          <t>11.95</t>
        </is>
      </c>
      <c r="L2310" t="n">
        <v>28.53</v>
      </c>
      <c r="M2310" s="1" t="inlineStr">
        <is>
          <t>138.74%</t>
        </is>
      </c>
      <c r="N2310" s="3" t="n">
        <v>138.74</v>
      </c>
      <c r="O2310" t="n">
        <v>4.4</v>
      </c>
      <c r="P2310" t="n">
        <v>191</v>
      </c>
      <c r="R2310" t="inlineStr">
        <is>
          <t>InStock</t>
        </is>
      </c>
      <c r="S2310" t="inlineStr">
        <is>
          <t>undefined</t>
        </is>
      </c>
      <c r="T2310" t="inlineStr">
        <is>
          <t>N.000.3524</t>
        </is>
      </c>
    </row>
    <row r="2311" ht="75" customHeight="1">
      <c r="A2311" s="2">
        <f>HYPERLINK("https://www.soccerplususa.com/premier-sock-tape/pro-shin-guard-wrap-37591", "https://www.soccerplususa.com/premier-sock-tape/pro-shin-guard-wrap-37591")</f>
        <v/>
      </c>
      <c r="B2311" t="inlineStr">
        <is>
          <t>undefined</t>
        </is>
      </c>
      <c r="C2311" t="inlineStr">
        <is>
          <t>Pro Shin Guard Wrap</t>
        </is>
      </c>
      <c r="D2311" t="inlineStr">
        <is>
          <t>ProForce Shin Guard - Medium Black #84981</t>
        </is>
      </c>
      <c r="E2311" s="2">
        <f>HYPERLINK("https://www.amazon.com/ProForce-Shin-Guard-Medium-Black/dp/B00520EJW8/ref=sr_1_9?keywords=Pro+Shin+Guard+Wrap&amp;qid=1695171047&amp;sr=8-9", "https://www.amazon.com/ProForce-Shin-Guard-Medium-Black/dp/B00520EJW8/ref=sr_1_9?keywords=Pro+Shin+Guard+Wrap&amp;qid=1695171047&amp;sr=8-9")</f>
        <v/>
      </c>
      <c r="F2311" t="inlineStr">
        <is>
          <t>B00520EJW8</t>
        </is>
      </c>
      <c r="G2311">
        <f>_xlfn.IMAGE("https://www.soccerplususa.com/prodimages/10572-DEFAULT-l.jpg")</f>
        <v/>
      </c>
      <c r="H2311">
        <f>_xlfn.IMAGE("https://m.media-amazon.com/images/I/31SDmW6u9JL._AC_UL320_.jpg")</f>
        <v/>
      </c>
      <c r="K2311" t="inlineStr">
        <is>
          <t>7.99</t>
        </is>
      </c>
      <c r="L2311" t="n">
        <v>18.99</v>
      </c>
      <c r="M2311" s="1" t="inlineStr">
        <is>
          <t>137.67%</t>
        </is>
      </c>
      <c r="N2311" s="3" t="n">
        <v>137.67</v>
      </c>
      <c r="O2311" t="n">
        <v>4.1</v>
      </c>
      <c r="P2311" t="n">
        <v>37</v>
      </c>
      <c r="R2311" t="inlineStr">
        <is>
          <t>InStock</t>
        </is>
      </c>
      <c r="S2311" t="inlineStr">
        <is>
          <t>undefined</t>
        </is>
      </c>
      <c r="T2311" t="inlineStr">
        <is>
          <t>PSGW</t>
        </is>
      </c>
    </row>
    <row r="2312" ht="75" customHeight="1">
      <c r="A2312" s="2">
        <f>HYPERLINK("https://www.soccerplususa.com/kwik-goal/kwik-goal-strap-cone-carrier-14087", "https://www.soccerplususa.com/kwik-goal/kwik-goal-strap-cone-carrier-14087")</f>
        <v/>
      </c>
      <c r="B2312" t="inlineStr">
        <is>
          <t>undefined</t>
        </is>
      </c>
      <c r="C2312" t="inlineStr">
        <is>
          <t>Kwik Goal Strap Cone Carrier</t>
        </is>
      </c>
      <c r="D2312" t="inlineStr">
        <is>
          <t>Kwik Goal Disc Cone Carrier,White</t>
        </is>
      </c>
      <c r="E2312" s="2">
        <f>HYPERLINK("https://www.amazon.com/Kwik-Goal-Disc-Cone-Carrier/dp/B000ZK7QXO/ref=sr_1_5?keywords=Kwik+Goal+Strap+Cone+Carrier&amp;qid=1695171041&amp;sr=8-5", "https://www.amazon.com/Kwik-Goal-Disc-Cone-Carrier/dp/B000ZK7QXO/ref=sr_1_5?keywords=Kwik+Goal+Strap+Cone+Carrier&amp;qid=1695171041&amp;sr=8-5")</f>
        <v/>
      </c>
      <c r="F2312" t="inlineStr">
        <is>
          <t>B000ZK7QXO</t>
        </is>
      </c>
      <c r="G2312">
        <f>_xlfn.IMAGE("https://www.soccerplususa.com/prodimages/1633-DEFAULT-l.jpg")</f>
        <v/>
      </c>
      <c r="H2312">
        <f>_xlfn.IMAGE("https://m.media-amazon.com/images/I/71to1O2wqEL._AC_UL320_.jpg")</f>
        <v/>
      </c>
      <c r="K2312" t="inlineStr">
        <is>
          <t>7.5</t>
        </is>
      </c>
      <c r="L2312" t="n">
        <v>17.15</v>
      </c>
      <c r="M2312" s="1" t="inlineStr">
        <is>
          <t>128.67%</t>
        </is>
      </c>
      <c r="N2312" s="3" t="n">
        <v>128.67</v>
      </c>
      <c r="O2312" t="n">
        <v>3.8</v>
      </c>
      <c r="P2312" t="n">
        <v>20</v>
      </c>
      <c r="R2312" t="inlineStr">
        <is>
          <t>InStock</t>
        </is>
      </c>
      <c r="S2312" t="inlineStr">
        <is>
          <t>undefined</t>
        </is>
      </c>
      <c r="T2312" t="inlineStr">
        <is>
          <t>PS-6</t>
        </is>
      </c>
    </row>
    <row r="2313" hidden="1" ht="15.75" customHeight="1">
      <c r="A2313" s="2">
        <f>HYPERLINK("https://www.soccerplususa.com/cramer/cramer-first-aid-kit-12504", "https://www.soccerplususa.com/cramer/cramer-first-aid-kit-12504")</f>
        <v/>
      </c>
      <c r="B2313" t="inlineStr">
        <is>
          <t>undefined</t>
        </is>
      </c>
      <c r="C2313" t="inlineStr">
        <is>
          <t>Cramer First Aid Kit</t>
        </is>
      </c>
      <c r="D2313" t="inlineStr">
        <is>
          <t>Cramer 761206 Coach's Team First Aid Kit</t>
        </is>
      </c>
      <c r="E2313" s="2">
        <f>HYPERLINK("https://www.amazon.com/Cramer-761206-Coachs-Team-First/dp/B0007CZ59C/ref=sr_1_1?keywords=Cramer+First+Aid+Kit&amp;qid=1695171058&amp;sr=8-1", "https://www.amazon.com/Cramer-761206-Coachs-Team-First/dp/B0007CZ59C/ref=sr_1_1?keywords=Cramer+First+Aid+Kit&amp;qid=1695171058&amp;sr=8-1")</f>
        <v/>
      </c>
      <c r="F2313" t="inlineStr">
        <is>
          <t>B0007CZ59C</t>
        </is>
      </c>
      <c r="G2313">
        <f>_xludf.IMAGE("https://www.soccerplususa.com/prodimages/1671-DEFAULT-l.jpg")</f>
        <v/>
      </c>
      <c r="H2313">
        <f>_xludf.IMAGE("https://m.media-amazon.com/images/I/3104J26XJFL._AC_UL320_.jpg")</f>
        <v/>
      </c>
      <c r="K2313" t="inlineStr">
        <is>
          <t>39.95</t>
        </is>
      </c>
      <c r="L2313" t="n">
        <v>87.95</v>
      </c>
      <c r="M2313" s="1" t="inlineStr">
        <is>
          <t>120.15%</t>
        </is>
      </c>
      <c r="N2313" s="3" t="n">
        <v>120.15</v>
      </c>
      <c r="O2313" t="n">
        <v>3.6</v>
      </c>
      <c r="P2313" t="n">
        <v>4</v>
      </c>
      <c r="R2313" t="inlineStr">
        <is>
          <t>InStock</t>
        </is>
      </c>
      <c r="S2313" t="inlineStr">
        <is>
          <t>undefined</t>
        </is>
      </c>
      <c r="T2313" t="inlineStr">
        <is>
          <t>112000</t>
        </is>
      </c>
    </row>
    <row r="2314" hidden="1" ht="15.75" customHeight="1">
      <c r="A2314" s="2">
        <f>HYPERLINK("https://www.soccerplususa.com/cramer/cramer-prewrap-12523", "https://www.soccerplususa.com/cramer/cramer-prewrap-12523")</f>
        <v/>
      </c>
      <c r="B2314" t="inlineStr">
        <is>
          <t>undefined</t>
        </is>
      </c>
      <c r="C2314" t="inlineStr">
        <is>
          <t>Cramer Pre-Wrap</t>
        </is>
      </c>
      <c r="D2314" t="inlineStr">
        <is>
          <t>Cramer Tape Underwrap, Sports PreWrap for Athletic Ankle, Wrist, and Injury Taping Jobs, Hair Tie, Headband, Patella Support, Pre-Wrap Athletic Tape Supplies.</t>
        </is>
      </c>
      <c r="E2314" s="2">
        <f>HYPERLINK("https://www.amazon.com/Cramer-Underwrap-Athletic-Headband-Pre-Wrap/dp/B005927K1Q/ref=sr_1_2?keywords=Cramer+Pre-Wrap&amp;qid=1695171058&amp;sr=8-2", "https://www.amazon.com/Cramer-Underwrap-Athletic-Headband-Pre-Wrap/dp/B005927K1Q/ref=sr_1_2?keywords=Cramer+Pre-Wrap&amp;qid=1695171058&amp;sr=8-2")</f>
        <v/>
      </c>
      <c r="F2314" t="inlineStr">
        <is>
          <t>B005927K1Q</t>
        </is>
      </c>
      <c r="G2314">
        <f>_xludf.IMAGE("https://www.soccerplususa.com/prodimages/2562-DEFAULT-l.jpg")</f>
        <v/>
      </c>
      <c r="H2314">
        <f>_xludf.IMAGE("https://m.media-amazon.com/images/I/61vugD2RxFL._AC_UL320_.jpg")</f>
        <v/>
      </c>
      <c r="K2314" t="inlineStr">
        <is>
          <t>3.5</t>
        </is>
      </c>
      <c r="L2314" t="n">
        <v>7.7</v>
      </c>
      <c r="M2314" s="1" t="inlineStr">
        <is>
          <t>120.00%</t>
        </is>
      </c>
      <c r="N2314" s="3" t="n">
        <v>120</v>
      </c>
      <c r="O2314" t="n">
        <v>4.7</v>
      </c>
      <c r="P2314" t="n">
        <v>2108</v>
      </c>
      <c r="R2314" t="inlineStr">
        <is>
          <t>InStock</t>
        </is>
      </c>
      <c r="S2314" t="inlineStr">
        <is>
          <t>3.95</t>
        </is>
      </c>
      <c r="T2314" t="inlineStr">
        <is>
          <t>762220</t>
        </is>
      </c>
    </row>
    <row r="2315" ht="75" customHeight="1">
      <c r="A2315" s="2">
        <f>HYPERLINK("https://www.soccerplususa.com/premier-sock-tape/pro-shin-guard-wrap-37591", "https://www.soccerplususa.com/premier-sock-tape/pro-shin-guard-wrap-37591")</f>
        <v/>
      </c>
      <c r="B2315" t="inlineStr">
        <is>
          <t>undefined</t>
        </is>
      </c>
      <c r="C2315" t="inlineStr">
        <is>
          <t>Pro Shin Guard Wrap</t>
        </is>
      </c>
      <c r="D2315" t="inlineStr">
        <is>
          <t>Tekkerz Soccer Miniature Shin Guard for Youth and Adults - Extra Small Protective Equipment shin Guards for Men, Women, Kids, Boys, and Girls</t>
        </is>
      </c>
      <c r="E2315" s="2">
        <f>HYPERLINK("https://www.amazon.com/Tekkerz-Soccer-Shin-Guard/dp/B0BRQY1KW8/ref=sr_1_2?keywords=Pro+Shin+Guard+Wrap&amp;qid=1695171047&amp;sr=8-2", "https://www.amazon.com/Tekkerz-Soccer-Shin-Guard/dp/B0BRQY1KW8/ref=sr_1_2?keywords=Pro+Shin+Guard+Wrap&amp;qid=1695171047&amp;sr=8-2")</f>
        <v/>
      </c>
      <c r="F2315" t="inlineStr">
        <is>
          <t>B0BRQY1KW8</t>
        </is>
      </c>
      <c r="G2315">
        <f>_xlfn.IMAGE("https://www.soccerplususa.com/prodimages/10572-DEFAULT-l.jpg")</f>
        <v/>
      </c>
      <c r="H2315">
        <f>_xlfn.IMAGE("https://m.media-amazon.com/images/I/61vQ8xVdsYL._AC_UL320_.jpg")</f>
        <v/>
      </c>
      <c r="K2315" t="inlineStr">
        <is>
          <t>7.99</t>
        </is>
      </c>
      <c r="L2315" t="n">
        <v>16.25</v>
      </c>
      <c r="M2315" s="1" t="inlineStr">
        <is>
          <t>103.38%</t>
        </is>
      </c>
      <c r="N2315" s="3" t="n">
        <v>103.38</v>
      </c>
      <c r="O2315" t="n">
        <v>4.3</v>
      </c>
      <c r="P2315" t="n">
        <v>25</v>
      </c>
      <c r="R2315" t="inlineStr">
        <is>
          <t>InStock</t>
        </is>
      </c>
      <c r="S2315" t="inlineStr">
        <is>
          <t>undefined</t>
        </is>
      </c>
      <c r="T2315" t="inlineStr">
        <is>
          <t>PSGW</t>
        </is>
      </c>
    </row>
    <row r="2316" hidden="1" ht="15.75" customHeight="1">
      <c r="A2316" s="2">
        <f>HYPERLINK("https://www.soccerplususa.com/kwik-goal/kwik-goal-deluxe-scrimmage-vest-xxs-13828", "https://www.soccerplususa.com/kwik-goal/kwik-goal-deluxe-scrimmage-vest-xxs-13828")</f>
        <v/>
      </c>
      <c r="B2316" t="inlineStr">
        <is>
          <t>undefined</t>
        </is>
      </c>
      <c r="C2316" t="inlineStr">
        <is>
          <t>Kwik Goal Deluxe Scrimmage Vest XXS</t>
        </is>
      </c>
      <c r="D2316" t="inlineStr">
        <is>
          <t>Kwik Goal mens womens Deluxe Scrimmage Vest</t>
        </is>
      </c>
      <c r="E2316" s="2">
        <f>HYPERLINK("https://www.amazon.com/Kwik-Goal-Hi-Vis-Scrimmage-Yellow/dp/B00DR94C00/ref=sr_1_2?keywords=Kwik+Goal+Deluxe+Scrimmage+Vest+XXS&amp;qid=1695171056&amp;sr=8-2", "https://www.amazon.com/Kwik-Goal-Hi-Vis-Scrimmage-Yellow/dp/B00DR94C00/ref=sr_1_2?keywords=Kwik+Goal+Deluxe+Scrimmage+Vest+XXS&amp;qid=1695171056&amp;sr=8-2")</f>
        <v/>
      </c>
      <c r="F2316" t="inlineStr">
        <is>
          <t>B00DR94C00</t>
        </is>
      </c>
      <c r="G2316">
        <f>_xludf.IMAGE("https://www.soccerplususa.com/prodimages//35008-RED-M.jpg")</f>
        <v/>
      </c>
      <c r="H2316">
        <f>_xludf.IMAGE("https://m.media-amazon.com/images/I/815gLvdJJfL._AC_UL320_.jpg")</f>
        <v/>
      </c>
      <c r="K2316" t="inlineStr">
        <is>
          <t>4.95</t>
        </is>
      </c>
      <c r="L2316" t="n">
        <v>9.970000000000001</v>
      </c>
      <c r="M2316" s="1" t="inlineStr">
        <is>
          <t>101.41%</t>
        </is>
      </c>
      <c r="N2316" s="3" t="n">
        <v>101.41</v>
      </c>
      <c r="O2316" t="n">
        <v>3.7</v>
      </c>
      <c r="P2316" t="n">
        <v>10</v>
      </c>
      <c r="R2316" t="inlineStr">
        <is>
          <t>InStock</t>
        </is>
      </c>
      <c r="S2316" t="inlineStr">
        <is>
          <t>undefined</t>
        </is>
      </c>
      <c r="T2316" t="inlineStr">
        <is>
          <t>19A111</t>
        </is>
      </c>
    </row>
    <row r="2317" hidden="1" ht="15.75" customHeight="1">
      <c r="A2317" s="2">
        <f>HYPERLINK("https://www.soccerplususa.com/kwik-goal/kwikgoal-deluxe-scrimmage-vest-13855", "https://www.soccerplususa.com/kwik-goal/kwikgoal-deluxe-scrimmage-vest-13855")</f>
        <v/>
      </c>
      <c r="B2317" t="inlineStr">
        <is>
          <t>undefined</t>
        </is>
      </c>
      <c r="C2317" t="inlineStr">
        <is>
          <t>Kwikgoal Deluxe Scrimmage Vest</t>
        </is>
      </c>
      <c r="D2317" t="inlineStr">
        <is>
          <t>Kwik Goal mens womens Deluxe Scrimmage Vest</t>
        </is>
      </c>
      <c r="E2317" s="2">
        <f>HYPERLINK("https://www.amazon.com/Kwik-Goal-Hi-Vis-Scrimmage-Yellow/dp/B00DR94C00/ref=sr_1_1?keywords=Kwikgoal+Deluxe+Scrimmage+Vest&amp;qid=1695171050&amp;sr=8-1", "https://www.amazon.com/Kwik-Goal-Hi-Vis-Scrimmage-Yellow/dp/B00DR94C00/ref=sr_1_1?keywords=Kwikgoal+Deluxe+Scrimmage+Vest&amp;qid=1695171050&amp;sr=8-1")</f>
        <v/>
      </c>
      <c r="F2317" t="inlineStr">
        <is>
          <t>B00DR94C00</t>
        </is>
      </c>
      <c r="G2317">
        <f>_xludf.IMAGE("https://www.soccerplususa.com/prodimages/727-DEFAULT-l.jpg")</f>
        <v/>
      </c>
      <c r="H2317">
        <f>_xludf.IMAGE("https://m.media-amazon.com/images/I/815gLvdJJfL._AC_UL320_.jpg")</f>
        <v/>
      </c>
      <c r="K2317" t="inlineStr">
        <is>
          <t>4.95</t>
        </is>
      </c>
      <c r="L2317" t="n">
        <v>9.970000000000001</v>
      </c>
      <c r="M2317" s="1" t="inlineStr">
        <is>
          <t>101.41%</t>
        </is>
      </c>
      <c r="N2317" s="3" t="n">
        <v>101.41</v>
      </c>
      <c r="O2317" t="n">
        <v>3.7</v>
      </c>
      <c r="P2317" t="n">
        <v>10</v>
      </c>
      <c r="R2317" t="inlineStr">
        <is>
          <t>InStock</t>
        </is>
      </c>
      <c r="S2317" t="inlineStr">
        <is>
          <t>undefined</t>
        </is>
      </c>
      <c r="T2317" t="inlineStr">
        <is>
          <t>19A164</t>
        </is>
      </c>
    </row>
    <row r="2318" hidden="1" ht="15.75" customHeight="1">
      <c r="A2318" s="2">
        <f>HYPERLINK("https://www.soccerplususa.com/kwik-goal/kwik-goal-deluxe-scrimmage-vest-xxs-13856", "https://www.soccerplususa.com/kwik-goal/kwik-goal-deluxe-scrimmage-vest-xxs-13856")</f>
        <v/>
      </c>
      <c r="B2318" t="inlineStr">
        <is>
          <t>undefined</t>
        </is>
      </c>
      <c r="C2318" t="inlineStr">
        <is>
          <t>Kwik Goal Deluxe Scrimmage Vest XXS</t>
        </is>
      </c>
      <c r="D2318" t="inlineStr">
        <is>
          <t>Kwik Goal mens womens Deluxe Scrimmage Vest</t>
        </is>
      </c>
      <c r="E2318" s="2">
        <f>HYPERLINK("https://www.amazon.com/Kwik-Goal-Hi-Vis-Scrimmage-Yellow/dp/B00DR94C00/ref=sr_1_2?keywords=Kwik+Goal+Deluxe+Scrimmage+Vest+XXS&amp;qid=1695171050&amp;sr=8-2", "https://www.amazon.com/Kwik-Goal-Hi-Vis-Scrimmage-Yellow/dp/B00DR94C00/ref=sr_1_2?keywords=Kwik+Goal+Deluxe+Scrimmage+Vest+XXS&amp;qid=1695171050&amp;sr=8-2")</f>
        <v/>
      </c>
      <c r="F2318" t="inlineStr">
        <is>
          <t>B00DR94C00</t>
        </is>
      </c>
      <c r="G2318">
        <f>_xludf.IMAGE("https://www.soccerplususa.com/prodimages//35010-YELLOW-M.jpg")</f>
        <v/>
      </c>
      <c r="H2318">
        <f>_xludf.IMAGE("https://m.media-amazon.com/images/I/815gLvdJJfL._AC_UL320_.jpg")</f>
        <v/>
      </c>
      <c r="K2318" t="inlineStr">
        <is>
          <t>4.95</t>
        </is>
      </c>
      <c r="L2318" t="n">
        <v>9.970000000000001</v>
      </c>
      <c r="M2318" s="1" t="inlineStr">
        <is>
          <t>101.41%</t>
        </is>
      </c>
      <c r="N2318" s="3" t="n">
        <v>101.41</v>
      </c>
      <c r="O2318" t="n">
        <v>3.7</v>
      </c>
      <c r="P2318" t="n">
        <v>10</v>
      </c>
      <c r="R2318" t="inlineStr">
        <is>
          <t>InStock</t>
        </is>
      </c>
      <c r="S2318" t="inlineStr">
        <is>
          <t>undefined</t>
        </is>
      </c>
      <c r="T2318" t="inlineStr">
        <is>
          <t>19A181</t>
        </is>
      </c>
    </row>
    <row r="2319" hidden="1" ht="15.75" customHeight="1">
      <c r="A2319" s="2">
        <f>HYPERLINK("https://www.soccerplususa.com/kwik-goal/kwikgoal-deluxe-scrimmage-vest-13854", "https://www.soccerplususa.com/kwik-goal/kwikgoal-deluxe-scrimmage-vest-13854")</f>
        <v/>
      </c>
      <c r="B2319" t="inlineStr">
        <is>
          <t>undefined</t>
        </is>
      </c>
      <c r="C2319" t="inlineStr">
        <is>
          <t>Kwikgoal Deluxe Scrimmage Vest</t>
        </is>
      </c>
      <c r="D2319" t="inlineStr">
        <is>
          <t>Kwik Goal mens womens Deluxe Scrimmage Vest</t>
        </is>
      </c>
      <c r="E2319" s="2">
        <f>HYPERLINK("https://www.amazon.com/Kwik-Goal-Hi-Vis-Scrimmage-Yellow/dp/B00DR94C00/ref=sr_1_1?keywords=Kwikgoal+Deluxe+Scrimmage+Vest&amp;qid=1695171051&amp;sr=8-1", "https://www.amazon.com/Kwik-Goal-Hi-Vis-Scrimmage-Yellow/dp/B00DR94C00/ref=sr_1_1?keywords=Kwikgoal+Deluxe+Scrimmage+Vest&amp;qid=1695171051&amp;sr=8-1")</f>
        <v/>
      </c>
      <c r="F2319" t="inlineStr">
        <is>
          <t>B00DR94C00</t>
        </is>
      </c>
      <c r="G2319">
        <f>_xludf.IMAGE("https://www.soccerplususa.com/prodimages/729-DEFAULT-l.jpg")</f>
        <v/>
      </c>
      <c r="H2319">
        <f>_xludf.IMAGE("https://m.media-amazon.com/images/I/815gLvdJJfL._AC_UL320_.jpg")</f>
        <v/>
      </c>
      <c r="K2319" t="inlineStr">
        <is>
          <t>4.95</t>
        </is>
      </c>
      <c r="L2319" t="n">
        <v>9.970000000000001</v>
      </c>
      <c r="M2319" s="1" t="inlineStr">
        <is>
          <t>101.41%</t>
        </is>
      </c>
      <c r="N2319" s="3" t="n">
        <v>101.41</v>
      </c>
      <c r="O2319" t="n">
        <v>3.7</v>
      </c>
      <c r="P2319" t="n">
        <v>10</v>
      </c>
      <c r="R2319" t="inlineStr">
        <is>
          <t>InStock</t>
        </is>
      </c>
      <c r="S2319" t="inlineStr">
        <is>
          <t>undefined</t>
        </is>
      </c>
      <c r="T2319" t="inlineStr">
        <is>
          <t>19A162</t>
        </is>
      </c>
    </row>
    <row r="2320" hidden="1" ht="15.75" customHeight="1">
      <c r="A2320" s="2">
        <f>HYPERLINK("https://www.soccerplususa.com/kwik-goal/kwik-goal-deluxe-scrimmage-vest-adult-13836", "https://www.soccerplususa.com/kwik-goal/kwik-goal-deluxe-scrimmage-vest-adult-13836")</f>
        <v/>
      </c>
      <c r="B2320" t="inlineStr">
        <is>
          <t>undefined</t>
        </is>
      </c>
      <c r="C2320" t="inlineStr">
        <is>
          <t>Kwik Goal Deluxe Scrimmage Vest Adult</t>
        </is>
      </c>
      <c r="D2320" t="inlineStr">
        <is>
          <t>Kwik Goal mens womens Deluxe Scrimmage Vest</t>
        </is>
      </c>
      <c r="E2320" s="2">
        <f>HYPERLINK("https://www.amazon.com/Kwik-Goal-Hi-Vis-Scrimmage-Yellow/dp/B00DR94C00/ref=sr_1_3?keywords=Kwik+Goal+Deluxe+Scrimmage+Vest+Adult&amp;qid=1695171049&amp;sr=8-3", "https://www.amazon.com/Kwik-Goal-Hi-Vis-Scrimmage-Yellow/dp/B00DR94C00/ref=sr_1_3?keywords=Kwik+Goal+Deluxe+Scrimmage+Vest+Adult&amp;qid=1695171049&amp;sr=8-3")</f>
        <v/>
      </c>
      <c r="F2320" t="inlineStr">
        <is>
          <t>B00DR94C00</t>
        </is>
      </c>
      <c r="G2320">
        <f>_xludf.IMAGE("https://www.soccerplususa.com/prodimages/735-DEFAULT-l.jpg")</f>
        <v/>
      </c>
      <c r="H2320">
        <f>_xludf.IMAGE("https://m.media-amazon.com/images/I/815gLvdJJfL._AC_UL320_.jpg")</f>
        <v/>
      </c>
      <c r="K2320" t="inlineStr">
        <is>
          <t>4.95</t>
        </is>
      </c>
      <c r="L2320" t="n">
        <v>9.970000000000001</v>
      </c>
      <c r="M2320" s="1" t="inlineStr">
        <is>
          <t>101.41%</t>
        </is>
      </c>
      <c r="N2320" s="3" t="n">
        <v>101.41</v>
      </c>
      <c r="O2320" t="n">
        <v>3.7</v>
      </c>
      <c r="P2320" t="n">
        <v>10</v>
      </c>
      <c r="R2320" t="inlineStr">
        <is>
          <t>InStock</t>
        </is>
      </c>
      <c r="S2320" t="inlineStr">
        <is>
          <t>undefined</t>
        </is>
      </c>
      <c r="T2320" t="inlineStr">
        <is>
          <t>19A1174</t>
        </is>
      </c>
    </row>
    <row r="2321" ht="75" customHeight="1">
      <c r="A2321" s="2">
        <f>HYPERLINK("https://www.soccerplususa.com/kwik-goal/kwik-goal-mini-disc-cone-25pk-14048", "https://www.soccerplususa.com/kwik-goal/kwik-goal-mini-disc-cone-25pk-14048")</f>
        <v/>
      </c>
      <c r="B2321" t="inlineStr">
        <is>
          <t>undefined</t>
        </is>
      </c>
      <c r="C2321" t="inlineStr">
        <is>
          <t>Kwik Goal Mini Disc Cone 25pk</t>
        </is>
      </c>
      <c r="D2321" t="inlineStr">
        <is>
          <t>Kwik Goal Mini Disc Cone Kit (50-Pack)</t>
        </is>
      </c>
      <c r="E2321" s="2">
        <f>HYPERLINK("https://www.amazon.com/Kwik-Goal-50-Pack-Yellow-Orange/dp/B00P3NKUTK/ref=sr_1_3?keywords=Kwik+Goal+Mini+Disc+Cone+25pk&amp;qid=1695171053&amp;sr=8-3", "https://www.amazon.com/Kwik-Goal-50-Pack-Yellow-Orange/dp/B00P3NKUTK/ref=sr_1_3?keywords=Kwik+Goal+Mini+Disc+Cone+25pk&amp;qid=1695171053&amp;sr=8-3")</f>
        <v/>
      </c>
      <c r="F2321" t="inlineStr">
        <is>
          <t>B00P3NKUTK</t>
        </is>
      </c>
      <c r="G2321">
        <f>_xlfn.IMAGE("https://www.soccerplususa.com/prodimages/4081-DEFAULT-l.jpg")</f>
        <v/>
      </c>
      <c r="H2321">
        <f>_xlfn.IMAGE("https://m.media-amazon.com/images/I/71djpiF7PbL._AC_UL320_.jpg")</f>
        <v/>
      </c>
      <c r="K2321" t="inlineStr">
        <is>
          <t>18.5</t>
        </is>
      </c>
      <c r="L2321" t="n">
        <v>35</v>
      </c>
      <c r="M2321" s="1" t="inlineStr">
        <is>
          <t>89.19%</t>
        </is>
      </c>
      <c r="N2321" s="3" t="n">
        <v>89.19</v>
      </c>
      <c r="O2321" t="n">
        <v>4.8</v>
      </c>
      <c r="P2321" t="n">
        <v>397</v>
      </c>
      <c r="R2321" t="inlineStr">
        <is>
          <t>InStock</t>
        </is>
      </c>
      <c r="S2321" t="inlineStr">
        <is>
          <t>undefined</t>
        </is>
      </c>
      <c r="T2321" t="inlineStr">
        <is>
          <t>6A14</t>
        </is>
      </c>
    </row>
    <row r="2322" hidden="1" ht="15.75" customHeight="1">
      <c r="A2322" s="2">
        <f>HYPERLINK("https://www.soccerplususa.com/kwik-goal/kwik-goal-deluxe-scrimmage-vest-adult-13836", "https://www.soccerplususa.com/kwik-goal/kwik-goal-deluxe-scrimmage-vest-adult-13836")</f>
        <v/>
      </c>
      <c r="B2322" t="inlineStr">
        <is>
          <t>undefined</t>
        </is>
      </c>
      <c r="C2322" t="inlineStr">
        <is>
          <t>Kwik Goal Deluxe Scrimmage Vest Adult</t>
        </is>
      </c>
      <c r="D2322" t="inlineStr">
        <is>
          <t>Kwik Goal Adult Deluxe Scrimmage vest</t>
        </is>
      </c>
      <c r="E2322" s="2">
        <f>HYPERLINK("https://www.amazon.com/Kwik-Goal-Adult-Deluxe-Scrimmage/dp/B006IXLJB2/ref=sr_1_1?keywords=Kwik+Goal+Deluxe+Scrimmage+Vest+Adult&amp;qid=1695171049&amp;sr=8-1", "https://www.amazon.com/Kwik-Goal-Adult-Deluxe-Scrimmage/dp/B006IXLJB2/ref=sr_1_1?keywords=Kwik+Goal+Deluxe+Scrimmage+Vest+Adult&amp;qid=1695171049&amp;sr=8-1")</f>
        <v/>
      </c>
      <c r="F2322" t="inlineStr">
        <is>
          <t>B006IXLJB2</t>
        </is>
      </c>
      <c r="G2322">
        <f>_xludf.IMAGE("https://www.soccerplususa.com/prodimages/735-DEFAULT-l.jpg")</f>
        <v/>
      </c>
      <c r="H2322">
        <f>_xludf.IMAGE("https://m.media-amazon.com/images/I/81QQZl-WUBL._AC_UL320_.jpg")</f>
        <v/>
      </c>
      <c r="K2322" t="inlineStr">
        <is>
          <t>4.95</t>
        </is>
      </c>
      <c r="L2322" t="n">
        <v>8.960000000000001</v>
      </c>
      <c r="M2322" s="1" t="inlineStr">
        <is>
          <t>81.01%</t>
        </is>
      </c>
      <c r="N2322" s="3" t="n">
        <v>81.01000000000001</v>
      </c>
      <c r="O2322" t="n">
        <v>4.6</v>
      </c>
      <c r="P2322" t="n">
        <v>135</v>
      </c>
      <c r="R2322" t="inlineStr">
        <is>
          <t>InStock</t>
        </is>
      </c>
      <c r="S2322" t="inlineStr">
        <is>
          <t>undefined</t>
        </is>
      </c>
      <c r="T2322" t="inlineStr">
        <is>
          <t>19A1174</t>
        </is>
      </c>
    </row>
    <row r="2323" ht="75" customHeight="1">
      <c r="A2323" s="2">
        <f>HYPERLINK("https://www.soccerplususa.com/kwik-goal/soccer-clipboard-13825", "https://www.soccerplususa.com/kwik-goal/soccer-clipboard-13825")</f>
        <v/>
      </c>
      <c r="B2323" t="inlineStr">
        <is>
          <t>undefined</t>
        </is>
      </c>
      <c r="C2323" t="inlineStr">
        <is>
          <t>Soccer Clipboard</t>
        </is>
      </c>
      <c r="D2323" t="inlineStr">
        <is>
          <t>Soccer Coaching Board Soccer Coaches Clipboard Tactical Magnetic Board Kit with Dry Erase, Marker Pen and Zipper Bag (Football Board) (Soccer Coaching Board)</t>
        </is>
      </c>
      <c r="E2323" s="2">
        <f>HYPERLINK("https://www.amazon.com/Football-Coaching-Clipboard-Tactical-Magnetic/dp/B07PK3CFW9/ref=sr_1_5?keywords=Soccer+Clipboard&amp;qid=1695171051&amp;sr=8-5", "https://www.amazon.com/Football-Coaching-Clipboard-Tactical-Magnetic/dp/B07PK3CFW9/ref=sr_1_5?keywords=Soccer+Clipboard&amp;qid=1695171051&amp;sr=8-5")</f>
        <v/>
      </c>
      <c r="F2323" t="inlineStr">
        <is>
          <t>B07PK3CFW9</t>
        </is>
      </c>
      <c r="G2323">
        <f>_xlfn.IMAGE("https://www.soccerplususa.com/prodimages/750-DEFAULT-l.jpg")</f>
        <v/>
      </c>
      <c r="H2323">
        <f>_xlfn.IMAGE("https://m.media-amazon.com/images/I/61BmDBCqW2L._AC_UL320_.jpg")</f>
        <v/>
      </c>
      <c r="K2323" t="inlineStr">
        <is>
          <t>14.5</t>
        </is>
      </c>
      <c r="L2323" t="n">
        <v>24.99</v>
      </c>
      <c r="M2323" s="1" t="inlineStr">
        <is>
          <t>72.34%</t>
        </is>
      </c>
      <c r="N2323" s="3" t="n">
        <v>72.34</v>
      </c>
      <c r="O2323" t="n">
        <v>4.4</v>
      </c>
      <c r="P2323" t="n">
        <v>1031</v>
      </c>
      <c r="R2323" t="inlineStr">
        <is>
          <t>InStock</t>
        </is>
      </c>
      <c r="S2323" t="inlineStr">
        <is>
          <t>undefined</t>
        </is>
      </c>
      <c r="T2323" t="inlineStr">
        <is>
          <t>18B301</t>
        </is>
      </c>
    </row>
    <row r="2324" hidden="1" ht="15.75" customHeight="1">
      <c r="A2324" s="2">
        <f>HYPERLINK("https://www.soccerplususa.com/kwik-goal/kwik-goal-deluxe-scrimmage-vest-youth-13841", "https://www.soccerplususa.com/kwik-goal/kwik-goal-deluxe-scrimmage-vest-youth-13841")</f>
        <v/>
      </c>
      <c r="B2324" t="inlineStr">
        <is>
          <t>undefined</t>
        </is>
      </c>
      <c r="C2324" t="inlineStr">
        <is>
          <t>Kwik Goal Deluxe Scrimmage Vest Youth</t>
        </is>
      </c>
      <c r="D2324" t="inlineStr">
        <is>
          <t>Kwik Goal mens womens Deluxe Scrimmage Vest</t>
        </is>
      </c>
      <c r="E2324" s="2">
        <f>HYPERLINK("https://www.amazon.com/Kwik-Goal-Hi-Vis-Scrimmage-Yellow/dp/B00DR94C00/ref=sr_1_1?keywords=Kwik+Goal+Deluxe+Scrimmage+Vest+Youth&amp;qid=1695171053&amp;sr=8-1", "https://www.amazon.com/Kwik-Goal-Hi-Vis-Scrimmage-Yellow/dp/B00DR94C00/ref=sr_1_1?keywords=Kwik+Goal+Deluxe+Scrimmage+Vest+Youth&amp;qid=1695171053&amp;sr=8-1")</f>
        <v/>
      </c>
      <c r="F2324" t="inlineStr">
        <is>
          <t>B00DR94C00</t>
        </is>
      </c>
      <c r="G2324">
        <f>_xludf.IMAGE("https://www.soccerplususa.com/prodimages/30893-DEFAULT-l.jpg")</f>
        <v/>
      </c>
      <c r="H2324">
        <f>_xludf.IMAGE("https://m.media-amazon.com/images/I/815gLvdJJfL._AC_UL320_.jpg")</f>
        <v/>
      </c>
      <c r="K2324" t="inlineStr">
        <is>
          <t>6.0</t>
        </is>
      </c>
      <c r="L2324" t="n">
        <v>9.970000000000001</v>
      </c>
      <c r="M2324" s="1" t="inlineStr">
        <is>
          <t>66.17%</t>
        </is>
      </c>
      <c r="N2324" s="3" t="n">
        <v>66.17</v>
      </c>
      <c r="O2324" t="n">
        <v>3.7</v>
      </c>
      <c r="P2324" t="n">
        <v>10</v>
      </c>
      <c r="R2324" t="inlineStr">
        <is>
          <t>InStock</t>
        </is>
      </c>
      <c r="S2324" t="inlineStr">
        <is>
          <t>undefined</t>
        </is>
      </c>
      <c r="T2324" t="inlineStr">
        <is>
          <t>19A122</t>
        </is>
      </c>
    </row>
    <row r="2325" hidden="1" ht="15.75" customHeight="1">
      <c r="A2325" s="2">
        <f>HYPERLINK("https://www.soccerplususa.com/kwik-goal/kwik-goal-deluxe-scrimmage-vest-xxs-13848", "https://www.soccerplususa.com/kwik-goal/kwik-goal-deluxe-scrimmage-vest-xxs-13848")</f>
        <v/>
      </c>
      <c r="B2325" t="inlineStr">
        <is>
          <t>undefined</t>
        </is>
      </c>
      <c r="C2325" t="inlineStr">
        <is>
          <t>Kwik Goal Deluxe Scrimmage Vest XXS</t>
        </is>
      </c>
      <c r="D2325" t="inlineStr">
        <is>
          <t>Kwik Goal mens womens Deluxe Scrimmage Vest</t>
        </is>
      </c>
      <c r="E2325" s="2">
        <f>HYPERLINK("https://www.amazon.com/Kwik-Goal-Hi-Vis-Scrimmage-Yellow/dp/B00DR94C00/ref=sr_1_2?keywords=Kwik+Goal+Deluxe+Scrimmage+Vest+XXS&amp;qid=1695171049&amp;sr=8-2", "https://www.amazon.com/Kwik-Goal-Hi-Vis-Scrimmage-Yellow/dp/B00DR94C00/ref=sr_1_2?keywords=Kwik+Goal+Deluxe+Scrimmage+Vest+XXS&amp;qid=1695171049&amp;sr=8-2")</f>
        <v/>
      </c>
      <c r="F2325" t="inlineStr">
        <is>
          <t>B00DR94C00</t>
        </is>
      </c>
      <c r="G2325">
        <f>_xludf.IMAGE("https://www.soccerplususa.com/prodimages//35009-ROYAL-M.jpg")</f>
        <v/>
      </c>
      <c r="H2325">
        <f>_xludf.IMAGE("https://m.media-amazon.com/images/I/815gLvdJJfL._AC_UL320_.jpg")</f>
        <v/>
      </c>
      <c r="K2325" t="inlineStr">
        <is>
          <t>6.0</t>
        </is>
      </c>
      <c r="L2325" t="n">
        <v>9.970000000000001</v>
      </c>
      <c r="M2325" s="1" t="inlineStr">
        <is>
          <t>66.17%</t>
        </is>
      </c>
      <c r="N2325" s="3" t="n">
        <v>66.17</v>
      </c>
      <c r="O2325" t="n">
        <v>3.7</v>
      </c>
      <c r="P2325" t="n">
        <v>10</v>
      </c>
      <c r="R2325" t="inlineStr">
        <is>
          <t>InStock</t>
        </is>
      </c>
      <c r="S2325" t="inlineStr">
        <is>
          <t>undefined</t>
        </is>
      </c>
      <c r="T2325" t="inlineStr">
        <is>
          <t>19A141</t>
        </is>
      </c>
    </row>
    <row r="2326" hidden="1" ht="15.75" customHeight="1">
      <c r="A2326" s="2">
        <f>HYPERLINK("https://www.soccerplususa.com/kwik-goal/kwikgoal-deluxe-scrimmage-vest-13854", "https://www.soccerplususa.com/kwik-goal/kwikgoal-deluxe-scrimmage-vest-13854")</f>
        <v/>
      </c>
      <c r="B2326" t="inlineStr">
        <is>
          <t>undefined</t>
        </is>
      </c>
      <c r="C2326" t="inlineStr">
        <is>
          <t>Kwikgoal Deluxe Scrimmage Vest</t>
        </is>
      </c>
      <c r="D2326" t="inlineStr">
        <is>
          <t>Kwik Goal Adult Deluxe Scrimmage vest</t>
        </is>
      </c>
      <c r="E2326" s="2">
        <f>HYPERLINK("https://www.amazon.com/Kwik-Goal-Adult-Deluxe-Scrimmage/dp/B0015QDI3E/ref=sr_1_3?keywords=Kwikgoal+Deluxe+Scrimmage+Vest&amp;qid=1695171051&amp;sr=8-3", "https://www.amazon.com/Kwik-Goal-Adult-Deluxe-Scrimmage/dp/B0015QDI3E/ref=sr_1_3?keywords=Kwikgoal+Deluxe+Scrimmage+Vest&amp;qid=1695171051&amp;sr=8-3")</f>
        <v/>
      </c>
      <c r="F2326" t="inlineStr">
        <is>
          <t>B0015QDI3E</t>
        </is>
      </c>
      <c r="G2326">
        <f>_xludf.IMAGE("https://www.soccerplususa.com/prodimages/729-DEFAULT-l.jpg")</f>
        <v/>
      </c>
      <c r="H2326">
        <f>_xludf.IMAGE("https://m.media-amazon.com/images/I/81n6SgzMmLL._AC_UL320_.jpg")</f>
        <v/>
      </c>
      <c r="K2326" t="inlineStr">
        <is>
          <t>4.95</t>
        </is>
      </c>
      <c r="L2326" t="n">
        <v>7.99</v>
      </c>
      <c r="M2326" s="1" t="inlineStr">
        <is>
          <t>61.41%</t>
        </is>
      </c>
      <c r="N2326" s="3" t="n">
        <v>61.41</v>
      </c>
      <c r="O2326" t="n">
        <v>4.6</v>
      </c>
      <c r="P2326" t="n">
        <v>135</v>
      </c>
      <c r="R2326" t="inlineStr">
        <is>
          <t>InStock</t>
        </is>
      </c>
      <c r="S2326" t="inlineStr">
        <is>
          <t>undefined</t>
        </is>
      </c>
      <c r="T2326" t="inlineStr">
        <is>
          <t>19A162</t>
        </is>
      </c>
    </row>
    <row r="2327" hidden="1" ht="15.75" customHeight="1">
      <c r="A2327" s="2">
        <f>HYPERLINK("https://www.soccerplususa.com/nike/nike-hyperfuel-24oz-bottle-37495", "https://www.soccerplususa.com/nike/nike-hyperfuel-24oz-bottle-37495")</f>
        <v/>
      </c>
      <c r="B2327" t="inlineStr">
        <is>
          <t>undefined</t>
        </is>
      </c>
      <c r="C2327" t="inlineStr">
        <is>
          <t>Nike Hyperfuel 24oz. Bottle</t>
        </is>
      </c>
      <c r="D2327" t="inlineStr">
        <is>
          <t>Nike Hyperfuel 24 Oz Bottle Green | Black | White</t>
        </is>
      </c>
      <c r="E2327" s="2">
        <f>HYPERLINK("https://www.amazon.com/Nike-Hyperfuel-Water-Bottle-Green/dp/B083GF6Y9F/ref=sr_1_2?keywords=Nike+Hyperfuel+24oz.+Bottle&amp;qid=1695171040&amp;sr=8-2", "https://www.amazon.com/Nike-Hyperfuel-Water-Bottle-Green/dp/B083GF6Y9F/ref=sr_1_2?keywords=Nike+Hyperfuel+24oz.+Bottle&amp;qid=1695171040&amp;sr=8-2")</f>
        <v/>
      </c>
      <c r="F2327" t="inlineStr">
        <is>
          <t>B083GF6Y9F</t>
        </is>
      </c>
      <c r="G2327">
        <f>_xludf.IMAGE("https://www.soccerplususa.com/prodimages/24256-DEFAULT-l.jpg")</f>
        <v/>
      </c>
      <c r="H2327">
        <f>_xludf.IMAGE("https://m.media-amazon.com/images/I/51UXIBkCGCL._AC_UL320_.jpg")</f>
        <v/>
      </c>
      <c r="K2327" t="inlineStr">
        <is>
          <t>11.95</t>
        </is>
      </c>
      <c r="L2327" t="n">
        <v>18.94</v>
      </c>
      <c r="M2327" s="1" t="inlineStr">
        <is>
          <t>58.49%</t>
        </is>
      </c>
      <c r="N2327" s="3" t="n">
        <v>58.49</v>
      </c>
      <c r="O2327" t="n">
        <v>4.5</v>
      </c>
      <c r="P2327" t="n">
        <v>63</v>
      </c>
      <c r="R2327" t="inlineStr">
        <is>
          <t>InStock</t>
        </is>
      </c>
      <c r="S2327" t="inlineStr">
        <is>
          <t>undefined</t>
        </is>
      </c>
      <c r="T2327" t="inlineStr">
        <is>
          <t>N.000.3524</t>
        </is>
      </c>
    </row>
    <row r="2328" hidden="1" ht="15.75" customHeight="1">
      <c r="A2328" s="2">
        <f>HYPERLINK("https://www.soccerplususa.com/cramer/cramer-athletic-tape-roll-12532", "https://www.soccerplususa.com/cramer/cramer-athletic-tape-roll-12532")</f>
        <v/>
      </c>
      <c r="B2328" t="inlineStr">
        <is>
          <t>undefined</t>
        </is>
      </c>
      <c r="C2328" t="inlineStr">
        <is>
          <t>Cramer Athletic Tape Roll</t>
        </is>
      </c>
      <c r="D2328" t="inlineStr">
        <is>
          <t>Cramer Tape Underwrap, Sports PreWrap for Athletic Ankle, Wrist, and Injury Taping Jobs, Hair Tie, Headband, Patella Support, Pre-Wrap Athletic Tape Supplies.</t>
        </is>
      </c>
      <c r="E2328" s="2">
        <f>HYPERLINK("https://www.amazon.com/Cramer-Underwrap-Athletic-Headband-Pre-Wrap/dp/B005927K1Q/ref=sr_1_6?keywords=Cramer+Athletic+Tape+Roll&amp;qid=1695171057&amp;sr=8-6", "https://www.amazon.com/Cramer-Underwrap-Athletic-Headband-Pre-Wrap/dp/B005927K1Q/ref=sr_1_6?keywords=Cramer+Athletic+Tape+Roll&amp;qid=1695171057&amp;sr=8-6")</f>
        <v/>
      </c>
      <c r="F2328" t="inlineStr">
        <is>
          <t>B005927K1Q</t>
        </is>
      </c>
      <c r="G2328">
        <f>_xludf.IMAGE("https://www.soccerplususa.com/prodimages/2575-DEFAULT-l.jpg")</f>
        <v/>
      </c>
      <c r="H2328">
        <f>_xludf.IMAGE("https://m.media-amazon.com/images/I/61vugD2RxFL._AC_UL320_.jpg")</f>
        <v/>
      </c>
      <c r="K2328" t="inlineStr">
        <is>
          <t>4.95</t>
        </is>
      </c>
      <c r="L2328" t="n">
        <v>7.7</v>
      </c>
      <c r="M2328" s="1" t="inlineStr">
        <is>
          <t>55.56%</t>
        </is>
      </c>
      <c r="N2328" s="3" t="n">
        <v>55.56</v>
      </c>
      <c r="O2328" t="n">
        <v>4.7</v>
      </c>
      <c r="P2328" t="n">
        <v>2108</v>
      </c>
      <c r="R2328" t="inlineStr">
        <is>
          <t>InStock</t>
        </is>
      </c>
      <c r="S2328" t="inlineStr">
        <is>
          <t>undefined</t>
        </is>
      </c>
      <c r="T2328" t="inlineStr">
        <is>
          <t>762700</t>
        </is>
      </c>
    </row>
    <row r="2329" hidden="1" ht="15.75" customHeight="1">
      <c r="A2329" s="2">
        <f>HYPERLINK("https://www.soccerplususa.com/cramer/cramer-prewrap-12514", "https://www.soccerplususa.com/cramer/cramer-prewrap-12514")</f>
        <v/>
      </c>
      <c r="B2329" t="inlineStr">
        <is>
          <t>undefined</t>
        </is>
      </c>
      <c r="C2329" t="inlineStr">
        <is>
          <t>Cramer Pre-Wrap</t>
        </is>
      </c>
      <c r="D2329" t="inlineStr">
        <is>
          <t>Cramer Tape Underwrap, Sports PreWrap for Athletic Ankle, Wrist, and Injury Taping Jobs, Hair Tie, Headband, Patella Support, Pre-Wrap Athletic Tape Supplies.</t>
        </is>
      </c>
      <c r="E2329" s="2">
        <f>HYPERLINK("https://www.amazon.com/Cramer-Underwrap-Athletic-Headband-Pre-Wrap/dp/B005927K1Q/ref=sr_1_2?keywords=Cramer+Pre-Wrap&amp;qid=1695171057&amp;sr=8-2", "https://www.amazon.com/Cramer-Underwrap-Athletic-Headband-Pre-Wrap/dp/B005927K1Q/ref=sr_1_2?keywords=Cramer+Pre-Wrap&amp;qid=1695171057&amp;sr=8-2")</f>
        <v/>
      </c>
      <c r="F2329" t="inlineStr">
        <is>
          <t>B005927K1Q</t>
        </is>
      </c>
      <c r="G2329">
        <f>_xludf.IMAGE("https://www.soccerplususa.com/prodimages/2554-DEFAULT-l.jpg")</f>
        <v/>
      </c>
      <c r="H2329">
        <f>_xludf.IMAGE("https://m.media-amazon.com/images/I/61vugD2RxFL._AC_UL320_.jpg")</f>
        <v/>
      </c>
      <c r="K2329" t="inlineStr">
        <is>
          <t>4.95</t>
        </is>
      </c>
      <c r="L2329" t="n">
        <v>7.7</v>
      </c>
      <c r="M2329" s="1" t="inlineStr">
        <is>
          <t>55.56%</t>
        </is>
      </c>
      <c r="N2329" s="3" t="n">
        <v>55.56</v>
      </c>
      <c r="O2329" t="n">
        <v>4.7</v>
      </c>
      <c r="P2329" t="n">
        <v>2108</v>
      </c>
      <c r="R2329" t="inlineStr">
        <is>
          <t>InStock</t>
        </is>
      </c>
      <c r="S2329" t="inlineStr">
        <is>
          <t>undefined</t>
        </is>
      </c>
      <c r="T2329" t="inlineStr">
        <is>
          <t>762191</t>
        </is>
      </c>
    </row>
    <row r="2330" hidden="1" ht="15.75" customHeight="1">
      <c r="A2330" s="2">
        <f>HYPERLINK("https://www.soccerplususa.com/cramer/cramer-prewrap-12517", "https://www.soccerplususa.com/cramer/cramer-prewrap-12517")</f>
        <v/>
      </c>
      <c r="B2330" t="inlineStr">
        <is>
          <t>undefined</t>
        </is>
      </c>
      <c r="C2330" t="inlineStr">
        <is>
          <t>Cramer Pre-Wrap</t>
        </is>
      </c>
      <c r="D2330" t="inlineStr">
        <is>
          <t>Cramer Tape Underwrap, Sports PreWrap for Athletic Ankle, Wrist, and Injury Taping Jobs, Hair Tie, Headband, Patella Support, Pre-Wrap Athletic Tape Supplies.</t>
        </is>
      </c>
      <c r="E2330" s="2">
        <f>HYPERLINK("https://www.amazon.com/Cramer-Underwrap-Athletic-Headband-Pre-Wrap/dp/B005927K1Q/ref=sr_1_3?keywords=Cramer+Pre-Wrap&amp;qid=1695171056&amp;sr=8-3", "https://www.amazon.com/Cramer-Underwrap-Athletic-Headband-Pre-Wrap/dp/B005927K1Q/ref=sr_1_3?keywords=Cramer+Pre-Wrap&amp;qid=1695171056&amp;sr=8-3")</f>
        <v/>
      </c>
      <c r="F2330" t="inlineStr">
        <is>
          <t>B005927K1Q</t>
        </is>
      </c>
      <c r="G2330">
        <f>_xludf.IMAGE("https://www.soccerplususa.com/prodimages/2557-DEFAULT-l.jpg")</f>
        <v/>
      </c>
      <c r="H2330">
        <f>_xludf.IMAGE("https://m.media-amazon.com/images/I/61vugD2RxFL._AC_UL320_.jpg")</f>
        <v/>
      </c>
      <c r="K2330" t="inlineStr">
        <is>
          <t>4.95</t>
        </is>
      </c>
      <c r="L2330" t="n">
        <v>7.7</v>
      </c>
      <c r="M2330" s="1" t="inlineStr">
        <is>
          <t>55.56%</t>
        </is>
      </c>
      <c r="N2330" s="3" t="n">
        <v>55.56</v>
      </c>
      <c r="O2330" t="n">
        <v>4.7</v>
      </c>
      <c r="P2330" t="n">
        <v>2108</v>
      </c>
      <c r="R2330" t="inlineStr">
        <is>
          <t>InStock</t>
        </is>
      </c>
      <c r="S2330" t="inlineStr">
        <is>
          <t>undefined</t>
        </is>
      </c>
      <c r="T2330" t="inlineStr">
        <is>
          <t>762194</t>
        </is>
      </c>
    </row>
    <row r="2331" hidden="1" ht="15.75" customHeight="1">
      <c r="A2331" s="2">
        <f>HYPERLINK("https://www.soccerplususa.com/cramer/cramer-prewrap-12515", "https://www.soccerplususa.com/cramer/cramer-prewrap-12515")</f>
        <v/>
      </c>
      <c r="B2331" t="inlineStr">
        <is>
          <t>undefined</t>
        </is>
      </c>
      <c r="C2331" t="inlineStr">
        <is>
          <t>Cramer Pre-Wrap</t>
        </is>
      </c>
      <c r="D2331" t="inlineStr">
        <is>
          <t>Cramer Tape Underwrap, Sports PreWrap for Athletic Ankle, Wrist, and Injury Taping Jobs, Hair Tie, Headband, Patella Support, Pre-Wrap Athletic Tape Supplies.</t>
        </is>
      </c>
      <c r="E2331" s="2">
        <f>HYPERLINK("https://www.amazon.com/Cramer-Underwrap-Athletic-Headband-Pre-Wrap/dp/B005927K1Q/ref=sr_1_3?keywords=Cramer+Pre-Wrap&amp;qid=1695171061&amp;sr=8-3", "https://www.amazon.com/Cramer-Underwrap-Athletic-Headband-Pre-Wrap/dp/B005927K1Q/ref=sr_1_3?keywords=Cramer+Pre-Wrap&amp;qid=1695171061&amp;sr=8-3")</f>
        <v/>
      </c>
      <c r="F2331" t="inlineStr">
        <is>
          <t>B005927K1Q</t>
        </is>
      </c>
      <c r="G2331">
        <f>_xludf.IMAGE("https://www.soccerplususa.com/prodimages/2555-DEFAULT-l.jpg")</f>
        <v/>
      </c>
      <c r="H2331">
        <f>_xludf.IMAGE("https://m.media-amazon.com/images/I/61vugD2RxFL._AC_UL320_.jpg")</f>
        <v/>
      </c>
      <c r="K2331" t="inlineStr">
        <is>
          <t>4.95</t>
        </is>
      </c>
      <c r="L2331" t="n">
        <v>7.7</v>
      </c>
      <c r="M2331" s="1" t="inlineStr">
        <is>
          <t>55.56%</t>
        </is>
      </c>
      <c r="N2331" s="3" t="n">
        <v>55.56</v>
      </c>
      <c r="O2331" t="n">
        <v>4.7</v>
      </c>
      <c r="P2331" t="n">
        <v>2108</v>
      </c>
      <c r="R2331" t="inlineStr">
        <is>
          <t>InStock</t>
        </is>
      </c>
      <c r="S2331" t="inlineStr">
        <is>
          <t>undefined</t>
        </is>
      </c>
      <c r="T2331" t="inlineStr">
        <is>
          <t>762192</t>
        </is>
      </c>
    </row>
    <row r="2332" hidden="1" ht="15.75" customHeight="1">
      <c r="A2332" s="2">
        <f>HYPERLINK("https://www.soccerplususa.com/cramer/cramer-athletic-tape-roll-12538", "https://www.soccerplususa.com/cramer/cramer-athletic-tape-roll-12538")</f>
        <v/>
      </c>
      <c r="B2332" t="inlineStr">
        <is>
          <t>undefined</t>
        </is>
      </c>
      <c r="C2332" t="inlineStr">
        <is>
          <t>Cramer Athletic Tape Roll</t>
        </is>
      </c>
      <c r="D2332" t="inlineStr">
        <is>
          <t>Cramer Tape Underwrap, Sports PreWrap for Athletic Ankle, Wrist, and Injury Taping Jobs, Hair Tie, Headband, Patella Support, Pre-Wrap Athletic Tape Supplies.</t>
        </is>
      </c>
      <c r="E2332" s="2">
        <f>HYPERLINK("https://www.amazon.com/Cramer-Underwrap-Athletic-Headband-Pre-Wrap/dp/B005927K1Q/ref=sr_1_6?keywords=Cramer+Athletic+Tape+Roll&amp;qid=1695171060&amp;sr=8-6", "https://www.amazon.com/Cramer-Underwrap-Athletic-Headband-Pre-Wrap/dp/B005927K1Q/ref=sr_1_6?keywords=Cramer+Athletic+Tape+Roll&amp;qid=1695171060&amp;sr=8-6")</f>
        <v/>
      </c>
      <c r="F2332" t="inlineStr">
        <is>
          <t>B005927K1Q</t>
        </is>
      </c>
      <c r="G2332">
        <f>_xludf.IMAGE("https://www.soccerplususa.com/prodimages/2581-DEFAULT-l.jpg")</f>
        <v/>
      </c>
      <c r="H2332">
        <f>_xludf.IMAGE("https://m.media-amazon.com/images/I/61vugD2RxFL._AC_UL320_.jpg")</f>
        <v/>
      </c>
      <c r="K2332" t="inlineStr">
        <is>
          <t>4.95</t>
        </is>
      </c>
      <c r="L2332" t="n">
        <v>7.7</v>
      </c>
      <c r="M2332" s="1" t="inlineStr">
        <is>
          <t>55.56%</t>
        </is>
      </c>
      <c r="N2332" s="3" t="n">
        <v>55.56</v>
      </c>
      <c r="O2332" t="n">
        <v>4.7</v>
      </c>
      <c r="P2332" t="n">
        <v>2108</v>
      </c>
      <c r="R2332" t="inlineStr">
        <is>
          <t>InStock</t>
        </is>
      </c>
      <c r="S2332" t="inlineStr">
        <is>
          <t>undefined</t>
        </is>
      </c>
      <c r="T2332" t="inlineStr">
        <is>
          <t>762707</t>
        </is>
      </c>
    </row>
    <row r="2333" hidden="1" ht="15.75" customHeight="1">
      <c r="A2333" s="2">
        <f>HYPERLINK("https://www.soccerplususa.com/cramer/cramer-athletic-tape-roll-12533", "https://www.soccerplususa.com/cramer/cramer-athletic-tape-roll-12533")</f>
        <v/>
      </c>
      <c r="B2333" t="inlineStr">
        <is>
          <t>undefined</t>
        </is>
      </c>
      <c r="C2333" t="inlineStr">
        <is>
          <t>Cramer Athletic Tape Roll</t>
        </is>
      </c>
      <c r="D2333" t="inlineStr">
        <is>
          <t>Cramer Tape Underwrap, Sports PreWrap for Athletic Ankle, Wrist, and Injury Taping Jobs, Hair Tie, Headband, Patella Support, Pre-Wrap Athletic Tape Supplies.</t>
        </is>
      </c>
      <c r="E2333" s="2">
        <f>HYPERLINK("https://www.amazon.com/Cramer-Underwrap-Athletic-Headband-Pre-Wrap/dp/B005927K1Q/ref=sr_1_6?keywords=Cramer+Athletic+Tape+Roll&amp;qid=1695171060&amp;sr=8-6", "https://www.amazon.com/Cramer-Underwrap-Athletic-Headband-Pre-Wrap/dp/B005927K1Q/ref=sr_1_6?keywords=Cramer+Athletic+Tape+Roll&amp;qid=1695171060&amp;sr=8-6")</f>
        <v/>
      </c>
      <c r="F2333" t="inlineStr">
        <is>
          <t>B005927K1Q</t>
        </is>
      </c>
      <c r="G2333">
        <f>_xludf.IMAGE("https://www.soccerplususa.com/prodimages/2576-DEFAULT-l.jpg")</f>
        <v/>
      </c>
      <c r="H2333">
        <f>_xludf.IMAGE("https://m.media-amazon.com/images/I/61vugD2RxFL._AC_UL320_.jpg")</f>
        <v/>
      </c>
      <c r="K2333" t="inlineStr">
        <is>
          <t>4.95</t>
        </is>
      </c>
      <c r="L2333" t="n">
        <v>7.7</v>
      </c>
      <c r="M2333" s="1" t="inlineStr">
        <is>
          <t>55.56%</t>
        </is>
      </c>
      <c r="N2333" s="3" t="n">
        <v>55.56</v>
      </c>
      <c r="O2333" t="n">
        <v>4.7</v>
      </c>
      <c r="P2333" t="n">
        <v>2108</v>
      </c>
      <c r="R2333" t="inlineStr">
        <is>
          <t>InStock</t>
        </is>
      </c>
      <c r="S2333" t="inlineStr">
        <is>
          <t>undefined</t>
        </is>
      </c>
      <c r="T2333" t="inlineStr">
        <is>
          <t>762701</t>
        </is>
      </c>
    </row>
    <row r="2334" hidden="1" ht="15.75" customHeight="1">
      <c r="A2334" s="2">
        <f>HYPERLINK("https://www.soccerplususa.com/cramer/cramer-athletic-tape-roll-12539", "https://www.soccerplususa.com/cramer/cramer-athletic-tape-roll-12539")</f>
        <v/>
      </c>
      <c r="B2334" t="inlineStr">
        <is>
          <t>undefined</t>
        </is>
      </c>
      <c r="C2334" t="inlineStr">
        <is>
          <t>Cramer Athletic Tape Roll</t>
        </is>
      </c>
      <c r="D2334" t="inlineStr">
        <is>
          <t>Cramer Tape Underwrap, Sports PreWrap for Athletic Ankle, Wrist, and Injury Taping Jobs, Hair Tie, Headband, Patella Support, Pre-Wrap Athletic Tape Supplies.</t>
        </is>
      </c>
      <c r="E2334" s="2">
        <f>HYPERLINK("https://www.amazon.com/Cramer-Underwrap-Athletic-Headband-Pre-Wrap/dp/B005927K1Q/ref=sr_1_6?keywords=Cramer+Athletic+Tape+Roll&amp;qid=1695171061&amp;sr=8-6", "https://www.amazon.com/Cramer-Underwrap-Athletic-Headband-Pre-Wrap/dp/B005927K1Q/ref=sr_1_6?keywords=Cramer+Athletic+Tape+Roll&amp;qid=1695171061&amp;sr=8-6")</f>
        <v/>
      </c>
      <c r="F2334" t="inlineStr">
        <is>
          <t>B005927K1Q</t>
        </is>
      </c>
      <c r="G2334">
        <f>_xludf.IMAGE("https://www.soccerplususa.com/prodimages/2582-DEFAULT-l.jpg")</f>
        <v/>
      </c>
      <c r="H2334">
        <f>_xludf.IMAGE("https://m.media-amazon.com/images/I/61vugD2RxFL._AC_UL320_.jpg")</f>
        <v/>
      </c>
      <c r="K2334" t="inlineStr">
        <is>
          <t>4.95</t>
        </is>
      </c>
      <c r="L2334" t="n">
        <v>7.7</v>
      </c>
      <c r="M2334" s="1" t="inlineStr">
        <is>
          <t>55.56%</t>
        </is>
      </c>
      <c r="N2334" s="3" t="n">
        <v>55.56</v>
      </c>
      <c r="O2334" t="n">
        <v>4.7</v>
      </c>
      <c r="P2334" t="n">
        <v>2108</v>
      </c>
      <c r="R2334" t="inlineStr">
        <is>
          <t>InStock</t>
        </is>
      </c>
      <c r="S2334" t="inlineStr">
        <is>
          <t>undefined</t>
        </is>
      </c>
      <c r="T2334" t="inlineStr">
        <is>
          <t>762708</t>
        </is>
      </c>
    </row>
    <row r="2335" hidden="1" ht="15.75" customHeight="1">
      <c r="A2335" s="2">
        <f>HYPERLINK("https://www.soccerplususa.com/cramer/cramer-prewrap-12513", "https://www.soccerplususa.com/cramer/cramer-prewrap-12513")</f>
        <v/>
      </c>
      <c r="B2335" t="inlineStr">
        <is>
          <t>undefined</t>
        </is>
      </c>
      <c r="C2335" t="inlineStr">
        <is>
          <t>Cramer Pre-Wrap</t>
        </is>
      </c>
      <c r="D2335" t="inlineStr">
        <is>
          <t>Cramer Tape Underwrap, Sports PreWrap for Athletic Ankle, Wrist, and Injury Taping Jobs, Hair Tie, Headband, Patella Support, Pre-Wrap Athletic Tape Supplies.</t>
        </is>
      </c>
      <c r="E2335" s="2">
        <f>HYPERLINK("https://www.amazon.com/Cramer-Underwrap-Athletic-Headband-Pre-Wrap/dp/B005927K1Q/ref=sr_1_2?keywords=Cramer+Pre-Wrap&amp;qid=1695171063&amp;sr=8-2", "https://www.amazon.com/Cramer-Underwrap-Athletic-Headband-Pre-Wrap/dp/B005927K1Q/ref=sr_1_2?keywords=Cramer+Pre-Wrap&amp;qid=1695171063&amp;sr=8-2")</f>
        <v/>
      </c>
      <c r="F2335" t="inlineStr">
        <is>
          <t>B005927K1Q</t>
        </is>
      </c>
      <c r="G2335">
        <f>_xludf.IMAGE("https://www.soccerplususa.com/prodimages/2553-DEFAULT-l.jpg")</f>
        <v/>
      </c>
      <c r="H2335">
        <f>_xludf.IMAGE("https://m.media-amazon.com/images/I/61vugD2RxFL._AC_UL320_.jpg")</f>
        <v/>
      </c>
      <c r="K2335" t="inlineStr">
        <is>
          <t>4.95</t>
        </is>
      </c>
      <c r="L2335" t="n">
        <v>7.7</v>
      </c>
      <c r="M2335" s="1" t="inlineStr">
        <is>
          <t>55.56%</t>
        </is>
      </c>
      <c r="N2335" s="3" t="n">
        <v>55.56</v>
      </c>
      <c r="O2335" t="n">
        <v>4.7</v>
      </c>
      <c r="P2335" t="n">
        <v>2108</v>
      </c>
      <c r="R2335" t="inlineStr">
        <is>
          <t>InStock</t>
        </is>
      </c>
      <c r="S2335" t="inlineStr">
        <is>
          <t>undefined</t>
        </is>
      </c>
      <c r="T2335" t="inlineStr">
        <is>
          <t>762190</t>
        </is>
      </c>
    </row>
    <row r="2336" hidden="1" ht="15.75" customHeight="1">
      <c r="A2336" s="2">
        <f>HYPERLINK("https://www.soccerplususa.com/cramer/cramer-athletic-tape-roll-12536", "https://www.soccerplususa.com/cramer/cramer-athletic-tape-roll-12536")</f>
        <v/>
      </c>
      <c r="B2336" t="inlineStr">
        <is>
          <t>undefined</t>
        </is>
      </c>
      <c r="C2336" t="inlineStr">
        <is>
          <t>Cramer Athletic Tape Roll</t>
        </is>
      </c>
      <c r="D2336" t="inlineStr">
        <is>
          <t>Cramer Tape Underwrap, Sports PreWrap for Athletic Ankle, Wrist, and Injury Taping Jobs, Hair Tie, Headband, Patella Support, Pre-Wrap Athletic Tape Supplies.</t>
        </is>
      </c>
      <c r="E2336" s="2">
        <f>HYPERLINK("https://www.amazon.com/Cramer-Underwrap-Athletic-Headband-Pre-Wrap/dp/B005927K1Q/ref=sr_1_6?keywords=Cramer+Athletic+Tape+Roll&amp;qid=1695171054&amp;sr=8-6", "https://www.amazon.com/Cramer-Underwrap-Athletic-Headband-Pre-Wrap/dp/B005927K1Q/ref=sr_1_6?keywords=Cramer+Athletic+Tape+Roll&amp;qid=1695171054&amp;sr=8-6")</f>
        <v/>
      </c>
      <c r="F2336" t="inlineStr">
        <is>
          <t>B005927K1Q</t>
        </is>
      </c>
      <c r="G2336">
        <f>_xludf.IMAGE("https://www.soccerplususa.com/prodimages/2579-DEFAULT-l.jpg")</f>
        <v/>
      </c>
      <c r="H2336">
        <f>_xludf.IMAGE("https://m.media-amazon.com/images/I/61vugD2RxFL._AC_UL320_.jpg")</f>
        <v/>
      </c>
      <c r="K2336" t="inlineStr">
        <is>
          <t>4.95</t>
        </is>
      </c>
      <c r="L2336" t="n">
        <v>7.7</v>
      </c>
      <c r="M2336" s="1" t="inlineStr">
        <is>
          <t>55.56%</t>
        </is>
      </c>
      <c r="N2336" s="3" t="n">
        <v>55.56</v>
      </c>
      <c r="O2336" t="n">
        <v>4.7</v>
      </c>
      <c r="P2336" t="n">
        <v>2108</v>
      </c>
      <c r="R2336" t="inlineStr">
        <is>
          <t>InStock</t>
        </is>
      </c>
      <c r="S2336" t="inlineStr">
        <is>
          <t>undefined</t>
        </is>
      </c>
      <c r="T2336" t="inlineStr">
        <is>
          <t>762704</t>
        </is>
      </c>
    </row>
    <row r="2337" hidden="1" ht="15.75" customHeight="1">
      <c r="A2337" s="2">
        <f>HYPERLINK("https://www.soccerplususa.com/cramer/cramer-prewrap-12511", "https://www.soccerplususa.com/cramer/cramer-prewrap-12511")</f>
        <v/>
      </c>
      <c r="B2337" t="inlineStr">
        <is>
          <t>undefined</t>
        </is>
      </c>
      <c r="C2337" t="inlineStr">
        <is>
          <t>Cramer Pre-Wrap</t>
        </is>
      </c>
      <c r="D2337" t="inlineStr">
        <is>
          <t>Cramer Tape Underwrap, Sports PreWrap for Athletic Ankle, Wrist, and Injury Taping Jobs, Hair Tie, Headband, Patella Support, Pre-Wrap Athletic Tape Supplies.</t>
        </is>
      </c>
      <c r="E2337" s="2">
        <f>HYPERLINK("https://www.amazon.com/Cramer-Underwrap-Athletic-Headband-Pre-Wrap/dp/B005927K1Q/ref=sr_1_3?keywords=Cramer+Pre-Wrap&amp;qid=1695171067&amp;sr=8-3", "https://www.amazon.com/Cramer-Underwrap-Athletic-Headband-Pre-Wrap/dp/B005927K1Q/ref=sr_1_3?keywords=Cramer+Pre-Wrap&amp;qid=1695171067&amp;sr=8-3")</f>
        <v/>
      </c>
      <c r="F2337" t="inlineStr">
        <is>
          <t>B005927K1Q</t>
        </is>
      </c>
      <c r="G2337">
        <f>_xludf.IMAGE("https://www.soccerplususa.com/prodimages/2529-DEFAULT-l.jpg")</f>
        <v/>
      </c>
      <c r="H2337">
        <f>_xludf.IMAGE("https://m.media-amazon.com/images/I/61vugD2RxFL._AC_UL320_.jpg")</f>
        <v/>
      </c>
      <c r="K2337" t="inlineStr">
        <is>
          <t>4.95</t>
        </is>
      </c>
      <c r="L2337" t="n">
        <v>7.7</v>
      </c>
      <c r="M2337" s="1" t="inlineStr">
        <is>
          <t>55.56%</t>
        </is>
      </c>
      <c r="N2337" s="3" t="n">
        <v>55.56</v>
      </c>
      <c r="O2337" t="n">
        <v>4.7</v>
      </c>
      <c r="P2337" t="n">
        <v>2108</v>
      </c>
      <c r="R2337" t="inlineStr">
        <is>
          <t>InStock</t>
        </is>
      </c>
      <c r="S2337" t="inlineStr">
        <is>
          <t>undefined</t>
        </is>
      </c>
      <c r="T2337" t="inlineStr">
        <is>
          <t>762187</t>
        </is>
      </c>
    </row>
    <row r="2338" hidden="1" ht="15.75" customHeight="1">
      <c r="A2338" s="2">
        <f>HYPERLINK("https://www.soccerplususa.com/cramer/cramer-athletic-tape-roll-12535", "https://www.soccerplususa.com/cramer/cramer-athletic-tape-roll-12535")</f>
        <v/>
      </c>
      <c r="B2338" t="inlineStr">
        <is>
          <t>undefined</t>
        </is>
      </c>
      <c r="C2338" t="inlineStr">
        <is>
          <t>Cramer Athletic Tape Roll</t>
        </is>
      </c>
      <c r="D2338" t="inlineStr">
        <is>
          <t>Cramer Tape Underwrap, Sports PreWrap for Athletic Ankle, Wrist, and Injury Taping Jobs, Hair Tie, Headband, Patella Support, Pre-Wrap Athletic Tape Supplies.</t>
        </is>
      </c>
      <c r="E2338" s="2">
        <f>HYPERLINK("https://www.amazon.com/Cramer-Underwrap-Athletic-Headband-Pre-Wrap/dp/B005927K1Q/ref=sr_1_6?keywords=Cramer+Athletic+Tape+Roll&amp;qid=1695171054&amp;sr=8-6", "https://www.amazon.com/Cramer-Underwrap-Athletic-Headband-Pre-Wrap/dp/B005927K1Q/ref=sr_1_6?keywords=Cramer+Athletic+Tape+Roll&amp;qid=1695171054&amp;sr=8-6")</f>
        <v/>
      </c>
      <c r="F2338" t="inlineStr">
        <is>
          <t>B005927K1Q</t>
        </is>
      </c>
      <c r="G2338">
        <f>_xludf.IMAGE("https://www.soccerplususa.com/prodimages/2578-DEFAULT-l.jpg")</f>
        <v/>
      </c>
      <c r="H2338">
        <f>_xludf.IMAGE("https://m.media-amazon.com/images/I/61vugD2RxFL._AC_UL320_.jpg")</f>
        <v/>
      </c>
      <c r="K2338" t="inlineStr">
        <is>
          <t>4.95</t>
        </is>
      </c>
      <c r="L2338" t="n">
        <v>7.7</v>
      </c>
      <c r="M2338" s="1" t="inlineStr">
        <is>
          <t>55.56%</t>
        </is>
      </c>
      <c r="N2338" s="3" t="n">
        <v>55.56</v>
      </c>
      <c r="O2338" t="n">
        <v>4.7</v>
      </c>
      <c r="P2338" t="n">
        <v>2108</v>
      </c>
      <c r="R2338" t="inlineStr">
        <is>
          <t>InStock</t>
        </is>
      </c>
      <c r="S2338" t="inlineStr">
        <is>
          <t>undefined</t>
        </is>
      </c>
      <c r="T2338" t="inlineStr">
        <is>
          <t>762703</t>
        </is>
      </c>
    </row>
    <row r="2339" hidden="1" ht="15.75" customHeight="1">
      <c r="A2339" s="2">
        <f>HYPERLINK("https://www.soccerplususa.com/kwik-goal/kwik-goal-deluxe-scrimmage-vest-youth-13841", "https://www.soccerplususa.com/kwik-goal/kwik-goal-deluxe-scrimmage-vest-youth-13841")</f>
        <v/>
      </c>
      <c r="B2339" t="inlineStr">
        <is>
          <t>undefined</t>
        </is>
      </c>
      <c r="C2339" t="inlineStr">
        <is>
          <t>Kwik Goal Deluxe Scrimmage Vest Youth</t>
        </is>
      </c>
      <c r="D2339" t="inlineStr">
        <is>
          <t>Kwik Goal Adult Deluxe Scrimmage vest</t>
        </is>
      </c>
      <c r="E2339" s="2">
        <f>HYPERLINK("https://www.amazon.com/Kwik-Goal-Deluxe-Scrimmage-XX-Small/dp/B0015QDIAC/ref=sr_1_4?keywords=Kwik+Goal+Deluxe+Scrimmage+Vest+Youth&amp;qid=1695171053&amp;sr=8-4", "https://www.amazon.com/Kwik-Goal-Deluxe-Scrimmage-XX-Small/dp/B0015QDIAC/ref=sr_1_4?keywords=Kwik+Goal+Deluxe+Scrimmage+Vest+Youth&amp;qid=1695171053&amp;sr=8-4")</f>
        <v/>
      </c>
      <c r="F2339" t="inlineStr">
        <is>
          <t>B0015QDIAC</t>
        </is>
      </c>
      <c r="G2339">
        <f>_xludf.IMAGE("https://www.soccerplususa.com/prodimages/30893-DEFAULT-l.jpg")</f>
        <v/>
      </c>
      <c r="H2339">
        <f>_xludf.IMAGE("https://m.media-amazon.com/images/I/81n6SgzMmLL._AC_UL320_.jpg")</f>
        <v/>
      </c>
      <c r="K2339" t="inlineStr">
        <is>
          <t>6.0</t>
        </is>
      </c>
      <c r="L2339" t="n">
        <v>9.109999999999999</v>
      </c>
      <c r="M2339" s="1" t="inlineStr">
        <is>
          <t>51.83%</t>
        </is>
      </c>
      <c r="N2339" s="3" t="n">
        <v>51.83</v>
      </c>
      <c r="O2339" t="n">
        <v>4.6</v>
      </c>
      <c r="P2339" t="n">
        <v>135</v>
      </c>
      <c r="R2339" t="inlineStr">
        <is>
          <t>InStock</t>
        </is>
      </c>
      <c r="S2339" t="inlineStr">
        <is>
          <t>undefined</t>
        </is>
      </c>
      <c r="T2339" t="inlineStr">
        <is>
          <t>19A122</t>
        </is>
      </c>
    </row>
    <row r="2340" hidden="1" ht="15.75" customHeight="1">
      <c r="A2340" s="2">
        <f>HYPERLINK("https://www.soccerplususa.com/kwik-goal/soccer-clipboard-13825", "https://www.soccerplususa.com/kwik-goal/soccer-clipboard-13825")</f>
        <v/>
      </c>
      <c r="B2340" t="inlineStr">
        <is>
          <t>undefined</t>
        </is>
      </c>
      <c r="C2340" t="inlineStr">
        <is>
          <t>Soccer Clipboard</t>
        </is>
      </c>
      <c r="D2340" t="inlineStr">
        <is>
          <t>Murray Sporting Goods Premium Coaches Clipboard | Double-Sided Dry Erase Marker Board for Basketball, Baseball, Soccer, Football, Hockey (Marker Included)</t>
        </is>
      </c>
      <c r="E2340" s="2">
        <f>HYPERLINK("https://www.amazon.com/Murray-Sporting-Goods-Premium-Clipboard/dp/B0924T84JX/ref=sr_1_9?keywords=Soccer+Clipboard&amp;qid=1695171051&amp;sr=8-9", "https://www.amazon.com/Murray-Sporting-Goods-Premium-Clipboard/dp/B0924T84JX/ref=sr_1_9?keywords=Soccer+Clipboard&amp;qid=1695171051&amp;sr=8-9")</f>
        <v/>
      </c>
      <c r="F2340" t="inlineStr">
        <is>
          <t>B0924T84JX</t>
        </is>
      </c>
      <c r="G2340">
        <f>_xludf.IMAGE("https://www.soccerplususa.com/prodimages/750-DEFAULT-l.jpg")</f>
        <v/>
      </c>
      <c r="H2340">
        <f>_xludf.IMAGE("https://m.media-amazon.com/images/I/716Vr9ElhEL._AC_UL320_.jpg")</f>
        <v/>
      </c>
      <c r="K2340" t="inlineStr">
        <is>
          <t>14.5</t>
        </is>
      </c>
      <c r="L2340" t="n">
        <v>21.99</v>
      </c>
      <c r="M2340" s="1" t="inlineStr">
        <is>
          <t>51.66%</t>
        </is>
      </c>
      <c r="N2340" s="3" t="n">
        <v>51.66</v>
      </c>
      <c r="O2340" t="n">
        <v>4.7</v>
      </c>
      <c r="P2340" t="n">
        <v>859</v>
      </c>
      <c r="R2340" t="inlineStr">
        <is>
          <t>InStock</t>
        </is>
      </c>
      <c r="S2340" t="inlineStr">
        <is>
          <t>undefined</t>
        </is>
      </c>
      <c r="T2340" t="inlineStr">
        <is>
          <t>18B301</t>
        </is>
      </c>
    </row>
    <row r="2341" hidden="1" ht="15.75" customHeight="1">
      <c r="A2341" s="2">
        <f>HYPERLINK("https://www.soccerplususa.com/kwik-goal/coaching-notebook-13931", "https://www.soccerplususa.com/kwik-goal/coaching-notebook-13931")</f>
        <v/>
      </c>
      <c r="B2341" t="inlineStr">
        <is>
          <t>undefined</t>
        </is>
      </c>
      <c r="C2341" t="inlineStr">
        <is>
          <t>Coaching Notebook</t>
        </is>
      </c>
      <c r="D2341" t="inlineStr">
        <is>
          <t>Soccer Coaching Practice Notepad by MVMT sports. | 50p Planner Notebook Journal for Football Soccer Coaches | Plan and Review Quickly and Easily.</t>
        </is>
      </c>
      <c r="E2341" s="2">
        <f>HYPERLINK("https://www.amazon.com/Coaching-Practice-MVMT-Notebook-Football/dp/B08FKQFSYQ/ref=sr_1_9?keywords=Coaching+Notebook&amp;qid=1695171055&amp;sr=8-9", "https://www.amazon.com/Coaching-Practice-MVMT-Notebook-Football/dp/B08FKQFSYQ/ref=sr_1_9?keywords=Coaching+Notebook&amp;qid=1695171055&amp;sr=8-9")</f>
        <v/>
      </c>
      <c r="F2341" t="inlineStr">
        <is>
          <t>B08FKQFSYQ</t>
        </is>
      </c>
      <c r="G2341">
        <f>_xludf.IMAGE("https://www.soccerplususa.com/prodimages/725-DEFAULT-l.jpg")</f>
        <v/>
      </c>
      <c r="H2341">
        <f>_xludf.IMAGE("https://m.media-amazon.com/images/I/51BUC9q0xAL._AC_UL320_.jpg")</f>
        <v/>
      </c>
      <c r="K2341" t="inlineStr">
        <is>
          <t>16.5</t>
        </is>
      </c>
      <c r="L2341" t="n">
        <v>24.95</v>
      </c>
      <c r="M2341" s="1" t="inlineStr">
        <is>
          <t>51.21%</t>
        </is>
      </c>
      <c r="N2341" s="3" t="n">
        <v>51.21</v>
      </c>
      <c r="O2341" t="n">
        <v>3.8</v>
      </c>
      <c r="P2341" t="n">
        <v>50</v>
      </c>
      <c r="R2341" t="inlineStr">
        <is>
          <t>InStock</t>
        </is>
      </c>
      <c r="S2341" t="inlineStr">
        <is>
          <t>undefined</t>
        </is>
      </c>
      <c r="T2341" t="inlineStr">
        <is>
          <t>20B401</t>
        </is>
      </c>
    </row>
    <row r="2342" hidden="1" ht="15.75" customHeight="1">
      <c r="A2342" s="2">
        <f>HYPERLINK("https://www.soccerplususa.com/nike/nike-hyperfuel-24oz-bottle-37495", "https://www.soccerplususa.com/nike/nike-hyperfuel-24oz-bottle-37495")</f>
        <v/>
      </c>
      <c r="B2342" t="inlineStr">
        <is>
          <t>undefined</t>
        </is>
      </c>
      <c r="C2342" t="inlineStr">
        <is>
          <t>Nike Hyperfuel 24oz. Bottle</t>
        </is>
      </c>
      <c r="D2342" t="inlineStr">
        <is>
          <t>Nike Unisex Adult Hyperfuel Water Bottle</t>
        </is>
      </c>
      <c r="E2342" s="2">
        <f>HYPERLINK("https://www.amazon.com/Nike-Hyperfuel-Water-Bottle-Clear/dp/B08554GX9K/ref=sr_1_9?keywords=Nike+Hyperfuel+24oz.+Bottle&amp;qid=1695171040&amp;sr=8-9", "https://www.amazon.com/Nike-Hyperfuel-Water-Bottle-Clear/dp/B08554GX9K/ref=sr_1_9?keywords=Nike+Hyperfuel+24oz.+Bottle&amp;qid=1695171040&amp;sr=8-9")</f>
        <v/>
      </c>
      <c r="F2342" t="inlineStr">
        <is>
          <t>B08554GX9K</t>
        </is>
      </c>
      <c r="G2342">
        <f>_xludf.IMAGE("https://www.soccerplususa.com/prodimages/24256-DEFAULT-l.jpg")</f>
        <v/>
      </c>
      <c r="H2342">
        <f>_xludf.IMAGE("https://m.media-amazon.com/images/I/41bsC0UUYXL._AC_UL320_.jpg")</f>
        <v/>
      </c>
      <c r="K2342" t="inlineStr">
        <is>
          <t>11.95</t>
        </is>
      </c>
      <c r="L2342" t="n">
        <v>17.99</v>
      </c>
      <c r="M2342" s="1" t="inlineStr">
        <is>
          <t>50.54%</t>
        </is>
      </c>
      <c r="N2342" s="3" t="n">
        <v>50.54</v>
      </c>
      <c r="O2342" t="n">
        <v>4.6</v>
      </c>
      <c r="P2342" t="n">
        <v>371</v>
      </c>
      <c r="R2342" t="inlineStr">
        <is>
          <t>InStock</t>
        </is>
      </c>
      <c r="S2342" t="inlineStr">
        <is>
          <t>undefined</t>
        </is>
      </c>
      <c r="T2342" t="inlineStr">
        <is>
          <t>N.000.3524</t>
        </is>
      </c>
    </row>
    <row r="2343" hidden="1" ht="15.75" customHeight="1">
      <c r="A2343" s="2">
        <f>HYPERLINK("https://www.soccerplususa.com/nike/nike-hyperfuel-24oz-bottle-37495", "https://www.soccerplususa.com/nike/nike-hyperfuel-24oz-bottle-37495")</f>
        <v/>
      </c>
      <c r="B2343" t="inlineStr">
        <is>
          <t>undefined</t>
        </is>
      </c>
      <c r="C2343" t="inlineStr">
        <is>
          <t>Nike Hyperfuel 24oz. Bottle</t>
        </is>
      </c>
      <c r="D2343" t="inlineStr">
        <is>
          <t>Nike HYPERFUEL Water Bottle 18OZ 18OZ Anthracite/Black/White</t>
        </is>
      </c>
      <c r="E2343" s="2">
        <f>HYPERLINK("https://www.amazon.com/Nike-HYPERFUEL-Water-Bottle-Anthracite/dp/B07NDHQYBZ/ref=sr_1_7?keywords=Nike+Hyperfuel+24oz.+Bottle&amp;qid=1695171040&amp;sr=8-7", "https://www.amazon.com/Nike-HYPERFUEL-Water-Bottle-Anthracite/dp/B07NDHQYBZ/ref=sr_1_7?keywords=Nike+Hyperfuel+24oz.+Bottle&amp;qid=1695171040&amp;sr=8-7")</f>
        <v/>
      </c>
      <c r="F2343" t="inlineStr">
        <is>
          <t>B07NDHQYBZ</t>
        </is>
      </c>
      <c r="G2343">
        <f>_xludf.IMAGE("https://www.soccerplususa.com/prodimages/24256-DEFAULT-l.jpg")</f>
        <v/>
      </c>
      <c r="H2343">
        <f>_xludf.IMAGE("https://m.media-amazon.com/images/I/61SIvDno0PL._AC_UL320_.jpg")</f>
        <v/>
      </c>
      <c r="K2343" t="inlineStr">
        <is>
          <t>11.95</t>
        </is>
      </c>
      <c r="L2343" t="n">
        <v>17.99</v>
      </c>
      <c r="M2343" s="1" t="inlineStr">
        <is>
          <t>50.54%</t>
        </is>
      </c>
      <c r="N2343" s="3" t="n">
        <v>50.54</v>
      </c>
      <c r="O2343" t="n">
        <v>4.3</v>
      </c>
      <c r="P2343" t="n">
        <v>621</v>
      </c>
      <c r="R2343" t="inlineStr">
        <is>
          <t>InStock</t>
        </is>
      </c>
      <c r="S2343" t="inlineStr">
        <is>
          <t>undefined</t>
        </is>
      </c>
      <c r="T2343" t="inlineStr">
        <is>
          <t>N.000.3524</t>
        </is>
      </c>
    </row>
    <row r="2344" hidden="1" ht="15.75" customHeight="1">
      <c r="A2344" s="2">
        <f>HYPERLINK("https://www.soccerplususa.com/nike/nike-hyperfuel-24oz-bottle-37495", "https://www.soccerplususa.com/nike/nike-hyperfuel-24oz-bottle-37495")</f>
        <v/>
      </c>
      <c r="B2344" t="inlineStr">
        <is>
          <t>undefined</t>
        </is>
      </c>
      <c r="C2344" t="inlineStr">
        <is>
          <t>Nike Hyperfuel 24oz. Bottle</t>
        </is>
      </c>
      <c r="D2344" t="inlineStr">
        <is>
          <t>Nike Hyperfuel Water Bottle - 24 Oz - (Pink)</t>
        </is>
      </c>
      <c r="E2344" s="2">
        <f>HYPERLINK("https://www.amazon.com/NIKE-Hyperfuel-Water-Bottle-Pink/dp/B01C0K0V88/ref=sr_1_4?keywords=Nike+Hyperfuel+24oz.+Bottle&amp;qid=1695171040&amp;sr=8-4", "https://www.amazon.com/NIKE-Hyperfuel-Water-Bottle-Pink/dp/B01C0K0V88/ref=sr_1_4?keywords=Nike+Hyperfuel+24oz.+Bottle&amp;qid=1695171040&amp;sr=8-4")</f>
        <v/>
      </c>
      <c r="F2344" t="inlineStr">
        <is>
          <t>B01C0K0V88</t>
        </is>
      </c>
      <c r="G2344">
        <f>_xludf.IMAGE("https://www.soccerplususa.com/prodimages/24256-DEFAULT-l.jpg")</f>
        <v/>
      </c>
      <c r="H2344">
        <f>_xludf.IMAGE("https://m.media-amazon.com/images/I/71FD4aUrj+L._AC_UL320_.jpg")</f>
        <v/>
      </c>
      <c r="K2344" t="inlineStr">
        <is>
          <t>11.95</t>
        </is>
      </c>
      <c r="L2344" t="n">
        <v>17.77</v>
      </c>
      <c r="M2344" s="1" t="inlineStr">
        <is>
          <t>48.70%</t>
        </is>
      </c>
      <c r="N2344" s="3" t="n">
        <v>48.7</v>
      </c>
      <c r="O2344" t="n">
        <v>4.7</v>
      </c>
      <c r="P2344" t="n">
        <v>388</v>
      </c>
      <c r="R2344" t="inlineStr">
        <is>
          <t>InStock</t>
        </is>
      </c>
      <c r="S2344" t="inlineStr">
        <is>
          <t>undefined</t>
        </is>
      </c>
      <c r="T2344" t="inlineStr">
        <is>
          <t>N.000.3524</t>
        </is>
      </c>
    </row>
    <row r="2345" hidden="1" ht="15.75" customHeight="1">
      <c r="A2345" s="2">
        <f>HYPERLINK("https://www.soccerplususa.com/nike/nike-hyperfuel-24oz-bottle-37495", "https://www.soccerplususa.com/nike/nike-hyperfuel-24oz-bottle-37495")</f>
        <v/>
      </c>
      <c r="B2345" t="inlineStr">
        <is>
          <t>undefined</t>
        </is>
      </c>
      <c r="C2345" t="inlineStr">
        <is>
          <t>Nike Hyperfuel 24oz. Bottle</t>
        </is>
      </c>
      <c r="D2345" t="inlineStr">
        <is>
          <t>Nike Hyperfuel Water Bottle, 24 OZ</t>
        </is>
      </c>
      <c r="E2345" s="2">
        <f>HYPERLINK("https://www.amazon.com/Nike-NK407-Hyperfuel-Bottle-2016-24/dp/B01DDY2IJK/ref=sr_1_1?keywords=Nike+Hyperfuel+24oz.+Bottle&amp;qid=1695171040&amp;sr=8-1", "https://www.amazon.com/Nike-NK407-Hyperfuel-Bottle-2016-24/dp/B01DDY2IJK/ref=sr_1_1?keywords=Nike+Hyperfuel+24oz.+Bottle&amp;qid=1695171040&amp;sr=8-1")</f>
        <v/>
      </c>
      <c r="F2345" t="inlineStr">
        <is>
          <t>B01DDY2IJK</t>
        </is>
      </c>
      <c r="G2345">
        <f>_xludf.IMAGE("https://www.soccerplususa.com/prodimages/24256-DEFAULT-l.jpg")</f>
        <v/>
      </c>
      <c r="H2345">
        <f>_xludf.IMAGE("https://m.media-amazon.com/images/I/61wVF1h8Z3L._AC_UL320_.jpg")</f>
        <v/>
      </c>
      <c r="K2345" t="inlineStr">
        <is>
          <t>11.95</t>
        </is>
      </c>
      <c r="L2345" t="n">
        <v>17.62</v>
      </c>
      <c r="M2345" s="1" t="inlineStr">
        <is>
          <t>47.45%</t>
        </is>
      </c>
      <c r="N2345" s="3" t="n">
        <v>47.45</v>
      </c>
      <c r="O2345" t="n">
        <v>4.6</v>
      </c>
      <c r="P2345" t="n">
        <v>498</v>
      </c>
      <c r="R2345" t="inlineStr">
        <is>
          <t>InStock</t>
        </is>
      </c>
      <c r="S2345" t="inlineStr">
        <is>
          <t>undefined</t>
        </is>
      </c>
      <c r="T2345" t="inlineStr">
        <is>
          <t>N.000.3524</t>
        </is>
      </c>
    </row>
    <row r="2346" hidden="1" ht="15.75" customHeight="1">
      <c r="A2346" s="2">
        <f>HYPERLINK("https://www.soccerplususa.com/kwik-goal/kwik-goal-strap-cone-carrier-14088", "https://www.soccerplususa.com/kwik-goal/kwik-goal-strap-cone-carrier-14088")</f>
        <v/>
      </c>
      <c r="B2346" t="inlineStr">
        <is>
          <t>undefined</t>
        </is>
      </c>
      <c r="C2346" t="inlineStr">
        <is>
          <t>Kwik Goal Strap Cone Carrier</t>
        </is>
      </c>
      <c r="D2346" t="inlineStr">
        <is>
          <t>Kwik Goal Disc Cone Carrier,White</t>
        </is>
      </c>
      <c r="E2346" s="2">
        <f>HYPERLINK("https://www.amazon.com/Kwik-Goal-Disc-Cone-Carrier/dp/B000ZK7QXO/ref=sr_1_4?keywords=Kwik+Goal+Strap+Cone+Carrier&amp;qid=1695171051&amp;sr=8-4", "https://www.amazon.com/Kwik-Goal-Disc-Cone-Carrier/dp/B000ZK7QXO/ref=sr_1_4?keywords=Kwik+Goal+Strap+Cone+Carrier&amp;qid=1695171051&amp;sr=8-4")</f>
        <v/>
      </c>
      <c r="F2346" t="inlineStr">
        <is>
          <t>B000ZK7QXO</t>
        </is>
      </c>
      <c r="G2346">
        <f>_xludf.IMAGE("https://www.soccerplususa.com/prodimages/2766-DEFAULT-l.jpg")</f>
        <v/>
      </c>
      <c r="H2346">
        <f>_xludf.IMAGE("https://m.media-amazon.com/images/I/71to1O2wqEL._AC_UL320_.jpg")</f>
        <v/>
      </c>
      <c r="K2346" t="inlineStr">
        <is>
          <t>7.5</t>
        </is>
      </c>
      <c r="L2346" t="n">
        <v>11</v>
      </c>
      <c r="M2346" s="1" t="inlineStr">
        <is>
          <t>46.67%</t>
        </is>
      </c>
      <c r="N2346" s="3" t="n">
        <v>46.67</v>
      </c>
      <c r="O2346" t="n">
        <v>3.8</v>
      </c>
      <c r="P2346" t="n">
        <v>20</v>
      </c>
      <c r="R2346" t="inlineStr">
        <is>
          <t>InStock</t>
        </is>
      </c>
      <c r="S2346" t="inlineStr">
        <is>
          <t>undefined</t>
        </is>
      </c>
      <c r="T2346" t="inlineStr">
        <is>
          <t>PS-7</t>
        </is>
      </c>
    </row>
    <row r="2347" hidden="1" ht="15.75" customHeight="1">
      <c r="A2347" s="2">
        <f>HYPERLINK("https://www.soccerplususa.com/nike/nike-hyperfuel-24oz-bottle-37495", "https://www.soccerplususa.com/nike/nike-hyperfuel-24oz-bottle-37495")</f>
        <v/>
      </c>
      <c r="B2347" t="inlineStr">
        <is>
          <t>undefined</t>
        </is>
      </c>
      <c r="C2347" t="inlineStr">
        <is>
          <t>Nike Hyperfuel 24oz. Bottle</t>
        </is>
      </c>
      <c r="D2347" t="inlineStr">
        <is>
          <t>Nike Hyperfuel Water Bottle</t>
        </is>
      </c>
      <c r="E2347" s="2">
        <f>HYPERLINK("https://www.amazon.com/Nike-HYPERFUEL-Exercise-Multi-Coloured-CleBlaBla/dp/B082LHFB4W/ref=sr_1_10?keywords=Nike+Hyperfuel+24oz.+Bottle&amp;qid=1695171040&amp;sr=8-10", "https://www.amazon.com/Nike-HYPERFUEL-Exercise-Multi-Coloured-CleBlaBla/dp/B082LHFB4W/ref=sr_1_10?keywords=Nike+Hyperfuel+24oz.+Bottle&amp;qid=1695171040&amp;sr=8-10")</f>
        <v/>
      </c>
      <c r="F2347" t="inlineStr">
        <is>
          <t>B082LHFB4W</t>
        </is>
      </c>
      <c r="G2347">
        <f>_xludf.IMAGE("https://www.soccerplususa.com/prodimages/24256-DEFAULT-l.jpg")</f>
        <v/>
      </c>
      <c r="H2347">
        <f>_xludf.IMAGE("https://m.media-amazon.com/images/I/61moxyOTbqL._AC_UL320_.jpg")</f>
        <v/>
      </c>
      <c r="K2347" t="inlineStr">
        <is>
          <t>11.95</t>
        </is>
      </c>
      <c r="L2347" t="n">
        <v>17.49</v>
      </c>
      <c r="M2347" s="1" t="inlineStr">
        <is>
          <t>46.36%</t>
        </is>
      </c>
      <c r="N2347" s="3" t="n">
        <v>46.36</v>
      </c>
      <c r="O2347" t="n">
        <v>4.4</v>
      </c>
      <c r="P2347" t="n">
        <v>73</v>
      </c>
      <c r="R2347" t="inlineStr">
        <is>
          <t>InStock</t>
        </is>
      </c>
      <c r="S2347" t="inlineStr">
        <is>
          <t>undefined</t>
        </is>
      </c>
      <c r="T2347" t="inlineStr">
        <is>
          <t>N.000.3524</t>
        </is>
      </c>
    </row>
    <row r="2348" hidden="1" ht="15.75" customHeight="1">
      <c r="A2348" s="2">
        <f>HYPERLINK("https://www.soccerplususa.com/nike/nike-hyperfuel-24oz-bottle-37495", "https://www.soccerplususa.com/nike/nike-hyperfuel-24oz-bottle-37495")</f>
        <v/>
      </c>
      <c r="B2348" t="inlineStr">
        <is>
          <t>undefined</t>
        </is>
      </c>
      <c r="C2348" t="inlineStr">
        <is>
          <t>Nike Hyperfuel 24oz. Bottle</t>
        </is>
      </c>
      <c r="D2348" t="inlineStr">
        <is>
          <t>NIKE HYPERFUEL WATER BOTTLE, Blue, Black, White, 24 OZ</t>
        </is>
      </c>
      <c r="E2348" s="2">
        <f>HYPERLINK("https://www.amazon.com/HYPERFUEL-WATER-BOTTLE-Black-White/dp/B07P13RH4V/ref=sr_1_5?keywords=Nike+Hyperfuel+24oz.+Bottle&amp;qid=1695171040&amp;sr=8-5", "https://www.amazon.com/HYPERFUEL-WATER-BOTTLE-Black-White/dp/B07P13RH4V/ref=sr_1_5?keywords=Nike+Hyperfuel+24oz.+Bottle&amp;qid=1695171040&amp;sr=8-5")</f>
        <v/>
      </c>
      <c r="F2348" t="inlineStr">
        <is>
          <t>B07P13RH4V</t>
        </is>
      </c>
      <c r="G2348">
        <f>_xludf.IMAGE("https://www.soccerplususa.com/prodimages/24256-DEFAULT-l.jpg")</f>
        <v/>
      </c>
      <c r="H2348">
        <f>_xludf.IMAGE("https://m.media-amazon.com/images/I/51ttmRzr0KL._AC_UL320_.jpg")</f>
        <v/>
      </c>
      <c r="K2348" t="inlineStr">
        <is>
          <t>11.95</t>
        </is>
      </c>
      <c r="L2348" t="n">
        <v>16.99</v>
      </c>
      <c r="M2348" s="1" t="inlineStr">
        <is>
          <t>42.18%</t>
        </is>
      </c>
      <c r="N2348" s="3" t="n">
        <v>42.18</v>
      </c>
      <c r="O2348" t="n">
        <v>4.6</v>
      </c>
      <c r="P2348" t="n">
        <v>528</v>
      </c>
      <c r="R2348" t="inlineStr">
        <is>
          <t>InStock</t>
        </is>
      </c>
      <c r="S2348" t="inlineStr">
        <is>
          <t>undefined</t>
        </is>
      </c>
      <c r="T2348" t="inlineStr">
        <is>
          <t>N.000.3524</t>
        </is>
      </c>
    </row>
    <row r="2349" hidden="1" ht="15.75" customHeight="1">
      <c r="A2349" s="2">
        <f>HYPERLINK("https://www.soccerplususa.com/kwik-goal/kwikgoal-disc-cone-carrier-14058", "https://www.soccerplususa.com/kwik-goal/kwikgoal-disc-cone-carrier-14058")</f>
        <v/>
      </c>
      <c r="B2349" t="inlineStr">
        <is>
          <t>undefined</t>
        </is>
      </c>
      <c r="C2349" t="inlineStr">
        <is>
          <t>KwikGoal Disc Cone Carrier</t>
        </is>
      </c>
      <c r="D2349" t="inlineStr">
        <is>
          <t>Plastic Disc Cone Sports Training Gear with Carrier, Pack of 24 (Orange, 2-Inch)</t>
        </is>
      </c>
      <c r="E2349" s="2">
        <f>HYPERLINK("https://www.amazon.com/Plastic-Sports-Training-Carrier-Orange/dp/B008894APQ/ref=sr_1_10?keywords=KwikGoal+Disc+Cone+Carrier&amp;qid=1695171045&amp;sr=8-10", "https://www.amazon.com/Plastic-Sports-Training-Carrier-Orange/dp/B008894APQ/ref=sr_1_10?keywords=KwikGoal+Disc+Cone+Carrier&amp;qid=1695171045&amp;sr=8-10")</f>
        <v/>
      </c>
      <c r="F2349" t="inlineStr">
        <is>
          <t>B008894APQ</t>
        </is>
      </c>
      <c r="G2349">
        <f>_xludf.IMAGE("https://www.soccerplususa.com/prodimages/5859-DEFAULT-l.jpg")</f>
        <v/>
      </c>
      <c r="H2349">
        <f>_xludf.IMAGE("https://m.media-amazon.com/images/I/616Iwl6lKHL._AC_UL320_.jpg")</f>
        <v/>
      </c>
      <c r="K2349" t="inlineStr">
        <is>
          <t>11.95</t>
        </is>
      </c>
      <c r="L2349" t="n">
        <v>15.99</v>
      </c>
      <c r="M2349" s="1" t="inlineStr">
        <is>
          <t>33.81%</t>
        </is>
      </c>
      <c r="N2349" s="3" t="n">
        <v>33.81</v>
      </c>
      <c r="O2349" t="n">
        <v>4.4</v>
      </c>
      <c r="P2349" t="n">
        <v>379</v>
      </c>
      <c r="R2349" t="inlineStr">
        <is>
          <t>InStock</t>
        </is>
      </c>
      <c r="S2349" t="inlineStr">
        <is>
          <t>undefined</t>
        </is>
      </c>
      <c r="T2349" t="inlineStr">
        <is>
          <t>6B2</t>
        </is>
      </c>
    </row>
    <row r="2350" hidden="1" ht="15.75" customHeight="1">
      <c r="A2350" s="2">
        <f>HYPERLINK("https://www.soccerplususa.com/nike/nike-hyperfuel-24oz-bottle-37495", "https://www.soccerplususa.com/nike/nike-hyperfuel-24oz-bottle-37495")</f>
        <v/>
      </c>
      <c r="B2350" t="inlineStr">
        <is>
          <t>undefined</t>
        </is>
      </c>
      <c r="C2350" t="inlineStr">
        <is>
          <t>Nike Hyperfuel 24oz. Bottle</t>
        </is>
      </c>
      <c r="D2350" t="inlineStr">
        <is>
          <t>Nike Water Bottle Hyperfuel 24oz</t>
        </is>
      </c>
      <c r="E2350" s="2">
        <f>HYPERLINK("https://www.amazon.com/Nike-Hyperfuel-Water-Bottle-24oz/dp/B083GF6Y9Z/ref=sr_1_3?keywords=Nike+Hyperfuel+24oz.+Bottle&amp;qid=1695171040&amp;sr=8-3", "https://www.amazon.com/Nike-Hyperfuel-Water-Bottle-24oz/dp/B083GF6Y9Z/ref=sr_1_3?keywords=Nike+Hyperfuel+24oz.+Bottle&amp;qid=1695171040&amp;sr=8-3")</f>
        <v/>
      </c>
      <c r="F2350" t="inlineStr">
        <is>
          <t>B083GF6Y9Z</t>
        </is>
      </c>
      <c r="G2350">
        <f>_xludf.IMAGE("https://www.soccerplususa.com/prodimages/24256-DEFAULT-l.jpg")</f>
        <v/>
      </c>
      <c r="H2350">
        <f>_xludf.IMAGE("https://m.media-amazon.com/images/I/41box7eY0FL._AC_UL320_.jpg")</f>
        <v/>
      </c>
      <c r="K2350" t="inlineStr">
        <is>
          <t>11.95</t>
        </is>
      </c>
      <c r="L2350" t="n">
        <v>15.97</v>
      </c>
      <c r="M2350" s="1" t="inlineStr">
        <is>
          <t>33.64%</t>
        </is>
      </c>
      <c r="N2350" s="3" t="n">
        <v>33.64</v>
      </c>
      <c r="O2350" t="n">
        <v>4.6</v>
      </c>
      <c r="P2350" t="n">
        <v>1802</v>
      </c>
      <c r="R2350" t="inlineStr">
        <is>
          <t>InStock</t>
        </is>
      </c>
      <c r="S2350" t="inlineStr">
        <is>
          <t>undefined</t>
        </is>
      </c>
      <c r="T2350" t="inlineStr">
        <is>
          <t>N.000.3524</t>
        </is>
      </c>
    </row>
    <row r="2351" hidden="1" ht="15.75" customHeight="1">
      <c r="A2351" s="2">
        <f>HYPERLINK("https://www.soccerplususa.com/full-90/full90-headgear-select-13072", "https://www.soccerplususa.com/full-90/full90-headgear-select-13072")</f>
        <v/>
      </c>
      <c r="B2351" t="inlineStr">
        <is>
          <t>undefined</t>
        </is>
      </c>
      <c r="C2351" t="inlineStr">
        <is>
          <t>Full90 Headgear Select</t>
        </is>
      </c>
      <c r="D2351" t="inlineStr">
        <is>
          <t>Full90 Sports Select Performance Soccer Headgear</t>
        </is>
      </c>
      <c r="E2351" s="2">
        <f>HYPERLINK("https://www.amazon.com/Full-90-Sports-Performance-Headgear/dp/B00545XQNE/ref=sr_1_1?keywords=Full90+Headgear+Select&amp;qid=1695171058&amp;sr=8-1", "https://www.amazon.com/Full-90-Sports-Performance-Headgear/dp/B00545XQNE/ref=sr_1_1?keywords=Full90+Headgear+Select&amp;qid=1695171058&amp;sr=8-1")</f>
        <v/>
      </c>
      <c r="F2351" t="inlineStr">
        <is>
          <t>B00545XQNE</t>
        </is>
      </c>
      <c r="G2351">
        <f>_xludf.IMAGE("https://www.soccerplususa.com/prodimages/1344-DEFAULT-l.jpg")</f>
        <v/>
      </c>
      <c r="H2351">
        <f>_xludf.IMAGE("https://m.media-amazon.com/images/I/61cwztQ-QeL._AC_UL320_.jpg")</f>
        <v/>
      </c>
      <c r="K2351" t="inlineStr">
        <is>
          <t>29.95</t>
        </is>
      </c>
      <c r="L2351" t="n">
        <v>39.99</v>
      </c>
      <c r="M2351" s="1" t="inlineStr">
        <is>
          <t>33.52%</t>
        </is>
      </c>
      <c r="N2351" s="3" t="n">
        <v>33.52</v>
      </c>
      <c r="O2351" t="n">
        <v>4</v>
      </c>
      <c r="P2351" t="n">
        <v>73</v>
      </c>
      <c r="R2351" t="inlineStr">
        <is>
          <t>InStock</t>
        </is>
      </c>
      <c r="S2351" t="inlineStr">
        <is>
          <t>undefined</t>
        </is>
      </c>
      <c r="T2351" t="inlineStr">
        <is>
          <t>1-02012-02</t>
        </is>
      </c>
    </row>
    <row r="2352" hidden="1" ht="15.75" customHeight="1">
      <c r="A2352" s="2">
        <f>HYPERLINK("https://www.soccerplususa.com/full-90/full90-headgear-select-13071", "https://www.soccerplususa.com/full-90/full90-headgear-select-13071")</f>
        <v/>
      </c>
      <c r="B2352" t="inlineStr">
        <is>
          <t>undefined</t>
        </is>
      </c>
      <c r="C2352" t="inlineStr">
        <is>
          <t>Full90 Headgear Select</t>
        </is>
      </c>
      <c r="D2352" t="inlineStr">
        <is>
          <t>Full90 Sports Select Performance Soccer Headgear</t>
        </is>
      </c>
      <c r="E2352" s="2">
        <f>HYPERLINK("https://www.amazon.com/Full-90-Sports-Performance-Headgear/dp/B00545XQNE/ref=sr_1_1?keywords=Full90+Headgear+Select&amp;qid=1695171054&amp;sr=8-1", "https://www.amazon.com/Full-90-Sports-Performance-Headgear/dp/B00545XQNE/ref=sr_1_1?keywords=Full90+Headgear+Select&amp;qid=1695171054&amp;sr=8-1")</f>
        <v/>
      </c>
      <c r="F2352" t="inlineStr">
        <is>
          <t>B00545XQNE</t>
        </is>
      </c>
      <c r="G2352">
        <f>_xludf.IMAGE("https://www.soccerplususa.com/prodimages/1343-DEFAULT-l.jpg")</f>
        <v/>
      </c>
      <c r="H2352">
        <f>_xludf.IMAGE("https://m.media-amazon.com/images/I/61cwztQ-QeL._AC_UL320_.jpg")</f>
        <v/>
      </c>
      <c r="K2352" t="inlineStr">
        <is>
          <t>29.95</t>
        </is>
      </c>
      <c r="L2352" t="n">
        <v>39.99</v>
      </c>
      <c r="M2352" s="1" t="inlineStr">
        <is>
          <t>33.52%</t>
        </is>
      </c>
      <c r="N2352" s="3" t="n">
        <v>33.52</v>
      </c>
      <c r="O2352" t="n">
        <v>4</v>
      </c>
      <c r="P2352" t="n">
        <v>73</v>
      </c>
      <c r="R2352" t="inlineStr">
        <is>
          <t>InStock</t>
        </is>
      </c>
      <c r="S2352" t="inlineStr">
        <is>
          <t>undefined</t>
        </is>
      </c>
      <c r="T2352" t="inlineStr">
        <is>
          <t>1-02-015-02</t>
        </is>
      </c>
    </row>
    <row r="2353" hidden="1" ht="15.75" customHeight="1">
      <c r="A2353" s="2">
        <f>HYPERLINK("https://www.soccerplususa.com/kwik-goal/kwikgoal-disc-cone-carrier-14058", "https://www.soccerplususa.com/kwik-goal/kwikgoal-disc-cone-carrier-14058")</f>
        <v/>
      </c>
      <c r="B2353" t="inlineStr">
        <is>
          <t>undefined</t>
        </is>
      </c>
      <c r="C2353" t="inlineStr">
        <is>
          <t>KwikGoal Disc Cone Carrier</t>
        </is>
      </c>
      <c r="D2353" t="inlineStr">
        <is>
          <t>Multi Colored Disc Cones with Carrier (Set of 50)</t>
        </is>
      </c>
      <c r="E2353" s="2">
        <f>HYPERLINK("https://www.amazon.com/Multi-Colored-Disc-Cones-carrier/dp/B01EH2B4FQ/ref=sr_1_8?keywords=KwikGoal+Disc+Cone+Carrier&amp;qid=1695171045&amp;sr=8-8", "https://www.amazon.com/Multi-Colored-Disc-Cones-carrier/dp/B01EH2B4FQ/ref=sr_1_8?keywords=KwikGoal+Disc+Cone+Carrier&amp;qid=1695171045&amp;sr=8-8")</f>
        <v/>
      </c>
      <c r="F2353" t="inlineStr">
        <is>
          <t>B01EH2B4FQ</t>
        </is>
      </c>
      <c r="G2353">
        <f>_xludf.IMAGE("https://www.soccerplususa.com/prodimages/5859-DEFAULT-l.jpg")</f>
        <v/>
      </c>
      <c r="H2353">
        <f>_xludf.IMAGE("https://m.media-amazon.com/images/I/61WynYRp2bL._AC_UL320_.jpg")</f>
        <v/>
      </c>
      <c r="K2353" t="inlineStr">
        <is>
          <t>11.95</t>
        </is>
      </c>
      <c r="L2353" t="n">
        <v>14.99</v>
      </c>
      <c r="M2353" s="1" t="inlineStr">
        <is>
          <t>25.44%</t>
        </is>
      </c>
      <c r="N2353" s="3" t="n">
        <v>25.44</v>
      </c>
      <c r="O2353" t="n">
        <v>4.5</v>
      </c>
      <c r="P2353" t="n">
        <v>54</v>
      </c>
      <c r="R2353" t="inlineStr">
        <is>
          <t>InStock</t>
        </is>
      </c>
      <c r="S2353" t="inlineStr">
        <is>
          <t>undefined</t>
        </is>
      </c>
      <c r="T2353" t="inlineStr">
        <is>
          <t>6B2</t>
        </is>
      </c>
    </row>
    <row r="2354" hidden="1" ht="15.75" customHeight="1">
      <c r="A2354" s="2">
        <f>HYPERLINK("https://www.soccerplususa.com/premier-sock-tape/pro-shin-guard-wrap-37591", "https://www.soccerplususa.com/premier-sock-tape/pro-shin-guard-wrap-37591")</f>
        <v/>
      </c>
      <c r="B2354" t="inlineStr">
        <is>
          <t>undefined</t>
        </is>
      </c>
      <c r="C2354" t="inlineStr">
        <is>
          <t>Pro Shin Guard Wrap</t>
        </is>
      </c>
      <c r="D2354" t="inlineStr">
        <is>
          <t>Alpha Wrap Athletic Tape Box - Pre Wrap Tape for Shin Guards, Soccer Tape Sports Wrap Set</t>
        </is>
      </c>
      <c r="E2354" s="2">
        <f>HYPERLINK("https://www.amazon.com/Alpha-Wrap-Athletic-Tape-Guards/dp/B0BLP92B3G/ref=sr_1_1?keywords=Pro+Shin+Guard+Wrap&amp;qid=1695171047&amp;sr=8-1", "https://www.amazon.com/Alpha-Wrap-Athletic-Tape-Guards/dp/B0BLP92B3G/ref=sr_1_1?keywords=Pro+Shin+Guard+Wrap&amp;qid=1695171047&amp;sr=8-1")</f>
        <v/>
      </c>
      <c r="F2354" t="inlineStr">
        <is>
          <t>B0BLP92B3G</t>
        </is>
      </c>
      <c r="G2354">
        <f>_xludf.IMAGE("https://www.soccerplususa.com/prodimages/10572-DEFAULT-l.jpg")</f>
        <v/>
      </c>
      <c r="H2354">
        <f>_xludf.IMAGE("https://m.media-amazon.com/images/I/81aRCXyxjUL._AC_UL320_.jpg")</f>
        <v/>
      </c>
      <c r="K2354" t="inlineStr">
        <is>
          <t>7.99</t>
        </is>
      </c>
      <c r="L2354" t="n">
        <v>9.949999999999999</v>
      </c>
      <c r="M2354" s="1" t="inlineStr">
        <is>
          <t>24.53%</t>
        </is>
      </c>
      <c r="N2354" s="3" t="n">
        <v>24.53</v>
      </c>
      <c r="O2354" t="n">
        <v>5</v>
      </c>
      <c r="P2354" t="n">
        <v>2</v>
      </c>
      <c r="R2354" t="inlineStr">
        <is>
          <t>InStock</t>
        </is>
      </c>
      <c r="S2354" t="inlineStr">
        <is>
          <t>undefined</t>
        </is>
      </c>
      <c r="T2354" t="inlineStr">
        <is>
          <t>PSGW</t>
        </is>
      </c>
    </row>
    <row r="2355" hidden="1" ht="15.75" customHeight="1">
      <c r="A2355" s="2">
        <f>HYPERLINK("https://www.soccerplususa.com/kwik-goal/soccer-clipboard-13825", "https://www.soccerplususa.com/kwik-goal/soccer-clipboard-13825")</f>
        <v/>
      </c>
      <c r="B2355" t="inlineStr">
        <is>
          <t>undefined</t>
        </is>
      </c>
      <c r="C2355" t="inlineStr">
        <is>
          <t>Soccer Clipboard</t>
        </is>
      </c>
      <c r="D2355" t="inlineStr">
        <is>
          <t>Trademark Innovations Soccer Clipboard - Erasable White Board - Great for Coaches</t>
        </is>
      </c>
      <c r="E2355" s="2">
        <f>HYPERLINK("https://www.amazon.com/Trademark-Innovations-Soccer-Erasable-Clipboard/dp/B00L2JPSSC/ref=sr_1_10?keywords=Soccer+Clipboard&amp;qid=1695171051&amp;sr=8-10", "https://www.amazon.com/Trademark-Innovations-Soccer-Erasable-Clipboard/dp/B00L2JPSSC/ref=sr_1_10?keywords=Soccer+Clipboard&amp;qid=1695171051&amp;sr=8-10")</f>
        <v/>
      </c>
      <c r="F2355" t="inlineStr">
        <is>
          <t>B00L2JPSSC</t>
        </is>
      </c>
      <c r="G2355">
        <f>_xludf.IMAGE("https://www.soccerplususa.com/prodimages/750-DEFAULT-l.jpg")</f>
        <v/>
      </c>
      <c r="H2355">
        <f>_xludf.IMAGE("https://m.media-amazon.com/images/I/71LSUgQpGNL._AC_UL320_.jpg")</f>
        <v/>
      </c>
      <c r="K2355" t="inlineStr">
        <is>
          <t>14.5</t>
        </is>
      </c>
      <c r="L2355" t="n">
        <v>17.75</v>
      </c>
      <c r="M2355" s="1" t="inlineStr">
        <is>
          <t>22.41%</t>
        </is>
      </c>
      <c r="N2355" s="3" t="n">
        <v>22.41</v>
      </c>
      <c r="O2355" t="n">
        <v>4.1</v>
      </c>
      <c r="P2355" t="n">
        <v>130</v>
      </c>
      <c r="R2355" t="inlineStr">
        <is>
          <t>InStock</t>
        </is>
      </c>
      <c r="S2355" t="inlineStr">
        <is>
          <t>undefined</t>
        </is>
      </c>
      <c r="T2355" t="inlineStr">
        <is>
          <t>18B301</t>
        </is>
      </c>
    </row>
    <row r="2356" hidden="1" ht="15.75" customHeight="1">
      <c r="A2356" s="2">
        <f>HYPERLINK("https://www.soccerplususa.com/kwik-goal/kwikgoal-deluxe-scrimmage-vest-13855", "https://www.soccerplususa.com/kwik-goal/kwikgoal-deluxe-scrimmage-vest-13855")</f>
        <v/>
      </c>
      <c r="B2356" t="inlineStr">
        <is>
          <t>undefined</t>
        </is>
      </c>
      <c r="C2356" t="inlineStr">
        <is>
          <t>Kwikgoal Deluxe Scrimmage Vest</t>
        </is>
      </c>
      <c r="D2356" t="inlineStr">
        <is>
          <t>Kwik Goal Adult Deluxe Scrimmage vest</t>
        </is>
      </c>
      <c r="E2356" s="2">
        <f>HYPERLINK("https://www.amazon.com/Kwik-Goal-Hi-Vis-Scrimmage-Orange/dp/B00DR94ACK/ref=sr_1_2?keywords=Kwikgoal+Deluxe+Scrimmage+Vest&amp;qid=1695171050&amp;sr=8-2", "https://www.amazon.com/Kwik-Goal-Hi-Vis-Scrimmage-Orange/dp/B00DR94ACK/ref=sr_1_2?keywords=Kwikgoal+Deluxe+Scrimmage+Vest&amp;qid=1695171050&amp;sr=8-2")</f>
        <v/>
      </c>
      <c r="F2356" t="inlineStr">
        <is>
          <t>B00DR94ACK</t>
        </is>
      </c>
      <c r="G2356">
        <f>_xludf.IMAGE("https://www.soccerplususa.com/prodimages/727-DEFAULT-l.jpg")</f>
        <v/>
      </c>
      <c r="H2356">
        <f>_xludf.IMAGE("https://m.media-amazon.com/images/I/81ojsVSlk7L._AC_UL320_.jpg")</f>
        <v/>
      </c>
      <c r="K2356" t="inlineStr">
        <is>
          <t>4.95</t>
        </is>
      </c>
      <c r="L2356" t="n">
        <v>6</v>
      </c>
      <c r="M2356" s="1" t="inlineStr">
        <is>
          <t>21.21%</t>
        </is>
      </c>
      <c r="N2356" s="3" t="n">
        <v>21.21</v>
      </c>
      <c r="O2356" t="n">
        <v>4.6</v>
      </c>
      <c r="P2356" t="n">
        <v>135</v>
      </c>
      <c r="R2356" t="inlineStr">
        <is>
          <t>InStock</t>
        </is>
      </c>
      <c r="S2356" t="inlineStr">
        <is>
          <t>undefined</t>
        </is>
      </c>
      <c r="T2356" t="inlineStr">
        <is>
          <t>19A164</t>
        </is>
      </c>
    </row>
    <row r="2357" hidden="1" ht="15.75" customHeight="1">
      <c r="A2357" s="2">
        <f>HYPERLINK("https://www.soccerplususa.com/cramer/cramer-athletic-tape-roll-12538", "https://www.soccerplususa.com/cramer/cramer-athletic-tape-roll-12538")</f>
        <v/>
      </c>
      <c r="B2357" t="inlineStr">
        <is>
          <t>undefined</t>
        </is>
      </c>
      <c r="C2357" t="inlineStr">
        <is>
          <t>Cramer Athletic Tape Roll</t>
        </is>
      </c>
      <c r="D2357" t="inlineStr">
        <is>
          <t>Cramer Team Color Athletic Tape, Easy Tear Tape for Ankle, Wrist, &amp; Injury Taping, Protect &amp; Prevent Injuries, Promote Healing, Athletic Training Supplies, 1.5" X 10 Yard Roll, Colored AT Tape</t>
        </is>
      </c>
      <c r="E2357" s="2">
        <f>HYPERLINK("https://www.amazon.com/Cramer-Athletic-Injuries-Training-Supplies/dp/B00592846Q/ref=sr_1_3?keywords=Cramer+Athletic+Tape+Roll&amp;qid=1695171060&amp;sr=8-3", "https://www.amazon.com/Cramer-Athletic-Injuries-Training-Supplies/dp/B00592846Q/ref=sr_1_3?keywords=Cramer+Athletic+Tape+Roll&amp;qid=1695171060&amp;sr=8-3")</f>
        <v/>
      </c>
      <c r="F2357" t="inlineStr">
        <is>
          <t>B00592846Q</t>
        </is>
      </c>
      <c r="G2357">
        <f>_xludf.IMAGE("https://www.soccerplususa.com/prodimages/2581-DEFAULT-l.jpg")</f>
        <v/>
      </c>
      <c r="H2357">
        <f>_xludf.IMAGE("https://m.media-amazon.com/images/I/71VCdl7Tn6L._AC_UL320_.jpg")</f>
        <v/>
      </c>
      <c r="K2357" t="inlineStr">
        <is>
          <t>4.95</t>
        </is>
      </c>
      <c r="L2357" t="n">
        <v>5.99</v>
      </c>
      <c r="M2357" s="1" t="inlineStr">
        <is>
          <t>21.01%</t>
        </is>
      </c>
      <c r="N2357" s="3" t="n">
        <v>21.01</v>
      </c>
      <c r="O2357" t="n">
        <v>4.6</v>
      </c>
      <c r="P2357" t="n">
        <v>2331</v>
      </c>
      <c r="R2357" t="inlineStr">
        <is>
          <t>InStock</t>
        </is>
      </c>
      <c r="S2357" t="inlineStr">
        <is>
          <t>undefined</t>
        </is>
      </c>
      <c r="T2357" t="inlineStr">
        <is>
          <t>762707</t>
        </is>
      </c>
    </row>
    <row r="2358" hidden="1" ht="15.75" customHeight="1">
      <c r="A2358" s="2">
        <f>HYPERLINK("https://www.soccerplususa.com/cramer/cramer-athletic-tape-roll-12536", "https://www.soccerplususa.com/cramer/cramer-athletic-tape-roll-12536")</f>
        <v/>
      </c>
      <c r="B2358" t="inlineStr">
        <is>
          <t>undefined</t>
        </is>
      </c>
      <c r="C2358" t="inlineStr">
        <is>
          <t>Cramer Athletic Tape Roll</t>
        </is>
      </c>
      <c r="D2358" t="inlineStr">
        <is>
          <t>Cramer Team Color Athletic Tape, Easy Tear Tape for Ankle, Wrist, &amp; Injury Taping, Protect &amp; Prevent Injuries, Promote Healing, Athletic Training Supplies, 1.5" X 10 Yard Roll, Colored AT Tape</t>
        </is>
      </c>
      <c r="E2358" s="2">
        <f>HYPERLINK("https://www.amazon.com/Cramer-Athletic-Injuries-Training-Supplies/dp/B00592846Q/ref=sr_1_3?keywords=Cramer+Athletic+Tape+Roll&amp;qid=1695171054&amp;sr=8-3", "https://www.amazon.com/Cramer-Athletic-Injuries-Training-Supplies/dp/B00592846Q/ref=sr_1_3?keywords=Cramer+Athletic+Tape+Roll&amp;qid=1695171054&amp;sr=8-3")</f>
        <v/>
      </c>
      <c r="F2358" t="inlineStr">
        <is>
          <t>B00592846Q</t>
        </is>
      </c>
      <c r="G2358">
        <f>_xludf.IMAGE("https://www.soccerplususa.com/prodimages/2579-DEFAULT-l.jpg")</f>
        <v/>
      </c>
      <c r="H2358">
        <f>_xludf.IMAGE("https://m.media-amazon.com/images/I/71VCdl7Tn6L._AC_UL320_.jpg")</f>
        <v/>
      </c>
      <c r="K2358" t="inlineStr">
        <is>
          <t>4.95</t>
        </is>
      </c>
      <c r="L2358" t="n">
        <v>5.99</v>
      </c>
      <c r="M2358" s="1" t="inlineStr">
        <is>
          <t>21.01%</t>
        </is>
      </c>
      <c r="N2358" s="3" t="n">
        <v>21.01</v>
      </c>
      <c r="O2358" t="n">
        <v>4.6</v>
      </c>
      <c r="P2358" t="n">
        <v>2331</v>
      </c>
      <c r="R2358" t="inlineStr">
        <is>
          <t>InStock</t>
        </is>
      </c>
      <c r="S2358" t="inlineStr">
        <is>
          <t>undefined</t>
        </is>
      </c>
      <c r="T2358" t="inlineStr">
        <is>
          <t>762704</t>
        </is>
      </c>
    </row>
    <row r="2359" hidden="1" ht="15.75" customHeight="1">
      <c r="A2359" s="2">
        <f>HYPERLINK("https://www.soccerplususa.com/cramer/cramer-athletic-tape-roll-12532", "https://www.soccerplususa.com/cramer/cramer-athletic-tape-roll-12532")</f>
        <v/>
      </c>
      <c r="B2359" t="inlineStr">
        <is>
          <t>undefined</t>
        </is>
      </c>
      <c r="C2359" t="inlineStr">
        <is>
          <t>Cramer Athletic Tape Roll</t>
        </is>
      </c>
      <c r="D2359" t="inlineStr">
        <is>
          <t>Cramer Team Color Athletic Tape, Easy Tear Tape for Ankle, Wrist, &amp; Injury Taping, Protect &amp; Prevent Injuries, Promote Healing, Athletic Training Supplies, 1.5" X 10 Yard Roll, Colored AT Tape</t>
        </is>
      </c>
      <c r="E2359" s="2">
        <f>HYPERLINK("https://www.amazon.com/Cramer-Athletic-Injuries-Training-Supplies/dp/B00592846Q/ref=sr_1_3?keywords=Cramer+Athletic+Tape+Roll&amp;qid=1695171057&amp;sr=8-3", "https://www.amazon.com/Cramer-Athletic-Injuries-Training-Supplies/dp/B00592846Q/ref=sr_1_3?keywords=Cramer+Athletic+Tape+Roll&amp;qid=1695171057&amp;sr=8-3")</f>
        <v/>
      </c>
      <c r="F2359" t="inlineStr">
        <is>
          <t>B00592846Q</t>
        </is>
      </c>
      <c r="G2359">
        <f>_xludf.IMAGE("https://www.soccerplususa.com/prodimages/2575-DEFAULT-l.jpg")</f>
        <v/>
      </c>
      <c r="H2359">
        <f>_xludf.IMAGE("https://m.media-amazon.com/images/I/71VCdl7Tn6L._AC_UL320_.jpg")</f>
        <v/>
      </c>
      <c r="K2359" t="inlineStr">
        <is>
          <t>4.95</t>
        </is>
      </c>
      <c r="L2359" t="n">
        <v>5.99</v>
      </c>
      <c r="M2359" s="1" t="inlineStr">
        <is>
          <t>21.01%</t>
        </is>
      </c>
      <c r="N2359" s="3" t="n">
        <v>21.01</v>
      </c>
      <c r="O2359" t="n">
        <v>4.6</v>
      </c>
      <c r="P2359" t="n">
        <v>2331</v>
      </c>
      <c r="R2359" t="inlineStr">
        <is>
          <t>InStock</t>
        </is>
      </c>
      <c r="S2359" t="inlineStr">
        <is>
          <t>undefined</t>
        </is>
      </c>
      <c r="T2359" t="inlineStr">
        <is>
          <t>762700</t>
        </is>
      </c>
    </row>
    <row r="2360" hidden="1" ht="15.75" customHeight="1">
      <c r="A2360" s="2">
        <f>HYPERLINK("https://www.soccerplususa.com/cramer/cramer-athletic-tape-roll-12539", "https://www.soccerplususa.com/cramer/cramer-athletic-tape-roll-12539")</f>
        <v/>
      </c>
      <c r="B2360" t="inlineStr">
        <is>
          <t>undefined</t>
        </is>
      </c>
      <c r="C2360" t="inlineStr">
        <is>
          <t>Cramer Athletic Tape Roll</t>
        </is>
      </c>
      <c r="D2360" t="inlineStr">
        <is>
          <t>Cramer Team Color Athletic Tape, Easy Tear Tape for Ankle, Wrist, &amp; Injury Taping, Protect &amp; Prevent Injuries, Promote Healing, Athletic Training Supplies, 1.5" X 10 Yard Roll, Colored AT Tape</t>
        </is>
      </c>
      <c r="E2360" s="2">
        <f>HYPERLINK("https://www.amazon.com/Cramer-Athletic-Injuries-Training-Supplies/dp/B00592846Q/ref=sr_1_3?keywords=Cramer+Athletic+Tape+Roll&amp;qid=1695171061&amp;sr=8-3", "https://www.amazon.com/Cramer-Athletic-Injuries-Training-Supplies/dp/B00592846Q/ref=sr_1_3?keywords=Cramer+Athletic+Tape+Roll&amp;qid=1695171061&amp;sr=8-3")</f>
        <v/>
      </c>
      <c r="F2360" t="inlineStr">
        <is>
          <t>B00592846Q</t>
        </is>
      </c>
      <c r="G2360">
        <f>_xludf.IMAGE("https://www.soccerplususa.com/prodimages/2582-DEFAULT-l.jpg")</f>
        <v/>
      </c>
      <c r="H2360">
        <f>_xludf.IMAGE("https://m.media-amazon.com/images/I/71VCdl7Tn6L._AC_UL320_.jpg")</f>
        <v/>
      </c>
      <c r="K2360" t="inlineStr">
        <is>
          <t>4.95</t>
        </is>
      </c>
      <c r="L2360" t="n">
        <v>5.99</v>
      </c>
      <c r="M2360" s="1" t="inlineStr">
        <is>
          <t>21.01%</t>
        </is>
      </c>
      <c r="N2360" s="3" t="n">
        <v>21.01</v>
      </c>
      <c r="O2360" t="n">
        <v>4.6</v>
      </c>
      <c r="P2360" t="n">
        <v>2331</v>
      </c>
      <c r="R2360" t="inlineStr">
        <is>
          <t>InStock</t>
        </is>
      </c>
      <c r="S2360" t="inlineStr">
        <is>
          <t>undefined</t>
        </is>
      </c>
      <c r="T2360" t="inlineStr">
        <is>
          <t>762708</t>
        </is>
      </c>
    </row>
    <row r="2361" hidden="1" ht="15.75" customHeight="1">
      <c r="A2361" s="2">
        <f>HYPERLINK("https://www.soccerplususa.com/cramer/cramer-athletic-tape-roll-12535", "https://www.soccerplususa.com/cramer/cramer-athletic-tape-roll-12535")</f>
        <v/>
      </c>
      <c r="B2361" t="inlineStr">
        <is>
          <t>undefined</t>
        </is>
      </c>
      <c r="C2361" t="inlineStr">
        <is>
          <t>Cramer Athletic Tape Roll</t>
        </is>
      </c>
      <c r="D2361" t="inlineStr">
        <is>
          <t>Cramer Team Color Athletic Tape, Easy Tear Tape for Ankle, Wrist, &amp; Injury Taping, Protect &amp; Prevent Injuries, Promote Healing, Athletic Training Supplies, 1.5" X 10 Yard Roll, Colored AT Tape</t>
        </is>
      </c>
      <c r="E2361" s="2">
        <f>HYPERLINK("https://www.amazon.com/Cramer-Athletic-Injuries-Training-Supplies/dp/B00592846Q/ref=sr_1_3?keywords=Cramer+Athletic+Tape+Roll&amp;qid=1695171054&amp;sr=8-3", "https://www.amazon.com/Cramer-Athletic-Injuries-Training-Supplies/dp/B00592846Q/ref=sr_1_3?keywords=Cramer+Athletic+Tape+Roll&amp;qid=1695171054&amp;sr=8-3")</f>
        <v/>
      </c>
      <c r="F2361" t="inlineStr">
        <is>
          <t>B00592846Q</t>
        </is>
      </c>
      <c r="G2361">
        <f>_xludf.IMAGE("https://www.soccerplususa.com/prodimages/2578-DEFAULT-l.jpg")</f>
        <v/>
      </c>
      <c r="H2361">
        <f>_xludf.IMAGE("https://m.media-amazon.com/images/I/71VCdl7Tn6L._AC_UL320_.jpg")</f>
        <v/>
      </c>
      <c r="K2361" t="inlineStr">
        <is>
          <t>4.95</t>
        </is>
      </c>
      <c r="L2361" t="n">
        <v>5.99</v>
      </c>
      <c r="M2361" s="1" t="inlineStr">
        <is>
          <t>21.01%</t>
        </is>
      </c>
      <c r="N2361" s="3" t="n">
        <v>21.01</v>
      </c>
      <c r="O2361" t="n">
        <v>4.6</v>
      </c>
      <c r="P2361" t="n">
        <v>2331</v>
      </c>
      <c r="R2361" t="inlineStr">
        <is>
          <t>InStock</t>
        </is>
      </c>
      <c r="S2361" t="inlineStr">
        <is>
          <t>undefined</t>
        </is>
      </c>
      <c r="T2361" t="inlineStr">
        <is>
          <t>762703</t>
        </is>
      </c>
    </row>
    <row r="2362" hidden="1" ht="15.75" customHeight="1">
      <c r="A2362" s="2">
        <f>HYPERLINK("https://www.soccerplususa.com/fresh-gear/fresh-gear-8-oz-spray-13026", "https://www.soccerplususa.com/fresh-gear/fresh-gear-8-oz-spray-13026")</f>
        <v/>
      </c>
      <c r="B2362" t="inlineStr">
        <is>
          <t>undefined</t>
        </is>
      </c>
      <c r="C2362" t="inlineStr">
        <is>
          <t>Fresh Gear 8 oz Spray</t>
        </is>
      </c>
      <c r="D2362" t="inlineStr">
        <is>
          <t>HEX Performance Deodorizing Spray, Fresh &amp; Clean, 12oz (Pack of 2) - Awesome for Shoes, Gear &amp; Workout Mats</t>
        </is>
      </c>
      <c r="E2362" s="2">
        <f>HYPERLINK("https://www.amazon.com/HEX-Performance-Deodorizing-Spray-Fresh/dp/B07ZHQ59N4/ref=sr_1_4?keywords=Fresh+Gear+8+oz+Spray&amp;qid=1695171053&amp;sr=8-4", "https://www.amazon.com/HEX-Performance-Deodorizing-Spray-Fresh/dp/B07ZHQ59N4/ref=sr_1_4?keywords=Fresh+Gear+8+oz+Spray&amp;qid=1695171053&amp;sr=8-4")</f>
        <v/>
      </c>
      <c r="F2362" t="inlineStr">
        <is>
          <t>B07ZHQ59N4</t>
        </is>
      </c>
      <c r="G2362">
        <f>_xludf.IMAGE("https://www.soccerplususa.com/prodimages/6013-DEFAULT-l.jpg")</f>
        <v/>
      </c>
      <c r="H2362">
        <f>_xludf.IMAGE("https://m.media-amazon.com/images/I/71QY+1+twJL._AC_UL320_.jpg")</f>
        <v/>
      </c>
      <c r="K2362" t="inlineStr">
        <is>
          <t>16.99</t>
        </is>
      </c>
      <c r="L2362" t="n">
        <v>19.99</v>
      </c>
      <c r="M2362" s="1" t="inlineStr">
        <is>
          <t>17.66%</t>
        </is>
      </c>
      <c r="N2362" s="3" t="n">
        <v>17.66</v>
      </c>
      <c r="O2362" t="n">
        <v>4.4</v>
      </c>
      <c r="P2362" t="n">
        <v>1931</v>
      </c>
      <c r="R2362" t="inlineStr">
        <is>
          <t>InStock</t>
        </is>
      </c>
      <c r="S2362" t="inlineStr">
        <is>
          <t>undefined</t>
        </is>
      </c>
      <c r="T2362" t="inlineStr">
        <is>
          <t>FRESHGEAR8OZ</t>
        </is>
      </c>
    </row>
    <row r="2363" hidden="1" ht="15.75" customHeight="1">
      <c r="A2363" s="2">
        <f>HYPERLINK("https://www.soccerplususa.com/kwik-goal/kwikgoal-international-captains-band-13884", "https://www.soccerplususa.com/kwik-goal/kwikgoal-international-captains-band-13884")</f>
        <v/>
      </c>
      <c r="B2363" t="inlineStr">
        <is>
          <t>undefined</t>
        </is>
      </c>
      <c r="C2363" t="inlineStr">
        <is>
          <t>KwikGoal International Captain's Band</t>
        </is>
      </c>
      <c r="D2363" t="inlineStr">
        <is>
          <t>Kwik Goal International Captain's Armband</t>
        </is>
      </c>
      <c r="E2363" s="2">
        <f>HYPERLINK("https://www.amazon.com/Kwik-Goal-International-Captains-Band/dp/B006IXM4FC/ref=sr_1_2?keywords=KwikGoal+International+Captains+Band&amp;qid=1695171049&amp;sr=8-2", "https://www.amazon.com/Kwik-Goal-International-Captains-Band/dp/B006IXM4FC/ref=sr_1_2?keywords=KwikGoal+International+Captains+Band&amp;qid=1695171049&amp;sr=8-2")</f>
        <v/>
      </c>
      <c r="F2363" t="inlineStr">
        <is>
          <t>B006IXM4FC</t>
        </is>
      </c>
      <c r="G2363">
        <f>_xludf.IMAGE("https://www.soccerplususa.com/prodimages/3157-DEFAULT-l.jpg")</f>
        <v/>
      </c>
      <c r="H2363">
        <f>_xludf.IMAGE("https://m.media-amazon.com/images/I/91ab8DQG8wL._AC_UL320_.jpg")</f>
        <v/>
      </c>
      <c r="K2363" t="inlineStr">
        <is>
          <t>7.5</t>
        </is>
      </c>
      <c r="L2363" t="n">
        <v>8.779999999999999</v>
      </c>
      <c r="M2363" s="1" t="inlineStr">
        <is>
          <t>17.07%</t>
        </is>
      </c>
      <c r="N2363" s="3" t="n">
        <v>17.07</v>
      </c>
      <c r="O2363" t="n">
        <v>3.8</v>
      </c>
      <c r="P2363" t="n">
        <v>29</v>
      </c>
      <c r="R2363" t="inlineStr">
        <is>
          <t>InStock</t>
        </is>
      </c>
      <c r="S2363" t="inlineStr">
        <is>
          <t>undefined</t>
        </is>
      </c>
      <c r="T2363" t="inlineStr">
        <is>
          <t>19B1104</t>
        </is>
      </c>
    </row>
    <row r="2364" hidden="1" ht="15.75" customHeight="1">
      <c r="A2364" s="2">
        <f>HYPERLINK("https://www.soccerplususa.com/kwik-goal/kwikgoal-international-captains-band-13885", "https://www.soccerplususa.com/kwik-goal/kwikgoal-international-captains-band-13885")</f>
        <v/>
      </c>
      <c r="B2364" t="inlineStr">
        <is>
          <t>undefined</t>
        </is>
      </c>
      <c r="C2364" t="inlineStr">
        <is>
          <t>KwikGoal International Captain's Band</t>
        </is>
      </c>
      <c r="D2364" t="inlineStr">
        <is>
          <t>Kwik Goal International Captain's Armband</t>
        </is>
      </c>
      <c r="E2364" s="2">
        <f>HYPERLINK("https://www.amazon.com/Kwik-Goal-International-Captains-Band/dp/B006IXM4FC/ref=sr_1_1?keywords=KwikGoal+International+Captain%27s+Band&amp;qid=1695171046&amp;sr=8-1", "https://www.amazon.com/Kwik-Goal-International-Captains-Band/dp/B006IXM4FC/ref=sr_1_1?keywords=KwikGoal+International+Captain%27s+Band&amp;qid=1695171046&amp;sr=8-1")</f>
        <v/>
      </c>
      <c r="F2364" t="inlineStr">
        <is>
          <t>B006IXM4FC</t>
        </is>
      </c>
      <c r="G2364">
        <f>_xludf.IMAGE("https://www.soccerplususa.com/prodimages/3158-DEFAULT-l.jpg")</f>
        <v/>
      </c>
      <c r="H2364">
        <f>_xludf.IMAGE("https://m.media-amazon.com/images/I/91ab8DQG8wL._AC_UL320_.jpg")</f>
        <v/>
      </c>
      <c r="K2364" t="inlineStr">
        <is>
          <t>7.5</t>
        </is>
      </c>
      <c r="L2364" t="n">
        <v>8.779999999999999</v>
      </c>
      <c r="M2364" s="1" t="inlineStr">
        <is>
          <t>17.07%</t>
        </is>
      </c>
      <c r="N2364" s="3" t="n">
        <v>17.07</v>
      </c>
      <c r="O2364" t="n">
        <v>3.8</v>
      </c>
      <c r="P2364" t="n">
        <v>29</v>
      </c>
      <c r="R2364" t="inlineStr">
        <is>
          <t>InStock</t>
        </is>
      </c>
      <c r="S2364" t="inlineStr">
        <is>
          <t>undefined</t>
        </is>
      </c>
      <c r="T2364" t="inlineStr">
        <is>
          <t>19B1106</t>
        </is>
      </c>
    </row>
    <row r="2365" hidden="1" ht="15.75" customHeight="1">
      <c r="A2365" s="2">
        <f>HYPERLINK("https://www.soccerplususa.com/kwik-goal/kwikgoal-international-captains-band-13883", "https://www.soccerplususa.com/kwik-goal/kwikgoal-international-captains-band-13883")</f>
        <v/>
      </c>
      <c r="B2365" t="inlineStr">
        <is>
          <t>undefined</t>
        </is>
      </c>
      <c r="C2365" t="inlineStr">
        <is>
          <t>KwikGoal International Captain's Band</t>
        </is>
      </c>
      <c r="D2365" t="inlineStr">
        <is>
          <t>Kwik Goal International Captain's Armband</t>
        </is>
      </c>
      <c r="E2365" s="2">
        <f>HYPERLINK("https://www.amazon.com/Kwik-Goal-International-Captains-Band/dp/B006IXM4FC/ref=sr_1_1?keywords=KwikGoal+International+Captain%27s+Band&amp;qid=1695171051&amp;sr=8-1", "https://www.amazon.com/Kwik-Goal-International-Captains-Band/dp/B006IXM4FC/ref=sr_1_1?keywords=KwikGoal+International+Captain%27s+Band&amp;qid=1695171051&amp;sr=8-1")</f>
        <v/>
      </c>
      <c r="F2365" t="inlineStr">
        <is>
          <t>B006IXM4FC</t>
        </is>
      </c>
      <c r="G2365">
        <f>_xludf.IMAGE("https://www.soccerplususa.com/prodimages/3156-DEFAULT-l.jpg")</f>
        <v/>
      </c>
      <c r="H2365">
        <f>_xludf.IMAGE("https://m.media-amazon.com/images/I/91ab8DQG8wL._AC_UL320_.jpg")</f>
        <v/>
      </c>
      <c r="K2365" t="inlineStr">
        <is>
          <t>7.5</t>
        </is>
      </c>
      <c r="L2365" t="n">
        <v>8.779999999999999</v>
      </c>
      <c r="M2365" s="1" t="inlineStr">
        <is>
          <t>17.07%</t>
        </is>
      </c>
      <c r="N2365" s="3" t="n">
        <v>17.07</v>
      </c>
      <c r="O2365" t="n">
        <v>3.8</v>
      </c>
      <c r="P2365" t="n">
        <v>29</v>
      </c>
      <c r="R2365" t="inlineStr">
        <is>
          <t>InStock</t>
        </is>
      </c>
      <c r="S2365" t="inlineStr">
        <is>
          <t>undefined</t>
        </is>
      </c>
      <c r="T2365" t="inlineStr">
        <is>
          <t>19B1101</t>
        </is>
      </c>
    </row>
    <row r="2366" hidden="1" ht="15.75" customHeight="1">
      <c r="A2366" s="2">
        <f>HYPERLINK("https://www.soccerplususa.com/premier-sock-tape/premier-sock-tape-pro-es-27466", "https://www.soccerplususa.com/premier-sock-tape/premier-sock-tape-pro-es-27466")</f>
        <v/>
      </c>
      <c r="B2366" t="inlineStr">
        <is>
          <t>undefined</t>
        </is>
      </c>
      <c r="C2366" t="inlineStr">
        <is>
          <t>Premier Sock Tape Pro ES</t>
        </is>
      </c>
      <c r="D2366" t="inlineStr">
        <is>
          <t>Premier Sock Tape Pro ES</t>
        </is>
      </c>
      <c r="E2366" s="2">
        <f>HYPERLINK("https://www.amazon.com/Premier-Sock-Tape-Pro-ES/dp/B00ETLUD4E/ref=sr_1_1?keywords=Premier+Sock+Tape+Pro+ES&amp;qid=1695171043&amp;sr=8-1", "https://www.amazon.com/Premier-Sock-Tape-Pro-ES/dp/B00ETLUD4E/ref=sr_1_1?keywords=Premier+Sock+Tape+Pro+ES&amp;qid=1695171043&amp;sr=8-1")</f>
        <v/>
      </c>
      <c r="F2366" t="inlineStr">
        <is>
          <t>B00ETLUD4E</t>
        </is>
      </c>
      <c r="G2366">
        <f>_xludf.IMAGE("https://www.soccerplususa.com/prodimages/2586-DEFAULT-l.jpg")</f>
        <v/>
      </c>
      <c r="H2366">
        <f>_xludf.IMAGE("https://m.media-amazon.com/images/I/612yndcZQSL._AC_UL320_.jpg")</f>
        <v/>
      </c>
      <c r="K2366" t="inlineStr">
        <is>
          <t>6.99</t>
        </is>
      </c>
      <c r="L2366" t="n">
        <v>7.99</v>
      </c>
      <c r="M2366" s="1" t="inlineStr">
        <is>
          <t>14.31%</t>
        </is>
      </c>
      <c r="N2366" s="3" t="n">
        <v>14.31</v>
      </c>
      <c r="O2366" t="n">
        <v>5</v>
      </c>
      <c r="P2366" t="n">
        <v>5</v>
      </c>
      <c r="R2366" t="inlineStr">
        <is>
          <t>InStock</t>
        </is>
      </c>
      <c r="S2366" t="inlineStr">
        <is>
          <t>undefined</t>
        </is>
      </c>
      <c r="T2366" t="inlineStr">
        <is>
          <t>PST</t>
        </is>
      </c>
    </row>
    <row r="2367" hidden="1" ht="15.75" customHeight="1">
      <c r="A2367" s="2">
        <f>HYPERLINK("https://www.soccerplususa.com/cramer/cramer-active-ankle-329-12508", "https://www.soccerplususa.com/cramer/cramer-active-ankle-329-12508")</f>
        <v/>
      </c>
      <c r="B2367" t="inlineStr">
        <is>
          <t>undefined</t>
        </is>
      </c>
      <c r="C2367" t="inlineStr">
        <is>
          <t>Cramer Active Ankle 329</t>
        </is>
      </c>
      <c r="D2367" t="inlineStr">
        <is>
          <t>Cramer Active Ankle T2 (EA)</t>
        </is>
      </c>
      <c r="E2367" s="2">
        <f>HYPERLINK("https://www.amazon.com/Cramer-Active-Ankle-T2-EA/dp/B000KDW3CA/ref=sr_1_6?keywords=Cramer+Active+Ankle+329&amp;qid=1695171058&amp;sr=8-6", "https://www.amazon.com/Cramer-Active-Ankle-T2-EA/dp/B000KDW3CA/ref=sr_1_6?keywords=Cramer+Active+Ankle+329&amp;qid=1695171058&amp;sr=8-6")</f>
        <v/>
      </c>
      <c r="F2367" t="inlineStr">
        <is>
          <t>B000KDW3CA</t>
        </is>
      </c>
      <c r="G2367">
        <f>_xludf.IMAGE("https://www.soccerplususa.com/prodimages/4371-DEFAULT-l.jpg")</f>
        <v/>
      </c>
      <c r="H2367">
        <f>_xludf.IMAGE("https://m.media-amazon.com/images/I/619QtcdGbzL._AC_UL320_.jpg")</f>
        <v/>
      </c>
      <c r="K2367" t="inlineStr">
        <is>
          <t>39.95</t>
        </is>
      </c>
      <c r="L2367" t="n">
        <v>44.73</v>
      </c>
      <c r="M2367" s="1" t="inlineStr">
        <is>
          <t>11.96%</t>
        </is>
      </c>
      <c r="N2367" s="3" t="n">
        <v>11.96</v>
      </c>
      <c r="O2367" t="n">
        <v>3.4</v>
      </c>
      <c r="P2367" t="n">
        <v>18</v>
      </c>
      <c r="R2367" t="inlineStr">
        <is>
          <t>InStock</t>
        </is>
      </c>
      <c r="S2367" t="inlineStr">
        <is>
          <t>undefined</t>
        </is>
      </c>
      <c r="T2367" t="inlineStr">
        <is>
          <t>760340</t>
        </is>
      </c>
    </row>
    <row r="2368" hidden="1" ht="15.75" customHeight="1">
      <c r="A2368" s="2">
        <f>HYPERLINK("https://www.soccerplususa.com/cramer/cramer-active-ankle-329-12508", "https://www.soccerplususa.com/cramer/cramer-active-ankle-329-12508")</f>
        <v/>
      </c>
      <c r="B2368" t="inlineStr">
        <is>
          <t>undefined</t>
        </is>
      </c>
      <c r="C2368" t="inlineStr">
        <is>
          <t>Cramer Active Ankle 329</t>
        </is>
      </c>
      <c r="D2368" t="inlineStr">
        <is>
          <t>Cramer Active Ankle T2 Small White (EA)</t>
        </is>
      </c>
      <c r="E2368" s="2">
        <f>HYPERLINK("https://www.amazon.com/Cramer%C2%AE-Active-Ankle-Small-White/dp/B0002V8R66/ref=sr_1_2?keywords=Cramer+Active+Ankle+329&amp;qid=1695171058&amp;sr=8-2", "https://www.amazon.com/Cramer%C2%AE-Active-Ankle-Small-White/dp/B0002V8R66/ref=sr_1_2?keywords=Cramer+Active+Ankle+329&amp;qid=1695171058&amp;sr=8-2")</f>
        <v/>
      </c>
      <c r="F2368" t="inlineStr">
        <is>
          <t>B0002V8R66</t>
        </is>
      </c>
      <c r="G2368">
        <f>_xludf.IMAGE("https://www.soccerplususa.com/prodimages/4371-DEFAULT-l.jpg")</f>
        <v/>
      </c>
      <c r="H2368">
        <f>_xludf.IMAGE("https://m.media-amazon.com/images/I/61XfrsttUdL._AC_UL320_.jpg")</f>
        <v/>
      </c>
      <c r="K2368" t="inlineStr">
        <is>
          <t>39.95</t>
        </is>
      </c>
      <c r="L2368" t="n">
        <v>44.73</v>
      </c>
      <c r="M2368" s="1" t="inlineStr">
        <is>
          <t>11.96%</t>
        </is>
      </c>
      <c r="N2368" s="3" t="n">
        <v>11.96</v>
      </c>
      <c r="O2368" t="n">
        <v>4.2</v>
      </c>
      <c r="P2368" t="n">
        <v>139</v>
      </c>
      <c r="R2368" t="inlineStr">
        <is>
          <t>InStock</t>
        </is>
      </c>
      <c r="S2368" t="inlineStr">
        <is>
          <t>undefined</t>
        </is>
      </c>
      <c r="T2368" t="inlineStr">
        <is>
          <t>760340</t>
        </is>
      </c>
    </row>
    <row r="2369" hidden="1" ht="15.75" customHeight="1">
      <c r="A2369" s="2">
        <f>HYPERLINK("https://www.soccerplususa.com/fresh-gear/fresh-gear-8-oz-spray-13026", "https://www.soccerplususa.com/fresh-gear/fresh-gear-8-oz-spray-13026")</f>
        <v/>
      </c>
      <c r="B2369" t="inlineStr">
        <is>
          <t>undefined</t>
        </is>
      </c>
      <c r="C2369" t="inlineStr">
        <is>
          <t>Fresh Gear 8 oz Spray</t>
        </is>
      </c>
      <c r="D2369" t="inlineStr">
        <is>
          <t>Fresh Wave Lavender Odor Eliminator Spray &amp; Air Freshener, 8 oz. | Pack of 2 | Non-Aerosol, Fine Mist | Safer Odor Relief | Natural Plant-Based Odor Eliminator | For Furniture, Fabrics &amp; Trash</t>
        </is>
      </c>
      <c r="E2369" s="2">
        <f>HYPERLINK("https://www.amazon.com/Fresh-Wave-Lavender-Removing-Non-Aerosol/dp/B07S2SWQXV/ref=sr_1_6?keywords=Fresh+Gear+8+oz+Spray&amp;qid=1695171053&amp;sr=8-6", "https://www.amazon.com/Fresh-Wave-Lavender-Removing-Non-Aerosol/dp/B07S2SWQXV/ref=sr_1_6?keywords=Fresh+Gear+8+oz+Spray&amp;qid=1695171053&amp;sr=8-6")</f>
        <v/>
      </c>
      <c r="F2369" t="inlineStr">
        <is>
          <t>B07S2SWQXV</t>
        </is>
      </c>
      <c r="G2369">
        <f>_xludf.IMAGE("https://www.soccerplususa.com/prodimages/6013-DEFAULT-l.jpg")</f>
        <v/>
      </c>
      <c r="H2369">
        <f>_xludf.IMAGE("https://m.media-amazon.com/images/I/81iZXWNCRLL._AC_UL320_.jpg")</f>
        <v/>
      </c>
      <c r="K2369" t="inlineStr">
        <is>
          <t>16.99</t>
        </is>
      </c>
      <c r="L2369" t="n">
        <v>18.98</v>
      </c>
      <c r="M2369" s="1" t="inlineStr">
        <is>
          <t>11.71%</t>
        </is>
      </c>
      <c r="N2369" s="3" t="n">
        <v>11.71</v>
      </c>
      <c r="O2369" t="n">
        <v>4.1</v>
      </c>
      <c r="P2369" t="n">
        <v>1953</v>
      </c>
      <c r="R2369" t="inlineStr">
        <is>
          <t>InStock</t>
        </is>
      </c>
      <c r="S2369" t="inlineStr">
        <is>
          <t>undefined</t>
        </is>
      </c>
      <c r="T2369" t="inlineStr">
        <is>
          <t>FRESHGEAR8OZ</t>
        </is>
      </c>
    </row>
    <row r="2370" hidden="1" ht="15.75" customHeight="1">
      <c r="A2370" s="2">
        <f>HYPERLINK("https://www.soccerplususa.com/kwik-goal/kwikgoal-disc-cone-carrier-14058", "https://www.soccerplususa.com/kwik-goal/kwikgoal-disc-cone-carrier-14058")</f>
        <v/>
      </c>
      <c r="B2370" t="inlineStr">
        <is>
          <t>undefined</t>
        </is>
      </c>
      <c r="C2370" t="inlineStr">
        <is>
          <t>KwikGoal Disc Cone Carrier</t>
        </is>
      </c>
      <c r="D2370" t="inlineStr">
        <is>
          <t>Cone Disc Stand Holder Holds Up to 120 Cones Wire Carrier for Cones</t>
        </is>
      </c>
      <c r="E2370" s="2">
        <f>HYPERLINK("https://www.amazon.com/Stand-Holder-Holds-Cones-Carrier/dp/B00VC8LBXO/ref=sr_1_6?keywords=KwikGoal+Disc+Cone+Carrier&amp;qid=1695171045&amp;sr=8-6", "https://www.amazon.com/Stand-Holder-Holds-Cones-Carrier/dp/B00VC8LBXO/ref=sr_1_6?keywords=KwikGoal+Disc+Cone+Carrier&amp;qid=1695171045&amp;sr=8-6")</f>
        <v/>
      </c>
      <c r="F2370" t="inlineStr">
        <is>
          <t>B00VC8LBXO</t>
        </is>
      </c>
      <c r="G2370">
        <f>_xludf.IMAGE("https://www.soccerplususa.com/prodimages/5859-DEFAULT-l.jpg")</f>
        <v/>
      </c>
      <c r="H2370">
        <f>_xludf.IMAGE("https://m.media-amazon.com/images/I/31tsAKt4KbL._AC_UL320_.jpg")</f>
        <v/>
      </c>
      <c r="K2370" t="inlineStr">
        <is>
          <t>11.95</t>
        </is>
      </c>
      <c r="L2370" t="n">
        <v>13.2</v>
      </c>
      <c r="M2370" s="1" t="inlineStr">
        <is>
          <t>10.46%</t>
        </is>
      </c>
      <c r="N2370" s="3" t="n">
        <v>10.46</v>
      </c>
      <c r="O2370" t="n">
        <v>2.9</v>
      </c>
      <c r="P2370" t="n">
        <v>3</v>
      </c>
      <c r="R2370" t="inlineStr">
        <is>
          <t>InStock</t>
        </is>
      </c>
      <c r="S2370" t="inlineStr">
        <is>
          <t>undefined</t>
        </is>
      </c>
      <c r="T2370" t="inlineStr">
        <is>
          <t>6B2</t>
        </is>
      </c>
    </row>
    <row r="2371" hidden="1" ht="15.75" customHeight="1">
      <c r="A2371" s="2">
        <f>HYPERLINK("https://www.soccerplususa.com/premier-sock-tape/esio-kinesiology-tape-37586", "https://www.soccerplususa.com/premier-sock-tape/esio-kinesiology-tape-37586")</f>
        <v/>
      </c>
      <c r="B2371" t="inlineStr">
        <is>
          <t>undefined</t>
        </is>
      </c>
      <c r="C2371" t="inlineStr">
        <is>
          <t>Esio Kinesiology Tape</t>
        </is>
      </c>
      <c r="D2371" t="inlineStr">
        <is>
          <t>KT Tape, Kinesiology Athletic Tape, Gentle Adhesive for Sensitive Skin, 20 Count, 10" Precut Strips, Beige</t>
        </is>
      </c>
      <c r="E2371" s="2">
        <f>HYPERLINK("https://www.amazon.com/KT-Tape-Kinesiology-Therapeutic-Sensitive/dp/B01MSD1P19/ref=sr_1_1?keywords=sio+kinesiology+tape&amp;qid=1695171042&amp;sr=8-1", "https://www.amazon.com/KT-Tape-Kinesiology-Therapeutic-Sensitive/dp/B01MSD1P19/ref=sr_1_1?keywords=sio+kinesiology+tape&amp;qid=1695171042&amp;sr=8-1")</f>
        <v/>
      </c>
      <c r="F2371" t="inlineStr">
        <is>
          <t>B01MSD1P19</t>
        </is>
      </c>
      <c r="G2371">
        <f>_xludf.IMAGE("https://www.soccerplususa.com/prodimages/10266-DEFAULT-l.jpg")</f>
        <v/>
      </c>
      <c r="H2371">
        <f>_xludf.IMAGE("https://m.media-amazon.com/images/I/71D6x9nFB4L._AC_UL320_.jpg")</f>
        <v/>
      </c>
      <c r="K2371" t="inlineStr">
        <is>
          <t>12.0</t>
        </is>
      </c>
      <c r="L2371" t="n">
        <v>13.24</v>
      </c>
      <c r="M2371" s="1" t="inlineStr">
        <is>
          <t>10.33%</t>
        </is>
      </c>
      <c r="N2371" s="3" t="n">
        <v>10.33</v>
      </c>
      <c r="O2371" t="n">
        <v>4.2</v>
      </c>
      <c r="P2371" t="n">
        <v>1780</v>
      </c>
      <c r="R2371" t="inlineStr">
        <is>
          <t>InStock</t>
        </is>
      </c>
      <c r="S2371" t="inlineStr">
        <is>
          <t>16.95</t>
        </is>
      </c>
      <c r="T2371" t="inlineStr">
        <is>
          <t>ESIO</t>
        </is>
      </c>
    </row>
    <row r="2372" hidden="1" ht="15.75" customHeight="1">
      <c r="A2372" s="2">
        <f>HYPERLINK("https://www.soccerplususa.com/storelli-sports/storelli-exoshield-head-guard-32134", "https://www.soccerplususa.com/storelli-sports/storelli-exoshield-head-guard-32134")</f>
        <v/>
      </c>
      <c r="B2372" t="inlineStr">
        <is>
          <t>undefined</t>
        </is>
      </c>
      <c r="C2372" t="inlineStr">
        <is>
          <t>Storelli ExoShield Head Guard</t>
        </is>
      </c>
      <c r="D2372" t="inlineStr">
        <is>
          <t>Storelli ExoShield Head Guard Sports Headband Protective Soccer Headgear</t>
        </is>
      </c>
      <c r="E2372" s="2">
        <f>HYPERLINK("https://www.amazon.com/Storelli-ExoShield-Headband-Protective-Headgear/dp/B07R75V1Y9/ref=sr_1_1?keywords=Storelli+ExoShield+Head+Guard&amp;qid=1695171048&amp;sr=8-1", "https://www.amazon.com/Storelli-ExoShield-Headband-Protective-Headgear/dp/B07R75V1Y9/ref=sr_1_1?keywords=Storelli+ExoShield+Head+Guard&amp;qid=1695171048&amp;sr=8-1")</f>
        <v/>
      </c>
      <c r="F2372" t="inlineStr">
        <is>
          <t>B07R75V1Y9</t>
        </is>
      </c>
      <c r="G2372">
        <f>_xludf.IMAGE("https://www.soccerplususa.com/prodimages//1313-BLACK-M.jpg")</f>
        <v/>
      </c>
      <c r="H2372">
        <f>_xludf.IMAGE("https://m.media-amazon.com/images/I/51GuYmaiR5L._AC_UL320_.jpg")</f>
        <v/>
      </c>
      <c r="K2372" t="inlineStr">
        <is>
          <t>54.95</t>
        </is>
      </c>
      <c r="L2372" t="n">
        <v>59.99</v>
      </c>
      <c r="M2372" s="1" t="inlineStr">
        <is>
          <t>9.17%</t>
        </is>
      </c>
      <c r="N2372" s="3" t="n">
        <v>9.17</v>
      </c>
      <c r="O2372" t="n">
        <v>3</v>
      </c>
      <c r="P2372" t="n">
        <v>8</v>
      </c>
      <c r="R2372" t="inlineStr">
        <is>
          <t>InStock</t>
        </is>
      </c>
      <c r="S2372" t="inlineStr">
        <is>
          <t>undefined</t>
        </is>
      </c>
      <c r="T2372" t="inlineStr">
        <is>
          <t>HGUARDBK</t>
        </is>
      </c>
    </row>
    <row r="2373" hidden="1" ht="15.75" customHeight="1">
      <c r="A2373" s="2">
        <f>HYPERLINK("https://www.soccerplususa.com/kwik-goal/game-day-note-books-13928", "https://www.soccerplususa.com/kwik-goal/game-day-note-books-13928")</f>
        <v/>
      </c>
      <c r="B2373" t="inlineStr">
        <is>
          <t>undefined</t>
        </is>
      </c>
      <c r="C2373" t="inlineStr">
        <is>
          <t>Game Day Note Books</t>
        </is>
      </c>
      <c r="D2373" t="inlineStr">
        <is>
          <t>Kwik Goal Game Day Notebook – Pack of 2</t>
        </is>
      </c>
      <c r="E2373" s="2">
        <f>HYPERLINK("https://www.amazon.com/Kwik-Goal-Game-Day-Notebook/dp/B000WF3Z6O/ref=sr_1_3?keywords=Game+Day+Note+Books&amp;qid=1695171044&amp;sr=8-3", "https://www.amazon.com/Kwik-Goal-Game-Day-Notebook/dp/B000WF3Z6O/ref=sr_1_3?keywords=Game+Day+Note+Books&amp;qid=1695171044&amp;sr=8-3")</f>
        <v/>
      </c>
      <c r="F2373" t="inlineStr">
        <is>
          <t>B000WF3Z6O</t>
        </is>
      </c>
      <c r="G2373">
        <f>_xludf.IMAGE("https://www.soccerplususa.com/prodimages/744-DEFAULT-l.jpg")</f>
        <v/>
      </c>
      <c r="H2373">
        <f>_xludf.IMAGE("https://m.media-amazon.com/images/I/51u4RixAmHL._AC_UL320_.jpg")</f>
        <v/>
      </c>
      <c r="K2373" t="inlineStr">
        <is>
          <t>20.95</t>
        </is>
      </c>
      <c r="L2373" t="n">
        <v>21.99</v>
      </c>
      <c r="M2373" s="1" t="inlineStr">
        <is>
          <t>4.96%</t>
        </is>
      </c>
      <c r="N2373" s="3" t="n">
        <v>4.96</v>
      </c>
      <c r="O2373" t="n">
        <v>4.4</v>
      </c>
      <c r="P2373" t="n">
        <v>14</v>
      </c>
      <c r="R2373" t="inlineStr">
        <is>
          <t>InStock</t>
        </is>
      </c>
      <c r="S2373" t="inlineStr">
        <is>
          <t>undefined</t>
        </is>
      </c>
      <c r="T2373" t="inlineStr">
        <is>
          <t>20B1101</t>
        </is>
      </c>
    </row>
    <row r="2374" hidden="1" ht="15.75" customHeight="1">
      <c r="A2374" s="2">
        <f>HYPERLINK("https://www.soccerplususa.com/kwik-goal/kwik-goal-deluxe-scrimmage-vest-xxs-13828", "https://www.soccerplususa.com/kwik-goal/kwik-goal-deluxe-scrimmage-vest-xxs-13828")</f>
        <v/>
      </c>
      <c r="B2374" t="inlineStr">
        <is>
          <t>undefined</t>
        </is>
      </c>
      <c r="C2374" t="inlineStr">
        <is>
          <t>Kwik Goal Deluxe Scrimmage Vest XXS</t>
        </is>
      </c>
      <c r="D2374" t="inlineStr">
        <is>
          <t>Kwik Goal Adult Deluxe Scrimmage vest</t>
        </is>
      </c>
      <c r="E2374" s="2">
        <f>HYPERLINK("https://www.amazon.com/Kwik-Goal-Deluxe-Scrimmage-XX-Small/dp/B0015Q7ABA/ref=sr_1_1?keywords=Kwik+Goal+Deluxe+Scrimmage+Vest+XXS&amp;qid=1695171056&amp;sr=8-1", "https://www.amazon.com/Kwik-Goal-Deluxe-Scrimmage-XX-Small/dp/B0015Q7ABA/ref=sr_1_1?keywords=Kwik+Goal+Deluxe+Scrimmage+Vest+XXS&amp;qid=1695171056&amp;sr=8-1")</f>
        <v/>
      </c>
      <c r="F2374" t="inlineStr">
        <is>
          <t>B0015Q7ABA</t>
        </is>
      </c>
      <c r="G2374">
        <f>_xludf.IMAGE("https://www.soccerplususa.com/prodimages//35008-RED-M.jpg")</f>
        <v/>
      </c>
      <c r="H2374">
        <f>_xludf.IMAGE("https://m.media-amazon.com/images/I/81WiVK71sDL._AC_UL320_.jpg")</f>
        <v/>
      </c>
      <c r="K2374" t="inlineStr">
        <is>
          <t>4.95</t>
        </is>
      </c>
      <c r="L2374" t="n">
        <v>5.15</v>
      </c>
      <c r="M2374" s="1" t="inlineStr">
        <is>
          <t>4.04%</t>
        </is>
      </c>
      <c r="N2374" s="3" t="n">
        <v>4.04</v>
      </c>
      <c r="O2374" t="n">
        <v>4.6</v>
      </c>
      <c r="P2374" t="n">
        <v>135</v>
      </c>
      <c r="R2374" t="inlineStr">
        <is>
          <t>InStock</t>
        </is>
      </c>
      <c r="S2374" t="inlineStr">
        <is>
          <t>undefined</t>
        </is>
      </c>
      <c r="T2374" t="inlineStr">
        <is>
          <t>19A111</t>
        </is>
      </c>
    </row>
    <row r="2375" hidden="1" ht="15.75" customHeight="1">
      <c r="A2375" s="2">
        <f>HYPERLINK("https://www.soccerplususa.com/kwik-goal/kwik-goal-deluxe-scrimmage-vest-xxs-13856", "https://www.soccerplususa.com/kwik-goal/kwik-goal-deluxe-scrimmage-vest-xxs-13856")</f>
        <v/>
      </c>
      <c r="B2375" t="inlineStr">
        <is>
          <t>undefined</t>
        </is>
      </c>
      <c r="C2375" t="inlineStr">
        <is>
          <t>Kwik Goal Deluxe Scrimmage Vest XXS</t>
        </is>
      </c>
      <c r="D2375" t="inlineStr">
        <is>
          <t>Kwik Goal Adult Deluxe Scrimmage vest</t>
        </is>
      </c>
      <c r="E2375" s="2">
        <f>HYPERLINK("https://www.amazon.com/Kwik-Goal-Deluxe-Scrimmage-XX-Small/dp/B0015Q7ABA/ref=sr_1_1?keywords=Kwik+Goal+Deluxe+Scrimmage+Vest+XXS&amp;qid=1695171050&amp;sr=8-1", "https://www.amazon.com/Kwik-Goal-Deluxe-Scrimmage-XX-Small/dp/B0015Q7ABA/ref=sr_1_1?keywords=Kwik+Goal+Deluxe+Scrimmage+Vest+XXS&amp;qid=1695171050&amp;sr=8-1")</f>
        <v/>
      </c>
      <c r="F2375" t="inlineStr">
        <is>
          <t>B0015Q7ABA</t>
        </is>
      </c>
      <c r="G2375">
        <f>_xludf.IMAGE("https://www.soccerplususa.com/prodimages//35010-YELLOW-M.jpg")</f>
        <v/>
      </c>
      <c r="H2375">
        <f>_xludf.IMAGE("https://m.media-amazon.com/images/I/81WiVK71sDL._AC_UL320_.jpg")</f>
        <v/>
      </c>
      <c r="K2375" t="inlineStr">
        <is>
          <t>4.95</t>
        </is>
      </c>
      <c r="L2375" t="n">
        <v>5.15</v>
      </c>
      <c r="M2375" s="1" t="inlineStr">
        <is>
          <t>4.04%</t>
        </is>
      </c>
      <c r="N2375" s="3" t="n">
        <v>4.04</v>
      </c>
      <c r="O2375" t="n">
        <v>4.6</v>
      </c>
      <c r="P2375" t="n">
        <v>135</v>
      </c>
      <c r="R2375" t="inlineStr">
        <is>
          <t>InStock</t>
        </is>
      </c>
      <c r="S2375" t="inlineStr">
        <is>
          <t>undefined</t>
        </is>
      </c>
      <c r="T2375" t="inlineStr">
        <is>
          <t>19A181</t>
        </is>
      </c>
    </row>
    <row r="2376" hidden="1" ht="15.75" customHeight="1">
      <c r="A2376" s="2">
        <f>HYPERLINK("https://www.soccerplususa.com/kwik-goal/kwik-goal-mini-disc-cone-25pk-14048", "https://www.soccerplususa.com/kwik-goal/kwik-goal-mini-disc-cone-25pk-14048")</f>
        <v/>
      </c>
      <c r="B2376" t="inlineStr">
        <is>
          <t>undefined</t>
        </is>
      </c>
      <c r="C2376" t="inlineStr">
        <is>
          <t>Kwik Goal Mini Disc Cone 25pk</t>
        </is>
      </c>
      <c r="D2376" t="inlineStr">
        <is>
          <t>Kwik Goal Mini Disc Cones</t>
        </is>
      </c>
      <c r="E2376" s="2">
        <f>HYPERLINK("https://www.amazon.com/Kwik-Goal-Mini-Cones-Pack/dp/B00IP49VQM/ref=sr_1_4?keywords=Kwik+Goal+Mini+Disc+Cone+25pk&amp;qid=1695171053&amp;sr=8-4", "https://www.amazon.com/Kwik-Goal-Mini-Cones-Pack/dp/B00IP49VQM/ref=sr_1_4?keywords=Kwik+Goal+Mini+Disc+Cone+25pk&amp;qid=1695171053&amp;sr=8-4")</f>
        <v/>
      </c>
      <c r="F2376" t="inlineStr">
        <is>
          <t>B00IP49VQM</t>
        </is>
      </c>
      <c r="G2376">
        <f>_xludf.IMAGE("https://www.soccerplususa.com/prodimages/4081-DEFAULT-l.jpg")</f>
        <v/>
      </c>
      <c r="H2376">
        <f>_xludf.IMAGE("https://m.media-amazon.com/images/I/51Wl8uj6zzL._AC_UL320_.jpg")</f>
        <v/>
      </c>
      <c r="K2376" t="inlineStr">
        <is>
          <t>18.5</t>
        </is>
      </c>
      <c r="L2376" t="n">
        <v>18.99</v>
      </c>
      <c r="M2376" s="1" t="inlineStr">
        <is>
          <t>2.65%</t>
        </is>
      </c>
      <c r="N2376" s="3" t="n">
        <v>2.65</v>
      </c>
      <c r="O2376" t="n">
        <v>4.8</v>
      </c>
      <c r="P2376" t="n">
        <v>539</v>
      </c>
      <c r="R2376" t="inlineStr">
        <is>
          <t>InStock</t>
        </is>
      </c>
      <c r="S2376" t="inlineStr">
        <is>
          <t>undefined</t>
        </is>
      </c>
      <c r="T2376" t="inlineStr">
        <is>
          <t>6A14</t>
        </is>
      </c>
    </row>
    <row r="2377" hidden="1" ht="15.75" customHeight="1">
      <c r="A2377" s="2">
        <f>HYPERLINK("https://www.soccerplususa.com/premier-sock-tape/esio-kinesiology-tape-37586", "https://www.soccerplususa.com/premier-sock-tape/esio-kinesiology-tape-37586")</f>
        <v/>
      </c>
      <c r="B2377" t="inlineStr">
        <is>
          <t>undefined</t>
        </is>
      </c>
      <c r="C2377" t="inlineStr">
        <is>
          <t>Esio Kinesiology Tape</t>
        </is>
      </c>
      <c r="D2377" t="inlineStr">
        <is>
          <t>OK TAPE Basic Kinesiology Tape (3 Pack), Original Cotton Athletic Tape for Support Muscle Joint Knee, Sports Waterproof Tape Uncut Strips Latex Free, Hypoallergenic, Pain Relief, 2in×16.4ft - Beige</t>
        </is>
      </c>
      <c r="E2377" s="2">
        <f>HYPERLINK("https://www.amazon.com/OK-TAPE-Kinesiology-Waterproof-Hypoallergenic/dp/B0BJCMB71W/ref=sr_1_3?keywords=sio+kinesiology+tape&amp;qid=1695171042&amp;sr=8-3", "https://www.amazon.com/OK-TAPE-Kinesiology-Waterproof-Hypoallergenic/dp/B0BJCMB71W/ref=sr_1_3?keywords=sio+kinesiology+tape&amp;qid=1695171042&amp;sr=8-3")</f>
        <v/>
      </c>
      <c r="F2377" t="inlineStr">
        <is>
          <t>B0BJCMB71W</t>
        </is>
      </c>
      <c r="G2377">
        <f>_xludf.IMAGE("https://www.soccerplususa.com/prodimages/10266-DEFAULT-l.jpg")</f>
        <v/>
      </c>
      <c r="H2377">
        <f>_xludf.IMAGE("https://m.media-amazon.com/images/I/61A5WxObrEL._AC_UL320_.jpg")</f>
        <v/>
      </c>
      <c r="K2377" t="inlineStr">
        <is>
          <t>12.0</t>
        </is>
      </c>
      <c r="L2377" t="n">
        <v>11.99</v>
      </c>
      <c r="M2377" s="1" t="inlineStr">
        <is>
          <t>-0.08%</t>
        </is>
      </c>
      <c r="N2377" s="3" t="n">
        <v>-0.08</v>
      </c>
      <c r="O2377" t="n">
        <v>4.5</v>
      </c>
      <c r="P2377" t="n">
        <v>106</v>
      </c>
      <c r="R2377" t="inlineStr">
        <is>
          <t>InStock</t>
        </is>
      </c>
      <c r="S2377" t="inlineStr">
        <is>
          <t>16.95</t>
        </is>
      </c>
      <c r="T2377" t="inlineStr">
        <is>
          <t>ESIO</t>
        </is>
      </c>
    </row>
    <row r="2378" hidden="1" ht="15.75" customHeight="1">
      <c r="A2378" s="2">
        <f>HYPERLINK("https://www.soccerplususa.com/premier-sock-tape/esio-kinesiology-tape-37586", "https://www.soccerplususa.com/premier-sock-tape/esio-kinesiology-tape-37586")</f>
        <v/>
      </c>
      <c r="B2378" t="inlineStr">
        <is>
          <t>undefined</t>
        </is>
      </c>
      <c r="C2378" t="inlineStr">
        <is>
          <t>Esio Kinesiology Tape</t>
        </is>
      </c>
      <c r="D2378" t="inlineStr">
        <is>
          <t>Care Science Waterproof Kinesiology Tape, 40 ct Precut Strips (2 Rolls), Copper Infused | Water Resistant Strips, Elastic Athletic Tape for Sports &amp; Weightlifting, Muscle Strain Relief &amp; Joint Support</t>
        </is>
      </c>
      <c r="E2378" s="2">
        <f>HYPERLINK("https://www.amazon.com/Care-Science-Waterproof-Kinesiology-Weightlifting/dp/B09DDC81LS/ref=sr_1_6?keywords=sio+kinesiology+tape&amp;qid=1695171042&amp;sr=8-6", "https://www.amazon.com/Care-Science-Waterproof-Kinesiology-Weightlifting/dp/B09DDC81LS/ref=sr_1_6?keywords=sio+kinesiology+tape&amp;qid=1695171042&amp;sr=8-6")</f>
        <v/>
      </c>
      <c r="F2378" t="inlineStr">
        <is>
          <t>B09DDC81LS</t>
        </is>
      </c>
      <c r="G2378">
        <f>_xludf.IMAGE("https://www.soccerplususa.com/prodimages/10266-DEFAULT-l.jpg")</f>
        <v/>
      </c>
      <c r="H2378">
        <f>_xludf.IMAGE("https://m.media-amazon.com/images/I/715yeczN87L._AC_UL320_.jpg")</f>
        <v/>
      </c>
      <c r="K2378" t="inlineStr">
        <is>
          <t>12.0</t>
        </is>
      </c>
      <c r="L2378" t="n">
        <v>11.99</v>
      </c>
      <c r="M2378" s="1" t="inlineStr">
        <is>
          <t>-0.08%</t>
        </is>
      </c>
      <c r="N2378" s="3" t="n">
        <v>-0.08</v>
      </c>
      <c r="O2378" t="n">
        <v>4.4</v>
      </c>
      <c r="P2378" t="n">
        <v>842</v>
      </c>
      <c r="R2378" t="inlineStr">
        <is>
          <t>InStock</t>
        </is>
      </c>
      <c r="S2378" t="inlineStr">
        <is>
          <t>16.95</t>
        </is>
      </c>
      <c r="T2378" t="inlineStr">
        <is>
          <t>ESIO</t>
        </is>
      </c>
    </row>
    <row r="2379" hidden="1" ht="15.75" customHeight="1">
      <c r="A2379" s="2">
        <f>HYPERLINK("https://www.soccerplususa.com/kwik-goal/kwik-goal-stopwatch-13760", "https://www.soccerplususa.com/kwik-goal/kwik-goal-stopwatch-13760")</f>
        <v/>
      </c>
      <c r="B2379" t="inlineStr">
        <is>
          <t>undefined</t>
        </is>
      </c>
      <c r="C2379" t="inlineStr">
        <is>
          <t>Kwik Goal Stopwatch</t>
        </is>
      </c>
      <c r="D2379" t="inlineStr">
        <is>
          <t>Kwik Goal Stopwatch</t>
        </is>
      </c>
      <c r="E2379" s="2">
        <f>HYPERLINK("https://www.amazon.com/Kwik-Goal-15C3-Stopwatch/dp/B079NKRVVJ/ref=sr_1_1?keywords=Kwik+Goal+Stopwatch&amp;qid=1695171060&amp;sr=8-1", "https://www.amazon.com/Kwik-Goal-15C3-Stopwatch/dp/B079NKRVVJ/ref=sr_1_1?keywords=Kwik+Goal+Stopwatch&amp;qid=1695171060&amp;sr=8-1")</f>
        <v/>
      </c>
      <c r="F2379" t="inlineStr">
        <is>
          <t>B079NKRVVJ</t>
        </is>
      </c>
      <c r="G2379">
        <f>_xludf.IMAGE("https://www.soccerplususa.com/prodimages/6155-DEFAULT-l.jpg")</f>
        <v/>
      </c>
      <c r="H2379">
        <f>_xludf.IMAGE("https://m.media-amazon.com/images/I/61ocFOlpkML._AC_UY218_.jpg")</f>
        <v/>
      </c>
      <c r="K2379" t="inlineStr">
        <is>
          <t>28.95</t>
        </is>
      </c>
      <c r="L2379" t="n">
        <v>27.3</v>
      </c>
      <c r="M2379" s="1" t="inlineStr">
        <is>
          <t>-5.70%</t>
        </is>
      </c>
      <c r="N2379" s="3" t="n">
        <v>-5.7</v>
      </c>
      <c r="O2379" t="n">
        <v>5</v>
      </c>
      <c r="P2379" t="n">
        <v>1</v>
      </c>
      <c r="R2379" t="inlineStr">
        <is>
          <t>InStock</t>
        </is>
      </c>
      <c r="S2379" t="inlineStr">
        <is>
          <t>undefined</t>
        </is>
      </c>
      <c r="T2379" t="inlineStr">
        <is>
          <t>15C3</t>
        </is>
      </c>
    </row>
    <row r="2380" hidden="1" ht="15.75" customHeight="1">
      <c r="A2380" s="2">
        <f>HYPERLINK("https://www.soccerplususa.com/fresh-gear/fresh-gear-8-oz-spray-13026", "https://www.soccerplususa.com/fresh-gear/fresh-gear-8-oz-spray-13026")</f>
        <v/>
      </c>
      <c r="B2380" t="inlineStr">
        <is>
          <t>undefined</t>
        </is>
      </c>
      <c r="C2380" t="inlineStr">
        <is>
          <t>Fresh Gear 8 oz Spray</t>
        </is>
      </c>
      <c r="D2380" t="inlineStr">
        <is>
          <t>Fresh Wave Lavender Odor Eliminator Spray &amp; Air Freshener, 8 oz. | Pack of 2 | Odor Absorbers for Home | Safer Odor Relief | Natural Plant-Based For Furniture, Fabrics &amp; Trash</t>
        </is>
      </c>
      <c r="E2380" s="2">
        <f>HYPERLINK("https://www.amazon.com/Eliminator-Freshener-Absorbers-Plant-Based-Furniture/dp/B07QDV4D21/ref=sr_1_3?keywords=Fresh+Gear+8+oz+Spray&amp;qid=1695171053&amp;sr=8-3", "https://www.amazon.com/Eliminator-Freshener-Absorbers-Plant-Based-Furniture/dp/B07QDV4D21/ref=sr_1_3?keywords=Fresh+Gear+8+oz+Spray&amp;qid=1695171053&amp;sr=8-3")</f>
        <v/>
      </c>
      <c r="F2380" t="inlineStr">
        <is>
          <t>B07QDV4D21</t>
        </is>
      </c>
      <c r="G2380">
        <f>_xludf.IMAGE("https://www.soccerplususa.com/prodimages/6013-DEFAULT-l.jpg")</f>
        <v/>
      </c>
      <c r="H2380">
        <f>_xludf.IMAGE("https://m.media-amazon.com/images/I/91MJzIotorL._AC_UL320_.jpg")</f>
        <v/>
      </c>
      <c r="K2380" t="inlineStr">
        <is>
          <t>16.99</t>
        </is>
      </c>
      <c r="L2380" t="n">
        <v>15.98</v>
      </c>
      <c r="M2380" s="1" t="inlineStr">
        <is>
          <t>-5.94%</t>
        </is>
      </c>
      <c r="N2380" s="3" t="n">
        <v>-5.94</v>
      </c>
      <c r="O2380" t="n">
        <v>4.3</v>
      </c>
      <c r="P2380" t="n">
        <v>4000</v>
      </c>
      <c r="R2380" t="inlineStr">
        <is>
          <t>InStock</t>
        </is>
      </c>
      <c r="S2380" t="inlineStr">
        <is>
          <t>undefined</t>
        </is>
      </c>
      <c r="T2380" t="inlineStr">
        <is>
          <t>FRESHGEAR8OZ</t>
        </is>
      </c>
    </row>
    <row r="2381" hidden="1" ht="15.75" customHeight="1">
      <c r="A2381" s="2">
        <f>HYPERLINK("https://www.soccerplususa.com/kwik-goal/kwik-goal-strap-cone-carrier-14088", "https://www.soccerplususa.com/kwik-goal/kwik-goal-strap-cone-carrier-14088")</f>
        <v/>
      </c>
      <c r="B2381" t="inlineStr">
        <is>
          <t>undefined</t>
        </is>
      </c>
      <c r="C2381" t="inlineStr">
        <is>
          <t>Kwik Goal Strap Cone Carrier</t>
        </is>
      </c>
      <c r="D2381" t="inlineStr">
        <is>
          <t>Kwik Goal Strap Cone Carrier</t>
        </is>
      </c>
      <c r="E2381" s="2">
        <f>HYPERLINK("https://www.amazon.com/Kwik-Goal-Strap-Carrier-Yellow/dp/B00SA2UJN8/ref=sr_1_1?keywords=Kwik+Goal+Strap+Cone+Carrier&amp;qid=1695171051&amp;sr=8-1", "https://www.amazon.com/Kwik-Goal-Strap-Carrier-Yellow/dp/B00SA2UJN8/ref=sr_1_1?keywords=Kwik+Goal+Strap+Cone+Carrier&amp;qid=1695171051&amp;sr=8-1")</f>
        <v/>
      </c>
      <c r="F2381" t="inlineStr">
        <is>
          <t>B00SA2UJN8</t>
        </is>
      </c>
      <c r="G2381">
        <f>_xludf.IMAGE("https://www.soccerplususa.com/prodimages/2766-DEFAULT-l.jpg")</f>
        <v/>
      </c>
      <c r="H2381">
        <f>_xludf.IMAGE("https://m.media-amazon.com/images/I/71ur2bYXptL._AC_UL320_.jpg")</f>
        <v/>
      </c>
      <c r="K2381" t="inlineStr">
        <is>
          <t>7.5</t>
        </is>
      </c>
      <c r="L2381" t="n">
        <v>6.99</v>
      </c>
      <c r="M2381" s="1" t="inlineStr">
        <is>
          <t>-6.80%</t>
        </is>
      </c>
      <c r="N2381" s="3" t="n">
        <v>-6.8</v>
      </c>
      <c r="O2381" t="n">
        <v>4.5</v>
      </c>
      <c r="P2381" t="n">
        <v>152</v>
      </c>
      <c r="R2381" t="inlineStr">
        <is>
          <t>InStock</t>
        </is>
      </c>
      <c r="S2381" t="inlineStr">
        <is>
          <t>undefined</t>
        </is>
      </c>
      <c r="T2381" t="inlineStr">
        <is>
          <t>PS-7</t>
        </is>
      </c>
    </row>
    <row r="2382" hidden="1" ht="15.75" customHeight="1">
      <c r="A2382" s="2">
        <f>HYPERLINK("https://www.soccerplususa.com/kwik-goal/kwik-goal-strap-cone-carrier-14087", "https://www.soccerplususa.com/kwik-goal/kwik-goal-strap-cone-carrier-14087")</f>
        <v/>
      </c>
      <c r="B2382" t="inlineStr">
        <is>
          <t>undefined</t>
        </is>
      </c>
      <c r="C2382" t="inlineStr">
        <is>
          <t>Kwik Goal Strap Cone Carrier</t>
        </is>
      </c>
      <c r="D2382" t="inlineStr">
        <is>
          <t>Kwik Goal Strap Cone Carrier</t>
        </is>
      </c>
      <c r="E2382" s="2">
        <f>HYPERLINK("https://www.amazon.com/Kwik-Goal-Strap-Carrier-Yellow/dp/B00SA2UJN8/ref=sr_1_2?keywords=Kwik+Goal+Strap+Cone+Carrier&amp;qid=1695171041&amp;sr=8-2", "https://www.amazon.com/Kwik-Goal-Strap-Carrier-Yellow/dp/B00SA2UJN8/ref=sr_1_2?keywords=Kwik+Goal+Strap+Cone+Carrier&amp;qid=1695171041&amp;sr=8-2")</f>
        <v/>
      </c>
      <c r="F2382" t="inlineStr">
        <is>
          <t>B00SA2UJN8</t>
        </is>
      </c>
      <c r="G2382">
        <f>_xludf.IMAGE("https://www.soccerplususa.com/prodimages/1633-DEFAULT-l.jpg")</f>
        <v/>
      </c>
      <c r="H2382">
        <f>_xludf.IMAGE("https://m.media-amazon.com/images/I/71ur2bYXptL._AC_UL320_.jpg")</f>
        <v/>
      </c>
      <c r="K2382" t="inlineStr">
        <is>
          <t>7.5</t>
        </is>
      </c>
      <c r="L2382" t="n">
        <v>6.99</v>
      </c>
      <c r="M2382" s="1" t="inlineStr">
        <is>
          <t>-6.80%</t>
        </is>
      </c>
      <c r="N2382" s="3" t="n">
        <v>-6.8</v>
      </c>
      <c r="O2382" t="n">
        <v>4.5</v>
      </c>
      <c r="P2382" t="n">
        <v>152</v>
      </c>
      <c r="R2382" t="inlineStr">
        <is>
          <t>InStock</t>
        </is>
      </c>
      <c r="S2382" t="inlineStr">
        <is>
          <t>undefined</t>
        </is>
      </c>
      <c r="T2382" t="inlineStr">
        <is>
          <t>PS-6</t>
        </is>
      </c>
    </row>
    <row r="2383" hidden="1" ht="15.75" customHeight="1">
      <c r="A2383" s="2">
        <f>HYPERLINK("https://www.soccerplususa.com/kwik-goal/kwikgoal-disc-cone-carrier-14058", "https://www.soccerplususa.com/kwik-goal/kwikgoal-disc-cone-carrier-14058")</f>
        <v/>
      </c>
      <c r="B2383" t="inlineStr">
        <is>
          <t>undefined</t>
        </is>
      </c>
      <c r="C2383" t="inlineStr">
        <is>
          <t>KwikGoal Disc Cone Carrier</t>
        </is>
      </c>
      <c r="D2383" t="inlineStr">
        <is>
          <t>Kwik Goal Disc Cone Carrier,White</t>
        </is>
      </c>
      <c r="E2383" s="2">
        <f>HYPERLINK("https://www.amazon.com/Kwik-Goal-Disc-Cone-Carrier/dp/B000ZK7QXO/ref=sr_1_2?keywords=KwikGoal+Disc+Cone+Carrier&amp;qid=1695171045&amp;sr=8-2", "https://www.amazon.com/Kwik-Goal-Disc-Cone-Carrier/dp/B000ZK7QXO/ref=sr_1_2?keywords=KwikGoal+Disc+Cone+Carrier&amp;qid=1695171045&amp;sr=8-2")</f>
        <v/>
      </c>
      <c r="F2383" t="inlineStr">
        <is>
          <t>B000ZK7QXO</t>
        </is>
      </c>
      <c r="G2383">
        <f>_xludf.IMAGE("https://www.soccerplususa.com/prodimages/5859-DEFAULT-l.jpg")</f>
        <v/>
      </c>
      <c r="H2383">
        <f>_xludf.IMAGE("https://m.media-amazon.com/images/I/71to1O2wqEL._AC_UL320_.jpg")</f>
        <v/>
      </c>
      <c r="K2383" t="inlineStr">
        <is>
          <t>11.95</t>
        </is>
      </c>
      <c r="L2383" t="n">
        <v>11</v>
      </c>
      <c r="M2383" s="1" t="inlineStr">
        <is>
          <t>-7.95%</t>
        </is>
      </c>
      <c r="N2383" s="3" t="n">
        <v>-7.95</v>
      </c>
      <c r="O2383" t="n">
        <v>3.8</v>
      </c>
      <c r="P2383" t="n">
        <v>20</v>
      </c>
      <c r="R2383" t="inlineStr">
        <is>
          <t>InStock</t>
        </is>
      </c>
      <c r="S2383" t="inlineStr">
        <is>
          <t>undefined</t>
        </is>
      </c>
      <c r="T2383" t="inlineStr">
        <is>
          <t>6B2</t>
        </is>
      </c>
    </row>
    <row r="2384" hidden="1" ht="15.75" customHeight="1">
      <c r="A2384" s="2">
        <f>HYPERLINK("https://www.soccerplususa.com/premier-sock-tape/esio-kinesiology-tape-37586", "https://www.soccerplususa.com/premier-sock-tape/esio-kinesiology-tape-37586")</f>
        <v/>
      </c>
      <c r="B2384" t="inlineStr">
        <is>
          <t>undefined</t>
        </is>
      </c>
      <c r="C2384" t="inlineStr">
        <is>
          <t>Esio Kinesiology Tape</t>
        </is>
      </c>
      <c r="D2384" t="inlineStr">
        <is>
          <t>Beige Kinesiology Tape for Sensitive Skin - 16ft Uncut K Tape Roll | Sports Tape Athletic Tape for Injuries | Kinesio Tape Waterproof - Latex Free Kinetic Tape for Knees, Joints, face &amp; Muscles</t>
        </is>
      </c>
      <c r="E2384" s="2">
        <f>HYPERLINK("https://www.amazon.com/Boob-Tape-Boobtape-Hypoallergenic-Resistant/dp/B08BG9MPLN/ref=sr_1_10?keywords=sio+kinesiology+tape&amp;qid=1695171042&amp;sr=8-10", "https://www.amazon.com/Boob-Tape-Boobtape-Hypoallergenic-Resistant/dp/B08BG9MPLN/ref=sr_1_10?keywords=sio+kinesiology+tape&amp;qid=1695171042&amp;sr=8-10")</f>
        <v/>
      </c>
      <c r="F2384" t="inlineStr">
        <is>
          <t>B08BG9MPLN</t>
        </is>
      </c>
      <c r="G2384">
        <f>_xludf.IMAGE("https://www.soccerplususa.com/prodimages/10266-DEFAULT-l.jpg")</f>
        <v/>
      </c>
      <c r="H2384">
        <f>_xludf.IMAGE("https://m.media-amazon.com/images/I/715iVdswxOL._AC_UL320_.jpg")</f>
        <v/>
      </c>
      <c r="K2384" t="inlineStr">
        <is>
          <t>12.0</t>
        </is>
      </c>
      <c r="L2384" t="n">
        <v>10.99</v>
      </c>
      <c r="M2384" s="1" t="inlineStr">
        <is>
          <t>-8.42%</t>
        </is>
      </c>
      <c r="N2384" s="3" t="n">
        <v>-8.42</v>
      </c>
      <c r="O2384" t="n">
        <v>4.2</v>
      </c>
      <c r="P2384" t="n">
        <v>183</v>
      </c>
      <c r="R2384" t="inlineStr">
        <is>
          <t>InStock</t>
        </is>
      </c>
      <c r="S2384" t="inlineStr">
        <is>
          <t>16.95</t>
        </is>
      </c>
      <c r="T2384" t="inlineStr">
        <is>
          <t>ESIO</t>
        </is>
      </c>
    </row>
    <row r="2385" hidden="1" ht="15.75" customHeight="1">
      <c r="A2385" s="2">
        <f>HYPERLINK("https://www.soccerplususa.com/cramer/cramer-active-ankle-329-12508", "https://www.soccerplususa.com/cramer/cramer-active-ankle-329-12508")</f>
        <v/>
      </c>
      <c r="B2385" t="inlineStr">
        <is>
          <t>undefined</t>
        </is>
      </c>
      <c r="C2385" t="inlineStr">
        <is>
          <t>Cramer Active Ankle 329</t>
        </is>
      </c>
      <c r="D2385" t="inlineStr">
        <is>
          <t>Cramer Active Ankle T2 Medium White (EA)</t>
        </is>
      </c>
      <c r="E2385" s="2">
        <f>HYPERLINK("https://www.amazon.com/Cramer%C2%AE-Active-Ankle-Medium-White/dp/B0002UPN2I/ref=sr_1_5?keywords=Cramer+Active+Ankle+329&amp;qid=1695171058&amp;sr=8-5", "https://www.amazon.com/Cramer%C2%AE-Active-Ankle-Medium-White/dp/B0002UPN2I/ref=sr_1_5?keywords=Cramer+Active+Ankle+329&amp;qid=1695171058&amp;sr=8-5")</f>
        <v/>
      </c>
      <c r="F2385" t="inlineStr">
        <is>
          <t>B0002UPN2I</t>
        </is>
      </c>
      <c r="G2385">
        <f>_xludf.IMAGE("https://www.soccerplususa.com/prodimages/4371-DEFAULT-l.jpg")</f>
        <v/>
      </c>
      <c r="H2385">
        <f>_xludf.IMAGE("https://m.media-amazon.com/images/I/619QtcdGbzL._AC_UL320_.jpg")</f>
        <v/>
      </c>
      <c r="K2385" t="inlineStr">
        <is>
          <t>39.95</t>
        </is>
      </c>
      <c r="L2385" t="n">
        <v>36.06</v>
      </c>
      <c r="M2385" s="1" t="inlineStr">
        <is>
          <t>-9.74%</t>
        </is>
      </c>
      <c r="N2385" s="3" t="n">
        <v>-9.74</v>
      </c>
      <c r="O2385" t="n">
        <v>4.3</v>
      </c>
      <c r="P2385" t="n">
        <v>248</v>
      </c>
      <c r="R2385" t="inlineStr">
        <is>
          <t>InStock</t>
        </is>
      </c>
      <c r="S2385" t="inlineStr">
        <is>
          <t>undefined</t>
        </is>
      </c>
      <c r="T2385" t="inlineStr">
        <is>
          <t>760340</t>
        </is>
      </c>
    </row>
    <row r="2386" hidden="1" ht="15.75" customHeight="1">
      <c r="A2386" s="2">
        <f>HYPERLINK("https://www.soccerplususa.com/kwik-goal/soccer-clipboard-13825", "https://www.soccerplususa.com/kwik-goal/soccer-clipboard-13825")</f>
        <v/>
      </c>
      <c r="B2386" t="inlineStr">
        <is>
          <t>undefined</t>
        </is>
      </c>
      <c r="C2386" t="inlineStr">
        <is>
          <t>Soccer Clipboard</t>
        </is>
      </c>
      <c r="D2386" t="inlineStr">
        <is>
          <t>Elite Clipboards Dry Erase Coaches Clipboards | Basketball, Baseball, Soccer, Football, Hockey, Volleyball, Lacrosse</t>
        </is>
      </c>
      <c r="E2386" s="2">
        <f>HYPERLINK("https://www.amazon.com/Elite-Clipboards-Double-Coaches-Marker/dp/B07BWYLJJV/ref=sr_1_7?keywords=Soccer+Clipboard&amp;qid=1695171051&amp;sr=8-7", "https://www.amazon.com/Elite-Clipboards-Double-Coaches-Marker/dp/B07BWYLJJV/ref=sr_1_7?keywords=Soccer+Clipboard&amp;qid=1695171051&amp;sr=8-7")</f>
        <v/>
      </c>
      <c r="F2386" t="inlineStr">
        <is>
          <t>B07BWYLJJV</t>
        </is>
      </c>
      <c r="G2386">
        <f>_xludf.IMAGE("https://www.soccerplususa.com/prodimages/750-DEFAULT-l.jpg")</f>
        <v/>
      </c>
      <c r="H2386">
        <f>_xludf.IMAGE("https://m.media-amazon.com/images/I/81CiS+xqI0L._AC_UL320_.jpg")</f>
        <v/>
      </c>
      <c r="K2386" t="inlineStr">
        <is>
          <t>14.5</t>
        </is>
      </c>
      <c r="L2386" t="n">
        <v>12.99</v>
      </c>
      <c r="M2386" s="1" t="inlineStr">
        <is>
          <t>-10.41%</t>
        </is>
      </c>
      <c r="N2386" s="3" t="n">
        <v>-10.41</v>
      </c>
      <c r="O2386" t="n">
        <v>4.6</v>
      </c>
      <c r="P2386" t="n">
        <v>4281</v>
      </c>
      <c r="R2386" t="inlineStr">
        <is>
          <t>InStock</t>
        </is>
      </c>
      <c r="S2386" t="inlineStr">
        <is>
          <t>undefined</t>
        </is>
      </c>
      <c r="T2386" t="inlineStr">
        <is>
          <t>18B301</t>
        </is>
      </c>
    </row>
    <row r="2387" hidden="1" ht="15.75" customHeight="1">
      <c r="A2387" s="2">
        <f>HYPERLINK("https://www.soccerplususa.com/kwik-goal/kwik-goal-deluxe-scrimmage-vest-xxs-13848", "https://www.soccerplususa.com/kwik-goal/kwik-goal-deluxe-scrimmage-vest-xxs-13848")</f>
        <v/>
      </c>
      <c r="B2387" t="inlineStr">
        <is>
          <t>undefined</t>
        </is>
      </c>
      <c r="C2387" t="inlineStr">
        <is>
          <t>Kwik Goal Deluxe Scrimmage Vest XXS</t>
        </is>
      </c>
      <c r="D2387" t="inlineStr">
        <is>
          <t>Kwik Goal Adult Deluxe Scrimmage vest</t>
        </is>
      </c>
      <c r="E2387" s="2">
        <f>HYPERLINK("https://www.amazon.com/Kwik-Goal-Deluxe-Scrimmage-XX-Small/dp/B0015Q7ABA/ref=sr_1_1?keywords=Kwik+Goal+Deluxe+Scrimmage+Vest+XXS&amp;qid=1695171049&amp;sr=8-1", "https://www.amazon.com/Kwik-Goal-Deluxe-Scrimmage-XX-Small/dp/B0015Q7ABA/ref=sr_1_1?keywords=Kwik+Goal+Deluxe+Scrimmage+Vest+XXS&amp;qid=1695171049&amp;sr=8-1")</f>
        <v/>
      </c>
      <c r="F2387" t="inlineStr">
        <is>
          <t>B0015Q7ABA</t>
        </is>
      </c>
      <c r="G2387">
        <f>_xludf.IMAGE("https://www.soccerplususa.com/prodimages//35009-ROYAL-M.jpg")</f>
        <v/>
      </c>
      <c r="H2387">
        <f>_xludf.IMAGE("https://m.media-amazon.com/images/I/81WiVK71sDL._AC_UL320_.jpg")</f>
        <v/>
      </c>
      <c r="K2387" t="inlineStr">
        <is>
          <t>6.0</t>
        </is>
      </c>
      <c r="L2387" t="n">
        <v>5.15</v>
      </c>
      <c r="M2387" s="1" t="inlineStr">
        <is>
          <t>-14.17%</t>
        </is>
      </c>
      <c r="N2387" s="3" t="n">
        <v>-14.17</v>
      </c>
      <c r="O2387" t="n">
        <v>4.6</v>
      </c>
      <c r="P2387" t="n">
        <v>135</v>
      </c>
      <c r="R2387" t="inlineStr">
        <is>
          <t>InStock</t>
        </is>
      </c>
      <c r="S2387" t="inlineStr">
        <is>
          <t>undefined</t>
        </is>
      </c>
      <c r="T2387" t="inlineStr">
        <is>
          <t>19A141</t>
        </is>
      </c>
    </row>
    <row r="2388" hidden="1" ht="15.75" customHeight="1">
      <c r="A2388" s="2">
        <f>HYPERLINK("https://www.soccerplususa.com/premier-sock-tape/esio-kinesiology-tape-37586", "https://www.soccerplususa.com/premier-sock-tape/esio-kinesiology-tape-37586")</f>
        <v/>
      </c>
      <c r="B2388" t="inlineStr">
        <is>
          <t>undefined</t>
        </is>
      </c>
      <c r="C2388" t="inlineStr">
        <is>
          <t>Esio Kinesiology Tape</t>
        </is>
      </c>
      <c r="D2388" t="inlineStr">
        <is>
          <t>Kinesiology Tape (2/Pack) for Sports and Recovery, Water Resistant, Latex Free Premium Elastic Cotton Athletic Tape by Weltroice (2/Pack, 16.4FT Each, Blue)</t>
        </is>
      </c>
      <c r="E2388" s="2">
        <f>HYPERLINK("https://www.amazon.com/Kinesiology-Recovery-Resistant-Athletic-Weltroice/dp/B0B6Z2CYSR/ref=sr_1_2?keywords=sio+kinesiology+tape&amp;qid=1695171042&amp;sr=8-2", "https://www.amazon.com/Kinesiology-Recovery-Resistant-Athletic-Weltroice/dp/B0B6Z2CYSR/ref=sr_1_2?keywords=sio+kinesiology+tape&amp;qid=1695171042&amp;sr=8-2")</f>
        <v/>
      </c>
      <c r="F2388" t="inlineStr">
        <is>
          <t>B0B6Z2CYSR</t>
        </is>
      </c>
      <c r="G2388">
        <f>_xludf.IMAGE("https://www.soccerplususa.com/prodimages/10266-DEFAULT-l.jpg")</f>
        <v/>
      </c>
      <c r="H2388">
        <f>_xludf.IMAGE("https://m.media-amazon.com/images/I/81K1d4mDinL._AC_UL320_.jpg")</f>
        <v/>
      </c>
      <c r="K2388" t="inlineStr">
        <is>
          <t>12.0</t>
        </is>
      </c>
      <c r="L2388" t="n">
        <v>9.99</v>
      </c>
      <c r="M2388" s="1" t="inlineStr">
        <is>
          <t>-16.75%</t>
        </is>
      </c>
      <c r="N2388" s="3" t="n">
        <v>-16.75</v>
      </c>
      <c r="O2388" t="n">
        <v>4.3</v>
      </c>
      <c r="P2388" t="n">
        <v>220</v>
      </c>
      <c r="R2388" t="inlineStr">
        <is>
          <t>InStock</t>
        </is>
      </c>
      <c r="S2388" t="inlineStr">
        <is>
          <t>16.95</t>
        </is>
      </c>
      <c r="T2388" t="inlineStr">
        <is>
          <t>ESIO</t>
        </is>
      </c>
    </row>
    <row r="2389" hidden="1" ht="15.75" customHeight="1">
      <c r="A2389" s="2">
        <f>HYPERLINK("https://www.soccerplususa.com/premier-sock-tape/esio-kinesiology-tape-37586", "https://www.soccerplususa.com/premier-sock-tape/esio-kinesiology-tape-37586")</f>
        <v/>
      </c>
      <c r="B2389" t="inlineStr">
        <is>
          <t>undefined</t>
        </is>
      </c>
      <c r="C2389" t="inlineStr">
        <is>
          <t>Esio Kinesiology Tape</t>
        </is>
      </c>
      <c r="D2389" t="inlineStr">
        <is>
          <t>Sparthos Kinesiology Tape - Incredible Support for Athletic Sports and Recovery - Free Kinesiology Taping Guide! - Uncut 2 inch x 16.4 feet Roll</t>
        </is>
      </c>
      <c r="E2389" s="2">
        <f>HYPERLINK("https://www.amazon.com/Spartan-Tape-Kinesiology-Athletic-Physiotherapy/dp/B0197JCDGI/ref=sr_1_5?keywords=sio+kinesiology+tape&amp;qid=1695171042&amp;sr=8-5", "https://www.amazon.com/Spartan-Tape-Kinesiology-Athletic-Physiotherapy/dp/B0197JCDGI/ref=sr_1_5?keywords=sio+kinesiology+tape&amp;qid=1695171042&amp;sr=8-5")</f>
        <v/>
      </c>
      <c r="F2389" t="inlineStr">
        <is>
          <t>B0197JCDGI</t>
        </is>
      </c>
      <c r="G2389">
        <f>_xludf.IMAGE("https://www.soccerplususa.com/prodimages/10266-DEFAULT-l.jpg")</f>
        <v/>
      </c>
      <c r="H2389">
        <f>_xludf.IMAGE("https://m.media-amazon.com/images/I/712v1VEJ6WL._AC_UL320_.jpg")</f>
        <v/>
      </c>
      <c r="K2389" t="inlineStr">
        <is>
          <t>12.0</t>
        </is>
      </c>
      <c r="L2389" t="n">
        <v>9.970000000000001</v>
      </c>
      <c r="M2389" s="1" t="inlineStr">
        <is>
          <t>-16.92%</t>
        </is>
      </c>
      <c r="N2389" s="3" t="n">
        <v>-16.92</v>
      </c>
      <c r="O2389" t="n">
        <v>4.3</v>
      </c>
      <c r="P2389" t="n">
        <v>12629</v>
      </c>
      <c r="R2389" t="inlineStr">
        <is>
          <t>InStock</t>
        </is>
      </c>
      <c r="S2389" t="inlineStr">
        <is>
          <t>16.95</t>
        </is>
      </c>
      <c r="T2389" t="inlineStr">
        <is>
          <t>ESIO</t>
        </is>
      </c>
    </row>
    <row r="2390" hidden="1" ht="15.75" customHeight="1">
      <c r="A2390" s="2">
        <f>HYPERLINK("https://www.soccerplususa.com/cramer/cramer-active-ankle-329-12508", "https://www.soccerplususa.com/cramer/cramer-active-ankle-329-12508")</f>
        <v/>
      </c>
      <c r="B2390" t="inlineStr">
        <is>
          <t>undefined</t>
        </is>
      </c>
      <c r="C2390" t="inlineStr">
        <is>
          <t>Cramer Active Ankle 329</t>
        </is>
      </c>
      <c r="D2390" t="inlineStr">
        <is>
          <t>Active Ankle 329 Ankle Brace, Ankle Compression Sleeve with Straps for Men &amp; Women, Braces for Volleyball, Football, Basketball, Rugby, Protection &amp; Sprain Support, Black, X-Large</t>
        </is>
      </c>
      <c r="E2390" s="2">
        <f>HYPERLINK("https://www.amazon.com/Compression-Volleyball-Football-Basketball-Protection/dp/B004WPLEFY/ref=sr_1_1?keywords=Cramer+Active+Ankle+329&amp;qid=1695171058&amp;sr=8-1", "https://www.amazon.com/Compression-Volleyball-Football-Basketball-Protection/dp/B004WPLEFY/ref=sr_1_1?keywords=Cramer+Active+Ankle+329&amp;qid=1695171058&amp;sr=8-1")</f>
        <v/>
      </c>
      <c r="F2390" t="inlineStr">
        <is>
          <t>B004WPLEFY</t>
        </is>
      </c>
      <c r="G2390">
        <f>_xludf.IMAGE("https://www.soccerplususa.com/prodimages/4371-DEFAULT-l.jpg")</f>
        <v/>
      </c>
      <c r="H2390">
        <f>_xludf.IMAGE("https://m.media-amazon.com/images/I/71kVwCHplRL._AC_UL320_.jpg")</f>
        <v/>
      </c>
      <c r="K2390" t="inlineStr">
        <is>
          <t>39.95</t>
        </is>
      </c>
      <c r="L2390" t="n">
        <v>33.15</v>
      </c>
      <c r="M2390" s="1" t="inlineStr">
        <is>
          <t>-17.02%</t>
        </is>
      </c>
      <c r="N2390" s="3" t="n">
        <v>-17.02</v>
      </c>
      <c r="O2390" t="n">
        <v>4.3</v>
      </c>
      <c r="P2390" t="n">
        <v>4</v>
      </c>
      <c r="R2390" t="inlineStr">
        <is>
          <t>InStock</t>
        </is>
      </c>
      <c r="S2390" t="inlineStr">
        <is>
          <t>undefined</t>
        </is>
      </c>
      <c r="T2390" t="inlineStr">
        <is>
          <t>760340</t>
        </is>
      </c>
    </row>
    <row r="2391" hidden="1" ht="15.75" customHeight="1">
      <c r="A2391" s="2">
        <f>HYPERLINK("https://www.soccerplususa.com/cramer/cramer-first-aid-kit-12504", "https://www.soccerplususa.com/cramer/cramer-first-aid-kit-12504")</f>
        <v/>
      </c>
      <c r="B2391" t="inlineStr">
        <is>
          <t>undefined</t>
        </is>
      </c>
      <c r="C2391" t="inlineStr">
        <is>
          <t>Cramer First Aid Kit</t>
        </is>
      </c>
      <c r="D2391" t="inlineStr">
        <is>
          <t>Compact First Aid Kit (228pcs) Designed for Family Emergency Care. Waterproof EVA Case and Bag is Ideal for The Car, Home, Boat, School, Camping, Hiking, Office, Sports. Protect Your Loved Ones. Red</t>
        </is>
      </c>
      <c r="E2391" s="2">
        <f>HYPERLINK("https://www.amazon.com/Compact-Designed-Emergency-Waterproof-Camping/dp/B01EG3J430/ref=sr_1_2?keywords=Cramer+First+Aid+Kit&amp;qid=1695171058&amp;sr=8-2", "https://www.amazon.com/Compact-Designed-Emergency-Waterproof-Camping/dp/B01EG3J430/ref=sr_1_2?keywords=Cramer+First+Aid+Kit&amp;qid=1695171058&amp;sr=8-2")</f>
        <v/>
      </c>
      <c r="F2391" t="inlineStr">
        <is>
          <t>B01EG3J430</t>
        </is>
      </c>
      <c r="G2391">
        <f>_xludf.IMAGE("https://www.soccerplususa.com/prodimages/1671-DEFAULT-l.jpg")</f>
        <v/>
      </c>
      <c r="H2391">
        <f>_xludf.IMAGE("https://m.media-amazon.com/images/I/512V-EypsTL._AC_UL320_.jpg")</f>
        <v/>
      </c>
      <c r="K2391" t="inlineStr">
        <is>
          <t>39.95</t>
        </is>
      </c>
      <c r="L2391" t="n">
        <v>32.95</v>
      </c>
      <c r="M2391" s="1" t="inlineStr">
        <is>
          <t>-17.52%</t>
        </is>
      </c>
      <c r="N2391" s="3" t="n">
        <v>-17.52</v>
      </c>
      <c r="O2391" t="n">
        <v>4.7</v>
      </c>
      <c r="P2391" t="n">
        <v>4502</v>
      </c>
      <c r="R2391" t="inlineStr">
        <is>
          <t>InStock</t>
        </is>
      </c>
      <c r="S2391" t="inlineStr">
        <is>
          <t>undefined</t>
        </is>
      </c>
      <c r="T2391" t="inlineStr">
        <is>
          <t>112000</t>
        </is>
      </c>
    </row>
    <row r="2392" hidden="1" ht="15.75" customHeight="1">
      <c r="A2392" s="2">
        <f>HYPERLINK("https://www.soccerplususa.com/kwik-goal/kwikgoal-magnetic-coaching-board-14082", "https://www.soccerplususa.com/kwik-goal/kwikgoal-magnetic-coaching-board-14082")</f>
        <v/>
      </c>
      <c r="B2392" t="inlineStr">
        <is>
          <t>undefined</t>
        </is>
      </c>
      <c r="C2392" t="inlineStr">
        <is>
          <t>KwikGoal Magnetic Coaching Board</t>
        </is>
      </c>
      <c r="D2392" t="inlineStr">
        <is>
          <t>Murray Sporting Goods Magnetic Soccer Dry Erase Coaches Clipboard | Large Soccer Magnet Lineup Coaching Strategy Tactics Board</t>
        </is>
      </c>
      <c r="E2392" s="2">
        <f>HYPERLINK("https://www.amazon.com/Murray-Sporting-Goods-Magnetic-Coaches/dp/B07G9JSV8L/ref=sr_1_6?keywords=KwikGoal+Magnetic+Coaching+Board&amp;qid=1695171040&amp;sr=8-6", "https://www.amazon.com/Murray-Sporting-Goods-Magnetic-Coaches/dp/B07G9JSV8L/ref=sr_1_6?keywords=KwikGoal+Magnetic+Coaching+Board&amp;qid=1695171040&amp;sr=8-6")</f>
        <v/>
      </c>
      <c r="F2392" t="inlineStr">
        <is>
          <t>B07G9JSV8L</t>
        </is>
      </c>
      <c r="G2392">
        <f>_xludf.IMAGE("https://www.soccerplususa.com/prodimages/2612-DEFAULT-l.jpg")</f>
        <v/>
      </c>
      <c r="H2392">
        <f>_xludf.IMAGE("https://m.media-amazon.com/images/I/71snHnAoP4L._AC_UL320_.jpg")</f>
        <v/>
      </c>
      <c r="K2392" t="inlineStr">
        <is>
          <t>33.95</t>
        </is>
      </c>
      <c r="L2392" t="n">
        <v>27.99</v>
      </c>
      <c r="M2392" s="1" t="inlineStr">
        <is>
          <t>-17.56%</t>
        </is>
      </c>
      <c r="N2392" s="3" t="n">
        <v>-17.56</v>
      </c>
      <c r="O2392" t="n">
        <v>4.4</v>
      </c>
      <c r="P2392" t="n">
        <v>296</v>
      </c>
      <c r="R2392" t="inlineStr">
        <is>
          <t>InStock</t>
        </is>
      </c>
      <c r="S2392" t="inlineStr">
        <is>
          <t>undefined</t>
        </is>
      </c>
      <c r="T2392" t="inlineStr">
        <is>
          <t>MB-2</t>
        </is>
      </c>
    </row>
    <row r="2393" hidden="1" ht="15.75" customHeight="1">
      <c r="A2393" s="2">
        <f>HYPERLINK("https://www.soccerplususa.com/cramer/cramer-athletic-tape-roll-12533", "https://www.soccerplususa.com/cramer/cramer-athletic-tape-roll-12533")</f>
        <v/>
      </c>
      <c r="B2393" t="inlineStr">
        <is>
          <t>undefined</t>
        </is>
      </c>
      <c r="C2393" t="inlineStr">
        <is>
          <t>Cramer Athletic Tape Roll</t>
        </is>
      </c>
      <c r="D2393" t="inlineStr">
        <is>
          <t>Cramer Team Color Athletic Tape, Easy Tear Tape for Ankle, Wrist, &amp; Injury Taping, Protect &amp; Prevent Injuries, Promote Healing, Athletic Training Supplies, 1.5" X 10 Yard Roll, Colored AT Tape</t>
        </is>
      </c>
      <c r="E2393" s="2">
        <f>HYPERLINK("https://www.amazon.com/Cramer-Athletic-Injuries-Training-Supplies/dp/B00592846Q/ref=sr_1_3?keywords=Cramer+Athletic+Tape+Roll&amp;qid=1695171060&amp;sr=8-3", "https://www.amazon.com/Cramer-Athletic-Injuries-Training-Supplies/dp/B00592846Q/ref=sr_1_3?keywords=Cramer+Athletic+Tape+Roll&amp;qid=1695171060&amp;sr=8-3")</f>
        <v/>
      </c>
      <c r="F2393" t="inlineStr">
        <is>
          <t>B00592846Q</t>
        </is>
      </c>
      <c r="G2393">
        <f>_xludf.IMAGE("https://www.soccerplususa.com/prodimages/2576-DEFAULT-l.jpg")</f>
        <v/>
      </c>
      <c r="H2393">
        <f>_xludf.IMAGE("https://m.media-amazon.com/images/I/71VCdl7Tn6L._AC_UL320_.jpg")</f>
        <v/>
      </c>
      <c r="K2393" t="inlineStr">
        <is>
          <t>4.95</t>
        </is>
      </c>
      <c r="L2393" t="n">
        <v>3.99</v>
      </c>
      <c r="M2393" s="1" t="inlineStr">
        <is>
          <t>-19.39%</t>
        </is>
      </c>
      <c r="N2393" s="3" t="n">
        <v>-19.39</v>
      </c>
      <c r="O2393" t="n">
        <v>4.6</v>
      </c>
      <c r="P2393" t="n">
        <v>2331</v>
      </c>
      <c r="R2393" t="inlineStr">
        <is>
          <t>InStock</t>
        </is>
      </c>
      <c r="S2393" t="inlineStr">
        <is>
          <t>undefined</t>
        </is>
      </c>
      <c r="T2393" t="inlineStr">
        <is>
          <t>762701</t>
        </is>
      </c>
    </row>
    <row r="2394" hidden="1" ht="15.75" customHeight="1">
      <c r="A2394" s="2">
        <f>HYPERLINK("https://www.soccerplususa.com/kwik-goal/kwik-goal-bungee-net-fastener-13710", "https://www.soccerplususa.com/kwik-goal/kwik-goal-bungee-net-fastener-13710")</f>
        <v/>
      </c>
      <c r="B2394" t="inlineStr">
        <is>
          <t>undefined</t>
        </is>
      </c>
      <c r="C2394" t="inlineStr">
        <is>
          <t>Kwik Goal Bungee Net Fastener</t>
        </is>
      </c>
      <c r="D2394" t="inlineStr">
        <is>
          <t>Kwik Goal Bungee Net Fastener, 1/4 -Inch</t>
        </is>
      </c>
      <c r="E2394" s="2">
        <f>HYPERLINK("https://www.amazon.com/Kwik-Goal-Bungee-Net-Fastener/dp/B0026OKB7A/ref=sr_1_1?keywords=Kwik+Goal+Bungee+Net+Fastener&amp;qid=1695171055&amp;sr=8-1", "https://www.amazon.com/Kwik-Goal-Bungee-Net-Fastener/dp/B0026OKB7A/ref=sr_1_1?keywords=Kwik+Goal+Bungee+Net+Fastener&amp;qid=1695171055&amp;sr=8-1")</f>
        <v/>
      </c>
      <c r="F2394" t="inlineStr">
        <is>
          <t>B0026OKB7A</t>
        </is>
      </c>
      <c r="G2394">
        <f>_xludf.IMAGE("https://www.soccerplususa.com/prodimages/6193-DEFAULT-l.jpg")</f>
        <v/>
      </c>
      <c r="H2394">
        <f>_xludf.IMAGE("https://m.media-amazon.com/images/I/61WuctCC2cL._AC_UL320_.jpg")</f>
        <v/>
      </c>
      <c r="K2394" t="inlineStr">
        <is>
          <t>55.95</t>
        </is>
      </c>
      <c r="L2394" t="n">
        <v>45</v>
      </c>
      <c r="M2394" s="1" t="inlineStr">
        <is>
          <t>-19.57%</t>
        </is>
      </c>
      <c r="N2394" s="3" t="n">
        <v>-19.57</v>
      </c>
      <c r="O2394" t="n">
        <v>4.5</v>
      </c>
      <c r="P2394" t="n">
        <v>37</v>
      </c>
      <c r="R2394" t="inlineStr">
        <is>
          <t>InStock</t>
        </is>
      </c>
      <c r="S2394" t="inlineStr">
        <is>
          <t>undefined</t>
        </is>
      </c>
      <c r="T2394" t="inlineStr">
        <is>
          <t>10B3501</t>
        </is>
      </c>
    </row>
    <row r="2395" hidden="1" ht="15.75" customHeight="1">
      <c r="A2395" s="2">
        <f>HYPERLINK("https://www.soccerplususa.com/mueller/mueller-atf-3-ankle-brace-36663", "https://www.soccerplususa.com/mueller/mueller-atf-3-ankle-brace-36663")</f>
        <v/>
      </c>
      <c r="B2395" t="inlineStr">
        <is>
          <t>undefined</t>
        </is>
      </c>
      <c r="C2395" t="inlineStr">
        <is>
          <t>Mueller ATF 3 Ankle Brace</t>
        </is>
      </c>
      <c r="D2395" t="inlineStr">
        <is>
          <t>MUELLER Sports Medicine AFT3 Ankle Brace for Men and Women-Perfect for Running, Basketball, and Volleyball, Black, Small</t>
        </is>
      </c>
      <c r="E2395" s="2">
        <f>HYPERLINK("https://www.amazon.com/MUELLER-Medicine-Women-Perfect-Basketball-Volleyball/dp/B00VC7ONUI/ref=sr_1_1?keywords=Mueller+ATF+3+Ankle+Brace&amp;qid=1695171046&amp;sr=8-1", "https://www.amazon.com/MUELLER-Medicine-Women-Perfect-Basketball-Volleyball/dp/B00VC7ONUI/ref=sr_1_1?keywords=Mueller+ATF+3+Ankle+Brace&amp;qid=1695171046&amp;sr=8-1")</f>
        <v/>
      </c>
      <c r="F2395" t="inlineStr">
        <is>
          <t>B00VC7ONUI</t>
        </is>
      </c>
      <c r="G2395">
        <f>_xludf.IMAGE("https://www.soccerplususa.com/prodimages/8964-DEFAULT-l.jpg")</f>
        <v/>
      </c>
      <c r="H2395">
        <f>_xludf.IMAGE("https://m.media-amazon.com/images/I/813FBga+z5L._AC_UL320_.jpg")</f>
        <v/>
      </c>
      <c r="K2395" t="inlineStr">
        <is>
          <t>24.95</t>
        </is>
      </c>
      <c r="L2395" t="n">
        <v>19.99</v>
      </c>
      <c r="M2395" s="1" t="inlineStr">
        <is>
          <t>-19.88%</t>
        </is>
      </c>
      <c r="N2395" s="3" t="n">
        <v>-19.88</v>
      </c>
      <c r="O2395" t="n">
        <v>3.9</v>
      </c>
      <c r="P2395" t="n">
        <v>80</v>
      </c>
      <c r="R2395" t="inlineStr">
        <is>
          <t>InStock</t>
        </is>
      </c>
      <c r="S2395" t="inlineStr">
        <is>
          <t>undefined</t>
        </is>
      </c>
      <c r="T2395" t="inlineStr">
        <is>
          <t>4237</t>
        </is>
      </c>
    </row>
    <row r="2396" hidden="1" ht="15.75" customHeight="1">
      <c r="A2396" s="2">
        <f>HYPERLINK("https://www.soccerplususa.com/kwik-goal/kwik-goal-strap-cone-carrier-14088", "https://www.soccerplususa.com/kwik-goal/kwik-goal-strap-cone-carrier-14088")</f>
        <v/>
      </c>
      <c r="B2396" t="inlineStr">
        <is>
          <t>undefined</t>
        </is>
      </c>
      <c r="C2396" t="inlineStr">
        <is>
          <t>Kwik Goal Strap Cone Carrier</t>
        </is>
      </c>
      <c r="D2396" t="inlineStr">
        <is>
          <t>Kwik Goal Strap Cone Carrier</t>
        </is>
      </c>
      <c r="E2396" s="2">
        <f>HYPERLINK("https://www.amazon.com/National-Sports-Disc-Holder-Strap/dp/B0019DIARW/ref=sr_1_3?keywords=Kwik+Goal+Strap+Cone+Carrier&amp;qid=1695171051&amp;sr=8-3", "https://www.amazon.com/National-Sports-Disc-Holder-Strap/dp/B0019DIARW/ref=sr_1_3?keywords=Kwik+Goal+Strap+Cone+Carrier&amp;qid=1695171051&amp;sr=8-3")</f>
        <v/>
      </c>
      <c r="F2396" t="inlineStr">
        <is>
          <t>B0019DIARW</t>
        </is>
      </c>
      <c r="G2396">
        <f>_xludf.IMAGE("https://www.soccerplususa.com/prodimages/2766-DEFAULT-l.jpg")</f>
        <v/>
      </c>
      <c r="H2396">
        <f>_xludf.IMAGE("https://m.media-amazon.com/images/I/51skzsp99xL._AC_UL320_.jpg")</f>
        <v/>
      </c>
      <c r="K2396" t="inlineStr">
        <is>
          <t>7.5</t>
        </is>
      </c>
      <c r="L2396" t="n">
        <v>6</v>
      </c>
      <c r="M2396" s="1" t="inlineStr">
        <is>
          <t>-20.00%</t>
        </is>
      </c>
      <c r="N2396" s="3" t="n">
        <v>-20</v>
      </c>
      <c r="O2396" t="n">
        <v>5</v>
      </c>
      <c r="P2396" t="n">
        <v>1</v>
      </c>
      <c r="R2396" t="inlineStr">
        <is>
          <t>InStock</t>
        </is>
      </c>
      <c r="S2396" t="inlineStr">
        <is>
          <t>undefined</t>
        </is>
      </c>
      <c r="T2396" t="inlineStr">
        <is>
          <t>PS-7</t>
        </is>
      </c>
    </row>
    <row r="2397" hidden="1" ht="15.75" customHeight="1">
      <c r="A2397" s="2">
        <f>HYPERLINK("https://www.soccerplususa.com/kwik-goal/kwik-goal-strap-cone-carrier-14087", "https://www.soccerplususa.com/kwik-goal/kwik-goal-strap-cone-carrier-14087")</f>
        <v/>
      </c>
      <c r="B2397" t="inlineStr">
        <is>
          <t>undefined</t>
        </is>
      </c>
      <c r="C2397" t="inlineStr">
        <is>
          <t>Kwik Goal Strap Cone Carrier</t>
        </is>
      </c>
      <c r="D2397" t="inlineStr">
        <is>
          <t>Kwik Goal Strap Cone Carrier</t>
        </is>
      </c>
      <c r="E2397" s="2">
        <f>HYPERLINK("https://www.amazon.com/National-Sports-Disc-Holder-Strap/dp/B0019DIARW/ref=sr_1_4?keywords=Kwik+Goal+Strap+Cone+Carrier&amp;qid=1695171041&amp;sr=8-4", "https://www.amazon.com/National-Sports-Disc-Holder-Strap/dp/B0019DIARW/ref=sr_1_4?keywords=Kwik+Goal+Strap+Cone+Carrier&amp;qid=1695171041&amp;sr=8-4")</f>
        <v/>
      </c>
      <c r="F2397" t="inlineStr">
        <is>
          <t>B0019DIARW</t>
        </is>
      </c>
      <c r="G2397">
        <f>_xludf.IMAGE("https://www.soccerplususa.com/prodimages/1633-DEFAULT-l.jpg")</f>
        <v/>
      </c>
      <c r="H2397">
        <f>_xludf.IMAGE("https://m.media-amazon.com/images/I/51skzsp99xL._AC_UL320_.jpg")</f>
        <v/>
      </c>
      <c r="K2397" t="inlineStr">
        <is>
          <t>7.5</t>
        </is>
      </c>
      <c r="L2397" t="n">
        <v>6</v>
      </c>
      <c r="M2397" s="1" t="inlineStr">
        <is>
          <t>-20.00%</t>
        </is>
      </c>
      <c r="N2397" s="3" t="n">
        <v>-20</v>
      </c>
      <c r="O2397" t="n">
        <v>5</v>
      </c>
      <c r="P2397" t="n">
        <v>1</v>
      </c>
      <c r="R2397" t="inlineStr">
        <is>
          <t>InStock</t>
        </is>
      </c>
      <c r="S2397" t="inlineStr">
        <is>
          <t>undefined</t>
        </is>
      </c>
      <c r="T2397" t="inlineStr">
        <is>
          <t>PS-6</t>
        </is>
      </c>
    </row>
    <row r="2398" hidden="1" ht="15.75" customHeight="1">
      <c r="A2398" s="2">
        <f>HYPERLINK("https://www.soccerplususa.com/full-90/full90-fn1-headgear-36445", "https://www.soccerplususa.com/full-90/full90-fn1-headgear-36445")</f>
        <v/>
      </c>
      <c r="B2398" t="inlineStr">
        <is>
          <t>undefined</t>
        </is>
      </c>
      <c r="C2398" t="inlineStr">
        <is>
          <t>Full90 FN1 Headgear</t>
        </is>
      </c>
      <c r="D2398" t="inlineStr">
        <is>
          <t>Full90 Sports FN1 Performance Headgear</t>
        </is>
      </c>
      <c r="E2398" s="2">
        <f>HYPERLINK("https://www.amazon.com/Full90-Sports-Performance-Headgear-Large/dp/B00EN0D6S6/ref=sr_1_1?keywords=Full90+FN1+Headgear&amp;qid=1695171042&amp;sr=8-1", "https://www.amazon.com/Full90-Sports-Performance-Headgear-Large/dp/B00EN0D6S6/ref=sr_1_1?keywords=Full90+FN1+Headgear&amp;qid=1695171042&amp;sr=8-1")</f>
        <v/>
      </c>
      <c r="F2398" t="inlineStr">
        <is>
          <t>B00EN0D6S6</t>
        </is>
      </c>
      <c r="G2398">
        <f>_xludf.IMAGE("https://www.soccerplususa.com/prodimages/10390-DEFAULT-l.jpg")</f>
        <v/>
      </c>
      <c r="H2398">
        <f>_xludf.IMAGE("https://m.media-amazon.com/images/I/71qma3iXGmL._AC_UL320_.jpg")</f>
        <v/>
      </c>
      <c r="K2398" t="inlineStr">
        <is>
          <t>79.95</t>
        </is>
      </c>
      <c r="L2398" t="n">
        <v>61.74</v>
      </c>
      <c r="M2398" s="1" t="inlineStr">
        <is>
          <t>-22.78%</t>
        </is>
      </c>
      <c r="N2398" s="3" t="n">
        <v>-22.78</v>
      </c>
      <c r="O2398" t="n">
        <v>4.3</v>
      </c>
      <c r="P2398" t="n">
        <v>96</v>
      </c>
      <c r="R2398" t="inlineStr">
        <is>
          <t>InStock</t>
        </is>
      </c>
      <c r="S2398" t="inlineStr">
        <is>
          <t>undefined</t>
        </is>
      </c>
      <c r="T2398" t="inlineStr">
        <is>
          <t>FN1</t>
        </is>
      </c>
    </row>
    <row r="2399" hidden="1" ht="15.75" customHeight="1">
      <c r="A2399" s="2">
        <f>HYPERLINK("https://www.soccerplususa.com/kwik-goal/game-day-note-books-13928", "https://www.soccerplususa.com/kwik-goal/game-day-note-books-13928")</f>
        <v/>
      </c>
      <c r="B2399" t="inlineStr">
        <is>
          <t>undefined</t>
        </is>
      </c>
      <c r="C2399" t="inlineStr">
        <is>
          <t>Game Day Note Books</t>
        </is>
      </c>
      <c r="D2399" t="inlineStr">
        <is>
          <t>Mocoosy 3 Pack Scratch Art Paper Notebooks - Rainbow Magic Scratch Off Paper Set for Kids Arts Crafts, Black Scratch Note Books Drawing Pad for 3-12 Year Old Girls Boys Party Favor Game Project Kit</t>
        </is>
      </c>
      <c r="E2399" s="2">
        <f>HYPERLINK("https://www.amazon.com/Mocoosy-Pack-Rainbow-Scratch-Books/dp/B0871XBB9C/ref=sr_1_1?keywords=Game+Day+Note+Books&amp;qid=1695171044&amp;sr=8-1", "https://www.amazon.com/Mocoosy-Pack-Rainbow-Scratch-Books/dp/B0871XBB9C/ref=sr_1_1?keywords=Game+Day+Note+Books&amp;qid=1695171044&amp;sr=8-1")</f>
        <v/>
      </c>
      <c r="F2399" t="inlineStr">
        <is>
          <t>B0871XBB9C</t>
        </is>
      </c>
      <c r="G2399">
        <f>_xludf.IMAGE("https://www.soccerplususa.com/prodimages/744-DEFAULT-l.jpg")</f>
        <v/>
      </c>
      <c r="H2399">
        <f>_xludf.IMAGE("https://m.media-amazon.com/images/I/81Ou6pCBk1L._AC_UL320_.jpg")</f>
        <v/>
      </c>
      <c r="K2399" t="inlineStr">
        <is>
          <t>20.95</t>
        </is>
      </c>
      <c r="L2399" t="n">
        <v>15.99</v>
      </c>
      <c r="M2399" s="1" t="inlineStr">
        <is>
          <t>-23.68%</t>
        </is>
      </c>
      <c r="N2399" s="3" t="n">
        <v>-23.68</v>
      </c>
      <c r="O2399" t="n">
        <v>4.8</v>
      </c>
      <c r="P2399" t="n">
        <v>427</v>
      </c>
      <c r="R2399" t="inlineStr">
        <is>
          <t>InStock</t>
        </is>
      </c>
      <c r="S2399" t="inlineStr">
        <is>
          <t>undefined</t>
        </is>
      </c>
      <c r="T2399" t="inlineStr">
        <is>
          <t>20B1101</t>
        </is>
      </c>
    </row>
    <row r="2400" hidden="1" ht="15.75" customHeight="1">
      <c r="A2400" s="2">
        <f>HYPERLINK("https://www.soccerplususa.com/kwik-goal/coaching-notebook-13931", "https://www.soccerplususa.com/kwik-goal/coaching-notebook-13931")</f>
        <v/>
      </c>
      <c r="B2400" t="inlineStr">
        <is>
          <t>undefined</t>
        </is>
      </c>
      <c r="C2400" t="inlineStr">
        <is>
          <t>Coaching Notebook</t>
        </is>
      </c>
      <c r="D2400" t="inlineStr">
        <is>
          <t>Firelong Basketball Coaching Board Coaches Tactics ClipBoard Kit, Tactical Layout Notebook, PU Leather Cover, Dry-Erase Strategy Magnetic Clipboard with NotePage (Black)</t>
        </is>
      </c>
      <c r="E2400" s="2">
        <f>HYPERLINK("https://www.amazon.com/Firelong-Basketball-Magnetic-Foldable-Clipboard/dp/B01LXZYVEC/ref=sr_1_8?keywords=Coaching+Notebook&amp;qid=1695171055&amp;sr=8-8", "https://www.amazon.com/Firelong-Basketball-Magnetic-Foldable-Clipboard/dp/B01LXZYVEC/ref=sr_1_8?keywords=Coaching+Notebook&amp;qid=1695171055&amp;sr=8-8")</f>
        <v/>
      </c>
      <c r="F2400" t="inlineStr">
        <is>
          <t>B01LXZYVEC</t>
        </is>
      </c>
      <c r="G2400">
        <f>_xludf.IMAGE("https://www.soccerplususa.com/prodimages/725-DEFAULT-l.jpg")</f>
        <v/>
      </c>
      <c r="H2400">
        <f>_xludf.IMAGE("https://m.media-amazon.com/images/I/61zskotxc8L._AC_UL320_.jpg")</f>
        <v/>
      </c>
      <c r="K2400" t="inlineStr">
        <is>
          <t>16.5</t>
        </is>
      </c>
      <c r="L2400" t="n">
        <v>12.29</v>
      </c>
      <c r="M2400" s="1" t="inlineStr">
        <is>
          <t>-25.52%</t>
        </is>
      </c>
      <c r="N2400" s="3" t="n">
        <v>-25.52</v>
      </c>
      <c r="O2400" t="n">
        <v>4.5</v>
      </c>
      <c r="P2400" t="n">
        <v>123</v>
      </c>
      <c r="R2400" t="inlineStr">
        <is>
          <t>InStock</t>
        </is>
      </c>
      <c r="S2400" t="inlineStr">
        <is>
          <t>undefined</t>
        </is>
      </c>
      <c r="T2400" t="inlineStr">
        <is>
          <t>20B401</t>
        </is>
      </c>
    </row>
    <row r="2401" hidden="1" ht="15.75" customHeight="1">
      <c r="A2401" s="2">
        <f>HYPERLINK("https://www.soccerplususa.com/kwik-goal/kwikgoal-magnetic-coaching-board-14082", "https://www.soccerplususa.com/kwik-goal/kwikgoal-magnetic-coaching-board-14082")</f>
        <v/>
      </c>
      <c r="B2401" t="inlineStr">
        <is>
          <t>undefined</t>
        </is>
      </c>
      <c r="C2401" t="inlineStr">
        <is>
          <t>KwikGoal Magnetic Coaching Board</t>
        </is>
      </c>
      <c r="D2401" t="inlineStr">
        <is>
          <t>SKLZ MagnaCoach Magnetic/Dry Erase Soccer Coaching Board,Green</t>
        </is>
      </c>
      <c r="E2401" s="2">
        <f>HYPERLINK("https://www.amazon.com/SKLZ-MagnaCoach-Soccer-Coaching-Board/dp/B00VUMHC7Q/ref=sr_1_3?keywords=KwikGoal+Magnetic+Coaching+Board&amp;qid=1695171040&amp;sr=8-3", "https://www.amazon.com/SKLZ-MagnaCoach-Soccer-Coaching-Board/dp/B00VUMHC7Q/ref=sr_1_3?keywords=KwikGoal+Magnetic+Coaching+Board&amp;qid=1695171040&amp;sr=8-3")</f>
        <v/>
      </c>
      <c r="F2401" t="inlineStr">
        <is>
          <t>B00VUMHC7Q</t>
        </is>
      </c>
      <c r="G2401">
        <f>_xludf.IMAGE("https://www.soccerplususa.com/prodimages/2612-DEFAULT-l.jpg")</f>
        <v/>
      </c>
      <c r="H2401">
        <f>_xludf.IMAGE("https://m.media-amazon.com/images/I/91Aqpl-VbUL._AC_UL320_.jpg")</f>
        <v/>
      </c>
      <c r="K2401" t="inlineStr">
        <is>
          <t>33.95</t>
        </is>
      </c>
      <c r="L2401" t="n">
        <v>24.99</v>
      </c>
      <c r="M2401" s="1" t="inlineStr">
        <is>
          <t>-26.39%</t>
        </is>
      </c>
      <c r="N2401" s="3" t="n">
        <v>-26.39</v>
      </c>
      <c r="O2401" t="n">
        <v>4.5</v>
      </c>
      <c r="P2401" t="n">
        <v>213</v>
      </c>
      <c r="R2401" t="inlineStr">
        <is>
          <t>InStock</t>
        </is>
      </c>
      <c r="S2401" t="inlineStr">
        <is>
          <t>undefined</t>
        </is>
      </c>
      <c r="T2401" t="inlineStr">
        <is>
          <t>MB-2</t>
        </is>
      </c>
    </row>
    <row r="2402" hidden="1" ht="15.75" customHeight="1">
      <c r="A2402" s="2">
        <f>HYPERLINK("https://www.soccerplususa.com/premier-sock-tape/esio-kinesiology-tape-37586", "https://www.soccerplususa.com/premier-sock-tape/esio-kinesiology-tape-37586")</f>
        <v/>
      </c>
      <c r="B2402" t="inlineStr">
        <is>
          <t>undefined</t>
        </is>
      </c>
      <c r="C2402" t="inlineStr">
        <is>
          <t>Esio Kinesiology Tape</t>
        </is>
      </c>
      <c r="D2402" t="inlineStr">
        <is>
          <t>EVERLIT [Single] Pre-Cut Elastic Cotton Kinesiology Therapeutic Athletic Sports Tape, for Pain Relief and Support, 20 Precut 10” Strips (Beige)</t>
        </is>
      </c>
      <c r="E2402" s="2">
        <f>HYPERLINK("https://www.amazon.com/EVERLIT-Pre-Cut-Kinesiology-Therapeutic-Athletic/dp/B092HXQPRR/ref=sr_1_4?keywords=sio+kinesiology+tape&amp;qid=1695171042&amp;sr=8-4", "https://www.amazon.com/EVERLIT-Pre-Cut-Kinesiology-Therapeutic-Athletic/dp/B092HXQPRR/ref=sr_1_4?keywords=sio+kinesiology+tape&amp;qid=1695171042&amp;sr=8-4")</f>
        <v/>
      </c>
      <c r="F2402" t="inlineStr">
        <is>
          <t>B092HXQPRR</t>
        </is>
      </c>
      <c r="G2402">
        <f>_xludf.IMAGE("https://www.soccerplususa.com/prodimages/10266-DEFAULT-l.jpg")</f>
        <v/>
      </c>
      <c r="H2402">
        <f>_xludf.IMAGE("https://m.media-amazon.com/images/I/81BpyAzl4gS._AC_UL320_.jpg")</f>
        <v/>
      </c>
      <c r="K2402" t="inlineStr">
        <is>
          <t>12.0</t>
        </is>
      </c>
      <c r="L2402" t="n">
        <v>8.449999999999999</v>
      </c>
      <c r="M2402" s="1" t="inlineStr">
        <is>
          <t>-29.58%</t>
        </is>
      </c>
      <c r="N2402" s="3" t="n">
        <v>-29.58</v>
      </c>
      <c r="O2402" t="n">
        <v>4.1</v>
      </c>
      <c r="P2402" t="n">
        <v>633</v>
      </c>
      <c r="R2402" t="inlineStr">
        <is>
          <t>InStock</t>
        </is>
      </c>
      <c r="S2402" t="inlineStr">
        <is>
          <t>16.95</t>
        </is>
      </c>
      <c r="T2402" t="inlineStr">
        <is>
          <t>ESIO</t>
        </is>
      </c>
    </row>
    <row r="2403" hidden="1" ht="15.75" customHeight="1">
      <c r="A2403" s="2">
        <f>HYPERLINK("https://www.soccerplususa.com/kwik-goal/soccer-clipboard-13825", "https://www.soccerplususa.com/kwik-goal/soccer-clipboard-13825")</f>
        <v/>
      </c>
      <c r="B2403" t="inlineStr">
        <is>
          <t>undefined</t>
        </is>
      </c>
      <c r="C2403" t="inlineStr">
        <is>
          <t>Soccer Clipboard</t>
        </is>
      </c>
      <c r="D2403" t="inlineStr">
        <is>
          <t>Murray Sporting Goods Soccer Dry Erase Coaches Clipboard | Double-Sided Soccer Field Clipboard Dry Erase White Board | Soccer Futbol Gift for Coach</t>
        </is>
      </c>
      <c r="E2403" s="2">
        <f>HYPERLINK("https://www.amazon.com/Murray-Sporting-Goods-Dry-Erase-Clipboard/dp/B071V3ZX4D/ref=sr_1_4?keywords=Soccer+Clipboard&amp;qid=1695171051&amp;sr=8-4", "https://www.amazon.com/Murray-Sporting-Goods-Dry-Erase-Clipboard/dp/B071V3ZX4D/ref=sr_1_4?keywords=Soccer+Clipboard&amp;qid=1695171051&amp;sr=8-4")</f>
        <v/>
      </c>
      <c r="F2403" t="inlineStr">
        <is>
          <t>B071V3ZX4D</t>
        </is>
      </c>
      <c r="G2403">
        <f>_xludf.IMAGE("https://www.soccerplususa.com/prodimages/750-DEFAULT-l.jpg")</f>
        <v/>
      </c>
      <c r="H2403">
        <f>_xludf.IMAGE("https://m.media-amazon.com/images/I/71n7l7-PsrL._AC_UL320_.jpg")</f>
        <v/>
      </c>
      <c r="K2403" t="inlineStr">
        <is>
          <t>14.5</t>
        </is>
      </c>
      <c r="L2403" t="n">
        <v>9.99</v>
      </c>
      <c r="M2403" s="1" t="inlineStr">
        <is>
          <t>-31.10%</t>
        </is>
      </c>
      <c r="N2403" s="3" t="n">
        <v>-31.1</v>
      </c>
      <c r="O2403" t="n">
        <v>4.5</v>
      </c>
      <c r="P2403" t="n">
        <v>1235</v>
      </c>
      <c r="R2403" t="inlineStr">
        <is>
          <t>InStock</t>
        </is>
      </c>
      <c r="S2403" t="inlineStr">
        <is>
          <t>undefined</t>
        </is>
      </c>
      <c r="T2403" t="inlineStr">
        <is>
          <t>18B301</t>
        </is>
      </c>
    </row>
    <row r="2404" hidden="1" ht="15.75" customHeight="1">
      <c r="A2404" s="2">
        <f>HYPERLINK("https://www.soccerplususa.com/kwik-goal/soccer-clipboard-13825", "https://www.soccerplususa.com/kwik-goal/soccer-clipboard-13825")</f>
        <v/>
      </c>
      <c r="B2404" t="inlineStr">
        <is>
          <t>undefined</t>
        </is>
      </c>
      <c r="C2404" t="inlineStr">
        <is>
          <t>Soccer Clipboard</t>
        </is>
      </c>
      <c r="D2404" t="inlineStr">
        <is>
          <t>HIGHRAZON Dry Erase Coach Clipboard，Soccer Coaches Clipboard，Premium Tactical Soccer Coaching Board，Two Sides with Full &amp; Half Court Soccer Board，Double-Sided Dry Erase Marker Board for Soccer Coaches</t>
        </is>
      </c>
      <c r="E2404" s="2">
        <f>HYPERLINK("https://www.amazon.com/HIGHRAZON-Football-Clipboard-Double-Sided-Whiteboard/dp/B0BCTS6W56/ref=sr_1_3?keywords=Soccer+Clipboard&amp;qid=1695171051&amp;sr=8-3", "https://www.amazon.com/HIGHRAZON-Football-Clipboard-Double-Sided-Whiteboard/dp/B0BCTS6W56/ref=sr_1_3?keywords=Soccer+Clipboard&amp;qid=1695171051&amp;sr=8-3")</f>
        <v/>
      </c>
      <c r="F2404" t="inlineStr">
        <is>
          <t>B0BCTS6W56</t>
        </is>
      </c>
      <c r="G2404">
        <f>_xludf.IMAGE("https://www.soccerplususa.com/prodimages/750-DEFAULT-l.jpg")</f>
        <v/>
      </c>
      <c r="H2404">
        <f>_xludf.IMAGE("https://m.media-amazon.com/images/I/61QbIsb0WkL._AC_UL320_.jpg")</f>
        <v/>
      </c>
      <c r="K2404" t="inlineStr">
        <is>
          <t>14.5</t>
        </is>
      </c>
      <c r="L2404" t="n">
        <v>9.99</v>
      </c>
      <c r="M2404" s="1" t="inlineStr">
        <is>
          <t>-31.10%</t>
        </is>
      </c>
      <c r="N2404" s="3" t="n">
        <v>-31.1</v>
      </c>
      <c r="O2404" t="n">
        <v>4.7</v>
      </c>
      <c r="P2404" t="n">
        <v>69</v>
      </c>
      <c r="R2404" t="inlineStr">
        <is>
          <t>InStock</t>
        </is>
      </c>
      <c r="S2404" t="inlineStr">
        <is>
          <t>undefined</t>
        </is>
      </c>
      <c r="T2404" t="inlineStr">
        <is>
          <t>18B301</t>
        </is>
      </c>
    </row>
    <row r="2405" hidden="1" ht="15.75" customHeight="1">
      <c r="A2405" s="2">
        <f>HYPERLINK("https://www.soccerplususa.com/kwik-goal/kwikgoal-deluxe-speed-rings-13805", "https://www.soccerplususa.com/kwik-goal/kwikgoal-deluxe-speed-rings-13805")</f>
        <v/>
      </c>
      <c r="B2405" t="inlineStr">
        <is>
          <t>undefined</t>
        </is>
      </c>
      <c r="C2405" t="inlineStr">
        <is>
          <t>Kwikgoal Deluxe Speed Rings</t>
        </is>
      </c>
      <c r="D2405" t="inlineStr">
        <is>
          <t>Kwik Goal Deluxe Speed Rings ,19.5-Inch x 3/4-Inch W</t>
        </is>
      </c>
      <c r="E2405" s="2">
        <f>HYPERLINK("https://www.amazon.com/Kwik-Goal-Deluxe-Speed-Rings/dp/B000P1G0NK/ref=sr_1_1?keywords=Kwikgoal+Deluxe+Speed+Rings&amp;qid=1695171051&amp;sr=8-1", "https://www.amazon.com/Kwik-Goal-Deluxe-Speed-Rings/dp/B000P1G0NK/ref=sr_1_1?keywords=Kwikgoal+Deluxe+Speed+Rings&amp;qid=1695171051&amp;sr=8-1")</f>
        <v/>
      </c>
      <c r="F2405" t="inlineStr">
        <is>
          <t>B000P1G0NK</t>
        </is>
      </c>
      <c r="G2405">
        <f>_xludf.IMAGE("https://www.soccerplususa.com/prodimages/773-DEFAULT-l.jpg")</f>
        <v/>
      </c>
      <c r="H2405">
        <f>_xludf.IMAGE("https://m.media-amazon.com/images/I/712-9iliJ4L._AC_UL320_.jpg")</f>
        <v/>
      </c>
      <c r="K2405" t="inlineStr">
        <is>
          <t>49.95</t>
        </is>
      </c>
      <c r="L2405" t="n">
        <v>33.95</v>
      </c>
      <c r="M2405" s="1" t="inlineStr">
        <is>
          <t>-32.03%</t>
        </is>
      </c>
      <c r="N2405" s="3" t="n">
        <v>-32.03</v>
      </c>
      <c r="O2405" t="n">
        <v>4.5</v>
      </c>
      <c r="P2405" t="n">
        <v>37</v>
      </c>
      <c r="R2405" t="inlineStr">
        <is>
          <t>InStock</t>
        </is>
      </c>
      <c r="S2405" t="inlineStr">
        <is>
          <t>undefined</t>
        </is>
      </c>
      <c r="T2405" t="inlineStr">
        <is>
          <t>16B1605</t>
        </is>
      </c>
    </row>
    <row r="2406" hidden="1" ht="15.75" customHeight="1">
      <c r="A2406" s="2">
        <f>HYPERLINK("https://www.soccerplususa.com/kwik-goal/kwikgoal-magnetic-coaching-board-14082", "https://www.soccerplususa.com/kwik-goal/kwikgoal-magnetic-coaching-board-14082")</f>
        <v/>
      </c>
      <c r="B2406" t="inlineStr">
        <is>
          <t>undefined</t>
        </is>
      </c>
      <c r="C2406" t="inlineStr">
        <is>
          <t>KwikGoal Magnetic Coaching Board</t>
        </is>
      </c>
      <c r="D2406" t="inlineStr">
        <is>
          <t>HIGHRAZON Soccer Coaching Board, Magnetic Soccer Clipboard for Coaches, Foldable Board with Dry Erase Marker</t>
        </is>
      </c>
      <c r="E2406" s="2">
        <f>HYPERLINK("https://www.amazon.com/HIGHRAZON-Coaching-Magnetic-Clipboard-Foldable/dp/B0BVR8WYPQ/ref=sr_1_7?keywords=KwikGoal+Magnetic+Coaching+Board&amp;qid=1695171040&amp;sr=8-7", "https://www.amazon.com/HIGHRAZON-Coaching-Magnetic-Clipboard-Foldable/dp/B0BVR8WYPQ/ref=sr_1_7?keywords=KwikGoal+Magnetic+Coaching+Board&amp;qid=1695171040&amp;sr=8-7")</f>
        <v/>
      </c>
      <c r="F2406" t="inlineStr">
        <is>
          <t>B0BVR8WYPQ</t>
        </is>
      </c>
      <c r="G2406">
        <f>_xludf.IMAGE("https://www.soccerplususa.com/prodimages/2612-DEFAULT-l.jpg")</f>
        <v/>
      </c>
      <c r="H2406">
        <f>_xludf.IMAGE("https://m.media-amazon.com/images/I/71CRpRRwAmL._AC_UL320_.jpg")</f>
        <v/>
      </c>
      <c r="K2406" t="inlineStr">
        <is>
          <t>33.95</t>
        </is>
      </c>
      <c r="L2406" t="n">
        <v>22.99</v>
      </c>
      <c r="M2406" s="1" t="inlineStr">
        <is>
          <t>-32.28%</t>
        </is>
      </c>
      <c r="N2406" s="3" t="n">
        <v>-32.28</v>
      </c>
      <c r="O2406" t="n">
        <v>4.4</v>
      </c>
      <c r="P2406" t="n">
        <v>13</v>
      </c>
      <c r="R2406" t="inlineStr">
        <is>
          <t>InStock</t>
        </is>
      </c>
      <c r="S2406" t="inlineStr">
        <is>
          <t>undefined</t>
        </is>
      </c>
      <c r="T2406" t="inlineStr">
        <is>
          <t>MB-2</t>
        </is>
      </c>
    </row>
    <row r="2407" hidden="1" ht="15.75" customHeight="1">
      <c r="A2407" s="2">
        <f>HYPERLINK("https://www.soccerplususa.com/cramer/active-ankle-power-lacer-ankle-brace-12540", "https://www.soccerplususa.com/cramer/active-ankle-power-lacer-ankle-brace-12540")</f>
        <v/>
      </c>
      <c r="B2407" t="inlineStr">
        <is>
          <t>undefined</t>
        </is>
      </c>
      <c r="C2407" t="inlineStr">
        <is>
          <t>Active Ankle Power Lacer Ankle Brace</t>
        </is>
      </c>
      <c r="D2407" t="inlineStr">
        <is>
          <t>Active Ankle Power Lacer Premium Lace-Up Ankle Brace, Ankle Stabilizer for Protection &amp; Sprain Support, Breathable Quality Athletic Braces with Laces to Wear Over Compression Socks, Various Sizes</t>
        </is>
      </c>
      <c r="E2407" s="2">
        <f>HYPERLINK("https://www.amazon.com/Stabilizer-Protection-Breathable-Athletic-Compression/dp/B001FRSUE0/ref=sr_1_1?keywords=Active+Ankle+Power+Lacer+Ankle+Brace&amp;qid=1695171067&amp;sr=8-1", "https://www.amazon.com/Stabilizer-Protection-Breathable-Athletic-Compression/dp/B001FRSUE0/ref=sr_1_1?keywords=Active+Ankle+Power+Lacer+Ankle+Brace&amp;qid=1695171067&amp;sr=8-1")</f>
        <v/>
      </c>
      <c r="F2407" t="inlineStr">
        <is>
          <t>B001FRSUE0</t>
        </is>
      </c>
      <c r="G2407">
        <f>_xludf.IMAGE("https://www.soccerplususa.com/prodimages/31728-DEFAULT-l.jpg")</f>
        <v/>
      </c>
      <c r="H2407">
        <f>_xludf.IMAGE("https://m.media-amazon.com/images/I/61uAYXBJbaL._AC_UL320_.jpg")</f>
        <v/>
      </c>
      <c r="K2407" t="inlineStr">
        <is>
          <t>39.95</t>
        </is>
      </c>
      <c r="L2407" t="n">
        <v>26.99</v>
      </c>
      <c r="M2407" s="1" t="inlineStr">
        <is>
          <t>-32.44%</t>
        </is>
      </c>
      <c r="N2407" s="3" t="n">
        <v>-32.44</v>
      </c>
      <c r="O2407" t="n">
        <v>3.7</v>
      </c>
      <c r="P2407" t="n">
        <v>34</v>
      </c>
      <c r="R2407" t="inlineStr">
        <is>
          <t>InStock</t>
        </is>
      </c>
      <c r="S2407" t="inlineStr">
        <is>
          <t>undefined</t>
        </is>
      </c>
      <c r="T2407" t="inlineStr">
        <is>
          <t>PWRLACER</t>
        </is>
      </c>
    </row>
    <row r="2408" hidden="1" ht="15.75" customHeight="1">
      <c r="A2408" s="2">
        <f>HYPERLINK("https://www.soccerplususa.com/cramer/cramer-active-ankle-power-lacer-12505", "https://www.soccerplususa.com/cramer/cramer-active-ankle-power-lacer-12505")</f>
        <v/>
      </c>
      <c r="B2408" t="inlineStr">
        <is>
          <t>undefined</t>
        </is>
      </c>
      <c r="C2408" t="inlineStr">
        <is>
          <t>Cramer Active Ankle Power Lacer</t>
        </is>
      </c>
      <c r="D2408" t="inlineStr">
        <is>
          <t>Active Ankle Power Lacer Premium Lace-Up Ankle Brace, Ankle Stabilizer for Protection &amp; Sprain Support, Breathable Quality Athletic Braces with Laces to Wear Over Compression Socks, Various Sizes</t>
        </is>
      </c>
      <c r="E2408" s="2">
        <f>HYPERLINK("https://www.amazon.com/Stabilizer-Protection-Breathable-Athletic-Compression/dp/B001FRSUE0/ref=sr_1_1?keywords=Cramer+Active+Ankle+Power+Lacer&amp;qid=1695171059&amp;sr=8-1", "https://www.amazon.com/Stabilizer-Protection-Breathable-Athletic-Compression/dp/B001FRSUE0/ref=sr_1_1?keywords=Cramer+Active+Ankle+Power+Lacer&amp;qid=1695171059&amp;sr=8-1")</f>
        <v/>
      </c>
      <c r="F2408" t="inlineStr">
        <is>
          <t>B001FRSUE0</t>
        </is>
      </c>
      <c r="G2408">
        <f>_xludf.IMAGE("https://www.soccerplususa.com/prodimages/4372-DEFAULT-l.jpg")</f>
        <v/>
      </c>
      <c r="H2408">
        <f>_xludf.IMAGE("https://m.media-amazon.com/images/I/61uAYXBJbaL._AC_UL320_.jpg")</f>
        <v/>
      </c>
      <c r="K2408" t="inlineStr">
        <is>
          <t>39.95</t>
        </is>
      </c>
      <c r="L2408" t="n">
        <v>26.99</v>
      </c>
      <c r="M2408" s="1" t="inlineStr">
        <is>
          <t>-32.44%</t>
        </is>
      </c>
      <c r="N2408" s="3" t="n">
        <v>-32.44</v>
      </c>
      <c r="O2408" t="n">
        <v>3.7</v>
      </c>
      <c r="P2408" t="n">
        <v>34</v>
      </c>
      <c r="R2408" t="inlineStr">
        <is>
          <t>InStock</t>
        </is>
      </c>
      <c r="S2408" t="inlineStr">
        <is>
          <t>undefined</t>
        </is>
      </c>
      <c r="T2408" t="inlineStr">
        <is>
          <t>760120</t>
        </is>
      </c>
    </row>
    <row r="2409" hidden="1" ht="15.75" customHeight="1">
      <c r="A2409" s="2">
        <f>HYPERLINK("https://www.soccerplususa.com/premier-sock-tape/esio-kinesiology-tape-37586", "https://www.soccerplususa.com/premier-sock-tape/esio-kinesiology-tape-37586")</f>
        <v/>
      </c>
      <c r="B2409" t="inlineStr">
        <is>
          <t>undefined</t>
        </is>
      </c>
      <c r="C2409" t="inlineStr">
        <is>
          <t>Esio Kinesiology Tape</t>
        </is>
      </c>
      <c r="D2409" t="inlineStr">
        <is>
          <t>OK TAPE Kinesiology Tape 10 inches Precut, 20 Strips, Cotton Elastic Athletic Tape Latex Free, 2inch x 16ft, Beige</t>
        </is>
      </c>
      <c r="E2409" s="2">
        <f>HYPERLINK("https://www.amazon.com/OK-TAPE-Kinesiology-Therapeutic-Non-Latex/dp/B077GKQPC6/ref=sr_1_8?keywords=sio+kinesiology+tape&amp;qid=1695171042&amp;sr=8-8", "https://www.amazon.com/OK-TAPE-Kinesiology-Therapeutic-Non-Latex/dp/B077GKQPC6/ref=sr_1_8?keywords=sio+kinesiology+tape&amp;qid=1695171042&amp;sr=8-8")</f>
        <v/>
      </c>
      <c r="F2409" t="inlineStr">
        <is>
          <t>B077GKQPC6</t>
        </is>
      </c>
      <c r="G2409">
        <f>_xludf.IMAGE("https://www.soccerplususa.com/prodimages/10266-DEFAULT-l.jpg")</f>
        <v/>
      </c>
      <c r="H2409">
        <f>_xludf.IMAGE("https://m.media-amazon.com/images/I/71MK46jOB1L._AC_UL320_.jpg")</f>
        <v/>
      </c>
      <c r="K2409" t="inlineStr">
        <is>
          <t>12.0</t>
        </is>
      </c>
      <c r="L2409" t="n">
        <v>7.99</v>
      </c>
      <c r="M2409" s="1" t="inlineStr">
        <is>
          <t>-33.42%</t>
        </is>
      </c>
      <c r="N2409" s="3" t="n">
        <v>-33.42</v>
      </c>
      <c r="O2409" t="n">
        <v>4.4</v>
      </c>
      <c r="P2409" t="n">
        <v>9715</v>
      </c>
      <c r="R2409" t="inlineStr">
        <is>
          <t>InStock</t>
        </is>
      </c>
      <c r="S2409" t="inlineStr">
        <is>
          <t>16.95</t>
        </is>
      </c>
      <c r="T2409" t="inlineStr">
        <is>
          <t>ESIO</t>
        </is>
      </c>
    </row>
    <row r="2410" hidden="1" ht="15.75" customHeight="1">
      <c r="A2410" s="2">
        <f>HYPERLINK("https://www.soccerplususa.com/premier-sock-tape/esio-kinesiology-tape-37586", "https://www.soccerplususa.com/premier-sock-tape/esio-kinesiology-tape-37586")</f>
        <v/>
      </c>
      <c r="B2410" t="inlineStr">
        <is>
          <t>undefined</t>
        </is>
      </c>
      <c r="C2410" t="inlineStr">
        <is>
          <t>Esio Kinesiology Tape</t>
        </is>
      </c>
      <c r="D2410" t="inlineStr">
        <is>
          <t>OK TAPE PRO Kinesiology Tape, 2inch x Long Roll 16ft Free Cut Tape, Elastic Athletic Tape Therapeutic Latex Free, Beige+Beige</t>
        </is>
      </c>
      <c r="E2410" s="2">
        <f>HYPERLINK("https://www.amazon.com/OK-TAPE-Kinesiology-Waterproof-Non-Latex/dp/B07745GNDL/ref=sr_1_9?keywords=sio+kinesiology+tape&amp;qid=1695171042&amp;sr=8-9", "https://www.amazon.com/OK-TAPE-Kinesiology-Waterproof-Non-Latex/dp/B07745GNDL/ref=sr_1_9?keywords=sio+kinesiology+tape&amp;qid=1695171042&amp;sr=8-9")</f>
        <v/>
      </c>
      <c r="F2410" t="inlineStr">
        <is>
          <t>B07745GNDL</t>
        </is>
      </c>
      <c r="G2410">
        <f>_xludf.IMAGE("https://www.soccerplususa.com/prodimages/10266-DEFAULT-l.jpg")</f>
        <v/>
      </c>
      <c r="H2410">
        <f>_xludf.IMAGE("https://m.media-amazon.com/images/I/81IL-JUZ1yL._AC_UL320_.jpg")</f>
        <v/>
      </c>
      <c r="K2410" t="inlineStr">
        <is>
          <t>12.0</t>
        </is>
      </c>
      <c r="L2410" t="n">
        <v>7.99</v>
      </c>
      <c r="M2410" s="1" t="inlineStr">
        <is>
          <t>-33.42%</t>
        </is>
      </c>
      <c r="N2410" s="3" t="n">
        <v>-33.42</v>
      </c>
      <c r="O2410" t="n">
        <v>4.4</v>
      </c>
      <c r="P2410" t="n">
        <v>3341</v>
      </c>
      <c r="R2410" t="inlineStr">
        <is>
          <t>InStock</t>
        </is>
      </c>
      <c r="S2410" t="inlineStr">
        <is>
          <t>16.95</t>
        </is>
      </c>
      <c r="T2410" t="inlineStr">
        <is>
          <t>ESIO</t>
        </is>
      </c>
    </row>
    <row r="2411" hidden="1" ht="15.75" customHeight="1">
      <c r="A2411" s="2">
        <f>HYPERLINK("https://www.soccerplususa.com/mueller/mueller-atf-3-ankle-brace-36663", "https://www.soccerplususa.com/mueller/mueller-atf-3-ankle-brace-36663")</f>
        <v/>
      </c>
      <c r="B2411" t="inlineStr">
        <is>
          <t>undefined</t>
        </is>
      </c>
      <c r="C2411" t="inlineStr">
        <is>
          <t>Mueller ATF 3 Ankle Brace</t>
        </is>
      </c>
      <c r="D2411" t="inlineStr">
        <is>
          <t>Mueller Soft Ankle Brace with Straps - Medium 213MD</t>
        </is>
      </c>
      <c r="E2411" s="2">
        <f>HYPERLINK("https://www.amazon.com/Mueller-Soft-Ankle-Brace-Straps/dp/B000F5R4JU/ref=sr_1_3?keywords=Mueller+ATF+3+Ankle+Brace&amp;qid=1695171046&amp;sr=8-3", "https://www.amazon.com/Mueller-Soft-Ankle-Brace-Straps/dp/B000F5R4JU/ref=sr_1_3?keywords=Mueller+ATF+3+Ankle+Brace&amp;qid=1695171046&amp;sr=8-3")</f>
        <v/>
      </c>
      <c r="F2411" t="inlineStr">
        <is>
          <t>B000F5R4JU</t>
        </is>
      </c>
      <c r="G2411">
        <f>_xludf.IMAGE("https://www.soccerplususa.com/prodimages/8964-DEFAULT-l.jpg")</f>
        <v/>
      </c>
      <c r="H2411">
        <f>_xludf.IMAGE("https://m.media-amazon.com/images/I/513gPAlrElL._AC_UL320_.jpg")</f>
        <v/>
      </c>
      <c r="K2411" t="inlineStr">
        <is>
          <t>24.95</t>
        </is>
      </c>
      <c r="L2411" t="n">
        <v>14.59</v>
      </c>
      <c r="M2411" s="1" t="inlineStr">
        <is>
          <t>-41.52%</t>
        </is>
      </c>
      <c r="N2411" s="3" t="n">
        <v>-41.52</v>
      </c>
      <c r="O2411" t="n">
        <v>4.4</v>
      </c>
      <c r="P2411" t="n">
        <v>7</v>
      </c>
      <c r="R2411" t="inlineStr">
        <is>
          <t>InStock</t>
        </is>
      </c>
      <c r="S2411" t="inlineStr">
        <is>
          <t>undefined</t>
        </is>
      </c>
      <c r="T2411" t="inlineStr">
        <is>
          <t>4237</t>
        </is>
      </c>
    </row>
    <row r="2412" hidden="1" ht="15.75" customHeight="1">
      <c r="A2412" s="2">
        <f>HYPERLINK("https://www.soccerplususa.com/kwik-goal/kwikgoal-magnetic-coaching-board-14082", "https://www.soccerplususa.com/kwik-goal/kwikgoal-magnetic-coaching-board-14082")</f>
        <v/>
      </c>
      <c r="B2412" t="inlineStr">
        <is>
          <t>undefined</t>
        </is>
      </c>
      <c r="C2412" t="inlineStr">
        <is>
          <t>KwikGoal Magnetic Coaching Board</t>
        </is>
      </c>
      <c r="D2412" t="inlineStr">
        <is>
          <t>XASMA Football Coaching Board Coaches Clipboard Tactical Magnetic Board Kit,Soccer Training Equipment ，Portable Strategy Coach Board with Dry Erase, Marker Pen and Zipper Bag</t>
        </is>
      </c>
      <c r="E2412" s="2">
        <f>HYPERLINK("https://www.amazon.com/XASMA-Football-Coaching-Clipboard-Equipment/dp/B0BYX8WVHJ/ref=sr_1_8?keywords=KwikGoal+Magnetic+Coaching+Board&amp;qid=1695171040&amp;sr=8-8", "https://www.amazon.com/XASMA-Football-Coaching-Clipboard-Equipment/dp/B0BYX8WVHJ/ref=sr_1_8?keywords=KwikGoal+Magnetic+Coaching+Board&amp;qid=1695171040&amp;sr=8-8")</f>
        <v/>
      </c>
      <c r="F2412" t="inlineStr">
        <is>
          <t>B0BYX8WVHJ</t>
        </is>
      </c>
      <c r="G2412">
        <f>_xludf.IMAGE("https://www.soccerplususa.com/prodimages/2612-DEFAULT-l.jpg")</f>
        <v/>
      </c>
      <c r="H2412">
        <f>_xludf.IMAGE("https://m.media-amazon.com/images/I/6111HYVqeLL._AC_UL320_.jpg")</f>
        <v/>
      </c>
      <c r="K2412" t="inlineStr">
        <is>
          <t>33.95</t>
        </is>
      </c>
      <c r="L2412" t="n">
        <v>17.99</v>
      </c>
      <c r="M2412" s="1" t="inlineStr">
        <is>
          <t>-47.01%</t>
        </is>
      </c>
      <c r="N2412" s="3" t="n">
        <v>-47.01</v>
      </c>
      <c r="O2412" t="n">
        <v>4.2</v>
      </c>
      <c r="P2412" t="n">
        <v>28</v>
      </c>
      <c r="R2412" t="inlineStr">
        <is>
          <t>InStock</t>
        </is>
      </c>
      <c r="S2412" t="inlineStr">
        <is>
          <t>undefined</t>
        </is>
      </c>
      <c r="T2412" t="inlineStr">
        <is>
          <t>MB-2</t>
        </is>
      </c>
    </row>
    <row r="2413" hidden="1" ht="15.75" customHeight="1">
      <c r="A2413" s="2">
        <f>HYPERLINK("https://www.soccerplususa.com/mueller/mueller-atf-3-ankle-brace-36663", "https://www.soccerplususa.com/mueller/mueller-atf-3-ankle-brace-36663")</f>
        <v/>
      </c>
      <c r="B2413" t="inlineStr">
        <is>
          <t>undefined</t>
        </is>
      </c>
      <c r="C2413" t="inlineStr">
        <is>
          <t>Mueller ATF 3 Ankle Brace</t>
        </is>
      </c>
      <c r="D2413" t="inlineStr">
        <is>
          <t>Mueller ATF 2 Ankle Brace, Black, Xtra Large</t>
        </is>
      </c>
      <c r="E2413" s="2">
        <f>HYPERLINK("https://www.amazon.com/Mueller-Ankle-Brace-Black-Large/dp/B003MUWAR6/ref=sr_1_4?keywords=Mueller+ATF+3+Ankle+Brace&amp;qid=1695171046&amp;sr=8-4", "https://www.amazon.com/Mueller-Ankle-Brace-Black-Large/dp/B003MUWAR6/ref=sr_1_4?keywords=Mueller+ATF+3+Ankle+Brace&amp;qid=1695171046&amp;sr=8-4")</f>
        <v/>
      </c>
      <c r="F2413" t="inlineStr">
        <is>
          <t>B003MUWAR6</t>
        </is>
      </c>
      <c r="G2413">
        <f>_xludf.IMAGE("https://www.soccerplususa.com/prodimages/8964-DEFAULT-l.jpg")</f>
        <v/>
      </c>
      <c r="H2413">
        <f>_xludf.IMAGE("https://m.media-amazon.com/images/I/81lfcftDSkL._AC_UL320_.jpg")</f>
        <v/>
      </c>
      <c r="K2413" t="inlineStr">
        <is>
          <t>24.95</t>
        </is>
      </c>
      <c r="L2413" t="n">
        <v>12.99</v>
      </c>
      <c r="M2413" s="1" t="inlineStr">
        <is>
          <t>-47.94%</t>
        </is>
      </c>
      <c r="N2413" s="3" t="n">
        <v>-47.94</v>
      </c>
      <c r="O2413" t="n">
        <v>4</v>
      </c>
      <c r="P2413" t="n">
        <v>21</v>
      </c>
      <c r="R2413" t="inlineStr">
        <is>
          <t>InStock</t>
        </is>
      </c>
      <c r="S2413" t="inlineStr">
        <is>
          <t>undefined</t>
        </is>
      </c>
      <c r="T2413" t="inlineStr">
        <is>
          <t>4237</t>
        </is>
      </c>
    </row>
    <row r="2414" hidden="1" ht="15.75" customHeight="1">
      <c r="A2414" s="2">
        <f>HYPERLINK("https://www.soccerplususa.com/kwik-goal/coaching-notebook-13931", "https://www.soccerplususa.com/kwik-goal/coaching-notebook-13931")</f>
        <v/>
      </c>
      <c r="B2414" t="inlineStr">
        <is>
          <t>undefined</t>
        </is>
      </c>
      <c r="C2414" t="inlineStr">
        <is>
          <t>Coaching Notebook</t>
        </is>
      </c>
      <c r="D2414" t="inlineStr">
        <is>
          <t>Coaching Notebook: 100 Page Soccer Coach Notebook with Field Diagrams for Drawing Up Plays, Creating Drills, and Scouting</t>
        </is>
      </c>
      <c r="E2414" s="2">
        <f>HYPERLINK("https://www.amazon.com/Coaching-Notebook-Diagrams-Creating-Scouting/dp/166165116X/ref=sr_1_5?keywords=Coaching+Notebook&amp;qid=1695171055&amp;sr=8-5", "https://www.amazon.com/Coaching-Notebook-Diagrams-Creating-Scouting/dp/166165116X/ref=sr_1_5?keywords=Coaching+Notebook&amp;qid=1695171055&amp;sr=8-5")</f>
        <v/>
      </c>
      <c r="F2414" t="inlineStr">
        <is>
          <t>166165116X</t>
        </is>
      </c>
      <c r="G2414">
        <f>_xludf.IMAGE("https://www.soccerplususa.com/prodimages/725-DEFAULT-l.jpg")</f>
        <v/>
      </c>
      <c r="H2414">
        <f>_xludf.IMAGE("https://m.media-amazon.com/images/I/61P4ZwScq7L._AC_UL320_.jpg")</f>
        <v/>
      </c>
      <c r="K2414" t="inlineStr">
        <is>
          <t>16.5</t>
        </is>
      </c>
      <c r="L2414" t="n">
        <v>8.130000000000001</v>
      </c>
      <c r="M2414" s="1" t="inlineStr">
        <is>
          <t>-50.73%</t>
        </is>
      </c>
      <c r="N2414" s="3" t="n">
        <v>-50.73</v>
      </c>
      <c r="O2414" t="n">
        <v>4.6</v>
      </c>
      <c r="P2414" t="n">
        <v>8</v>
      </c>
      <c r="R2414" t="inlineStr">
        <is>
          <t>InStock</t>
        </is>
      </c>
      <c r="S2414" t="inlineStr">
        <is>
          <t>undefined</t>
        </is>
      </c>
      <c r="T2414" t="inlineStr">
        <is>
          <t>20B401</t>
        </is>
      </c>
    </row>
    <row r="2415" hidden="1" ht="15.75" customHeight="1">
      <c r="A2415" s="2">
        <f>HYPERLINK("https://www.soccerplususa.com/kwik-goal/coaching-notebook-13931", "https://www.soccerplususa.com/kwik-goal/coaching-notebook-13931")</f>
        <v/>
      </c>
      <c r="B2415" t="inlineStr">
        <is>
          <t>undefined</t>
        </is>
      </c>
      <c r="C2415" t="inlineStr">
        <is>
          <t>Coaching Notebook</t>
        </is>
      </c>
      <c r="D2415" t="inlineStr">
        <is>
          <t>Soccer Training Planner: Soccer Coaching Training Planner: 121 Page Notebook For Football Soccer Coaches | Field Diagrams For Notes | Tactics | Session Planning</t>
        </is>
      </c>
      <c r="E2415" s="2">
        <f>HYPERLINK("https://www.amazon.com/Soccer-Training-Planner-Coaching-Notebook/dp/0645559318/ref=sr_1_10?keywords=Coaching+Notebook&amp;qid=1695171055&amp;sr=8-10", "https://www.amazon.com/Soccer-Training-Planner-Coaching-Notebook/dp/0645559318/ref=sr_1_10?keywords=Coaching+Notebook&amp;qid=1695171055&amp;sr=8-10")</f>
        <v/>
      </c>
      <c r="F2415" t="inlineStr">
        <is>
          <t>0645559318</t>
        </is>
      </c>
      <c r="G2415">
        <f>_xludf.IMAGE("https://www.soccerplususa.com/prodimages/725-DEFAULT-l.jpg")</f>
        <v/>
      </c>
      <c r="H2415">
        <f>_xludf.IMAGE("https://m.media-amazon.com/images/I/61WAPrVqdmL._AC_UL320_.jpg")</f>
        <v/>
      </c>
      <c r="K2415" t="inlineStr">
        <is>
          <t>16.5</t>
        </is>
      </c>
      <c r="L2415" t="n">
        <v>6.99</v>
      </c>
      <c r="M2415" s="1" t="inlineStr">
        <is>
          <t>-57.64%</t>
        </is>
      </c>
      <c r="N2415" s="3" t="n">
        <v>-57.64</v>
      </c>
      <c r="O2415" t="n">
        <v>5</v>
      </c>
      <c r="P2415" t="n">
        <v>2</v>
      </c>
      <c r="R2415" t="inlineStr">
        <is>
          <t>InStock</t>
        </is>
      </c>
      <c r="S2415" t="inlineStr">
        <is>
          <t>undefined</t>
        </is>
      </c>
      <c r="T2415" t="inlineStr">
        <is>
          <t>20B401</t>
        </is>
      </c>
    </row>
    <row r="2416" hidden="1" ht="15.75" customHeight="1">
      <c r="A2416" s="2">
        <f>HYPERLINK("https://www.soccerplususa.com/premier-sock-tape/esio-kinesiology-tape-37586", "https://www.soccerplususa.com/premier-sock-tape/esio-kinesiology-tape-37586")</f>
        <v/>
      </c>
      <c r="B2416" t="inlineStr">
        <is>
          <t>undefined</t>
        </is>
      </c>
      <c r="C2416" t="inlineStr">
        <is>
          <t>Esio Kinesiology Tape</t>
        </is>
      </c>
      <c r="D2416" t="inlineStr">
        <is>
          <t>iFwevs 16ft PreCut Kinesiology Tape, Sports Recovery &amp; Support Tape for Joint &amp; Muscle Pain，Cotton Elastic Athletic Tape Latex Free, 2inch x 16ft（Beige）</t>
        </is>
      </c>
      <c r="E2416" s="2">
        <f>HYPERLINK("https://www.amazon.com/iFwevs-Kinesiology-Recovery-Pain%EF%BC%8CCotton-16ft%EF%BC%88Beige%EF%BC%89/dp/B0C2VFR8JZ/ref=sr_1_7?keywords=sio+kinesiology+tape&amp;qid=1695171042&amp;sr=8-7", "https://www.amazon.com/iFwevs-Kinesiology-Recovery-Pain%EF%BC%8CCotton-16ft%EF%BC%88Beige%EF%BC%89/dp/B0C2VFR8JZ/ref=sr_1_7?keywords=sio+kinesiology+tape&amp;qid=1695171042&amp;sr=8-7")</f>
        <v/>
      </c>
      <c r="F2416" t="inlineStr">
        <is>
          <t>B0C2VFR8JZ</t>
        </is>
      </c>
      <c r="G2416">
        <f>_xludf.IMAGE("https://www.soccerplususa.com/prodimages/10266-DEFAULT-l.jpg")</f>
        <v/>
      </c>
      <c r="H2416">
        <f>_xludf.IMAGE("https://m.media-amazon.com/images/I/61zgCXlAGQL._AC_UL320_.jpg")</f>
        <v/>
      </c>
      <c r="K2416" t="inlineStr">
        <is>
          <t>12.0</t>
        </is>
      </c>
      <c r="L2416" t="n">
        <v>4.99</v>
      </c>
      <c r="M2416" s="1" t="inlineStr">
        <is>
          <t>-58.42%</t>
        </is>
      </c>
      <c r="N2416" s="3" t="n">
        <v>-58.42</v>
      </c>
      <c r="O2416" t="n">
        <v>4.2</v>
      </c>
      <c r="P2416" t="n">
        <v>63</v>
      </c>
      <c r="R2416" t="inlineStr">
        <is>
          <t>InStock</t>
        </is>
      </c>
      <c r="S2416" t="inlineStr">
        <is>
          <t>16.95</t>
        </is>
      </c>
      <c r="T2416" t="inlineStr">
        <is>
          <t>ESIO</t>
        </is>
      </c>
    </row>
    <row r="2417" hidden="1" ht="15.75" customHeight="1">
      <c r="A2417" s="2">
        <f>HYPERLINK("https://www.soccerplususa.com/cramer/cramer-first-aid-kit-12504", "https://www.soccerplususa.com/cramer/cramer-first-aid-kit-12504")</f>
        <v/>
      </c>
      <c r="B2417" t="inlineStr">
        <is>
          <t>undefined</t>
        </is>
      </c>
      <c r="C2417" t="inlineStr">
        <is>
          <t>Cramer First Aid Kit</t>
        </is>
      </c>
      <c r="D2417" t="inlineStr">
        <is>
          <t>Stansport Pro I First Aid Kit (633)</t>
        </is>
      </c>
      <c r="E2417" s="2">
        <f>HYPERLINK("https://www.amazon.com/Stansport-Pro-First-Aid-Kit/dp/B00431PLKG/ref=sr_1_3?keywords=Cramer+First+Aid+Kit&amp;qid=1695171058&amp;sr=8-3", "https://www.amazon.com/Stansport-Pro-First-Aid-Kit/dp/B00431PLKG/ref=sr_1_3?keywords=Cramer+First+Aid+Kit&amp;qid=1695171058&amp;sr=8-3")</f>
        <v/>
      </c>
      <c r="F2417" t="inlineStr">
        <is>
          <t>B00431PLKG</t>
        </is>
      </c>
      <c r="G2417">
        <f>_xludf.IMAGE("https://www.soccerplususa.com/prodimages/1671-DEFAULT-l.jpg")</f>
        <v/>
      </c>
      <c r="H2417">
        <f>_xludf.IMAGE("https://m.media-amazon.com/images/I/715NQFL9b7L._AC_UL320_.jpg")</f>
        <v/>
      </c>
      <c r="K2417" t="inlineStr">
        <is>
          <t>39.95</t>
        </is>
      </c>
      <c r="L2417" t="n">
        <v>15.99</v>
      </c>
      <c r="M2417" s="1" t="inlineStr">
        <is>
          <t>-59.97%</t>
        </is>
      </c>
      <c r="N2417" s="3" t="n">
        <v>-59.97</v>
      </c>
      <c r="O2417" t="n">
        <v>4.2</v>
      </c>
      <c r="P2417" t="n">
        <v>5</v>
      </c>
      <c r="R2417" t="inlineStr">
        <is>
          <t>InStock</t>
        </is>
      </c>
      <c r="S2417" t="inlineStr">
        <is>
          <t>undefined</t>
        </is>
      </c>
      <c r="T2417" t="inlineStr">
        <is>
          <t>112000</t>
        </is>
      </c>
    </row>
    <row r="2418" hidden="1" ht="15.75" customHeight="1">
      <c r="A2418" s="2">
        <f>HYPERLINK("https://www.soccerplususa.com/cramer/cramer-first-aid-kit-12504", "https://www.soccerplususa.com/cramer/cramer-first-aid-kit-12504")</f>
        <v/>
      </c>
      <c r="B2418" t="inlineStr">
        <is>
          <t>undefined</t>
        </is>
      </c>
      <c r="C2418" t="inlineStr">
        <is>
          <t>Cramer First Aid Kit</t>
        </is>
      </c>
      <c r="D2418" t="inlineStr">
        <is>
          <t>Mini First Aid Kit, 100 Pieces Water-Resistant Hard Shell Small Case - Perfect for Travel, Outdoor, Home, Office, Camping, Hiking, Car (Black)</t>
        </is>
      </c>
      <c r="E2418" s="2">
        <f>HYPERLINK("https://www.amazon.com/Pieces-Small-First-Water-Resistant-Shell/dp/B0974KYD1J/ref=sr_1_7?keywords=Cramer+First+Aid+Kit&amp;qid=1695171058&amp;sr=8-7", "https://www.amazon.com/Pieces-Small-First-Water-Resistant-Shell/dp/B0974KYD1J/ref=sr_1_7?keywords=Cramer+First+Aid+Kit&amp;qid=1695171058&amp;sr=8-7")</f>
        <v/>
      </c>
      <c r="F2418" t="inlineStr">
        <is>
          <t>B0974KYD1J</t>
        </is>
      </c>
      <c r="G2418">
        <f>_xludf.IMAGE("https://www.soccerplususa.com/prodimages/1671-DEFAULT-l.jpg")</f>
        <v/>
      </c>
      <c r="H2418">
        <f>_xludf.IMAGE("https://m.media-amazon.com/images/I/71c3jJDEafL._AC_UL320_.jpg")</f>
        <v/>
      </c>
      <c r="K2418" t="inlineStr">
        <is>
          <t>39.95</t>
        </is>
      </c>
      <c r="L2418" t="n">
        <v>15.99</v>
      </c>
      <c r="M2418" s="1" t="inlineStr">
        <is>
          <t>-59.97%</t>
        </is>
      </c>
      <c r="N2418" s="3" t="n">
        <v>-59.97</v>
      </c>
      <c r="O2418" t="n">
        <v>4.7</v>
      </c>
      <c r="P2418" t="n">
        <v>1011</v>
      </c>
      <c r="R2418" t="inlineStr">
        <is>
          <t>InStock</t>
        </is>
      </c>
      <c r="S2418" t="inlineStr">
        <is>
          <t>undefined</t>
        </is>
      </c>
      <c r="T2418" t="inlineStr">
        <is>
          <t>112000</t>
        </is>
      </c>
    </row>
    <row r="2419" hidden="1" ht="15.75" customHeight="1">
      <c r="A2419" s="2">
        <f>HYPERLINK("https://www.soccerplususa.com/cramer/cramer-first-aid-kit-12504", "https://www.soccerplususa.com/cramer/cramer-first-aid-kit-12504")</f>
        <v/>
      </c>
      <c r="B2419" t="inlineStr">
        <is>
          <t>undefined</t>
        </is>
      </c>
      <c r="C2419" t="inlineStr">
        <is>
          <t>Cramer First Aid Kit</t>
        </is>
      </c>
      <c r="D2419" t="inlineStr">
        <is>
          <t>Mini First Aid Kit - 120 Piece Small Waterproof Hard Shell Medical Kit for Car, Home, Office, Travel, Camping, Sports, Outdoor, School - Emergency First Aid Supplies and Survival Kit</t>
        </is>
      </c>
      <c r="E2419" s="2">
        <f>HYPERLINK("https://www.amazon.com/Mini-First-Aid-Kit-Waterproof/dp/B0C3DKC7XF/ref=sr_1_5?keywords=Cramer+First+Aid+Kit&amp;qid=1695171058&amp;sr=8-5", "https://www.amazon.com/Mini-First-Aid-Kit-Waterproof/dp/B0C3DKC7XF/ref=sr_1_5?keywords=Cramer+First+Aid+Kit&amp;qid=1695171058&amp;sr=8-5")</f>
        <v/>
      </c>
      <c r="F2419" t="inlineStr">
        <is>
          <t>B0C3DKC7XF</t>
        </is>
      </c>
      <c r="G2419">
        <f>_xludf.IMAGE("https://www.soccerplususa.com/prodimages/1671-DEFAULT-l.jpg")</f>
        <v/>
      </c>
      <c r="H2419">
        <f>_xludf.IMAGE("https://m.media-amazon.com/images/I/71EKBDVCx0L._AC_UL320_.jpg")</f>
        <v/>
      </c>
      <c r="K2419" t="inlineStr">
        <is>
          <t>39.95</t>
        </is>
      </c>
      <c r="L2419" t="n">
        <v>14.99</v>
      </c>
      <c r="M2419" s="1" t="inlineStr">
        <is>
          <t>-62.48%</t>
        </is>
      </c>
      <c r="N2419" s="3" t="n">
        <v>-62.48</v>
      </c>
      <c r="O2419" t="n">
        <v>4.6</v>
      </c>
      <c r="P2419" t="n">
        <v>48</v>
      </c>
      <c r="R2419" t="inlineStr">
        <is>
          <t>InStock</t>
        </is>
      </c>
      <c r="S2419" t="inlineStr">
        <is>
          <t>undefined</t>
        </is>
      </c>
      <c r="T2419" t="inlineStr">
        <is>
          <t>112000</t>
        </is>
      </c>
    </row>
    <row r="2420" hidden="1" ht="15.75" customHeight="1">
      <c r="A2420" s="2">
        <f>HYPERLINK("https://www.soccerplususa.com/fresh-gear/fresh-gear-8-oz-spray-13026", "https://www.soccerplususa.com/fresh-gear/fresh-gear-8-oz-spray-13026")</f>
        <v/>
      </c>
      <c r="B2420" t="inlineStr">
        <is>
          <t>undefined</t>
        </is>
      </c>
      <c r="C2420" t="inlineStr">
        <is>
          <t>Fresh Gear 8 oz Spray</t>
        </is>
      </c>
      <c r="D2420" t="inlineStr">
        <is>
          <t>FunkAway Odor Eliminating Spray for Shoes, Clothes and Gear, (8 Oz.)</t>
        </is>
      </c>
      <c r="E2420" s="2">
        <f>HYPERLINK("https://www.amazon.com/FunkAway-Eliminating-Eliminator-Satisfaction-Guaranteed/dp/B071FGL83N/ref=sr_1_8?keywords=Fresh+Gear+8+oz+Spray&amp;qid=1695171053&amp;sr=8-8", "https://www.amazon.com/FunkAway-Eliminating-Eliminator-Satisfaction-Guaranteed/dp/B071FGL83N/ref=sr_1_8?keywords=Fresh+Gear+8+oz+Spray&amp;qid=1695171053&amp;sr=8-8")</f>
        <v/>
      </c>
      <c r="F2420" t="inlineStr">
        <is>
          <t>B071FGL83N</t>
        </is>
      </c>
      <c r="G2420">
        <f>_xludf.IMAGE("https://www.soccerplususa.com/prodimages/6013-DEFAULT-l.jpg")</f>
        <v/>
      </c>
      <c r="H2420">
        <f>_xludf.IMAGE("https://m.media-amazon.com/images/I/719kpzBdugL._AC_UL320_.jpg")</f>
        <v/>
      </c>
      <c r="K2420" t="inlineStr">
        <is>
          <t>16.99</t>
        </is>
      </c>
      <c r="L2420" t="n">
        <v>5.78</v>
      </c>
      <c r="M2420" s="1" t="inlineStr">
        <is>
          <t>-65.98%</t>
        </is>
      </c>
      <c r="N2420" s="3" t="n">
        <v>-65.98</v>
      </c>
      <c r="O2420" t="n">
        <v>4.3</v>
      </c>
      <c r="P2420" t="n">
        <v>2679</v>
      </c>
      <c r="R2420" t="inlineStr">
        <is>
          <t>InStock</t>
        </is>
      </c>
      <c r="S2420" t="inlineStr">
        <is>
          <t>undefined</t>
        </is>
      </c>
      <c r="T2420" t="inlineStr">
        <is>
          <t>FRESHGEAR8OZ</t>
        </is>
      </c>
    </row>
    <row r="2421" hidden="1" ht="15.75" customHeight="1">
      <c r="A2421" s="2">
        <f>HYPERLINK("https://www.soccerplususa.com/cramer/cramer-first-aid-kit-12504", "https://www.soccerplususa.com/cramer/cramer-first-aid-kit-12504")</f>
        <v/>
      </c>
      <c r="B2421" t="inlineStr">
        <is>
          <t>undefined</t>
        </is>
      </c>
      <c r="C2421" t="inlineStr">
        <is>
          <t>Cramer First Aid Kit</t>
        </is>
      </c>
      <c r="D2421" t="inlineStr">
        <is>
          <t>Curad Compact First Aid Kit with Over-The-Counter Medicine,All Purpose,Flex-Fabric and Butterfly Bandages,Antibiotic Ointment,Cleansing Towelettes,Alcohol Prep Pads,Acetaminophen,Carry Case, 80 Count</t>
        </is>
      </c>
      <c r="E2421" s="2">
        <f>HYPERLINK("https://www.amazon.com/Curad-Flex-Fabric-Antibiotic-Towelettes-Acetaminophen/dp/B0BLWL28PT/ref=sr_1_10?keywords=Cramer+First+Aid+Kit&amp;qid=1695171058&amp;sr=8-10", "https://www.amazon.com/Curad-Flex-Fabric-Antibiotic-Towelettes-Acetaminophen/dp/B0BLWL28PT/ref=sr_1_10?keywords=Cramer+First+Aid+Kit&amp;qid=1695171058&amp;sr=8-10")</f>
        <v/>
      </c>
      <c r="F2421" t="inlineStr">
        <is>
          <t>B0BLWL28PT</t>
        </is>
      </c>
      <c r="G2421">
        <f>_xludf.IMAGE("https://www.soccerplususa.com/prodimages/1671-DEFAULT-l.jpg")</f>
        <v/>
      </c>
      <c r="H2421">
        <f>_xludf.IMAGE("https://m.media-amazon.com/images/I/71DjfLvBg6L._AC_UL320_.jpg")</f>
        <v/>
      </c>
      <c r="K2421" t="inlineStr">
        <is>
          <t>39.95</t>
        </is>
      </c>
      <c r="L2421" t="n">
        <v>9.99</v>
      </c>
      <c r="M2421" s="1" t="inlineStr">
        <is>
          <t>-74.99%</t>
        </is>
      </c>
      <c r="N2421" s="3" t="n">
        <v>-74.98999999999999</v>
      </c>
      <c r="O2421" t="n">
        <v>4.7</v>
      </c>
      <c r="P2421" t="n">
        <v>27</v>
      </c>
      <c r="R2421" t="inlineStr">
        <is>
          <t>InStock</t>
        </is>
      </c>
      <c r="S2421" t="inlineStr">
        <is>
          <t>undefined</t>
        </is>
      </c>
      <c r="T2421" t="inlineStr">
        <is>
          <t>112000</t>
        </is>
      </c>
    </row>
    <row r="2422" hidden="1" ht="15.75" customHeight="1">
      <c r="A2422" s="2">
        <f>HYPERLINK("https://www.soccerplususa.com/cramer/cramer-first-aid-kit-12504", "https://www.soccerplususa.com/cramer/cramer-first-aid-kit-12504")</f>
        <v/>
      </c>
      <c r="B2422" t="inlineStr">
        <is>
          <t>undefined</t>
        </is>
      </c>
      <c r="C2422" t="inlineStr">
        <is>
          <t>Cramer First Aid Kit</t>
        </is>
      </c>
      <c r="D2422" t="inlineStr">
        <is>
          <t>Small First Aid Kit -88 Piece First Aid Kit, Small Travel First Aid Kit Treat and Protect Most Injuries,Mini First Aid Kit Ready for Emergency at Home, Outdoors, Car, Camping, Workplace, Hiking.</t>
        </is>
      </c>
      <c r="E2422" s="2">
        <f>HYPERLINK("https://www.amazon.com/Protect-Injuries-Emergency-Outdoors-Workplace/dp/B0C8881CFF/ref=sr_1_9?keywords=Cramer+First+Aid+Kit&amp;qid=1695171058&amp;sr=8-9", "https://www.amazon.com/Protect-Injuries-Emergency-Outdoors-Workplace/dp/B0C8881CFF/ref=sr_1_9?keywords=Cramer+First+Aid+Kit&amp;qid=1695171058&amp;sr=8-9")</f>
        <v/>
      </c>
      <c r="F2422" t="inlineStr">
        <is>
          <t>B0C8881CFF</t>
        </is>
      </c>
      <c r="G2422">
        <f>_xludf.IMAGE("https://www.soccerplususa.com/prodimages/1671-DEFAULT-l.jpg")</f>
        <v/>
      </c>
      <c r="H2422">
        <f>_xludf.IMAGE("https://m.media-amazon.com/images/I/81FYtcM1D4L._AC_UL320_.jpg")</f>
        <v/>
      </c>
      <c r="K2422" t="inlineStr">
        <is>
          <t>39.95</t>
        </is>
      </c>
      <c r="L2422" t="n">
        <v>7.98</v>
      </c>
      <c r="M2422" s="1" t="inlineStr">
        <is>
          <t>-80.03%</t>
        </is>
      </c>
      <c r="N2422" s="3" t="n">
        <v>-80.03</v>
      </c>
      <c r="O2422" t="n">
        <v>4</v>
      </c>
      <c r="P2422" t="n">
        <v>1</v>
      </c>
      <c r="R2422" t="inlineStr">
        <is>
          <t>InStock</t>
        </is>
      </c>
      <c r="S2422" t="inlineStr">
        <is>
          <t>undefined</t>
        </is>
      </c>
      <c r="T2422" t="inlineStr">
        <is>
          <t>112000</t>
        </is>
      </c>
    </row>
    <row r="2423" hidden="1" ht="15.75" customHeight="1">
      <c r="A2423" s="2">
        <f>HYPERLINK("https://www.soccerplususa.com/cramer/cramer-first-aid-kit-12504", "https://www.soccerplususa.com/cramer/cramer-first-aid-kit-12504")</f>
        <v/>
      </c>
      <c r="B2423" t="inlineStr">
        <is>
          <t>undefined</t>
        </is>
      </c>
      <c r="C2423" t="inlineStr">
        <is>
          <t>Cramer First Aid Kit</t>
        </is>
      </c>
      <c r="D2423" t="inlineStr">
        <is>
          <t>DMI Mini 20-Piece First-Aid Kit, All-Purpose Use for Minor Cuts and Scrapes, Durable Water-Resistant Case, Convenient and Portable, FSA &amp; HSA Eligible</t>
        </is>
      </c>
      <c r="E2423" s="2">
        <f>HYPERLINK("https://www.amazon.com/DMI-First-Aid-All-Purpose-Water-Resistant-Convenient/dp/B0BQJQZ46L/ref=sr_1_4?keywords=Cramer+First+Aid+Kit&amp;qid=1695171058&amp;sr=8-4", "https://www.amazon.com/DMI-First-Aid-All-Purpose-Water-Resistant-Convenient/dp/B0BQJQZ46L/ref=sr_1_4?keywords=Cramer+First+Aid+Kit&amp;qid=1695171058&amp;sr=8-4")</f>
        <v/>
      </c>
      <c r="F2423" t="inlineStr">
        <is>
          <t>B0BQJQZ46L</t>
        </is>
      </c>
      <c r="G2423">
        <f>_xludf.IMAGE("https://www.soccerplususa.com/prodimages/1671-DEFAULT-l.jpg")</f>
        <v/>
      </c>
      <c r="H2423">
        <f>_xludf.IMAGE("https://m.media-amazon.com/images/I/61-J0N7a1lL._AC_UL320_.jpg")</f>
        <v/>
      </c>
      <c r="K2423" t="inlineStr">
        <is>
          <t>39.95</t>
        </is>
      </c>
      <c r="L2423" t="n">
        <v>2.99</v>
      </c>
      <c r="M2423" s="1" t="inlineStr">
        <is>
          <t>-92.52%</t>
        </is>
      </c>
      <c r="N2423" s="3" t="n">
        <v>-92.52</v>
      </c>
      <c r="O2423" t="n">
        <v>4.7</v>
      </c>
      <c r="P2423" t="n">
        <v>354</v>
      </c>
      <c r="R2423" t="inlineStr">
        <is>
          <t>InStock</t>
        </is>
      </c>
      <c r="S2423" t="inlineStr">
        <is>
          <t>undefined</t>
        </is>
      </c>
      <c r="T2423" t="inlineStr">
        <is>
          <t>112000</t>
        </is>
      </c>
    </row>
    <row r="2424" ht="75" customHeight="1">
      <c r="A2424" s="2">
        <f>HYPERLINK("https://www.soccerplususa.com/nike/nike-park-iv-sock-21140", "https://www.soccerplususa.com/nike/nike-park-iv-sock-21140")</f>
        <v/>
      </c>
      <c r="B2424" t="inlineStr">
        <is>
          <t>undefined</t>
        </is>
      </c>
      <c r="C2424" t="inlineStr">
        <is>
          <t>Nike Park IV Sock</t>
        </is>
      </c>
      <c r="D2424" t="inlineStr">
        <is>
          <t>Nike Park IV Socks</t>
        </is>
      </c>
      <c r="E2424" s="2">
        <f>HYPERLINK("https://www.amazon.com/Nike-Park-IV-Soccer-Socks/dp/B007UR33VY/ref=sr_1_10?keywords=Nike+Park+IV+Sock&amp;qid=1695171102&amp;sr=8-10", "https://www.amazon.com/Nike-Park-IV-Soccer-Socks/dp/B007UR33VY/ref=sr_1_10?keywords=Nike+Park+IV+Sock&amp;qid=1695171102&amp;sr=8-10")</f>
        <v/>
      </c>
      <c r="F2424" t="inlineStr">
        <is>
          <t>B007UR33VY</t>
        </is>
      </c>
      <c r="G2424">
        <f>_xlfn.IMAGE("https://www.soccerplususa.com/prodimages/2467-DEFAULT-l.jpg")</f>
        <v/>
      </c>
      <c r="H2424">
        <f>_xlfn.IMAGE("https://m.media-amazon.com/images/I/81h4pS7KG4L._AC_UL320_.jpg")</f>
        <v/>
      </c>
      <c r="K2424" t="inlineStr">
        <is>
          <t>5.0</t>
        </is>
      </c>
      <c r="L2424" t="n">
        <v>38.88</v>
      </c>
      <c r="M2424" s="1" t="inlineStr">
        <is>
          <t>677.60%</t>
        </is>
      </c>
      <c r="N2424" s="3" t="n">
        <v>677.6</v>
      </c>
      <c r="O2424" t="n">
        <v>4.7</v>
      </c>
      <c r="P2424" t="n">
        <v>16</v>
      </c>
      <c r="R2424" t="inlineStr">
        <is>
          <t>InStock</t>
        </is>
      </c>
      <c r="S2424" t="inlineStr">
        <is>
          <t>7.95</t>
        </is>
      </c>
      <c r="T2424" t="inlineStr">
        <is>
          <t>507815-657</t>
        </is>
      </c>
    </row>
    <row r="2425" ht="75" customHeight="1">
      <c r="A2425" s="2">
        <f>HYPERLINK("https://www.soccerplususa.com/nike/nike-park-iv-sock-21140", "https://www.soccerplususa.com/nike/nike-park-iv-sock-21140")</f>
        <v/>
      </c>
      <c r="B2425" t="inlineStr">
        <is>
          <t>undefined</t>
        </is>
      </c>
      <c r="C2425" t="inlineStr">
        <is>
          <t>Nike Park IV Sock</t>
        </is>
      </c>
      <c r="D2425" t="inlineStr">
        <is>
          <t>Nike Park IV</t>
        </is>
      </c>
      <c r="E2425" s="2">
        <f>HYPERLINK("https://www.amazon.com/Nike-Park-Soccer-Socks-Medium/dp/B00DWK8QWE/ref=sr_1_7?keywords=Nike+Park+IV+Sock&amp;qid=1695171102&amp;sr=8-7", "https://www.amazon.com/Nike-Park-Soccer-Socks-Medium/dp/B00DWK8QWE/ref=sr_1_7?keywords=Nike+Park+IV+Sock&amp;qid=1695171102&amp;sr=8-7")</f>
        <v/>
      </c>
      <c r="F2425" t="inlineStr">
        <is>
          <t>B00DWK8QWE</t>
        </is>
      </c>
      <c r="G2425">
        <f>_xlfn.IMAGE("https://www.soccerplususa.com/prodimages/2467-DEFAULT-l.jpg")</f>
        <v/>
      </c>
      <c r="H2425">
        <f>_xlfn.IMAGE("https://m.media-amazon.com/images/I/61WJG4PvNZL._AC_UL320_.jpg")</f>
        <v/>
      </c>
      <c r="K2425" t="inlineStr">
        <is>
          <t>5.0</t>
        </is>
      </c>
      <c r="L2425" t="n">
        <v>32.88</v>
      </c>
      <c r="M2425" s="1" t="inlineStr">
        <is>
          <t>557.60%</t>
        </is>
      </c>
      <c r="N2425" s="3" t="n">
        <v>557.6</v>
      </c>
      <c r="O2425" t="n">
        <v>4</v>
      </c>
      <c r="P2425" t="n">
        <v>9</v>
      </c>
      <c r="R2425" t="inlineStr">
        <is>
          <t>InStock</t>
        </is>
      </c>
      <c r="S2425" t="inlineStr">
        <is>
          <t>7.95</t>
        </is>
      </c>
      <c r="T2425" t="inlineStr">
        <is>
          <t>507815-657</t>
        </is>
      </c>
    </row>
    <row r="2426" ht="75" customHeight="1">
      <c r="A2426" s="2">
        <f>HYPERLINK("https://www.soccerplususa.com/adidas/adidas-metro-iv-sock-2031", "https://www.soccerplususa.com/adidas/adidas-metro-iv-sock-2031")</f>
        <v/>
      </c>
      <c r="B2426" t="inlineStr">
        <is>
          <t>undefined</t>
        </is>
      </c>
      <c r="C2426" t="inlineStr">
        <is>
          <t>adidas Metro IV Sock</t>
        </is>
      </c>
      <c r="D2426" t="inlineStr">
        <is>
          <t>adidas Metro IV soccer socks Coral</t>
        </is>
      </c>
      <c r="E2426" s="2">
        <f>HYPERLINK("https://www.amazon.com/Adidas-Metro-soccer-socks-Coral/dp/B087GS6CPG/ref=sr_1_2?keywords=adidas+Metro+IV+Sock&amp;qid=1695171113&amp;sr=8-2", "https://www.amazon.com/Adidas-Metro-soccer-socks-Coral/dp/B087GS6CPG/ref=sr_1_2?keywords=adidas+Metro+IV+Sock&amp;qid=1695171113&amp;sr=8-2")</f>
        <v/>
      </c>
      <c r="F2426" t="inlineStr">
        <is>
          <t>B087GS6CPG</t>
        </is>
      </c>
      <c r="G2426">
        <f>_xlfn.IMAGE("https://www.soccerplususa.com/prodimages/2134-DEFAULT-l.jpg")</f>
        <v/>
      </c>
      <c r="H2426">
        <f>_xlfn.IMAGE("https://m.media-amazon.com/images/I/91WSjO+hhiL._AC_UL320_.jpg")</f>
        <v/>
      </c>
      <c r="K2426" t="inlineStr">
        <is>
          <t>8.95</t>
        </is>
      </c>
      <c r="L2426" t="n">
        <v>49.89</v>
      </c>
      <c r="M2426" s="1" t="inlineStr">
        <is>
          <t>457.43%</t>
        </is>
      </c>
      <c r="N2426" s="3" t="n">
        <v>457.43</v>
      </c>
      <c r="O2426" t="n">
        <v>4.4</v>
      </c>
      <c r="P2426" t="n">
        <v>9</v>
      </c>
      <c r="R2426" t="inlineStr">
        <is>
          <t>InStock</t>
        </is>
      </c>
      <c r="S2426" t="inlineStr">
        <is>
          <t>undefined</t>
        </is>
      </c>
      <c r="T2426" t="inlineStr">
        <is>
          <t>5137789</t>
        </is>
      </c>
    </row>
    <row r="2427" ht="75" customHeight="1">
      <c r="A2427" s="2">
        <f>HYPERLINK("https://www.soccerplususa.com/nike/nike-park-iv-sock-21140", "https://www.soccerplususa.com/nike/nike-park-iv-sock-21140")</f>
        <v/>
      </c>
      <c r="B2427" t="inlineStr">
        <is>
          <t>undefined</t>
        </is>
      </c>
      <c r="C2427" t="inlineStr">
        <is>
          <t>Nike Park IV Sock</t>
        </is>
      </c>
      <c r="D2427" t="inlineStr">
        <is>
          <t>Nike Park iv Sock</t>
        </is>
      </c>
      <c r="E2427" s="2">
        <f>HYPERLINK("https://www.amazon.com/chaussette-football-Nike-Park-homme/dp/B00B9VXZHE/ref=sr_1_4?keywords=Nike+Park+IV+Sock&amp;qid=1695171102&amp;sr=8-4", "https://www.amazon.com/chaussette-football-Nike-Park-homme/dp/B00B9VXZHE/ref=sr_1_4?keywords=Nike+Park+IV+Sock&amp;qid=1695171102&amp;sr=8-4")</f>
        <v/>
      </c>
      <c r="F2427" t="inlineStr">
        <is>
          <t>B00B9VXZHE</t>
        </is>
      </c>
      <c r="G2427">
        <f>_xlfn.IMAGE("https://www.soccerplususa.com/prodimages/2467-DEFAULT-l.jpg")</f>
        <v/>
      </c>
      <c r="H2427">
        <f>_xlfn.IMAGE("https://m.media-amazon.com/images/I/81BHDIEiiGL._AC_UL320_.jpg")</f>
        <v/>
      </c>
      <c r="K2427" t="inlineStr">
        <is>
          <t>5.0</t>
        </is>
      </c>
      <c r="L2427" t="n">
        <v>21.83</v>
      </c>
      <c r="M2427" s="1" t="inlineStr">
        <is>
          <t>336.60%</t>
        </is>
      </c>
      <c r="N2427" s="3" t="n">
        <v>336.6</v>
      </c>
      <c r="O2427" t="n">
        <v>4.6</v>
      </c>
      <c r="P2427" t="n">
        <v>46</v>
      </c>
      <c r="R2427" t="inlineStr">
        <is>
          <t>InStock</t>
        </is>
      </c>
      <c r="S2427" t="inlineStr">
        <is>
          <t>7.95</t>
        </is>
      </c>
      <c r="T2427" t="inlineStr">
        <is>
          <t>507815-657</t>
        </is>
      </c>
    </row>
    <row r="2428" hidden="1" ht="15.75" customHeight="1">
      <c r="A2428" s="2">
        <f>HYPERLINK("https://www.soccerplususa.com/nike/nike-classic-iii-sock-19558", "https://www.soccerplususa.com/nike/nike-classic-iii-sock-19558")</f>
        <v/>
      </c>
      <c r="B2428" t="inlineStr">
        <is>
          <t>undefined</t>
        </is>
      </c>
      <c r="C2428" t="inlineStr">
        <is>
          <t>Nike Classic III Sock</t>
        </is>
      </c>
      <c r="D2428" t="inlineStr">
        <is>
          <t>Nike Dri-Fit Classic Soccer 2-Pack Socks - White (Large)</t>
        </is>
      </c>
      <c r="E2428" s="2">
        <f>HYPERLINK("https://www.amazon.com/NIKE-Dri-Fit-Classic-Soccer-2-Pack/dp/B00ISS1Z5K/ref=sr_1_6?keywords=Nike+Classic+III+Sock&amp;qid=1695171105&amp;sr=8-6", "https://www.amazon.com/NIKE-Dri-Fit-Classic-Soccer-2-Pack/dp/B00ISS1Z5K/ref=sr_1_6?keywords=Nike+Classic+III+Sock&amp;qid=1695171105&amp;sr=8-6")</f>
        <v/>
      </c>
      <c r="F2428" t="inlineStr">
        <is>
          <t>B00ISS1Z5K</t>
        </is>
      </c>
      <c r="G2428">
        <f>_xludf.IMAGE("https://www.soccerplususa.com/prodimages/6187-DEFAULT-l.jpg")</f>
        <v/>
      </c>
      <c r="H2428">
        <f>_xludf.IMAGE("https://m.media-amazon.com/images/I/41aoWYLJNCL._AC_UL320_.jpg")</f>
        <v/>
      </c>
      <c r="K2428" t="inlineStr">
        <is>
          <t>6.0</t>
        </is>
      </c>
      <c r="L2428" t="n">
        <v>25</v>
      </c>
      <c r="M2428" s="1" t="inlineStr">
        <is>
          <t>316.67%</t>
        </is>
      </c>
      <c r="N2428" s="3" t="n">
        <v>316.67</v>
      </c>
      <c r="O2428" t="n">
        <v>3.7</v>
      </c>
      <c r="P2428" t="n">
        <v>42</v>
      </c>
      <c r="R2428" t="inlineStr">
        <is>
          <t>InStock</t>
        </is>
      </c>
      <c r="S2428" t="inlineStr">
        <is>
          <t>9.95</t>
        </is>
      </c>
      <c r="T2428" t="inlineStr">
        <is>
          <t>394386-057</t>
        </is>
      </c>
    </row>
    <row r="2429" hidden="1" ht="15.75" customHeight="1">
      <c r="A2429" s="2">
        <f>HYPERLINK("https://www.soccerplususa.com/nike/nike-classic-iii-sock-19557", "https://www.soccerplususa.com/nike/nike-classic-iii-sock-19557")</f>
        <v/>
      </c>
      <c r="B2429" t="inlineStr">
        <is>
          <t>undefined</t>
        </is>
      </c>
      <c r="C2429" t="inlineStr">
        <is>
          <t>Nike Classic III Sock</t>
        </is>
      </c>
      <c r="D2429" t="inlineStr">
        <is>
          <t>Nike Dri-Fit Classic Soccer 2-Pack Socks - White (Large)</t>
        </is>
      </c>
      <c r="E2429" s="2">
        <f>HYPERLINK("https://www.amazon.com/NIKE-Dri-Fit-Classic-Soccer-2-Pack/dp/B00ISS1Z5K/ref=sr_1_6?keywords=Nike+Classic+III+Sock&amp;qid=1695171102&amp;sr=8-6", "https://www.amazon.com/NIKE-Dri-Fit-Classic-Soccer-2-Pack/dp/B00ISS1Z5K/ref=sr_1_6?keywords=Nike+Classic+III+Sock&amp;qid=1695171102&amp;sr=8-6")</f>
        <v/>
      </c>
      <c r="F2429" t="inlineStr">
        <is>
          <t>B00ISS1Z5K</t>
        </is>
      </c>
      <c r="G2429">
        <f>_xludf.IMAGE("https://www.soccerplususa.com/prodimages/3020-DEFAULT-l.jpg")</f>
        <v/>
      </c>
      <c r="H2429">
        <f>_xludf.IMAGE("https://m.media-amazon.com/images/I/41aoWYLJNCL._AC_UL320_.jpg")</f>
        <v/>
      </c>
      <c r="K2429" t="inlineStr">
        <is>
          <t>6.0</t>
        </is>
      </c>
      <c r="L2429" t="n">
        <v>25</v>
      </c>
      <c r="M2429" s="1" t="inlineStr">
        <is>
          <t>316.67%</t>
        </is>
      </c>
      <c r="N2429" s="3" t="n">
        <v>316.67</v>
      </c>
      <c r="O2429" t="n">
        <v>3.7</v>
      </c>
      <c r="P2429" t="n">
        <v>42</v>
      </c>
      <c r="R2429" t="inlineStr">
        <is>
          <t>InStock</t>
        </is>
      </c>
      <c r="S2429" t="inlineStr">
        <is>
          <t>9.95</t>
        </is>
      </c>
      <c r="T2429" t="inlineStr">
        <is>
          <t>394386-010</t>
        </is>
      </c>
    </row>
    <row r="2430" hidden="1" ht="15.75" customHeight="1">
      <c r="A2430" s="2">
        <f>HYPERLINK("https://www.soccerplususa.com/nike/nike-classic-iii-sock-19563", "https://www.soccerplususa.com/nike/nike-classic-iii-sock-19563")</f>
        <v/>
      </c>
      <c r="B2430" t="inlineStr">
        <is>
          <t>undefined</t>
        </is>
      </c>
      <c r="C2430" t="inlineStr">
        <is>
          <t>Nike Classic III Sock</t>
        </is>
      </c>
      <c r="D2430" t="inlineStr">
        <is>
          <t>Nike Dri-Fit Classic Soccer 2-Pack Socks - White (Large)</t>
        </is>
      </c>
      <c r="E2430" s="2">
        <f>HYPERLINK("https://www.amazon.com/NIKE-Dri-Fit-Classic-Soccer-2-Pack/dp/B00ISS1Z5K/ref=sr_1_6?keywords=Nike+Classic+III+Sock&amp;qid=1695171105&amp;sr=8-6", "https://www.amazon.com/NIKE-Dri-Fit-Classic-Soccer-2-Pack/dp/B00ISS1Z5K/ref=sr_1_6?keywords=Nike+Classic+III+Sock&amp;qid=1695171105&amp;sr=8-6")</f>
        <v/>
      </c>
      <c r="F2430" t="inlineStr">
        <is>
          <t>B00ISS1Z5K</t>
        </is>
      </c>
      <c r="G2430">
        <f>_xludf.IMAGE("https://www.soccerplususa.com/prodimages/6185-DEFAULT-l.jpg")</f>
        <v/>
      </c>
      <c r="H2430">
        <f>_xludf.IMAGE("https://m.media-amazon.com/images/I/41aoWYLJNCL._AC_UL320_.jpg")</f>
        <v/>
      </c>
      <c r="K2430" t="inlineStr">
        <is>
          <t>6.0</t>
        </is>
      </c>
      <c r="L2430" t="n">
        <v>25</v>
      </c>
      <c r="M2430" s="1" t="inlineStr">
        <is>
          <t>316.67%</t>
        </is>
      </c>
      <c r="N2430" s="3" t="n">
        <v>316.67</v>
      </c>
      <c r="O2430" t="n">
        <v>3.7</v>
      </c>
      <c r="P2430" t="n">
        <v>42</v>
      </c>
      <c r="R2430" t="inlineStr">
        <is>
          <t>InStock</t>
        </is>
      </c>
      <c r="S2430" t="inlineStr">
        <is>
          <t>9.95</t>
        </is>
      </c>
      <c r="T2430" t="inlineStr">
        <is>
          <t>394386-460</t>
        </is>
      </c>
    </row>
    <row r="2431" ht="75" customHeight="1">
      <c r="A2431" s="2">
        <f>HYPERLINK("https://www.soccerplususa.com/nike/nike-park-iv-sock-21140", "https://www.soccerplususa.com/nike/nike-park-iv-sock-21140")</f>
        <v/>
      </c>
      <c r="B2431" t="inlineStr">
        <is>
          <t>undefined</t>
        </is>
      </c>
      <c r="C2431" t="inlineStr">
        <is>
          <t>Nike Park IV Sock</t>
        </is>
      </c>
      <c r="D2431" t="inlineStr">
        <is>
          <t>Nike Park IV Cushioned (SPORT SOCKS) (Navy, Men's Shoe size 8-12/ Women's 10-12)</t>
        </is>
      </c>
      <c r="E2431" s="2">
        <f>HYPERLINK("https://www.amazon.com/Cushioned-SPORT-SOCKS-Womens-10-12/dp/B00GDKGBMW/ref=sr_1_5?keywords=Nike+Park+IV+Sock&amp;qid=1695171102&amp;sr=8-5", "https://www.amazon.com/Cushioned-SPORT-SOCKS-Womens-10-12/dp/B00GDKGBMW/ref=sr_1_5?keywords=Nike+Park+IV+Sock&amp;qid=1695171102&amp;sr=8-5")</f>
        <v/>
      </c>
      <c r="F2431" t="inlineStr">
        <is>
          <t>B00GDKGBMW</t>
        </is>
      </c>
      <c r="G2431">
        <f>_xlfn.IMAGE("https://www.soccerplususa.com/prodimages/2467-DEFAULT-l.jpg")</f>
        <v/>
      </c>
      <c r="H2431">
        <f>_xlfn.IMAGE("https://m.media-amazon.com/images/I/21dOAxM68EL._AC_UL320_.jpg")</f>
        <v/>
      </c>
      <c r="K2431" t="inlineStr">
        <is>
          <t>5.0</t>
        </is>
      </c>
      <c r="L2431" t="n">
        <v>19.99</v>
      </c>
      <c r="M2431" s="1" t="inlineStr">
        <is>
          <t>299.80%</t>
        </is>
      </c>
      <c r="N2431" s="3" t="n">
        <v>299.8</v>
      </c>
      <c r="O2431" t="n">
        <v>5</v>
      </c>
      <c r="P2431" t="n">
        <v>4</v>
      </c>
      <c r="R2431" t="inlineStr">
        <is>
          <t>InStock</t>
        </is>
      </c>
      <c r="S2431" t="inlineStr">
        <is>
          <t>7.95</t>
        </is>
      </c>
      <c r="T2431" t="inlineStr">
        <is>
          <t>507815-657</t>
        </is>
      </c>
    </row>
    <row r="2432" ht="75" customHeight="1">
      <c r="A2432" s="2">
        <f>HYPERLINK("https://www.soccerplususa.com/nike/nike-park-iv-sock-21140", "https://www.soccerplususa.com/nike/nike-park-iv-sock-21140")</f>
        <v/>
      </c>
      <c r="B2432" t="inlineStr">
        <is>
          <t>undefined</t>
        </is>
      </c>
      <c r="C2432" t="inlineStr">
        <is>
          <t>Nike Park IV Sock</t>
        </is>
      </c>
      <c r="D2432" t="inlineStr">
        <is>
          <t>Nike Park IV Cushioned Socks Soccer</t>
        </is>
      </c>
      <c r="E2432" s="2">
        <f>HYPERLINK("https://www.amazon.com/Mens-Cushioned-Socks-Soccer-Black/dp/B00YNLJP6C/ref=sr_1_1?keywords=Nike+Park+IV+Sock&amp;qid=1695171102&amp;sr=8-1", "https://www.amazon.com/Mens-Cushioned-Socks-Soccer-Black/dp/B00YNLJP6C/ref=sr_1_1?keywords=Nike+Park+IV+Sock&amp;qid=1695171102&amp;sr=8-1")</f>
        <v/>
      </c>
      <c r="F2432" t="inlineStr">
        <is>
          <t>B00YNLJP6C</t>
        </is>
      </c>
      <c r="G2432">
        <f>_xlfn.IMAGE("https://www.soccerplususa.com/prodimages/2467-DEFAULT-l.jpg")</f>
        <v/>
      </c>
      <c r="H2432">
        <f>_xlfn.IMAGE("https://m.media-amazon.com/images/I/51n-OaafPTL._AC_UL320_.jpg")</f>
        <v/>
      </c>
      <c r="K2432" t="inlineStr">
        <is>
          <t>5.0</t>
        </is>
      </c>
      <c r="L2432" t="n">
        <v>19.99</v>
      </c>
      <c r="M2432" s="1" t="inlineStr">
        <is>
          <t>299.80%</t>
        </is>
      </c>
      <c r="N2432" s="3" t="n">
        <v>299.8</v>
      </c>
      <c r="O2432" t="n">
        <v>4</v>
      </c>
      <c r="P2432" t="n">
        <v>18</v>
      </c>
      <c r="R2432" t="inlineStr">
        <is>
          <t>InStock</t>
        </is>
      </c>
      <c r="S2432" t="inlineStr">
        <is>
          <t>7.95</t>
        </is>
      </c>
      <c r="T2432" t="inlineStr">
        <is>
          <t>507815-657</t>
        </is>
      </c>
    </row>
    <row r="2433" ht="75" customHeight="1">
      <c r="A2433" s="2">
        <f>HYPERLINK("https://www.soccerplususa.com/nike/nike-park-iv-sock-21140", "https://www.soccerplususa.com/nike/nike-park-iv-sock-21140")</f>
        <v/>
      </c>
      <c r="B2433" t="inlineStr">
        <is>
          <t>undefined</t>
        </is>
      </c>
      <c r="C2433" t="inlineStr">
        <is>
          <t>Nike Park IV Sock</t>
        </is>
      </c>
      <c r="D2433" t="inlineStr">
        <is>
          <t>park iv sock, Größe Nike US:S</t>
        </is>
      </c>
      <c r="E2433" s="2">
        <f>HYPERLINK("https://www.amazon.com/Nike-Park-Sock-Small-Black/dp/B005AP1P5Y/ref=sr_1_6?keywords=Nike+Park+IV+Sock&amp;qid=1695171102&amp;sr=8-6", "https://www.amazon.com/Nike-Park-Sock-Small-Black/dp/B005AP1P5Y/ref=sr_1_6?keywords=Nike+Park+IV+Sock&amp;qid=1695171102&amp;sr=8-6")</f>
        <v/>
      </c>
      <c r="F2433" t="inlineStr">
        <is>
          <t>B005AP1P5Y</t>
        </is>
      </c>
      <c r="G2433">
        <f>_xlfn.IMAGE("https://www.soccerplususa.com/prodimages/2467-DEFAULT-l.jpg")</f>
        <v/>
      </c>
      <c r="H2433">
        <f>_xlfn.IMAGE("https://m.media-amazon.com/images/I/81UVszevjeL._AC_UL320_.jpg")</f>
        <v/>
      </c>
      <c r="K2433" t="inlineStr">
        <is>
          <t>5.0</t>
        </is>
      </c>
      <c r="L2433" t="n">
        <v>19.99</v>
      </c>
      <c r="M2433" s="1" t="inlineStr">
        <is>
          <t>299.80%</t>
        </is>
      </c>
      <c r="N2433" s="3" t="n">
        <v>299.8</v>
      </c>
      <c r="O2433" t="n">
        <v>4</v>
      </c>
      <c r="P2433" t="n">
        <v>13</v>
      </c>
      <c r="R2433" t="inlineStr">
        <is>
          <t>InStock</t>
        </is>
      </c>
      <c r="S2433" t="inlineStr">
        <is>
          <t>7.95</t>
        </is>
      </c>
      <c r="T2433" t="inlineStr">
        <is>
          <t>507815-657</t>
        </is>
      </c>
    </row>
    <row r="2434" ht="75" customHeight="1">
      <c r="A2434" s="2">
        <f>HYPERLINK("https://www.soccerplususa.com/nike/nike-park-iv-sock-21140", "https://www.soccerplususa.com/nike/nike-park-iv-sock-21140")</f>
        <v/>
      </c>
      <c r="B2434" t="inlineStr">
        <is>
          <t>undefined</t>
        </is>
      </c>
      <c r="C2434" t="inlineStr">
        <is>
          <t>Nike Park IV Sock</t>
        </is>
      </c>
      <c r="D2434" t="inlineStr">
        <is>
          <t>Nike Park IV Game Soccer Socks (Black) - Shoe Size: Men 8 - 12 / Women 10 - 13</t>
        </is>
      </c>
      <c r="E2434" s="2">
        <f>HYPERLINK("https://www.amazon.com/Nike-Park-Soccer-Socks-Black/dp/B007T802FY/ref=sr_1_8?keywords=Nike+Park+IV+Sock&amp;qid=1695171102&amp;sr=8-8", "https://www.amazon.com/Nike-Park-Soccer-Socks-Black/dp/B007T802FY/ref=sr_1_8?keywords=Nike+Park+IV+Sock&amp;qid=1695171102&amp;sr=8-8")</f>
        <v/>
      </c>
      <c r="F2434" t="inlineStr">
        <is>
          <t>B007T802FY</t>
        </is>
      </c>
      <c r="G2434">
        <f>_xlfn.IMAGE("https://www.soccerplususa.com/prodimages/2467-DEFAULT-l.jpg")</f>
        <v/>
      </c>
      <c r="H2434">
        <f>_xlfn.IMAGE("https://m.media-amazon.com/images/I/81UVszevjeL._AC_UL320_.jpg")</f>
        <v/>
      </c>
      <c r="K2434" t="inlineStr">
        <is>
          <t>5.0</t>
        </is>
      </c>
      <c r="L2434" t="n">
        <v>19.99</v>
      </c>
      <c r="M2434" s="1" t="inlineStr">
        <is>
          <t>299.80%</t>
        </is>
      </c>
      <c r="N2434" s="3" t="n">
        <v>299.8</v>
      </c>
      <c r="O2434" t="n">
        <v>4.2</v>
      </c>
      <c r="P2434" t="n">
        <v>108</v>
      </c>
      <c r="R2434" t="inlineStr">
        <is>
          <t>InStock</t>
        </is>
      </c>
      <c r="S2434" t="inlineStr">
        <is>
          <t>7.95</t>
        </is>
      </c>
      <c r="T2434" t="inlineStr">
        <is>
          <t>507815-657</t>
        </is>
      </c>
    </row>
    <row r="2435" ht="75" customHeight="1">
      <c r="A2435" s="2">
        <f>HYPERLINK("https://www.soccerplususa.com/nike/nike-park-iv-sock-21140", "https://www.soccerplususa.com/nike/nike-park-iv-sock-21140")</f>
        <v/>
      </c>
      <c r="B2435" t="inlineStr">
        <is>
          <t>undefined</t>
        </is>
      </c>
      <c r="C2435" t="inlineStr">
        <is>
          <t>Nike Park IV Sock</t>
        </is>
      </c>
      <c r="D2435" t="inlineStr">
        <is>
          <t>Nike Park IV Socks [White/Black]</t>
        </is>
      </c>
      <c r="E2435" s="2">
        <f>HYPERLINK("https://www.amazon.com/Nike-Park-Iv-Sock-White/dp/B007UR32HE/ref=sr_1_2?keywords=Nike+Park+IV+Sock&amp;qid=1695171102&amp;sr=8-2", "https://www.amazon.com/Nike-Park-Iv-Sock-White/dp/B007UR32HE/ref=sr_1_2?keywords=Nike+Park+IV+Sock&amp;qid=1695171102&amp;sr=8-2")</f>
        <v/>
      </c>
      <c r="F2435" t="inlineStr">
        <is>
          <t>B007UR32HE</t>
        </is>
      </c>
      <c r="G2435">
        <f>_xlfn.IMAGE("https://www.soccerplususa.com/prodimages/2467-DEFAULT-l.jpg")</f>
        <v/>
      </c>
      <c r="H2435">
        <f>_xlfn.IMAGE("https://m.media-amazon.com/images/I/51ip4wUrFLL._AC_UL320_.jpg")</f>
        <v/>
      </c>
      <c r="K2435" t="inlineStr">
        <is>
          <t>5.0</t>
        </is>
      </c>
      <c r="L2435" t="n">
        <v>19.99</v>
      </c>
      <c r="M2435" s="1" t="inlineStr">
        <is>
          <t>299.80%</t>
        </is>
      </c>
      <c r="N2435" s="3" t="n">
        <v>299.8</v>
      </c>
      <c r="O2435" t="n">
        <v>4.1</v>
      </c>
      <c r="P2435" t="n">
        <v>18</v>
      </c>
      <c r="R2435" t="inlineStr">
        <is>
          <t>InStock</t>
        </is>
      </c>
      <c r="S2435" t="inlineStr">
        <is>
          <t>7.95</t>
        </is>
      </c>
      <c r="T2435" t="inlineStr">
        <is>
          <t>507815-657</t>
        </is>
      </c>
    </row>
    <row r="2436" ht="75" customHeight="1">
      <c r="A2436" s="2">
        <f>HYPERLINK("https://www.soccerplususa.com/nike/nike-park-iv-sock-21140", "https://www.soccerplususa.com/nike/nike-park-iv-sock-21140")</f>
        <v/>
      </c>
      <c r="B2436" t="inlineStr">
        <is>
          <t>undefined</t>
        </is>
      </c>
      <c r="C2436" t="inlineStr">
        <is>
          <t>Nike Park IV Sock</t>
        </is>
      </c>
      <c r="D2436" t="inlineStr">
        <is>
          <t>Nike Park Sock S Soccer IV Socks</t>
        </is>
      </c>
      <c r="E2436" s="2">
        <f>HYPERLINK("https://www.amazon.com/Soccer-Park-IV-Socks-black/dp/B009D4C7VO/ref=sr_1_9?keywords=Nike+Park+IV+Sock&amp;qid=1695171102&amp;sr=8-9", "https://www.amazon.com/Soccer-Park-IV-Socks-black/dp/B009D4C7VO/ref=sr_1_9?keywords=Nike+Park+IV+Sock&amp;qid=1695171102&amp;sr=8-9")</f>
        <v/>
      </c>
      <c r="F2436" t="inlineStr">
        <is>
          <t>B009D4C7VO</t>
        </is>
      </c>
      <c r="G2436">
        <f>_xlfn.IMAGE("https://www.soccerplususa.com/prodimages/2467-DEFAULT-l.jpg")</f>
        <v/>
      </c>
      <c r="H2436">
        <f>_xlfn.IMAGE("https://m.media-amazon.com/images/I/61LjPxWKYuL._AC_UL320_.jpg")</f>
        <v/>
      </c>
      <c r="K2436" t="inlineStr">
        <is>
          <t>5.0</t>
        </is>
      </c>
      <c r="L2436" t="n">
        <v>19.99</v>
      </c>
      <c r="M2436" s="1" t="inlineStr">
        <is>
          <t>299.80%</t>
        </is>
      </c>
      <c r="N2436" s="3" t="n">
        <v>299.8</v>
      </c>
      <c r="O2436" t="n">
        <v>3.8</v>
      </c>
      <c r="P2436" t="n">
        <v>20</v>
      </c>
      <c r="R2436" t="inlineStr">
        <is>
          <t>InStock</t>
        </is>
      </c>
      <c r="S2436" t="inlineStr">
        <is>
          <t>7.95</t>
        </is>
      </c>
      <c r="T2436" t="inlineStr">
        <is>
          <t>507815-657</t>
        </is>
      </c>
    </row>
    <row r="2437" ht="75" customHeight="1">
      <c r="A2437" s="2">
        <f>HYPERLINK("https://www.soccerplususa.com/puma/puma-team-soccer-sock-29688", "https://www.soccerplususa.com/puma/puma-team-soccer-sock-29688")</f>
        <v/>
      </c>
      <c r="B2437" t="inlineStr">
        <is>
          <t>undefined</t>
        </is>
      </c>
      <c r="C2437" t="inlineStr">
        <is>
          <t>Puma Team Soccer Sock</t>
        </is>
      </c>
      <c r="D2437" t="inlineStr">
        <is>
          <t>APTESOL Knee High Soccer Socks (1/3/5 Pack) Team Sport OTC Cushion Socks for Kids Youth Adult</t>
        </is>
      </c>
      <c r="E2437" s="2">
        <f>HYPERLINK("https://www.amazon.com/APTESOL-Cushion-Soccer-Socks-Multiple/dp/B09441V386/ref=sr_1_9?keywords=Puma+Team+Soccer+Sock&amp;qid=1695171098&amp;sr=8-9", "https://www.amazon.com/APTESOL-Cushion-Soccer-Socks-Multiple/dp/B09441V386/ref=sr_1_9?keywords=Puma+Team+Soccer+Sock&amp;qid=1695171098&amp;sr=8-9")</f>
        <v/>
      </c>
      <c r="F2437" t="inlineStr">
        <is>
          <t>B09441V386</t>
        </is>
      </c>
      <c r="G2437">
        <f>_xlfn.IMAGE("https://www.soccerplususa.com/prodimages/3776-DEFAULT-l.jpg")</f>
        <v/>
      </c>
      <c r="H2437">
        <f>_xlfn.IMAGE("https://m.media-amazon.com/images/I/81QguzTxmkL._AC_UL320_.jpg")</f>
        <v/>
      </c>
      <c r="K2437" t="inlineStr">
        <is>
          <t>6.0</t>
        </is>
      </c>
      <c r="L2437" t="n">
        <v>23.37</v>
      </c>
      <c r="M2437" s="1" t="inlineStr">
        <is>
          <t>289.50%</t>
        </is>
      </c>
      <c r="N2437" s="3" t="n">
        <v>289.5</v>
      </c>
      <c r="O2437" t="n">
        <v>4.6</v>
      </c>
      <c r="P2437" t="n">
        <v>1915</v>
      </c>
      <c r="R2437" t="inlineStr">
        <is>
          <t>InStock</t>
        </is>
      </c>
      <c r="S2437" t="inlineStr">
        <is>
          <t>undefined</t>
        </is>
      </c>
      <c r="T2437" t="inlineStr">
        <is>
          <t>890420-01</t>
        </is>
      </c>
    </row>
    <row r="2438" ht="75" customHeight="1">
      <c r="A2438" s="2">
        <f>HYPERLINK("https://www.soccerplususa.com/nike/nike-park-iv-sock-21140", "https://www.soccerplususa.com/nike/nike-park-iv-sock-21140")</f>
        <v/>
      </c>
      <c r="B2438" t="inlineStr">
        <is>
          <t>undefined</t>
        </is>
      </c>
      <c r="C2438" t="inlineStr">
        <is>
          <t>Nike Park IV Sock</t>
        </is>
      </c>
      <c r="D2438" t="inlineStr">
        <is>
          <t>Nike Park IV Soccer Socks (Black, Medium)</t>
        </is>
      </c>
      <c r="E2438" s="2">
        <f>HYPERLINK("https://www.amazon.com/Nike-Soccer-Socks-Black-Medium/dp/B007T8037Q/ref=sr_1_3?keywords=Nike+Park+IV+Sock&amp;qid=1695171102&amp;sr=8-3", "https://www.amazon.com/Nike-Soccer-Socks-Black-Medium/dp/B007T8037Q/ref=sr_1_3?keywords=Nike+Park+IV+Sock&amp;qid=1695171102&amp;sr=8-3")</f>
        <v/>
      </c>
      <c r="F2438" t="inlineStr">
        <is>
          <t>B007T8037Q</t>
        </is>
      </c>
      <c r="G2438">
        <f>_xlfn.IMAGE("https://www.soccerplususa.com/prodimages/2467-DEFAULT-l.jpg")</f>
        <v/>
      </c>
      <c r="H2438">
        <f>_xlfn.IMAGE("https://m.media-amazon.com/images/I/81UVszevjeL._AC_UL320_.jpg")</f>
        <v/>
      </c>
      <c r="K2438" t="inlineStr">
        <is>
          <t>5.0</t>
        </is>
      </c>
      <c r="L2438" t="n">
        <v>17.99</v>
      </c>
      <c r="M2438" s="1" t="inlineStr">
        <is>
          <t>259.80%</t>
        </is>
      </c>
      <c r="N2438" s="3" t="n">
        <v>259.8</v>
      </c>
      <c r="O2438" t="n">
        <v>4.4</v>
      </c>
      <c r="P2438" t="n">
        <v>61</v>
      </c>
      <c r="R2438" t="inlineStr">
        <is>
          <t>InStock</t>
        </is>
      </c>
      <c r="S2438" t="inlineStr">
        <is>
          <t>7.95</t>
        </is>
      </c>
      <c r="T2438" t="inlineStr">
        <is>
          <t>507815-657</t>
        </is>
      </c>
    </row>
    <row r="2439" ht="75" customHeight="1">
      <c r="A2439" s="2">
        <f>HYPERLINK("https://www.soccerplususa.com/adidas/field-sock-ii-yth-1375", "https://www.soccerplususa.com/adidas/field-sock-ii-yth-1375")</f>
        <v/>
      </c>
      <c r="B2439" t="inlineStr">
        <is>
          <t>undefined</t>
        </is>
      </c>
      <c r="C2439" t="inlineStr">
        <is>
          <t>Field Sock II Yth</t>
        </is>
      </c>
      <c r="D2439" t="inlineStr">
        <is>
          <t>adidas Youth Field Sock II Soccer Sock</t>
        </is>
      </c>
      <c r="E2439" s="2">
        <f>HYPERLINK("https://www.amazon.com/adidas-Field-Forest-White-Small/dp/B001GAP2EM/ref=sr_1_7?keywords=Field+Sock+II+Yth&amp;qid=1695171118&amp;sr=8-7", "https://www.amazon.com/adidas-Field-Forest-White-Small/dp/B001GAP2EM/ref=sr_1_7?keywords=Field+Sock+II+Yth&amp;qid=1695171118&amp;sr=8-7")</f>
        <v/>
      </c>
      <c r="F2439" t="inlineStr">
        <is>
          <t>B001GAP2EM</t>
        </is>
      </c>
      <c r="G2439">
        <f>_xlfn.IMAGE("https://www.soccerplususa.com/prodimages/1090-DEFAULT-l.jpg")</f>
        <v/>
      </c>
      <c r="H2439">
        <f>_xlfn.IMAGE("https://m.media-amazon.com/images/I/91LJB8wbquL._AC_UL320_.jpg")</f>
        <v/>
      </c>
      <c r="K2439" t="inlineStr">
        <is>
          <t>5.0</t>
        </is>
      </c>
      <c r="L2439" t="n">
        <v>16.93</v>
      </c>
      <c r="M2439" s="1" t="inlineStr">
        <is>
          <t>238.60%</t>
        </is>
      </c>
      <c r="N2439" s="3" t="n">
        <v>238.6</v>
      </c>
      <c r="O2439" t="n">
        <v>4.5</v>
      </c>
      <c r="P2439" t="n">
        <v>310</v>
      </c>
      <c r="R2439" t="inlineStr">
        <is>
          <t>InStock</t>
        </is>
      </c>
      <c r="S2439" t="inlineStr">
        <is>
          <t>7.95</t>
        </is>
      </c>
      <c r="T2439" t="inlineStr">
        <is>
          <t>321203S</t>
        </is>
      </c>
    </row>
    <row r="2440" ht="75" customHeight="1">
      <c r="A2440" s="2">
        <f>HYPERLINK("https://www.soccerplususa.com/adidas/field-sock-ii-yth-1371", "https://www.soccerplususa.com/adidas/field-sock-ii-yth-1371")</f>
        <v/>
      </c>
      <c r="B2440" t="inlineStr">
        <is>
          <t>undefined</t>
        </is>
      </c>
      <c r="C2440" t="inlineStr">
        <is>
          <t>Field Sock II Yth</t>
        </is>
      </c>
      <c r="D2440" t="inlineStr">
        <is>
          <t>adidas Youth Field Sock II Soccer Sock</t>
        </is>
      </c>
      <c r="E2440" s="2">
        <f>HYPERLINK("https://www.amazon.com/adidas-Field-Forest-White-Small/dp/B001GAP2EM/ref=sr_1_7?keywords=Field+Sock+II+Yth&amp;qid=1695171112&amp;sr=8-7", "https://www.amazon.com/adidas-Field-Forest-White-Small/dp/B001GAP2EM/ref=sr_1_7?keywords=Field+Sock+II+Yth&amp;qid=1695171112&amp;sr=8-7")</f>
        <v/>
      </c>
      <c r="F2440" t="inlineStr">
        <is>
          <t>B001GAP2EM</t>
        </is>
      </c>
      <c r="G2440">
        <f>_xlfn.IMAGE("https://www.soccerplususa.com/prodimages/709-DEFAULT-l.jpg")</f>
        <v/>
      </c>
      <c r="H2440">
        <f>_xlfn.IMAGE("https://m.media-amazon.com/images/I/91LJB8wbquL._AC_UL320_.jpg")</f>
        <v/>
      </c>
      <c r="K2440" t="inlineStr">
        <is>
          <t>5.0</t>
        </is>
      </c>
      <c r="L2440" t="n">
        <v>16.93</v>
      </c>
      <c r="M2440" s="1" t="inlineStr">
        <is>
          <t>238.60%</t>
        </is>
      </c>
      <c r="N2440" s="3" t="n">
        <v>238.6</v>
      </c>
      <c r="O2440" t="n">
        <v>4.5</v>
      </c>
      <c r="P2440" t="n">
        <v>310</v>
      </c>
      <c r="R2440" t="inlineStr">
        <is>
          <t>InStock</t>
        </is>
      </c>
      <c r="S2440" t="inlineStr">
        <is>
          <t>7.95</t>
        </is>
      </c>
      <c r="T2440" t="inlineStr">
        <is>
          <t>321193S</t>
        </is>
      </c>
    </row>
    <row r="2441" ht="75" customHeight="1">
      <c r="A2441" s="2">
        <f>HYPERLINK("https://www.soccerplususa.com/nike/nike-park-iii-sock-19550", "https://www.soccerplususa.com/nike/nike-park-iii-sock-19550")</f>
        <v/>
      </c>
      <c r="B2441" t="inlineStr">
        <is>
          <t>undefined</t>
        </is>
      </c>
      <c r="C2441" t="inlineStr">
        <is>
          <t>Nike Park III Sock</t>
        </is>
      </c>
      <c r="D2441" t="inlineStr">
        <is>
          <t>Nike Park IV Socks [White/Black]</t>
        </is>
      </c>
      <c r="E2441" s="2">
        <f>HYPERLINK("https://www.amazon.com/Nike-Park-White-Socks-L/dp/B01GHQLD24/ref=sr_1_3?keywords=Nike+Park+III+Sock&amp;qid=1695171100&amp;sr=8-3", "https://www.amazon.com/Nike-Park-White-Socks-L/dp/B01GHQLD24/ref=sr_1_3?keywords=Nike+Park+III+Sock&amp;qid=1695171100&amp;sr=8-3")</f>
        <v/>
      </c>
      <c r="F2441" t="inlineStr">
        <is>
          <t>B01GHQLD24</t>
        </is>
      </c>
      <c r="G2441">
        <f>_xlfn.IMAGE("https://www.soccerplususa.com/prodimages/31744-DEFAULT-l.jpg")</f>
        <v/>
      </c>
      <c r="H2441">
        <f>_xlfn.IMAGE("https://m.media-amazon.com/images/I/31vcFsMmuVL._AC_UL320_.jpg")</f>
        <v/>
      </c>
      <c r="K2441" t="inlineStr">
        <is>
          <t>5.95</t>
        </is>
      </c>
      <c r="L2441" t="n">
        <v>19.99</v>
      </c>
      <c r="M2441" s="1" t="inlineStr">
        <is>
          <t>235.97%</t>
        </is>
      </c>
      <c r="N2441" s="3" t="n">
        <v>235.97</v>
      </c>
      <c r="O2441" t="n">
        <v>4.4</v>
      </c>
      <c r="P2441" t="n">
        <v>6</v>
      </c>
      <c r="R2441" t="inlineStr">
        <is>
          <t>InStock</t>
        </is>
      </c>
      <c r="S2441" t="inlineStr">
        <is>
          <t>undefined</t>
        </is>
      </c>
      <c r="T2441" t="inlineStr">
        <is>
          <t>394385-100</t>
        </is>
      </c>
    </row>
    <row r="2442" ht="75" customHeight="1">
      <c r="A2442" s="2">
        <f>HYPERLINK("https://www.soccerplususa.com/nike/nike-park-iii-sock-19550", "https://www.soccerplususa.com/nike/nike-park-iii-sock-19550")</f>
        <v/>
      </c>
      <c r="B2442" t="inlineStr">
        <is>
          <t>undefined</t>
        </is>
      </c>
      <c r="C2442" t="inlineStr">
        <is>
          <t>Nike Park III Sock</t>
        </is>
      </c>
      <c r="D2442" t="inlineStr">
        <is>
          <t>Nike Park Sock Soccer Socks White</t>
        </is>
      </c>
      <c r="E2442" s="2">
        <f>HYPERLINK("https://www.amazon.com/Nike-Park-Sock-White-Large/dp/B009D4CAJI/ref=sr_1_1?keywords=Nike+Park+III+Sock&amp;qid=1695171100&amp;sr=8-1", "https://www.amazon.com/Nike-Park-Sock-White-Large/dp/B009D4CAJI/ref=sr_1_1?keywords=Nike+Park+III+Sock&amp;qid=1695171100&amp;sr=8-1")</f>
        <v/>
      </c>
      <c r="F2442" t="inlineStr">
        <is>
          <t>B009D4CAJI</t>
        </is>
      </c>
      <c r="G2442">
        <f>_xlfn.IMAGE("https://www.soccerplususa.com/prodimages/31744-DEFAULT-l.jpg")</f>
        <v/>
      </c>
      <c r="H2442">
        <f>_xlfn.IMAGE("https://m.media-amazon.com/images/I/710waD4xllL._AC_UL320_.jpg")</f>
        <v/>
      </c>
      <c r="K2442" t="inlineStr">
        <is>
          <t>5.95</t>
        </is>
      </c>
      <c r="L2442" t="n">
        <v>19.99</v>
      </c>
      <c r="M2442" s="1" t="inlineStr">
        <is>
          <t>235.97%</t>
        </is>
      </c>
      <c r="N2442" s="3" t="n">
        <v>235.97</v>
      </c>
      <c r="O2442" t="n">
        <v>4.3</v>
      </c>
      <c r="P2442" t="n">
        <v>18</v>
      </c>
      <c r="R2442" t="inlineStr">
        <is>
          <t>InStock</t>
        </is>
      </c>
      <c r="S2442" t="inlineStr">
        <is>
          <t>undefined</t>
        </is>
      </c>
      <c r="T2442" t="inlineStr">
        <is>
          <t>394385-100</t>
        </is>
      </c>
    </row>
    <row r="2443" ht="75" customHeight="1">
      <c r="A2443" s="2">
        <f>HYPERLINK("https://www.soccerplususa.com/nike/nike-classic-iii-sock-19563", "https://www.soccerplususa.com/nike/nike-classic-iii-sock-19563")</f>
        <v/>
      </c>
      <c r="B2443" t="inlineStr">
        <is>
          <t>undefined</t>
        </is>
      </c>
      <c r="C2443" t="inlineStr">
        <is>
          <t>Nike Classic III Sock</t>
        </is>
      </c>
      <c r="D2443" t="inlineStr">
        <is>
          <t>Nike Adult Classic Iii Sport Socks</t>
        </is>
      </c>
      <c r="E2443" s="2">
        <f>HYPERLINK("https://www.amazon.com/Adult-Classic-Sport-Socks-Black/dp/B0085YW9YI/ref=sr_1_3?keywords=Nike+Classic+III+Sock&amp;qid=1695171105&amp;sr=8-3", "https://www.amazon.com/Adult-Classic-Sport-Socks-Black/dp/B0085YW9YI/ref=sr_1_3?keywords=Nike+Classic+III+Sock&amp;qid=1695171105&amp;sr=8-3")</f>
        <v/>
      </c>
      <c r="F2443" t="inlineStr">
        <is>
          <t>B0085YW9YI</t>
        </is>
      </c>
      <c r="G2443">
        <f>_xlfn.IMAGE("https://www.soccerplususa.com/prodimages/6185-DEFAULT-l.jpg")</f>
        <v/>
      </c>
      <c r="H2443">
        <f>_xlfn.IMAGE("https://m.media-amazon.com/images/I/71qAu1lPfvL._AC_UL320_.jpg")</f>
        <v/>
      </c>
      <c r="K2443" t="inlineStr">
        <is>
          <t>6.0</t>
        </is>
      </c>
      <c r="L2443" t="n">
        <v>19.99</v>
      </c>
      <c r="M2443" s="1" t="inlineStr">
        <is>
          <t>233.17%</t>
        </is>
      </c>
      <c r="N2443" s="3" t="n">
        <v>233.17</v>
      </c>
      <c r="O2443" t="n">
        <v>4.7</v>
      </c>
      <c r="P2443" t="n">
        <v>14</v>
      </c>
      <c r="R2443" t="inlineStr">
        <is>
          <t>InStock</t>
        </is>
      </c>
      <c r="S2443" t="inlineStr">
        <is>
          <t>9.95</t>
        </is>
      </c>
      <c r="T2443" t="inlineStr">
        <is>
          <t>394386-460</t>
        </is>
      </c>
    </row>
    <row r="2444" ht="75" customHeight="1">
      <c r="A2444" s="2">
        <f>HYPERLINK("https://www.soccerplususa.com/nike/nike-classic-iii-sock-19563", "https://www.soccerplususa.com/nike/nike-classic-iii-sock-19563")</f>
        <v/>
      </c>
      <c r="B2444" t="inlineStr">
        <is>
          <t>undefined</t>
        </is>
      </c>
      <c r="C2444" t="inlineStr">
        <is>
          <t>Nike Classic III Sock</t>
        </is>
      </c>
      <c r="D2444" t="inlineStr">
        <is>
          <t>Nike Adult Classic Iii Sport Socks Black/White size - M</t>
        </is>
      </c>
      <c r="E2444" s="2">
        <f>HYPERLINK("https://www.amazon.com/Adult-Classic-Sport-Socks%C3%82-Black/dp/B0085YW9SE/ref=sr_1_2?keywords=Nike+Classic+III+Sock&amp;qid=1695171105&amp;sr=8-2", "https://www.amazon.com/Adult-Classic-Sport-Socks%C3%82-Black/dp/B0085YW9SE/ref=sr_1_2?keywords=Nike+Classic+III+Sock&amp;qid=1695171105&amp;sr=8-2")</f>
        <v/>
      </c>
      <c r="F2444" t="inlineStr">
        <is>
          <t>B0085YW9SE</t>
        </is>
      </c>
      <c r="G2444">
        <f>_xlfn.IMAGE("https://www.soccerplususa.com/prodimages/6185-DEFAULT-l.jpg")</f>
        <v/>
      </c>
      <c r="H2444">
        <f>_xlfn.IMAGE("https://m.media-amazon.com/images/I/71qAu1lPfvL._AC_UL320_.jpg")</f>
        <v/>
      </c>
      <c r="K2444" t="inlineStr">
        <is>
          <t>6.0</t>
        </is>
      </c>
      <c r="L2444" t="n">
        <v>19.99</v>
      </c>
      <c r="M2444" s="1" t="inlineStr">
        <is>
          <t>233.17%</t>
        </is>
      </c>
      <c r="N2444" s="3" t="n">
        <v>233.17</v>
      </c>
      <c r="O2444" t="n">
        <v>4.6</v>
      </c>
      <c r="P2444" t="n">
        <v>42</v>
      </c>
      <c r="R2444" t="inlineStr">
        <is>
          <t>InStock</t>
        </is>
      </c>
      <c r="S2444" t="inlineStr">
        <is>
          <t>9.95</t>
        </is>
      </c>
      <c r="T2444" t="inlineStr">
        <is>
          <t>394386-460</t>
        </is>
      </c>
    </row>
    <row r="2445" ht="75" customHeight="1">
      <c r="A2445" s="2">
        <f>HYPERLINK("https://www.soccerplususa.com/nike/nike-classic-iii-sock-19558", "https://www.soccerplususa.com/nike/nike-classic-iii-sock-19558")</f>
        <v/>
      </c>
      <c r="B2445" t="inlineStr">
        <is>
          <t>undefined</t>
        </is>
      </c>
      <c r="C2445" t="inlineStr">
        <is>
          <t>Nike Classic III Sock</t>
        </is>
      </c>
      <c r="D2445" t="inlineStr">
        <is>
          <t>Nike Adult Classic Iii Sport Socks Black/White size - M</t>
        </is>
      </c>
      <c r="E2445" s="2">
        <f>HYPERLINK("https://www.amazon.com/Adult-Classic-Sport-Socks%C3%82-Black/dp/B0085YW9SE/ref=sr_1_2?keywords=Nike+Classic+III+Sock&amp;qid=1695171105&amp;sr=8-2", "https://www.amazon.com/Adult-Classic-Sport-Socks%C3%82-Black/dp/B0085YW9SE/ref=sr_1_2?keywords=Nike+Classic+III+Sock&amp;qid=1695171105&amp;sr=8-2")</f>
        <v/>
      </c>
      <c r="F2445" t="inlineStr">
        <is>
          <t>B0085YW9SE</t>
        </is>
      </c>
      <c r="G2445">
        <f>_xlfn.IMAGE("https://www.soccerplususa.com/prodimages/6187-DEFAULT-l.jpg")</f>
        <v/>
      </c>
      <c r="H2445">
        <f>_xlfn.IMAGE("https://m.media-amazon.com/images/I/71qAu1lPfvL._AC_UL320_.jpg")</f>
        <v/>
      </c>
      <c r="K2445" t="inlineStr">
        <is>
          <t>6.0</t>
        </is>
      </c>
      <c r="L2445" t="n">
        <v>19.99</v>
      </c>
      <c r="M2445" s="1" t="inlineStr">
        <is>
          <t>233.17%</t>
        </is>
      </c>
      <c r="N2445" s="3" t="n">
        <v>233.17</v>
      </c>
      <c r="O2445" t="n">
        <v>4.6</v>
      </c>
      <c r="P2445" t="n">
        <v>42</v>
      </c>
      <c r="R2445" t="inlineStr">
        <is>
          <t>InStock</t>
        </is>
      </c>
      <c r="S2445" t="inlineStr">
        <is>
          <t>9.95</t>
        </is>
      </c>
      <c r="T2445" t="inlineStr">
        <is>
          <t>394386-057</t>
        </is>
      </c>
    </row>
    <row r="2446" ht="75" customHeight="1">
      <c r="A2446" s="2">
        <f>HYPERLINK("https://www.soccerplususa.com/nike/nike-classic-iii-sock-19558", "https://www.soccerplususa.com/nike/nike-classic-iii-sock-19558")</f>
        <v/>
      </c>
      <c r="B2446" t="inlineStr">
        <is>
          <t>undefined</t>
        </is>
      </c>
      <c r="C2446" t="inlineStr">
        <is>
          <t>Nike Classic III Sock</t>
        </is>
      </c>
      <c r="D2446" t="inlineStr">
        <is>
          <t>Nike Adult Classic Iii Sport Socks</t>
        </is>
      </c>
      <c r="E2446" s="2">
        <f>HYPERLINK("https://www.amazon.com/Adult-Classic-Sport-Socks-Black/dp/B0085YW9YI/ref=sr_1_3?keywords=Nike+Classic+III+Sock&amp;qid=1695171105&amp;sr=8-3", "https://www.amazon.com/Adult-Classic-Sport-Socks-Black/dp/B0085YW9YI/ref=sr_1_3?keywords=Nike+Classic+III+Sock&amp;qid=1695171105&amp;sr=8-3")</f>
        <v/>
      </c>
      <c r="F2446" t="inlineStr">
        <is>
          <t>B0085YW9YI</t>
        </is>
      </c>
      <c r="G2446">
        <f>_xlfn.IMAGE("https://www.soccerplususa.com/prodimages/6187-DEFAULT-l.jpg")</f>
        <v/>
      </c>
      <c r="H2446">
        <f>_xlfn.IMAGE("https://m.media-amazon.com/images/I/71qAu1lPfvL._AC_UL320_.jpg")</f>
        <v/>
      </c>
      <c r="K2446" t="inlineStr">
        <is>
          <t>6.0</t>
        </is>
      </c>
      <c r="L2446" t="n">
        <v>19.99</v>
      </c>
      <c r="M2446" s="1" t="inlineStr">
        <is>
          <t>233.17%</t>
        </is>
      </c>
      <c r="N2446" s="3" t="n">
        <v>233.17</v>
      </c>
      <c r="O2446" t="n">
        <v>4.7</v>
      </c>
      <c r="P2446" t="n">
        <v>14</v>
      </c>
      <c r="R2446" t="inlineStr">
        <is>
          <t>InStock</t>
        </is>
      </c>
      <c r="S2446" t="inlineStr">
        <is>
          <t>9.95</t>
        </is>
      </c>
      <c r="T2446" t="inlineStr">
        <is>
          <t>394386-057</t>
        </is>
      </c>
    </row>
    <row r="2447" ht="75" customHeight="1">
      <c r="A2447" s="2">
        <f>HYPERLINK("https://www.soccerplususa.com/nike/nike-classic-ii-sock-19565", "https://www.soccerplususa.com/nike/nike-classic-ii-sock-19565")</f>
        <v/>
      </c>
      <c r="B2447" t="inlineStr">
        <is>
          <t>undefined</t>
        </is>
      </c>
      <c r="C2447" t="inlineStr">
        <is>
          <t>Nike Classic II Sock</t>
        </is>
      </c>
      <c r="D2447" t="inlineStr">
        <is>
          <t>Nike CLASSIC II SOCK [TM WHITE] (XS)</t>
        </is>
      </c>
      <c r="E2447" s="2">
        <f>HYPERLINK("https://www.amazon.com/Nike-CLASSIC-II-SOCK-WHITE/dp/B00JFHLHMO/ref=sr_1_9?keywords=Nike+Classic+II+Sock&amp;qid=1695171109&amp;sr=8-9", "https://www.amazon.com/Nike-CLASSIC-II-SOCK-WHITE/dp/B00JFHLHMO/ref=sr_1_9?keywords=Nike+Classic+II+Sock&amp;qid=1695171109&amp;sr=8-9")</f>
        <v/>
      </c>
      <c r="F2447" t="inlineStr">
        <is>
          <t>B00JFHLHMO</t>
        </is>
      </c>
      <c r="G2447">
        <f>_xlfn.IMAGE("https://www.soccerplususa.com/prodimages/3004-DEFAULT-l.jpg")</f>
        <v/>
      </c>
      <c r="H2447">
        <f>_xlfn.IMAGE("https://m.media-amazon.com/images/I/61lB1aUxpWL._AC_UL320_.jpg")</f>
        <v/>
      </c>
      <c r="K2447" t="inlineStr">
        <is>
          <t>6.0</t>
        </is>
      </c>
      <c r="L2447" t="n">
        <v>19.99</v>
      </c>
      <c r="M2447" s="1" t="inlineStr">
        <is>
          <t>233.17%</t>
        </is>
      </c>
      <c r="N2447" s="3" t="n">
        <v>233.17</v>
      </c>
      <c r="O2447" t="n">
        <v>4.5</v>
      </c>
      <c r="P2447" t="n">
        <v>7</v>
      </c>
      <c r="R2447" t="inlineStr">
        <is>
          <t>InStock</t>
        </is>
      </c>
      <c r="S2447" t="inlineStr">
        <is>
          <t>9.95</t>
        </is>
      </c>
      <c r="T2447" t="inlineStr">
        <is>
          <t>394386-648</t>
        </is>
      </c>
    </row>
    <row r="2448" ht="75" customHeight="1">
      <c r="A2448" s="2">
        <f>HYPERLINK("https://www.soccerplususa.com/nike/nike-classic-iii-sock-19563", "https://www.soccerplususa.com/nike/nike-classic-iii-sock-19563")</f>
        <v/>
      </c>
      <c r="B2448" t="inlineStr">
        <is>
          <t>undefined</t>
        </is>
      </c>
      <c r="C2448" t="inlineStr">
        <is>
          <t>Nike Classic III Sock</t>
        </is>
      </c>
      <c r="D2448" t="inlineStr">
        <is>
          <t>Nike Classic Black Socks - M</t>
        </is>
      </c>
      <c r="E2448" s="2">
        <f>HYPERLINK("https://www.amazon.com/Nike-Classic-Black-Socks-M/dp/B01GHQJKJM/ref=sr_1_7?keywords=Nike+Classic+III+Sock&amp;qid=1695171105&amp;sr=8-7", "https://www.amazon.com/Nike-Classic-Black-Socks-M/dp/B01GHQJKJM/ref=sr_1_7?keywords=Nike+Classic+III+Sock&amp;qid=1695171105&amp;sr=8-7")</f>
        <v/>
      </c>
      <c r="F2448" t="inlineStr">
        <is>
          <t>B01GHQJKJM</t>
        </is>
      </c>
      <c r="G2448">
        <f>_xlfn.IMAGE("https://www.soccerplususa.com/prodimages/6185-DEFAULT-l.jpg")</f>
        <v/>
      </c>
      <c r="H2448">
        <f>_xlfn.IMAGE("https://m.media-amazon.com/images/I/51ld1J5fZNL._AC_UL320_.jpg")</f>
        <v/>
      </c>
      <c r="K2448" t="inlineStr">
        <is>
          <t>6.0</t>
        </is>
      </c>
      <c r="L2448" t="n">
        <v>19.99</v>
      </c>
      <c r="M2448" s="1" t="inlineStr">
        <is>
          <t>233.17%</t>
        </is>
      </c>
      <c r="N2448" s="3" t="n">
        <v>233.17</v>
      </c>
      <c r="O2448" t="n">
        <v>4.5</v>
      </c>
      <c r="P2448" t="n">
        <v>58</v>
      </c>
      <c r="R2448" t="inlineStr">
        <is>
          <t>InStock</t>
        </is>
      </c>
      <c r="S2448" t="inlineStr">
        <is>
          <t>9.95</t>
        </is>
      </c>
      <c r="T2448" t="inlineStr">
        <is>
          <t>394386-460</t>
        </is>
      </c>
    </row>
    <row r="2449" ht="75" customHeight="1">
      <c r="A2449" s="2">
        <f>HYPERLINK("https://www.soccerplususa.com/nike/nike-classic-iii-sock-19557", "https://www.soccerplususa.com/nike/nike-classic-iii-sock-19557")</f>
        <v/>
      </c>
      <c r="B2449" t="inlineStr">
        <is>
          <t>undefined</t>
        </is>
      </c>
      <c r="C2449" t="inlineStr">
        <is>
          <t>Nike Classic III Sock</t>
        </is>
      </c>
      <c r="D2449" t="inlineStr">
        <is>
          <t>Nike Adult Classic Iii Sport Socks Black/White size - M</t>
        </is>
      </c>
      <c r="E2449" s="2">
        <f>HYPERLINK("https://www.amazon.com/Adult-Classic-Sport-Socks%C3%82-Black/dp/B0085YW9SE/ref=sr_1_2?keywords=Nike+Classic+III+Sock&amp;qid=1695171102&amp;sr=8-2", "https://www.amazon.com/Adult-Classic-Sport-Socks%C3%82-Black/dp/B0085YW9SE/ref=sr_1_2?keywords=Nike+Classic+III+Sock&amp;qid=1695171102&amp;sr=8-2")</f>
        <v/>
      </c>
      <c r="F2449" t="inlineStr">
        <is>
          <t>B0085YW9SE</t>
        </is>
      </c>
      <c r="G2449">
        <f>_xlfn.IMAGE("https://www.soccerplususa.com/prodimages/3020-DEFAULT-l.jpg")</f>
        <v/>
      </c>
      <c r="H2449">
        <f>_xlfn.IMAGE("https://m.media-amazon.com/images/I/71qAu1lPfvL._AC_UL320_.jpg")</f>
        <v/>
      </c>
      <c r="I2449" t="n">
        <v>0</v>
      </c>
      <c r="J2449" t="inlineStr">
        <is>
          <t>oos</t>
        </is>
      </c>
      <c r="K2449" t="inlineStr">
        <is>
          <t>6.0</t>
        </is>
      </c>
      <c r="L2449" t="n">
        <v>19.99</v>
      </c>
      <c r="M2449" s="1" t="inlineStr">
        <is>
          <t>233.17%</t>
        </is>
      </c>
      <c r="N2449" s="3" t="n">
        <v>233.17</v>
      </c>
      <c r="O2449" t="n">
        <v>4.6</v>
      </c>
      <c r="P2449" t="n">
        <v>42</v>
      </c>
      <c r="R2449" t="inlineStr">
        <is>
          <t>InStock</t>
        </is>
      </c>
      <c r="S2449" t="inlineStr">
        <is>
          <t>9.95</t>
        </is>
      </c>
      <c r="T2449" t="inlineStr">
        <is>
          <t>394386-010</t>
        </is>
      </c>
    </row>
    <row r="2450" ht="75" customHeight="1">
      <c r="A2450" s="2">
        <f>HYPERLINK("https://www.soccerplususa.com/nike/nike-classic-iii-sock-19557", "https://www.soccerplususa.com/nike/nike-classic-iii-sock-19557")</f>
        <v/>
      </c>
      <c r="B2450" t="inlineStr">
        <is>
          <t>undefined</t>
        </is>
      </c>
      <c r="C2450" t="inlineStr">
        <is>
          <t>Nike Classic III Sock</t>
        </is>
      </c>
      <c r="D2450" t="inlineStr">
        <is>
          <t>Nike Adult Classic Iii Sport Socks</t>
        </is>
      </c>
      <c r="E2450" s="2">
        <f>HYPERLINK("https://www.amazon.com/Adult-Classic-Sport-Socks-Black/dp/B0085YW9YI/ref=sr_1_3?keywords=Nike+Classic+III+Sock&amp;qid=1695171102&amp;sr=8-3", "https://www.amazon.com/Adult-Classic-Sport-Socks-Black/dp/B0085YW9YI/ref=sr_1_3?keywords=Nike+Classic+III+Sock&amp;qid=1695171102&amp;sr=8-3")</f>
        <v/>
      </c>
      <c r="F2450" t="inlineStr">
        <is>
          <t>B0085YW9YI</t>
        </is>
      </c>
      <c r="G2450">
        <f>_xlfn.IMAGE("https://www.soccerplususa.com/prodimages/3020-DEFAULT-l.jpg")</f>
        <v/>
      </c>
      <c r="H2450">
        <f>_xlfn.IMAGE("https://m.media-amazon.com/images/I/71qAu1lPfvL._AC_UL320_.jpg")</f>
        <v/>
      </c>
      <c r="K2450" t="inlineStr">
        <is>
          <t>6.0</t>
        </is>
      </c>
      <c r="L2450" t="n">
        <v>19.99</v>
      </c>
      <c r="M2450" s="1" t="inlineStr">
        <is>
          <t>233.17%</t>
        </is>
      </c>
      <c r="N2450" s="3" t="n">
        <v>233.17</v>
      </c>
      <c r="O2450" t="n">
        <v>4.7</v>
      </c>
      <c r="P2450" t="n">
        <v>14</v>
      </c>
      <c r="R2450" t="inlineStr">
        <is>
          <t>InStock</t>
        </is>
      </c>
      <c r="S2450" t="inlineStr">
        <is>
          <t>9.95</t>
        </is>
      </c>
      <c r="T2450" t="inlineStr">
        <is>
          <t>394386-010</t>
        </is>
      </c>
    </row>
    <row r="2451" ht="75" customHeight="1">
      <c r="A2451" s="2">
        <f>HYPERLINK("https://www.soccerplususa.com/nike/nike-classic-iii-sock-19557", "https://www.soccerplususa.com/nike/nike-classic-iii-sock-19557")</f>
        <v/>
      </c>
      <c r="B2451" t="inlineStr">
        <is>
          <t>undefined</t>
        </is>
      </c>
      <c r="C2451" t="inlineStr">
        <is>
          <t>Nike Classic III Sock</t>
        </is>
      </c>
      <c r="D2451" t="inlineStr">
        <is>
          <t>Nike Classic Black Socks - M</t>
        </is>
      </c>
      <c r="E2451" s="2">
        <f>HYPERLINK("https://www.amazon.com/Nike-Classic-Black-Socks-M/dp/B01GHQJKJM/ref=sr_1_7?keywords=Nike+Classic+III+Sock&amp;qid=1695171102&amp;sr=8-7", "https://www.amazon.com/Nike-Classic-Black-Socks-M/dp/B01GHQJKJM/ref=sr_1_7?keywords=Nike+Classic+III+Sock&amp;qid=1695171102&amp;sr=8-7")</f>
        <v/>
      </c>
      <c r="F2451" t="inlineStr">
        <is>
          <t>B01GHQJKJM</t>
        </is>
      </c>
      <c r="G2451">
        <f>_xlfn.IMAGE("https://www.soccerplususa.com/prodimages/3020-DEFAULT-l.jpg")</f>
        <v/>
      </c>
      <c r="H2451">
        <f>_xlfn.IMAGE("https://m.media-amazon.com/images/I/51ld1J5fZNL._AC_UL320_.jpg")</f>
        <v/>
      </c>
      <c r="K2451" t="inlineStr">
        <is>
          <t>6.0</t>
        </is>
      </c>
      <c r="L2451" t="n">
        <v>19.99</v>
      </c>
      <c r="M2451" s="1" t="inlineStr">
        <is>
          <t>233.17%</t>
        </is>
      </c>
      <c r="N2451" s="3" t="n">
        <v>233.17</v>
      </c>
      <c r="O2451" t="n">
        <v>4.5</v>
      </c>
      <c r="P2451" t="n">
        <v>58</v>
      </c>
      <c r="R2451" t="inlineStr">
        <is>
          <t>InStock</t>
        </is>
      </c>
      <c r="S2451" t="inlineStr">
        <is>
          <t>9.95</t>
        </is>
      </c>
      <c r="T2451" t="inlineStr">
        <is>
          <t>394386-010</t>
        </is>
      </c>
    </row>
    <row r="2452" ht="75" customHeight="1">
      <c r="A2452" s="2">
        <f>HYPERLINK("https://www.soccerplususa.com/nike/nike-classic-iii-sock-19558", "https://www.soccerplususa.com/nike/nike-classic-iii-sock-19558")</f>
        <v/>
      </c>
      <c r="B2452" t="inlineStr">
        <is>
          <t>undefined</t>
        </is>
      </c>
      <c r="C2452" t="inlineStr">
        <is>
          <t>Nike Classic III Sock</t>
        </is>
      </c>
      <c r="D2452" t="inlineStr">
        <is>
          <t>Nike Classic Black Socks - M</t>
        </is>
      </c>
      <c r="E2452" s="2">
        <f>HYPERLINK("https://www.amazon.com/Nike-Classic-Black-Socks-M/dp/B01GHQJKJM/ref=sr_1_7?keywords=Nike+Classic+III+Sock&amp;qid=1695171105&amp;sr=8-7", "https://www.amazon.com/Nike-Classic-Black-Socks-M/dp/B01GHQJKJM/ref=sr_1_7?keywords=Nike+Classic+III+Sock&amp;qid=1695171105&amp;sr=8-7")</f>
        <v/>
      </c>
      <c r="F2452" t="inlineStr">
        <is>
          <t>B01GHQJKJM</t>
        </is>
      </c>
      <c r="G2452">
        <f>_xlfn.IMAGE("https://www.soccerplususa.com/prodimages/6187-DEFAULT-l.jpg")</f>
        <v/>
      </c>
      <c r="H2452">
        <f>_xlfn.IMAGE("https://m.media-amazon.com/images/I/51ld1J5fZNL._AC_UL320_.jpg")</f>
        <v/>
      </c>
      <c r="K2452" t="inlineStr">
        <is>
          <t>6.0</t>
        </is>
      </c>
      <c r="L2452" t="n">
        <v>19.99</v>
      </c>
      <c r="M2452" s="1" t="inlineStr">
        <is>
          <t>233.17%</t>
        </is>
      </c>
      <c r="N2452" s="3" t="n">
        <v>233.17</v>
      </c>
      <c r="O2452" t="n">
        <v>4.5</v>
      </c>
      <c r="P2452" t="n">
        <v>58</v>
      </c>
      <c r="R2452" t="inlineStr">
        <is>
          <t>InStock</t>
        </is>
      </c>
      <c r="S2452" t="inlineStr">
        <is>
          <t>9.95</t>
        </is>
      </c>
      <c r="T2452" t="inlineStr">
        <is>
          <t>394386-057</t>
        </is>
      </c>
    </row>
    <row r="2453" ht="75" customHeight="1">
      <c r="A2453" s="2">
        <f>HYPERLINK("https://www.soccerplususa.com/nike/nike-classic-iii-sock-19563", "https://www.soccerplususa.com/nike/nike-classic-iii-sock-19563")</f>
        <v/>
      </c>
      <c r="B2453" t="inlineStr">
        <is>
          <t>undefined</t>
        </is>
      </c>
      <c r="C2453" t="inlineStr">
        <is>
          <t>Nike Classic III Sock</t>
        </is>
      </c>
      <c r="D2453" t="inlineStr">
        <is>
          <t>Nike Classic 3 Soccer Socks Navy</t>
        </is>
      </c>
      <c r="E2453" s="2">
        <f>HYPERLINK("https://www.amazon.com/NIKE-Classic-Soccer-Socks-MEDIUM/dp/B0085YWAZQ/ref=sr_1_1?keywords=Nike+Classic+III+Sock&amp;qid=1695171105&amp;sr=8-1", "https://www.amazon.com/NIKE-Classic-Soccer-Socks-MEDIUM/dp/B0085YWAZQ/ref=sr_1_1?keywords=Nike+Classic+III+Sock&amp;qid=1695171105&amp;sr=8-1")</f>
        <v/>
      </c>
      <c r="F2453" t="inlineStr">
        <is>
          <t>B0085YWAZQ</t>
        </is>
      </c>
      <c r="G2453">
        <f>_xlfn.IMAGE("https://www.soccerplususa.com/prodimages/6185-DEFAULT-l.jpg")</f>
        <v/>
      </c>
      <c r="H2453">
        <f>_xlfn.IMAGE("https://m.media-amazon.com/images/I/41HY0yKyh+L._AC_UL320_.jpg")</f>
        <v/>
      </c>
      <c r="K2453" t="inlineStr">
        <is>
          <t>6.0</t>
        </is>
      </c>
      <c r="L2453" t="n">
        <v>19.95</v>
      </c>
      <c r="M2453" s="1" t="inlineStr">
        <is>
          <t>232.50%</t>
        </is>
      </c>
      <c r="N2453" s="3" t="n">
        <v>232.5</v>
      </c>
      <c r="O2453" t="n">
        <v>4.5</v>
      </c>
      <c r="P2453" t="n">
        <v>25</v>
      </c>
      <c r="R2453" t="inlineStr">
        <is>
          <t>InStock</t>
        </is>
      </c>
      <c r="S2453" t="inlineStr">
        <is>
          <t>9.95</t>
        </is>
      </c>
      <c r="T2453" t="inlineStr">
        <is>
          <t>394386-460</t>
        </is>
      </c>
    </row>
    <row r="2454" ht="75" customHeight="1">
      <c r="A2454" s="2">
        <f>HYPERLINK("https://www.soccerplususa.com/nike/nike-classic-iii-sock-19557", "https://www.soccerplususa.com/nike/nike-classic-iii-sock-19557")</f>
        <v/>
      </c>
      <c r="B2454" t="inlineStr">
        <is>
          <t>undefined</t>
        </is>
      </c>
      <c r="C2454" t="inlineStr">
        <is>
          <t>Nike Classic III Sock</t>
        </is>
      </c>
      <c r="D2454" t="inlineStr">
        <is>
          <t>Nike Classic 3 Soccer Socks Navy</t>
        </is>
      </c>
      <c r="E2454" s="2">
        <f>HYPERLINK("https://www.amazon.com/NIKE-Classic-Soccer-Socks-MEDIUM/dp/B0085YWAZQ/ref=sr_1_1?keywords=Nike+Classic+III+Sock&amp;qid=1695171102&amp;sr=8-1", "https://www.amazon.com/NIKE-Classic-Soccer-Socks-MEDIUM/dp/B0085YWAZQ/ref=sr_1_1?keywords=Nike+Classic+III+Sock&amp;qid=1695171102&amp;sr=8-1")</f>
        <v/>
      </c>
      <c r="F2454" t="inlineStr">
        <is>
          <t>B0085YWAZQ</t>
        </is>
      </c>
      <c r="G2454">
        <f>_xlfn.IMAGE("https://www.soccerplususa.com/prodimages/3020-DEFAULT-l.jpg")</f>
        <v/>
      </c>
      <c r="H2454">
        <f>_xlfn.IMAGE("https://m.media-amazon.com/images/I/41HY0yKyh+L._AC_UL320_.jpg")</f>
        <v/>
      </c>
      <c r="K2454" t="inlineStr">
        <is>
          <t>6.0</t>
        </is>
      </c>
      <c r="L2454" t="n">
        <v>19.95</v>
      </c>
      <c r="M2454" s="1" t="inlineStr">
        <is>
          <t>232.50%</t>
        </is>
      </c>
      <c r="N2454" s="3" t="n">
        <v>232.5</v>
      </c>
      <c r="O2454" t="n">
        <v>4.5</v>
      </c>
      <c r="P2454" t="n">
        <v>25</v>
      </c>
      <c r="R2454" t="inlineStr">
        <is>
          <t>InStock</t>
        </is>
      </c>
      <c r="S2454" t="inlineStr">
        <is>
          <t>9.95</t>
        </is>
      </c>
      <c r="T2454" t="inlineStr">
        <is>
          <t>394386-010</t>
        </is>
      </c>
    </row>
    <row r="2455" ht="75" customHeight="1">
      <c r="A2455" s="2">
        <f>HYPERLINK("https://www.soccerplususa.com/nike/nike-classic-iii-sock-19558", "https://www.soccerplususa.com/nike/nike-classic-iii-sock-19558")</f>
        <v/>
      </c>
      <c r="B2455" t="inlineStr">
        <is>
          <t>undefined</t>
        </is>
      </c>
      <c r="C2455" t="inlineStr">
        <is>
          <t>Nike Classic III Sock</t>
        </is>
      </c>
      <c r="D2455" t="inlineStr">
        <is>
          <t>Nike Classic 3 Soccer Socks Navy</t>
        </is>
      </c>
      <c r="E2455" s="2">
        <f>HYPERLINK("https://www.amazon.com/NIKE-Classic-Soccer-Socks-MEDIUM/dp/B0085YWAZQ/ref=sr_1_1?keywords=Nike+Classic+III+Sock&amp;qid=1695171105&amp;sr=8-1", "https://www.amazon.com/NIKE-Classic-Soccer-Socks-MEDIUM/dp/B0085YWAZQ/ref=sr_1_1?keywords=Nike+Classic+III+Sock&amp;qid=1695171105&amp;sr=8-1")</f>
        <v/>
      </c>
      <c r="F2455" t="inlineStr">
        <is>
          <t>B0085YWAZQ</t>
        </is>
      </c>
      <c r="G2455">
        <f>_xlfn.IMAGE("https://www.soccerplususa.com/prodimages/6187-DEFAULT-l.jpg")</f>
        <v/>
      </c>
      <c r="H2455">
        <f>_xlfn.IMAGE("https://m.media-amazon.com/images/I/41HY0yKyh+L._AC_UL320_.jpg")</f>
        <v/>
      </c>
      <c r="K2455" t="inlineStr">
        <is>
          <t>6.0</t>
        </is>
      </c>
      <c r="L2455" t="n">
        <v>19.95</v>
      </c>
      <c r="M2455" s="1" t="inlineStr">
        <is>
          <t>232.50%</t>
        </is>
      </c>
      <c r="N2455" s="3" t="n">
        <v>232.5</v>
      </c>
      <c r="O2455" t="n">
        <v>4.5</v>
      </c>
      <c r="P2455" t="n">
        <v>25</v>
      </c>
      <c r="R2455" t="inlineStr">
        <is>
          <t>InStock</t>
        </is>
      </c>
      <c r="S2455" t="inlineStr">
        <is>
          <t>9.95</t>
        </is>
      </c>
      <c r="T2455" t="inlineStr">
        <is>
          <t>394386-057</t>
        </is>
      </c>
    </row>
    <row r="2456" ht="75" customHeight="1">
      <c r="A2456" s="2">
        <f>HYPERLINK("https://www.soccerplususa.com/adidas/adidas-tiro-glove-39774", "https://www.soccerplususa.com/adidas/adidas-tiro-glove-39774")</f>
        <v/>
      </c>
      <c r="B2456" t="inlineStr">
        <is>
          <t>undefined</t>
        </is>
      </c>
      <c r="C2456" t="inlineStr">
        <is>
          <t>adidas Tiro Glove</t>
        </is>
      </c>
      <c r="D2456" t="inlineStr">
        <is>
          <t>adidas Unisex-Adult Tiro Pro Goalie Gloves</t>
        </is>
      </c>
      <c r="E2456" s="2">
        <f>HYPERLINK("https://www.amazon.com/adidas-unisex-adult-Goalkeeper-Gloves-White/dp/B08143F64Z/ref=sr_1_4?keywords=adidas+Tiro+Glove&amp;qid=1695171085&amp;sr=8-4", "https://www.amazon.com/adidas-unisex-adult-Goalkeeper-Gloves-White/dp/B08143F64Z/ref=sr_1_4?keywords=adidas+Tiro+Glove&amp;qid=1695171085&amp;sr=8-4")</f>
        <v/>
      </c>
      <c r="F2456" t="inlineStr">
        <is>
          <t>B08143F64Z</t>
        </is>
      </c>
      <c r="G2456">
        <f>_xlfn.IMAGE("https://www.soccerplususa.com/prodimages/32961-DEFAULT-l.jpg")</f>
        <v/>
      </c>
      <c r="H2456">
        <f>_xlfn.IMAGE("https://m.media-amazon.com/images/I/81NOejd+xKL._AC_UL320_.jpg")</f>
        <v/>
      </c>
      <c r="K2456" t="inlineStr">
        <is>
          <t>24.95</t>
        </is>
      </c>
      <c r="L2456" t="n">
        <v>79.98999999999999</v>
      </c>
      <c r="M2456" s="1" t="inlineStr">
        <is>
          <t>220.60%</t>
        </is>
      </c>
      <c r="N2456" s="3" t="n">
        <v>220.6</v>
      </c>
      <c r="O2456" t="n">
        <v>4.5</v>
      </c>
      <c r="P2456" t="n">
        <v>53</v>
      </c>
      <c r="R2456" t="inlineStr">
        <is>
          <t>InStock</t>
        </is>
      </c>
      <c r="S2456" t="inlineStr">
        <is>
          <t>undefined</t>
        </is>
      </c>
      <c r="T2456" t="inlineStr">
        <is>
          <t>GH7252</t>
        </is>
      </c>
    </row>
    <row r="2457" ht="75" customHeight="1">
      <c r="A2457" s="2">
        <f>HYPERLINK("https://www.soccerplususa.com/nike/nike-classic-iii-sock-19558", "https://www.soccerplususa.com/nike/nike-classic-iii-sock-19558")</f>
        <v/>
      </c>
      <c r="B2457" t="inlineStr">
        <is>
          <t>undefined</t>
        </is>
      </c>
      <c r="C2457" t="inlineStr">
        <is>
          <t>Nike Classic III Sock</t>
        </is>
      </c>
      <c r="D2457" t="inlineStr">
        <is>
          <t>Unisex Nike Classic II Cushion Over-the-Calf Football Sock, White, Men Size 6-8, Womens Size 6-10</t>
        </is>
      </c>
      <c r="E2457" s="2">
        <f>HYPERLINK("https://www.amazon.com/Unisex-Classic-Cushion-Football-Womens/dp/B072113Q96/ref=sr_1_10?keywords=Nike+Classic+III+Sock&amp;qid=1695171105&amp;sr=8-10", "https://www.amazon.com/Unisex-Classic-Cushion-Football-Womens/dp/B072113Q96/ref=sr_1_10?keywords=Nike+Classic+III+Sock&amp;qid=1695171105&amp;sr=8-10")</f>
        <v/>
      </c>
      <c r="F2457" t="inlineStr">
        <is>
          <t>B072113Q96</t>
        </is>
      </c>
      <c r="G2457">
        <f>_xlfn.IMAGE("https://www.soccerplususa.com/prodimages/6187-DEFAULT-l.jpg")</f>
        <v/>
      </c>
      <c r="H2457">
        <f>_xlfn.IMAGE("https://m.media-amazon.com/images/I/51KFSviJnxL._AC_UL320_.jpg")</f>
        <v/>
      </c>
      <c r="K2457" t="inlineStr">
        <is>
          <t>6.0</t>
        </is>
      </c>
      <c r="L2457" t="n">
        <v>18.95</v>
      </c>
      <c r="M2457" s="1" t="inlineStr">
        <is>
          <t>215.83%</t>
        </is>
      </c>
      <c r="N2457" s="3" t="n">
        <v>215.83</v>
      </c>
      <c r="O2457" t="n">
        <v>4.5</v>
      </c>
      <c r="P2457" t="n">
        <v>74</v>
      </c>
      <c r="R2457" t="inlineStr">
        <is>
          <t>InStock</t>
        </is>
      </c>
      <c r="S2457" t="inlineStr">
        <is>
          <t>9.95</t>
        </is>
      </c>
      <c r="T2457" t="inlineStr">
        <is>
          <t>394386-057</t>
        </is>
      </c>
    </row>
    <row r="2458" ht="75" customHeight="1">
      <c r="A2458" s="2">
        <f>HYPERLINK("https://www.soccerplususa.com/nike/nike-classic-iii-sock-19563", "https://www.soccerplususa.com/nike/nike-classic-iii-sock-19563")</f>
        <v/>
      </c>
      <c r="B2458" t="inlineStr">
        <is>
          <t>undefined</t>
        </is>
      </c>
      <c r="C2458" t="inlineStr">
        <is>
          <t>Nike Classic III Sock</t>
        </is>
      </c>
      <c r="D2458" t="inlineStr">
        <is>
          <t>Unisex Nike Classic II Cushion Over-the-Calf Football Sock, White, Men Size 6-8, Womens Size 6-10</t>
        </is>
      </c>
      <c r="E2458" s="2">
        <f>HYPERLINK("https://www.amazon.com/Unisex-Classic-Cushion-Football-Womens/dp/B072113Q96/ref=sr_1_10?keywords=Nike+Classic+III+Sock&amp;qid=1695171105&amp;sr=8-10", "https://www.amazon.com/Unisex-Classic-Cushion-Football-Womens/dp/B072113Q96/ref=sr_1_10?keywords=Nike+Classic+III+Sock&amp;qid=1695171105&amp;sr=8-10")</f>
        <v/>
      </c>
      <c r="F2458" t="inlineStr">
        <is>
          <t>B072113Q96</t>
        </is>
      </c>
      <c r="G2458">
        <f>_xlfn.IMAGE("https://www.soccerplususa.com/prodimages/6185-DEFAULT-l.jpg")</f>
        <v/>
      </c>
      <c r="H2458">
        <f>_xlfn.IMAGE("https://m.media-amazon.com/images/I/51KFSviJnxL._AC_UL320_.jpg")</f>
        <v/>
      </c>
      <c r="K2458" t="inlineStr">
        <is>
          <t>6.0</t>
        </is>
      </c>
      <c r="L2458" t="n">
        <v>18.95</v>
      </c>
      <c r="M2458" s="1" t="inlineStr">
        <is>
          <t>215.83%</t>
        </is>
      </c>
      <c r="N2458" s="3" t="n">
        <v>215.83</v>
      </c>
      <c r="O2458" t="n">
        <v>4.5</v>
      </c>
      <c r="P2458" t="n">
        <v>74</v>
      </c>
      <c r="R2458" t="inlineStr">
        <is>
          <t>InStock</t>
        </is>
      </c>
      <c r="S2458" t="inlineStr">
        <is>
          <t>9.95</t>
        </is>
      </c>
      <c r="T2458" t="inlineStr">
        <is>
          <t>394386-460</t>
        </is>
      </c>
    </row>
    <row r="2459" ht="75" customHeight="1">
      <c r="A2459" s="2">
        <f>HYPERLINK("https://www.soccerplususa.com/nike/nike-classic-iii-sock-19557", "https://www.soccerplususa.com/nike/nike-classic-iii-sock-19557")</f>
        <v/>
      </c>
      <c r="B2459" t="inlineStr">
        <is>
          <t>undefined</t>
        </is>
      </c>
      <c r="C2459" t="inlineStr">
        <is>
          <t>Nike Classic III Sock</t>
        </is>
      </c>
      <c r="D2459" t="inlineStr">
        <is>
          <t>Unisex Nike Classic II Cushion Over-the-Calf Football Sock, White, Men Size 6-8, Womens Size 6-10</t>
        </is>
      </c>
      <c r="E2459" s="2">
        <f>HYPERLINK("https://www.amazon.com/Unisex-Classic-Cushion-Football-Womens/dp/B072113Q96/ref=sr_1_10?keywords=Nike+Classic+III+Sock&amp;qid=1695171102&amp;sr=8-10", "https://www.amazon.com/Unisex-Classic-Cushion-Football-Womens/dp/B072113Q96/ref=sr_1_10?keywords=Nike+Classic+III+Sock&amp;qid=1695171102&amp;sr=8-10")</f>
        <v/>
      </c>
      <c r="F2459" t="inlineStr">
        <is>
          <t>B072113Q96</t>
        </is>
      </c>
      <c r="G2459">
        <f>_xlfn.IMAGE("https://www.soccerplususa.com/prodimages/3020-DEFAULT-l.jpg")</f>
        <v/>
      </c>
      <c r="H2459">
        <f>_xlfn.IMAGE("https://m.media-amazon.com/images/I/51KFSviJnxL._AC_UL320_.jpg")</f>
        <v/>
      </c>
      <c r="K2459" t="inlineStr">
        <is>
          <t>6.0</t>
        </is>
      </c>
      <c r="L2459" t="n">
        <v>18.95</v>
      </c>
      <c r="M2459" s="1" t="inlineStr">
        <is>
          <t>215.83%</t>
        </is>
      </c>
      <c r="N2459" s="3" t="n">
        <v>215.83</v>
      </c>
      <c r="O2459" t="n">
        <v>4.5</v>
      </c>
      <c r="P2459" t="n">
        <v>74</v>
      </c>
      <c r="R2459" t="inlineStr">
        <is>
          <t>InStock</t>
        </is>
      </c>
      <c r="S2459" t="inlineStr">
        <is>
          <t>9.95</t>
        </is>
      </c>
      <c r="T2459" t="inlineStr">
        <is>
          <t>394386-010</t>
        </is>
      </c>
    </row>
    <row r="2460" ht="75" customHeight="1">
      <c r="A2460" s="2">
        <f>HYPERLINK("https://www.soccerplususa.com/nike/nike-classic-ii-sock-19565", "https://www.soccerplususa.com/nike/nike-classic-ii-sock-19565")</f>
        <v/>
      </c>
      <c r="B2460" t="inlineStr">
        <is>
          <t>undefined</t>
        </is>
      </c>
      <c r="C2460" t="inlineStr">
        <is>
          <t>Nike Classic II Sock</t>
        </is>
      </c>
      <c r="D2460" t="inlineStr">
        <is>
          <t>Unisex Nike Classic II Cushion Over-the-Calf Football Sock, White, Men Size 6-8, Womens Size 6-10</t>
        </is>
      </c>
      <c r="E2460" s="2">
        <f>HYPERLINK("https://www.amazon.com/Unisex-Classic-Cushion-Football-Womens/dp/B072113Q96/ref=sr_1_5?keywords=Nike+Classic+II+Sock&amp;qid=1695171109&amp;sr=8-5", "https://www.amazon.com/Unisex-Classic-Cushion-Football-Womens/dp/B072113Q96/ref=sr_1_5?keywords=Nike+Classic+II+Sock&amp;qid=1695171109&amp;sr=8-5")</f>
        <v/>
      </c>
      <c r="F2460" t="inlineStr">
        <is>
          <t>B072113Q96</t>
        </is>
      </c>
      <c r="G2460">
        <f>_xlfn.IMAGE("https://www.soccerplususa.com/prodimages/3004-DEFAULT-l.jpg")</f>
        <v/>
      </c>
      <c r="H2460">
        <f>_xlfn.IMAGE("https://m.media-amazon.com/images/I/51KFSviJnxL._AC_UL320_.jpg")</f>
        <v/>
      </c>
      <c r="K2460" t="inlineStr">
        <is>
          <t>6.0</t>
        </is>
      </c>
      <c r="L2460" t="n">
        <v>18.95</v>
      </c>
      <c r="M2460" s="1" t="inlineStr">
        <is>
          <t>215.83%</t>
        </is>
      </c>
      <c r="N2460" s="3" t="n">
        <v>215.83</v>
      </c>
      <c r="O2460" t="n">
        <v>4.5</v>
      </c>
      <c r="P2460" t="n">
        <v>74</v>
      </c>
      <c r="R2460" t="inlineStr">
        <is>
          <t>InStock</t>
        </is>
      </c>
      <c r="S2460" t="inlineStr">
        <is>
          <t>9.95</t>
        </is>
      </c>
      <c r="T2460" t="inlineStr">
        <is>
          <t>394386-648</t>
        </is>
      </c>
    </row>
    <row r="2461" ht="75" customHeight="1">
      <c r="A2461" s="2">
        <f>HYPERLINK("https://www.soccerplususa.com/adidas/adidas-copa-zone-cushion-ii-1913", "https://www.soccerplususa.com/adidas/adidas-copa-zone-cushion-ii-1913")</f>
        <v/>
      </c>
      <c r="B2461" t="inlineStr">
        <is>
          <t>undefined</t>
        </is>
      </c>
      <c r="C2461" t="inlineStr">
        <is>
          <t>adidas Copa Zone Cushion II</t>
        </is>
      </c>
      <c r="D2461" t="inlineStr">
        <is>
          <t>adidas Copa Zone Cushion Socks [White]</t>
        </is>
      </c>
      <c r="E2461" s="2">
        <f>HYPERLINK("https://www.amazon.com/Adidas-Cushion-Soccer-Small-White/dp/B00FNNYG4U/ref=sr_1_10?keywords=adidas+Copa+Zone+Cushion+II&amp;qid=1695171113&amp;sr=8-10", "https://www.amazon.com/Adidas-Cushion-Soccer-Small-White/dp/B00FNNYG4U/ref=sr_1_10?keywords=adidas+Copa+Zone+Cushion+II&amp;qid=1695171113&amp;sr=8-10")</f>
        <v/>
      </c>
      <c r="F2461" t="inlineStr">
        <is>
          <t>B00FNNYG4U</t>
        </is>
      </c>
      <c r="G2461">
        <f>_xlfn.IMAGE("https://www.soccerplususa.com/prodimages/5095-DEFAULT-l.jpg")</f>
        <v/>
      </c>
      <c r="H2461">
        <f>_xlfn.IMAGE("https://m.media-amazon.com/images/I/81WjN9RppTL._AC_UL320_.jpg")</f>
        <v/>
      </c>
      <c r="K2461" t="inlineStr">
        <is>
          <t>6.0</t>
        </is>
      </c>
      <c r="L2461" t="n">
        <v>18.71</v>
      </c>
      <c r="M2461" s="1" t="inlineStr">
        <is>
          <t>211.83%</t>
        </is>
      </c>
      <c r="N2461" s="3" t="n">
        <v>211.83</v>
      </c>
      <c r="O2461" t="n">
        <v>4</v>
      </c>
      <c r="P2461" t="n">
        <v>1</v>
      </c>
      <c r="R2461" t="inlineStr">
        <is>
          <t>InStock</t>
        </is>
      </c>
      <c r="S2461" t="inlineStr">
        <is>
          <t>11.95</t>
        </is>
      </c>
      <c r="T2461" t="inlineStr">
        <is>
          <t>5130128</t>
        </is>
      </c>
    </row>
    <row r="2462" ht="75" customHeight="1">
      <c r="A2462" s="2">
        <f>HYPERLINK("https://www.soccerplususa.com/adidas/adidas-copa-zone-cushion-ii-1887", "https://www.soccerplususa.com/adidas/adidas-copa-zone-cushion-ii-1887")</f>
        <v/>
      </c>
      <c r="B2462" t="inlineStr">
        <is>
          <t>undefined</t>
        </is>
      </c>
      <c r="C2462" t="inlineStr">
        <is>
          <t>adidas Copa Zone Cushion II</t>
        </is>
      </c>
      <c r="D2462" t="inlineStr">
        <is>
          <t>adidas Copa Zone Cushion Socks [White]</t>
        </is>
      </c>
      <c r="E2462" s="2">
        <f>HYPERLINK("https://www.amazon.com/Adidas-Cushion-Soccer-Small-White/dp/B00FNNYG4U/ref=sr_1_9?keywords=adidas+Copa+Zone+Cushion+II&amp;qid=1695171116&amp;sr=8-9", "https://www.amazon.com/Adidas-Cushion-Soccer-Small-White/dp/B00FNNYG4U/ref=sr_1_9?keywords=adidas+Copa+Zone+Cushion+II&amp;qid=1695171116&amp;sr=8-9")</f>
        <v/>
      </c>
      <c r="F2462" t="inlineStr">
        <is>
          <t>B00FNNYG4U</t>
        </is>
      </c>
      <c r="G2462">
        <f>_xlfn.IMAGE("https://www.soccerplususa.com/prodimages/2504-DEFAULT-l.jpg")</f>
        <v/>
      </c>
      <c r="H2462">
        <f>_xlfn.IMAGE("https://m.media-amazon.com/images/I/81WjN9RppTL._AC_UL320_.jpg")</f>
        <v/>
      </c>
      <c r="K2462" t="inlineStr">
        <is>
          <t>6.0</t>
        </is>
      </c>
      <c r="L2462" t="n">
        <v>18.71</v>
      </c>
      <c r="M2462" s="1" t="inlineStr">
        <is>
          <t>211.83%</t>
        </is>
      </c>
      <c r="N2462" s="3" t="n">
        <v>211.83</v>
      </c>
      <c r="O2462" t="n">
        <v>4</v>
      </c>
      <c r="P2462" t="n">
        <v>1</v>
      </c>
      <c r="R2462" t="inlineStr">
        <is>
          <t>InStock</t>
        </is>
      </c>
      <c r="S2462" t="inlineStr">
        <is>
          <t>11.95</t>
        </is>
      </c>
      <c r="T2462" t="inlineStr">
        <is>
          <t>5130040</t>
        </is>
      </c>
    </row>
    <row r="2463" ht="75" customHeight="1">
      <c r="A2463" s="2">
        <f>HYPERLINK("https://www.soccerplususa.com/adidas/adidas-copa-zone-cushion-ii-1922", "https://www.soccerplususa.com/adidas/adidas-copa-zone-cushion-ii-1922")</f>
        <v/>
      </c>
      <c r="B2463" t="inlineStr">
        <is>
          <t>undefined</t>
        </is>
      </c>
      <c r="C2463" t="inlineStr">
        <is>
          <t>adidas Copa Zone Cushion II</t>
        </is>
      </c>
      <c r="D2463" t="inlineStr">
        <is>
          <t>adidas Copa Zone Cushion Socks [White]</t>
        </is>
      </c>
      <c r="E2463" s="2">
        <f>HYPERLINK("https://www.amazon.com/Adidas-Cushion-Soccer-Small-White/dp/B00FNNYG4U/ref=sr_1_10?keywords=adidas+Copa+Zone+Cushion+II&amp;qid=1695171129&amp;sr=8-10", "https://www.amazon.com/Adidas-Cushion-Soccer-Small-White/dp/B00FNNYG4U/ref=sr_1_10?keywords=adidas+Copa+Zone+Cushion+II&amp;qid=1695171129&amp;sr=8-10")</f>
        <v/>
      </c>
      <c r="F2463" t="inlineStr">
        <is>
          <t>B00FNNYG4U</t>
        </is>
      </c>
      <c r="G2463">
        <f>_xlfn.IMAGE("https://www.soccerplususa.com/prodimages/5094-DEFAULT-l.jpg")</f>
        <v/>
      </c>
      <c r="H2463">
        <f>_xlfn.IMAGE("https://m.media-amazon.com/images/I/81WjN9RppTL._AC_UL320_.jpg")</f>
        <v/>
      </c>
      <c r="K2463" t="inlineStr">
        <is>
          <t>6.0</t>
        </is>
      </c>
      <c r="L2463" t="n">
        <v>18.71</v>
      </c>
      <c r="M2463" s="1" t="inlineStr">
        <is>
          <t>211.83%</t>
        </is>
      </c>
      <c r="N2463" s="3" t="n">
        <v>211.83</v>
      </c>
      <c r="O2463" t="n">
        <v>4</v>
      </c>
      <c r="P2463" t="n">
        <v>1</v>
      </c>
      <c r="R2463" t="inlineStr">
        <is>
          <t>InStock</t>
        </is>
      </c>
      <c r="S2463" t="inlineStr">
        <is>
          <t>11.95</t>
        </is>
      </c>
      <c r="T2463" t="inlineStr">
        <is>
          <t>5130155</t>
        </is>
      </c>
    </row>
    <row r="2464" ht="75" customHeight="1">
      <c r="A2464" s="2">
        <f>HYPERLINK("https://www.soccerplususa.com/premier-sock-tape/pro-crew-sock-37590", "https://www.soccerplususa.com/premier-sock-tape/pro-crew-sock-37590")</f>
        <v/>
      </c>
      <c r="B2464" t="inlineStr">
        <is>
          <t>undefined</t>
        </is>
      </c>
      <c r="C2464" t="inlineStr">
        <is>
          <t>Pro Crew Sock</t>
        </is>
      </c>
      <c r="D2464" t="inlineStr">
        <is>
          <t>Stance Men's M559C16DIA MLB On Field Diamond Pro Crew Sock</t>
        </is>
      </c>
      <c r="E2464" s="2">
        <f>HYPERLINK("https://www.amazon.com/Stance-Diamond-Primary-Socks-Black/dp/B01K5SORP0/ref=sr_1_5?keywords=Pro+Crew+Sock&amp;qid=1695171090&amp;sr=8-5", "https://www.amazon.com/Stance-Diamond-Primary-Socks-Black/dp/B01K5SORP0/ref=sr_1_5?keywords=Pro+Crew+Sock&amp;qid=1695171090&amp;sr=8-5")</f>
        <v/>
      </c>
      <c r="F2464" t="inlineStr">
        <is>
          <t>B01K5SORP0</t>
        </is>
      </c>
      <c r="G2464">
        <f>_xlfn.IMAGE("https://www.soccerplususa.com/prodimages/10571-DEFAULT-l.jpg")</f>
        <v/>
      </c>
      <c r="H2464">
        <f>_xlfn.IMAGE("https://m.media-amazon.com/images/I/815Rabf5I3L._AC_UL320_.jpg")</f>
        <v/>
      </c>
      <c r="K2464" t="inlineStr">
        <is>
          <t>9.95</t>
        </is>
      </c>
      <c r="L2464" t="n">
        <v>29.99</v>
      </c>
      <c r="M2464" s="1" t="inlineStr">
        <is>
          <t>201.41%</t>
        </is>
      </c>
      <c r="N2464" s="3" t="n">
        <v>201.41</v>
      </c>
      <c r="O2464" t="n">
        <v>5</v>
      </c>
      <c r="P2464" t="n">
        <v>6</v>
      </c>
      <c r="R2464" t="inlineStr">
        <is>
          <t>InStock</t>
        </is>
      </c>
      <c r="S2464" t="inlineStr">
        <is>
          <t>undefined</t>
        </is>
      </c>
      <c r="T2464" t="inlineStr">
        <is>
          <t>PCSOCK</t>
        </is>
      </c>
    </row>
    <row r="2465" ht="75" customHeight="1">
      <c r="A2465" s="2">
        <f>HYPERLINK("https://www.soccerplususa.com/premier-sock-tape/pro-crew-sock-37590", "https://www.soccerplususa.com/premier-sock-tape/pro-crew-sock-37590")</f>
        <v/>
      </c>
      <c r="B2465" t="inlineStr">
        <is>
          <t>undefined</t>
        </is>
      </c>
      <c r="C2465" t="inlineStr">
        <is>
          <t>Pro Crew Sock</t>
        </is>
      </c>
      <c r="D2465" t="inlineStr">
        <is>
          <t>Stance Men's M559C16DIA MLB On Field Diamond Pro Crew Sock</t>
        </is>
      </c>
      <c r="E2465" s="2">
        <f>HYPERLINK("https://www.amazon.com/Stance-Mens-Diamond-Primary-Socks/dp/B07B9K2X3D/ref=sr_1_7?keywords=Pro+Crew+Sock&amp;qid=1695171090&amp;sr=8-7", "https://www.amazon.com/Stance-Mens-Diamond-Primary-Socks/dp/B07B9K2X3D/ref=sr_1_7?keywords=Pro+Crew+Sock&amp;qid=1695171090&amp;sr=8-7")</f>
        <v/>
      </c>
      <c r="F2465" t="inlineStr">
        <is>
          <t>B07B9K2X3D</t>
        </is>
      </c>
      <c r="G2465">
        <f>_xlfn.IMAGE("https://www.soccerplususa.com/prodimages/10571-DEFAULT-l.jpg")</f>
        <v/>
      </c>
      <c r="H2465">
        <f>_xlfn.IMAGE("https://m.media-amazon.com/images/I/815ihZIdrML._AC_UL320_.jpg")</f>
        <v/>
      </c>
      <c r="K2465" t="inlineStr">
        <is>
          <t>9.95</t>
        </is>
      </c>
      <c r="L2465" t="n">
        <v>29.99</v>
      </c>
      <c r="M2465" s="1" t="inlineStr">
        <is>
          <t>201.41%</t>
        </is>
      </c>
      <c r="N2465" s="3" t="n">
        <v>201.41</v>
      </c>
      <c r="O2465" t="n">
        <v>4.5</v>
      </c>
      <c r="P2465" t="n">
        <v>9</v>
      </c>
      <c r="R2465" t="inlineStr">
        <is>
          <t>InStock</t>
        </is>
      </c>
      <c r="S2465" t="inlineStr">
        <is>
          <t>undefined</t>
        </is>
      </c>
      <c r="T2465" t="inlineStr">
        <is>
          <t>PCSOCK</t>
        </is>
      </c>
    </row>
    <row r="2466" ht="75" customHeight="1">
      <c r="A2466" s="2">
        <f>HYPERLINK("https://www.soccerplususa.com/nike/nike-classic-iii-sock-19558", "https://www.soccerplususa.com/nike/nike-classic-iii-sock-19558")</f>
        <v/>
      </c>
      <c r="B2466" t="inlineStr">
        <is>
          <t>undefined</t>
        </is>
      </c>
      <c r="C2466" t="inlineStr">
        <is>
          <t>Nike Classic III Sock</t>
        </is>
      </c>
      <c r="D2466" t="inlineStr">
        <is>
          <t>Nike Classic II Sock [TM White]</t>
        </is>
      </c>
      <c r="E2466" s="2">
        <f>HYPERLINK("https://www.amazon.com/NIKE-Classic-II-Sock-White/dp/B00TKU488Q/ref=sr_1_8?keywords=Nike+Classic+III+Sock&amp;qid=1695171105&amp;sr=8-8", "https://www.amazon.com/NIKE-Classic-II-Sock-White/dp/B00TKU488Q/ref=sr_1_8?keywords=Nike+Classic+III+Sock&amp;qid=1695171105&amp;sr=8-8")</f>
        <v/>
      </c>
      <c r="F2466" t="inlineStr">
        <is>
          <t>B00TKU488Q</t>
        </is>
      </c>
      <c r="G2466">
        <f>_xlfn.IMAGE("https://www.soccerplususa.com/prodimages/6187-DEFAULT-l.jpg")</f>
        <v/>
      </c>
      <c r="H2466">
        <f>_xlfn.IMAGE("https://m.media-amazon.com/images/I/61lB1aUxpWL._AC_UL320_.jpg")</f>
        <v/>
      </c>
      <c r="K2466" t="inlineStr">
        <is>
          <t>6.0</t>
        </is>
      </c>
      <c r="L2466" t="n">
        <v>17.99</v>
      </c>
      <c r="M2466" s="1" t="inlineStr">
        <is>
          <t>199.83%</t>
        </is>
      </c>
      <c r="N2466" s="3" t="n">
        <v>199.83</v>
      </c>
      <c r="O2466" t="n">
        <v>4.6</v>
      </c>
      <c r="P2466" t="n">
        <v>130</v>
      </c>
      <c r="R2466" t="inlineStr">
        <is>
          <t>InStock</t>
        </is>
      </c>
      <c r="S2466" t="inlineStr">
        <is>
          <t>9.95</t>
        </is>
      </c>
      <c r="T2466" t="inlineStr">
        <is>
          <t>394386-057</t>
        </is>
      </c>
    </row>
    <row r="2467" ht="75" customHeight="1">
      <c r="A2467" s="2">
        <f>HYPERLINK("https://www.soccerplususa.com/nike/nike-classic-ii-sock-19565", "https://www.soccerplususa.com/nike/nike-classic-ii-sock-19565")</f>
        <v/>
      </c>
      <c r="B2467" t="inlineStr">
        <is>
          <t>undefined</t>
        </is>
      </c>
      <c r="C2467" t="inlineStr">
        <is>
          <t>Nike Classic II Sock</t>
        </is>
      </c>
      <c r="D2467" t="inlineStr">
        <is>
          <t>Nike Classic II Sock [TM White]</t>
        </is>
      </c>
      <c r="E2467" s="2">
        <f>HYPERLINK("https://www.amazon.com/NIKE-Classic-II-Sock-White/dp/B00TKU488Q/ref=sr_1_2?keywords=Nike+Classic+II+Sock&amp;qid=1695171109&amp;sr=8-2", "https://www.amazon.com/NIKE-Classic-II-Sock-White/dp/B00TKU488Q/ref=sr_1_2?keywords=Nike+Classic+II+Sock&amp;qid=1695171109&amp;sr=8-2")</f>
        <v/>
      </c>
      <c r="F2467" t="inlineStr">
        <is>
          <t>B00TKU488Q</t>
        </is>
      </c>
      <c r="G2467">
        <f>_xlfn.IMAGE("https://www.soccerplususa.com/prodimages/3004-DEFAULT-l.jpg")</f>
        <v/>
      </c>
      <c r="H2467">
        <f>_xlfn.IMAGE("https://m.media-amazon.com/images/I/61lB1aUxpWL._AC_UL320_.jpg")</f>
        <v/>
      </c>
      <c r="K2467" t="inlineStr">
        <is>
          <t>6.0</t>
        </is>
      </c>
      <c r="L2467" t="n">
        <v>17.99</v>
      </c>
      <c r="M2467" s="1" t="inlineStr">
        <is>
          <t>199.83%</t>
        </is>
      </c>
      <c r="N2467" s="3" t="n">
        <v>199.83</v>
      </c>
      <c r="O2467" t="n">
        <v>4.6</v>
      </c>
      <c r="P2467" t="n">
        <v>130</v>
      </c>
      <c r="R2467" t="inlineStr">
        <is>
          <t>InStock</t>
        </is>
      </c>
      <c r="S2467" t="inlineStr">
        <is>
          <t>9.95</t>
        </is>
      </c>
      <c r="T2467" t="inlineStr">
        <is>
          <t>394386-648</t>
        </is>
      </c>
    </row>
    <row r="2468" ht="75" customHeight="1">
      <c r="A2468" s="2">
        <f>HYPERLINK("https://www.soccerplususa.com/nike/nike-classic-iii-sock-19563", "https://www.soccerplususa.com/nike/nike-classic-iii-sock-19563")</f>
        <v/>
      </c>
      <c r="B2468" t="inlineStr">
        <is>
          <t>undefined</t>
        </is>
      </c>
      <c r="C2468" t="inlineStr">
        <is>
          <t>Nike Classic III Sock</t>
        </is>
      </c>
      <c r="D2468" t="inlineStr">
        <is>
          <t>Nike Classic II Sock [TM White]</t>
        </is>
      </c>
      <c r="E2468" s="2">
        <f>HYPERLINK("https://www.amazon.com/NIKE-Classic-II-Sock-White/dp/B00TKU488Q/ref=sr_1_8?keywords=Nike+Classic+III+Sock&amp;qid=1695171105&amp;sr=8-8", "https://www.amazon.com/NIKE-Classic-II-Sock-White/dp/B00TKU488Q/ref=sr_1_8?keywords=Nike+Classic+III+Sock&amp;qid=1695171105&amp;sr=8-8")</f>
        <v/>
      </c>
      <c r="F2468" t="inlineStr">
        <is>
          <t>B00TKU488Q</t>
        </is>
      </c>
      <c r="G2468">
        <f>_xlfn.IMAGE("https://www.soccerplususa.com/prodimages/6185-DEFAULT-l.jpg")</f>
        <v/>
      </c>
      <c r="H2468">
        <f>_xlfn.IMAGE("https://m.media-amazon.com/images/I/61lB1aUxpWL._AC_UL320_.jpg")</f>
        <v/>
      </c>
      <c r="K2468" t="inlineStr">
        <is>
          <t>6.0</t>
        </is>
      </c>
      <c r="L2468" t="n">
        <v>17.99</v>
      </c>
      <c r="M2468" s="1" t="inlineStr">
        <is>
          <t>199.83%</t>
        </is>
      </c>
      <c r="N2468" s="3" t="n">
        <v>199.83</v>
      </c>
      <c r="O2468" t="n">
        <v>4.6</v>
      </c>
      <c r="P2468" t="n">
        <v>130</v>
      </c>
      <c r="R2468" t="inlineStr">
        <is>
          <t>InStock</t>
        </is>
      </c>
      <c r="S2468" t="inlineStr">
        <is>
          <t>9.95</t>
        </is>
      </c>
      <c r="T2468" t="inlineStr">
        <is>
          <t>394386-460</t>
        </is>
      </c>
    </row>
    <row r="2469" ht="75" customHeight="1">
      <c r="A2469" s="2">
        <f>HYPERLINK("https://www.soccerplususa.com/nike/nike-classic-iii-sock-19557", "https://www.soccerplususa.com/nike/nike-classic-iii-sock-19557")</f>
        <v/>
      </c>
      <c r="B2469" t="inlineStr">
        <is>
          <t>undefined</t>
        </is>
      </c>
      <c r="C2469" t="inlineStr">
        <is>
          <t>Nike Classic III Sock</t>
        </is>
      </c>
      <c r="D2469" t="inlineStr">
        <is>
          <t>Nike Classic II Sock [TM White]</t>
        </is>
      </c>
      <c r="E2469" s="2">
        <f>HYPERLINK("https://www.amazon.com/NIKE-Classic-II-Sock-White/dp/B00TKU488Q/ref=sr_1_8?keywords=Nike+Classic+III+Sock&amp;qid=1695171102&amp;sr=8-8", "https://www.amazon.com/NIKE-Classic-II-Sock-White/dp/B00TKU488Q/ref=sr_1_8?keywords=Nike+Classic+III+Sock&amp;qid=1695171102&amp;sr=8-8")</f>
        <v/>
      </c>
      <c r="F2469" t="inlineStr">
        <is>
          <t>B00TKU488Q</t>
        </is>
      </c>
      <c r="G2469">
        <f>_xlfn.IMAGE("https://www.soccerplususa.com/prodimages/3020-DEFAULT-l.jpg")</f>
        <v/>
      </c>
      <c r="H2469">
        <f>_xlfn.IMAGE("https://m.media-amazon.com/images/I/61lB1aUxpWL._AC_UL320_.jpg")</f>
        <v/>
      </c>
      <c r="K2469" t="inlineStr">
        <is>
          <t>6.0</t>
        </is>
      </c>
      <c r="L2469" t="n">
        <v>17.99</v>
      </c>
      <c r="M2469" s="1" t="inlineStr">
        <is>
          <t>199.83%</t>
        </is>
      </c>
      <c r="N2469" s="3" t="n">
        <v>199.83</v>
      </c>
      <c r="O2469" t="n">
        <v>4.6</v>
      </c>
      <c r="P2469" t="n">
        <v>130</v>
      </c>
      <c r="R2469" t="inlineStr">
        <is>
          <t>InStock</t>
        </is>
      </c>
      <c r="S2469" t="inlineStr">
        <is>
          <t>9.95</t>
        </is>
      </c>
      <c r="T2469" t="inlineStr">
        <is>
          <t>394386-010</t>
        </is>
      </c>
    </row>
    <row r="2470" hidden="1" ht="15.75" customHeight="1">
      <c r="A2470" s="2">
        <f>HYPERLINK("https://www.soccerplususa.com/adidas/field-sock-ii-3611", "https://www.soccerplususa.com/adidas/field-sock-ii-3611")</f>
        <v/>
      </c>
      <c r="B2470" t="inlineStr">
        <is>
          <t>undefined</t>
        </is>
      </c>
      <c r="C2470" t="inlineStr">
        <is>
          <t>Field Sock II</t>
        </is>
      </c>
      <c r="D2470" t="inlineStr">
        <is>
          <t>adidas Youth Field Sock II Soccer Sock</t>
        </is>
      </c>
      <c r="E2470" s="2">
        <f>HYPERLINK("https://www.amazon.com/adidas-Youth-Field-Soccer-X-Small/dp/B001GAP2N8/ref=sr_1_2?keywords=Field+Sock+II&amp;qid=1695171103&amp;sr=8-2", "https://www.amazon.com/adidas-Youth-Field-Soccer-X-Small/dp/B001GAP2N8/ref=sr_1_2?keywords=Field+Sock+II&amp;qid=1695171103&amp;sr=8-2")</f>
        <v/>
      </c>
      <c r="F2470" t="inlineStr">
        <is>
          <t>B001GAP2N8</t>
        </is>
      </c>
      <c r="G2470">
        <f>_xludf.IMAGE("https://www.soccerplususa.com/prodimages/708-DEFAULT-l.jpg")</f>
        <v/>
      </c>
      <c r="H2470">
        <f>_xludf.IMAGE("https://m.media-amazon.com/images/I/712qRUK+LbL._AC_UL320_.jpg")</f>
        <v/>
      </c>
      <c r="K2470" t="inlineStr">
        <is>
          <t>5.0</t>
        </is>
      </c>
      <c r="L2470" t="n">
        <v>14.95</v>
      </c>
      <c r="M2470" s="1" t="inlineStr">
        <is>
          <t>199.00%</t>
        </is>
      </c>
      <c r="N2470" s="3" t="n">
        <v>199</v>
      </c>
      <c r="O2470" t="n">
        <v>4.6</v>
      </c>
      <c r="P2470" t="n">
        <v>66</v>
      </c>
      <c r="R2470" t="inlineStr">
        <is>
          <t>InStock</t>
        </is>
      </c>
      <c r="S2470" t="inlineStr">
        <is>
          <t>7.95</t>
        </is>
      </c>
      <c r="T2470" t="inlineStr">
        <is>
          <t>956054</t>
        </is>
      </c>
    </row>
    <row r="2471" hidden="1" ht="15.75" customHeight="1">
      <c r="A2471" s="2">
        <f>HYPERLINK("https://www.soccerplususa.com/adidas/field-sock-ii-1364", "https://www.soccerplususa.com/adidas/field-sock-ii-1364")</f>
        <v/>
      </c>
      <c r="B2471" t="inlineStr">
        <is>
          <t>undefined</t>
        </is>
      </c>
      <c r="C2471" t="inlineStr">
        <is>
          <t>Field Sock II</t>
        </is>
      </c>
      <c r="D2471" t="inlineStr">
        <is>
          <t>adidas Youth Field Sock II Soccer Sock</t>
        </is>
      </c>
      <c r="E2471" s="2">
        <f>HYPERLINK("https://www.amazon.com/adidas-Youth-Field-Soccer-X-Small/dp/B001GAP2N8/ref=sr_1_1?keywords=Field+Sock+II&amp;qid=1695171112&amp;sr=8-1", "https://www.amazon.com/adidas-Youth-Field-Soccer-X-Small/dp/B001GAP2N8/ref=sr_1_1?keywords=Field+Sock+II&amp;qid=1695171112&amp;sr=8-1")</f>
        <v/>
      </c>
      <c r="F2471" t="inlineStr">
        <is>
          <t>B001GAP2N8</t>
        </is>
      </c>
      <c r="G2471">
        <f>_xludf.IMAGE("https://www.soccerplususa.com/prodimages/1083-DEFAULT-l.jpg")</f>
        <v/>
      </c>
      <c r="H2471">
        <f>_xludf.IMAGE("https://m.media-amazon.com/images/I/712qRUK+LbL._AC_UL320_.jpg")</f>
        <v/>
      </c>
      <c r="K2471" t="inlineStr">
        <is>
          <t>5.0</t>
        </is>
      </c>
      <c r="L2471" t="n">
        <v>14.95</v>
      </c>
      <c r="M2471" s="1" t="inlineStr">
        <is>
          <t>199.00%</t>
        </is>
      </c>
      <c r="N2471" s="3" t="n">
        <v>199</v>
      </c>
      <c r="O2471" t="n">
        <v>4.6</v>
      </c>
      <c r="P2471" t="n">
        <v>66</v>
      </c>
      <c r="R2471" t="inlineStr">
        <is>
          <t>InStock</t>
        </is>
      </c>
      <c r="S2471" t="inlineStr">
        <is>
          <t>7.95</t>
        </is>
      </c>
      <c r="T2471" t="inlineStr">
        <is>
          <t>321180S</t>
        </is>
      </c>
    </row>
    <row r="2472" hidden="1" ht="15.75" customHeight="1">
      <c r="A2472" s="2">
        <f>HYPERLINK("https://www.soccerplususa.com/adidas/field-sock-ii-3609", "https://www.soccerplususa.com/adidas/field-sock-ii-3609")</f>
        <v/>
      </c>
      <c r="B2472" t="inlineStr">
        <is>
          <t>undefined</t>
        </is>
      </c>
      <c r="C2472" t="inlineStr">
        <is>
          <t>Field Sock II</t>
        </is>
      </c>
      <c r="D2472" t="inlineStr">
        <is>
          <t>adidas Youth Field Sock II Soccer Sock</t>
        </is>
      </c>
      <c r="E2472" s="2">
        <f>HYPERLINK("https://www.amazon.com/adidas-Youth-Field-Soccer-X-Small/dp/B001GAP2N8/ref=sr_1_2?keywords=Field+Sock+II&amp;qid=1695171109&amp;sr=8-2", "https://www.amazon.com/adidas-Youth-Field-Soccer-X-Small/dp/B001GAP2N8/ref=sr_1_2?keywords=Field+Sock+II&amp;qid=1695171109&amp;sr=8-2")</f>
        <v/>
      </c>
      <c r="F2472" t="inlineStr">
        <is>
          <t>B001GAP2N8</t>
        </is>
      </c>
      <c r="G2472">
        <f>_xludf.IMAGE("https://www.soccerplususa.com/prodimages/683-DEFAULT-l.jpg")</f>
        <v/>
      </c>
      <c r="H2472">
        <f>_xludf.IMAGE("https://m.media-amazon.com/images/I/712qRUK+LbL._AC_UL320_.jpg")</f>
        <v/>
      </c>
      <c r="K2472" t="inlineStr">
        <is>
          <t>5.0</t>
        </is>
      </c>
      <c r="L2472" t="n">
        <v>14.95</v>
      </c>
      <c r="M2472" s="1" t="inlineStr">
        <is>
          <t>199.00%</t>
        </is>
      </c>
      <c r="N2472" s="3" t="n">
        <v>199</v>
      </c>
      <c r="O2472" t="n">
        <v>4.6</v>
      </c>
      <c r="P2472" t="n">
        <v>66</v>
      </c>
      <c r="R2472" t="inlineStr">
        <is>
          <t>InStock</t>
        </is>
      </c>
      <c r="S2472" t="inlineStr">
        <is>
          <t>7.95</t>
        </is>
      </c>
      <c r="T2472" t="inlineStr">
        <is>
          <t>956052</t>
        </is>
      </c>
    </row>
    <row r="2473" ht="75" customHeight="1">
      <c r="A2473" s="2">
        <f>HYPERLINK("https://www.soccerplususa.com/puma/puma-team-soccer-sock-29694", "https://www.soccerplususa.com/puma/puma-team-soccer-sock-29694")</f>
        <v/>
      </c>
      <c r="B2473" t="inlineStr">
        <is>
          <t>undefined</t>
        </is>
      </c>
      <c r="C2473" t="inlineStr">
        <is>
          <t>Puma Team Soccer Sock</t>
        </is>
      </c>
      <c r="D2473" t="inlineStr">
        <is>
          <t>APTESOL Knee High Soccer Socks (1/3/5 Pack) Team Sport OTC Cushion Socks for Kids Youth Adult</t>
        </is>
      </c>
      <c r="E2473" s="2">
        <f>HYPERLINK("https://www.amazon.com/APTESOL-Cushion-Soccer-Socks-Multiple/dp/B09441V386/ref=sr_1_9?keywords=Puma+Team+Soccer+Sock&amp;qid=1695171097&amp;sr=8-9", "https://www.amazon.com/APTESOL-Cushion-Soccer-Socks-Multiple/dp/B09441V386/ref=sr_1_9?keywords=Puma+Team+Soccer+Sock&amp;qid=1695171097&amp;sr=8-9")</f>
        <v/>
      </c>
      <c r="F2473" t="inlineStr">
        <is>
          <t>B09441V386</t>
        </is>
      </c>
      <c r="G2473">
        <f>_xlfn.IMAGE("https://www.soccerplususa.com/prodimages/2609-DEFAULT-l.jpg")</f>
        <v/>
      </c>
      <c r="H2473">
        <f>_xlfn.IMAGE("https://m.media-amazon.com/images/I/81QguzTxmkL._AC_UL320_.jpg")</f>
        <v/>
      </c>
      <c r="K2473" t="inlineStr">
        <is>
          <t>7.95</t>
        </is>
      </c>
      <c r="L2473" t="n">
        <v>23.37</v>
      </c>
      <c r="M2473" s="1" t="inlineStr">
        <is>
          <t>193.96%</t>
        </is>
      </c>
      <c r="N2473" s="3" t="n">
        <v>193.96</v>
      </c>
      <c r="O2473" t="n">
        <v>4.6</v>
      </c>
      <c r="P2473" t="n">
        <v>1915</v>
      </c>
      <c r="R2473" t="inlineStr">
        <is>
          <t>InStock</t>
        </is>
      </c>
      <c r="S2473" t="inlineStr">
        <is>
          <t>undefined</t>
        </is>
      </c>
      <c r="T2473" t="inlineStr">
        <is>
          <t>890420-08</t>
        </is>
      </c>
    </row>
    <row r="2474" ht="75" customHeight="1">
      <c r="A2474" s="2">
        <f>HYPERLINK("https://www.soccerplususa.com/sweat-x/sweat-x-sport-laundry-detergent-32390", "https://www.soccerplususa.com/sweat-x/sweat-x-sport-laundry-detergent-32390")</f>
        <v/>
      </c>
      <c r="B2474" t="inlineStr">
        <is>
          <t>undefined</t>
        </is>
      </c>
      <c r="C2474" t="inlineStr">
        <is>
          <t>Sweat X Sport Laundry Detergent</t>
        </is>
      </c>
      <c r="D2474" t="inlineStr">
        <is>
          <t>Sweat X Sport Free &amp; Clear Activewear Detergent - Certified Asthma &amp; Allergy Friendly® - Hypoallergenic - for Activewear and Everyday Use, 180 loads (Case of 4-45 Load Bottles)</t>
        </is>
      </c>
      <c r="E2474" s="2">
        <f>HYPERLINK("https://www.amazon.com/Sweat-Sport-Clear-Activewear-Detergent/dp/B0BHZXPT2L/ref=sr_1_3?keywords=Sweat+X+Sport+Laundry+Detergent&amp;qid=1695171098&amp;sr=8-3", "https://www.amazon.com/Sweat-Sport-Clear-Activewear-Detergent/dp/B0BHZXPT2L/ref=sr_1_3?keywords=Sweat+X+Sport+Laundry+Detergent&amp;qid=1695171098&amp;sr=8-3")</f>
        <v/>
      </c>
      <c r="F2474" t="inlineStr">
        <is>
          <t>B0BHZXPT2L</t>
        </is>
      </c>
      <c r="G2474">
        <f>_xlfn.IMAGE("https://www.soccerplususa.com/prodimages/6299-DEFAULT-l.jpg")</f>
        <v/>
      </c>
      <c r="H2474">
        <f>_xlfn.IMAGE("https://m.media-amazon.com/images/I/61N7JXCcFHL._AC_UL320_.jpg")</f>
        <v/>
      </c>
      <c r="K2474" t="inlineStr">
        <is>
          <t>23.95</t>
        </is>
      </c>
      <c r="L2474" t="n">
        <v>70</v>
      </c>
      <c r="M2474" s="1" t="inlineStr">
        <is>
          <t>192.28%</t>
        </is>
      </c>
      <c r="N2474" s="3" t="n">
        <v>192.28</v>
      </c>
      <c r="O2474" t="n">
        <v>5</v>
      </c>
      <c r="P2474" t="n">
        <v>1</v>
      </c>
      <c r="R2474" t="inlineStr">
        <is>
          <t>InStock</t>
        </is>
      </c>
      <c r="S2474" t="inlineStr">
        <is>
          <t>undefined</t>
        </is>
      </c>
      <c r="T2474" t="inlineStr">
        <is>
          <t>SWX4049</t>
        </is>
      </c>
    </row>
    <row r="2475" ht="75" customHeight="1">
      <c r="A2475" s="2">
        <f>HYPERLINK("https://www.soccerplususa.com/sweat-x/sweat-x-sport-laundry-detergent-32390", "https://www.soccerplususa.com/sweat-x/sweat-x-sport-laundry-detergent-32390")</f>
        <v/>
      </c>
      <c r="B2475" t="inlineStr">
        <is>
          <t>undefined</t>
        </is>
      </c>
      <c r="C2475" t="inlineStr">
        <is>
          <t>Sweat X Sport Laundry Detergent</t>
        </is>
      </c>
      <c r="D2475" t="inlineStr">
        <is>
          <t>Sweat X Sport Extreme Laundry Detergent, High Performance Sports Wash for Activewear and All Fabrics, Case of 4</t>
        </is>
      </c>
      <c r="E2475" s="2">
        <f>HYPERLINK("https://www.amazon.com/Sweat-Extreme-Detergent-Performance-Activewear/dp/B07R2DB8RX/ref=sr_1_4?keywords=Sweat+X+Sport+Laundry+Detergent&amp;qid=1695171098&amp;sr=8-4", "https://www.amazon.com/Sweat-Extreme-Detergent-Performance-Activewear/dp/B07R2DB8RX/ref=sr_1_4?keywords=Sweat+X+Sport+Laundry+Detergent&amp;qid=1695171098&amp;sr=8-4")</f>
        <v/>
      </c>
      <c r="F2475" t="inlineStr">
        <is>
          <t>B07R2DB8RX</t>
        </is>
      </c>
      <c r="G2475">
        <f>_xlfn.IMAGE("https://www.soccerplususa.com/prodimages/6299-DEFAULT-l.jpg")</f>
        <v/>
      </c>
      <c r="H2475">
        <f>_xlfn.IMAGE("https://m.media-amazon.com/images/I/61hGIjeGgbL._AC_UL320_.jpg")</f>
        <v/>
      </c>
      <c r="K2475" t="inlineStr">
        <is>
          <t>23.95</t>
        </is>
      </c>
      <c r="L2475" t="n">
        <v>70</v>
      </c>
      <c r="M2475" s="1" t="inlineStr">
        <is>
          <t>192.28%</t>
        </is>
      </c>
      <c r="N2475" s="3" t="n">
        <v>192.28</v>
      </c>
      <c r="O2475" t="n">
        <v>4.3</v>
      </c>
      <c r="P2475" t="n">
        <v>64</v>
      </c>
      <c r="R2475" t="inlineStr">
        <is>
          <t>InStock</t>
        </is>
      </c>
      <c r="S2475" t="inlineStr">
        <is>
          <t>undefined</t>
        </is>
      </c>
      <c r="T2475" t="inlineStr">
        <is>
          <t>SWX4049</t>
        </is>
      </c>
    </row>
    <row r="2476" ht="75" customHeight="1">
      <c r="A2476" s="2">
        <f>HYPERLINK("https://www.soccerplususa.com/premier-sock-tape/pro-crew-sock-37590", "https://www.soccerplususa.com/premier-sock-tape/pro-crew-sock-37590")</f>
        <v/>
      </c>
      <c r="B2476" t="inlineStr">
        <is>
          <t>undefined</t>
        </is>
      </c>
      <c r="C2476" t="inlineStr">
        <is>
          <t>Pro Crew Sock</t>
        </is>
      </c>
      <c r="D2476" t="inlineStr">
        <is>
          <t>Timberland PRO mens 6-pack Performance Crew Length Socks</t>
        </is>
      </c>
      <c r="E2476" s="2">
        <f>HYPERLINK("https://www.amazon.com/Timberland-PRO-TB219983TA-Performance-Length/dp/B08BJCNQ8C/ref=sr_1_1?keywords=Pro+Crew+Sock&amp;qid=1695171090&amp;sr=8-1", "https://www.amazon.com/Timberland-PRO-TB219983TA-Performance-Length/dp/B08BJCNQ8C/ref=sr_1_1?keywords=Pro+Crew+Sock&amp;qid=1695171090&amp;sr=8-1")</f>
        <v/>
      </c>
      <c r="F2476" t="inlineStr">
        <is>
          <t>B08BJCNQ8C</t>
        </is>
      </c>
      <c r="G2476">
        <f>_xlfn.IMAGE("https://www.soccerplususa.com/prodimages/10571-DEFAULT-l.jpg")</f>
        <v/>
      </c>
      <c r="H2476">
        <f>_xlfn.IMAGE("https://m.media-amazon.com/images/I/614xKM+7Y1L._AC_UL320_.jpg")</f>
        <v/>
      </c>
      <c r="K2476" t="inlineStr">
        <is>
          <t>9.95</t>
        </is>
      </c>
      <c r="L2476" t="n">
        <v>28.73</v>
      </c>
      <c r="M2476" s="1" t="inlineStr">
        <is>
          <t>188.74%</t>
        </is>
      </c>
      <c r="N2476" s="3" t="n">
        <v>188.74</v>
      </c>
      <c r="O2476" t="n">
        <v>4.4</v>
      </c>
      <c r="P2476" t="n">
        <v>895</v>
      </c>
      <c r="R2476" t="inlineStr">
        <is>
          <t>InStock</t>
        </is>
      </c>
      <c r="S2476" t="inlineStr">
        <is>
          <t>undefined</t>
        </is>
      </c>
      <c r="T2476" t="inlineStr">
        <is>
          <t>PCSOCK</t>
        </is>
      </c>
    </row>
    <row r="2477" ht="75" customHeight="1">
      <c r="A2477" s="2">
        <f>HYPERLINK("https://www.soccerplususa.com/adidas/adidas-tiro-glove-39774", "https://www.soccerplususa.com/adidas/adidas-tiro-glove-39774")</f>
        <v/>
      </c>
      <c r="B2477" t="inlineStr">
        <is>
          <t>undefined</t>
        </is>
      </c>
      <c r="C2477" t="inlineStr">
        <is>
          <t>adidas Tiro Glove</t>
        </is>
      </c>
      <c r="D2477" t="inlineStr">
        <is>
          <t>adidas Unisex-Adult Tiro Pro Goalie Gloves</t>
        </is>
      </c>
      <c r="E2477" s="2">
        <f>HYPERLINK("https://www.amazon.com/adidas-unisex-adult-Goalkeeper-Gloves-White/dp/B08143ZTVB/ref=sr_1_3?keywords=adidas+Tiro+Glove&amp;qid=1695171085&amp;sr=8-3", "https://www.amazon.com/adidas-unisex-adult-Goalkeeper-Gloves-White/dp/B08143ZTVB/ref=sr_1_3?keywords=adidas+Tiro+Glove&amp;qid=1695171085&amp;sr=8-3")</f>
        <v/>
      </c>
      <c r="F2477" t="inlineStr">
        <is>
          <t>B08143ZTVB</t>
        </is>
      </c>
      <c r="G2477">
        <f>_xlfn.IMAGE("https://www.soccerplususa.com/prodimages/32961-DEFAULT-l.jpg")</f>
        <v/>
      </c>
      <c r="H2477">
        <f>_xlfn.IMAGE("https://m.media-amazon.com/images/I/81NOejd+xKL._AC_UL320_.jpg")</f>
        <v/>
      </c>
      <c r="K2477" t="inlineStr">
        <is>
          <t>24.95</t>
        </is>
      </c>
      <c r="L2477" t="n">
        <v>70.98</v>
      </c>
      <c r="M2477" s="1" t="inlineStr">
        <is>
          <t>184.49%</t>
        </is>
      </c>
      <c r="N2477" s="3" t="n">
        <v>184.49</v>
      </c>
      <c r="O2477" t="n">
        <v>4</v>
      </c>
      <c r="P2477" t="n">
        <v>11</v>
      </c>
      <c r="R2477" t="inlineStr">
        <is>
          <t>InStock</t>
        </is>
      </c>
      <c r="S2477" t="inlineStr">
        <is>
          <t>undefined</t>
        </is>
      </c>
      <c r="T2477" t="inlineStr">
        <is>
          <t>GH7252</t>
        </is>
      </c>
    </row>
    <row r="2478" ht="75" customHeight="1">
      <c r="A2478" s="2">
        <f>HYPERLINK("https://www.soccerplususa.com/adidas/adidas-copa-zone-cushion-ii-sock-1907", "https://www.soccerplususa.com/adidas/adidas-copa-zone-cushion-ii-sock-1907")</f>
        <v/>
      </c>
      <c r="B2478" t="inlineStr">
        <is>
          <t>undefined</t>
        </is>
      </c>
      <c r="C2478" t="inlineStr">
        <is>
          <t>adidas Copa Zone Cushion II Sock</t>
        </is>
      </c>
      <c r="D2478" t="inlineStr">
        <is>
          <t>adidas Copa Zone Cushion II White M</t>
        </is>
      </c>
      <c r="E2478" s="2">
        <f>HYPERLINK("https://www.amazon.com/Adidas-Cushion-Soccer-Medium-White/dp/B00FNNYFM8/ref=sr_1_7?keywords=adidas+Copa+Zone+Cushion+II+Sock&amp;qid=1695171114&amp;sr=8-7", "https://www.amazon.com/Adidas-Cushion-Soccer-Medium-White/dp/B00FNNYFM8/ref=sr_1_7?keywords=adidas+Copa+Zone+Cushion+II+Sock&amp;qid=1695171114&amp;sr=8-7")</f>
        <v/>
      </c>
      <c r="F2478" t="inlineStr">
        <is>
          <t>B00FNNYFM8</t>
        </is>
      </c>
      <c r="G2478">
        <f>_xlfn.IMAGE("https://www.soccerplususa.com/prodimages/2476-DEFAULT-l.jpg")</f>
        <v/>
      </c>
      <c r="H2478">
        <f>_xlfn.IMAGE("https://m.media-amazon.com/images/I/61+-OqZA3OL._AC_UL320_.jpg")</f>
        <v/>
      </c>
      <c r="K2478" t="inlineStr">
        <is>
          <t>6.0</t>
        </is>
      </c>
      <c r="L2478" t="n">
        <v>16.99</v>
      </c>
      <c r="M2478" s="1" t="inlineStr">
        <is>
          <t>183.17%</t>
        </is>
      </c>
      <c r="N2478" s="3" t="n">
        <v>183.17</v>
      </c>
      <c r="O2478" t="n">
        <v>4.6</v>
      </c>
      <c r="P2478" t="n">
        <v>3</v>
      </c>
      <c r="R2478" t="inlineStr">
        <is>
          <t>InStock</t>
        </is>
      </c>
      <c r="S2478" t="inlineStr">
        <is>
          <t>11.95</t>
        </is>
      </c>
      <c r="T2478" t="inlineStr">
        <is>
          <t>5130109</t>
        </is>
      </c>
    </row>
    <row r="2479" ht="75" customHeight="1">
      <c r="A2479" s="2">
        <f>HYPERLINK("https://www.soccerplususa.com/adidas/adidas-copa-zone-cushion-ii-sock-1969", "https://www.soccerplususa.com/adidas/adidas-copa-zone-cushion-ii-sock-1969")</f>
        <v/>
      </c>
      <c r="B2479" t="inlineStr">
        <is>
          <t>undefined</t>
        </is>
      </c>
      <c r="C2479" t="inlineStr">
        <is>
          <t>adidas Copa Zone Cushion II Sock</t>
        </is>
      </c>
      <c r="D2479" t="inlineStr">
        <is>
          <t>adidas Copa Zone Cushion II White M</t>
        </is>
      </c>
      <c r="E2479" s="2">
        <f>HYPERLINK("https://www.amazon.com/Adidas-Cushion-Soccer-Medium-White/dp/B00FNNYFM8/ref=sr_1_7?keywords=adidas+Copa+Zone+Cushion+II+Sock&amp;qid=1695171113&amp;sr=8-7", "https://www.amazon.com/Adidas-Cushion-Soccer-Medium-White/dp/B00FNNYFM8/ref=sr_1_7?keywords=adidas+Copa+Zone+Cushion+II+Sock&amp;qid=1695171113&amp;sr=8-7")</f>
        <v/>
      </c>
      <c r="F2479" t="inlineStr">
        <is>
          <t>B00FNNYFM8</t>
        </is>
      </c>
      <c r="G2479">
        <f>_xlfn.IMAGE("https://www.soccerplususa.com/prodimages/2498-DEFAULT-l.jpg")</f>
        <v/>
      </c>
      <c r="H2479">
        <f>_xlfn.IMAGE("https://m.media-amazon.com/images/I/61+-OqZA3OL._AC_UL320_.jpg")</f>
        <v/>
      </c>
      <c r="K2479" t="inlineStr">
        <is>
          <t>6.0</t>
        </is>
      </c>
      <c r="L2479" t="n">
        <v>16.99</v>
      </c>
      <c r="M2479" s="1" t="inlineStr">
        <is>
          <t>183.17%</t>
        </is>
      </c>
      <c r="N2479" s="3" t="n">
        <v>183.17</v>
      </c>
      <c r="O2479" t="n">
        <v>4.6</v>
      </c>
      <c r="P2479" t="n">
        <v>3</v>
      </c>
      <c r="R2479" t="inlineStr">
        <is>
          <t>InStock</t>
        </is>
      </c>
      <c r="S2479" t="inlineStr">
        <is>
          <t>11.95</t>
        </is>
      </c>
      <c r="T2479" t="inlineStr">
        <is>
          <t>5130310</t>
        </is>
      </c>
    </row>
    <row r="2480" ht="75" customHeight="1">
      <c r="A2480" s="2">
        <f>HYPERLINK("https://www.soccerplususa.com/adidas/adidas-copa-zone-cushion-ii-sock-1902", "https://www.soccerplususa.com/adidas/adidas-copa-zone-cushion-ii-sock-1902")</f>
        <v/>
      </c>
      <c r="B2480" t="inlineStr">
        <is>
          <t>undefined</t>
        </is>
      </c>
      <c r="C2480" t="inlineStr">
        <is>
          <t>adidas Copa Zone Cushion II Sock</t>
        </is>
      </c>
      <c r="D2480" t="inlineStr">
        <is>
          <t>adidas Copa Zone Cushion II White M</t>
        </is>
      </c>
      <c r="E2480" s="2">
        <f>HYPERLINK("https://www.amazon.com/Adidas-Cushion-Soccer-Medium-White/dp/B00FNNYFM8/ref=sr_1_8?keywords=adidas+Copa+Zone+Cushion+II+Sock&amp;qid=1695171110&amp;sr=8-8", "https://www.amazon.com/Adidas-Cushion-Soccer-Medium-White/dp/B00FNNYFM8/ref=sr_1_8?keywords=adidas+Copa+Zone+Cushion+II+Sock&amp;qid=1695171110&amp;sr=8-8")</f>
        <v/>
      </c>
      <c r="F2480" t="inlineStr">
        <is>
          <t>B00FNNYFM8</t>
        </is>
      </c>
      <c r="G2480">
        <f>_xlfn.IMAGE("https://www.soccerplususa.com/prodimages/2475-DEFAULT-l.jpg")</f>
        <v/>
      </c>
      <c r="H2480">
        <f>_xlfn.IMAGE("https://m.media-amazon.com/images/I/61+-OqZA3OL._AC_UL320_.jpg")</f>
        <v/>
      </c>
      <c r="K2480" t="inlineStr">
        <is>
          <t>6.0</t>
        </is>
      </c>
      <c r="L2480" t="n">
        <v>16.99</v>
      </c>
      <c r="M2480" s="1" t="inlineStr">
        <is>
          <t>183.17%</t>
        </is>
      </c>
      <c r="N2480" s="3" t="n">
        <v>183.17</v>
      </c>
      <c r="O2480" t="n">
        <v>4.6</v>
      </c>
      <c r="P2480" t="n">
        <v>3</v>
      </c>
      <c r="R2480" t="inlineStr">
        <is>
          <t>InStock</t>
        </is>
      </c>
      <c r="S2480" t="inlineStr">
        <is>
          <t>11.95</t>
        </is>
      </c>
      <c r="T2480" t="inlineStr">
        <is>
          <t>5130099</t>
        </is>
      </c>
    </row>
    <row r="2481" ht="75" customHeight="1">
      <c r="A2481" s="2">
        <f>HYPERLINK("https://www.soccerplususa.com/adidas/adidas-copa-zone-cushion-ii-sock-1942", "https://www.soccerplususa.com/adidas/adidas-copa-zone-cushion-ii-sock-1942")</f>
        <v/>
      </c>
      <c r="B2481" t="inlineStr">
        <is>
          <t>undefined</t>
        </is>
      </c>
      <c r="C2481" t="inlineStr">
        <is>
          <t>adidas Copa Zone Cushion II Sock</t>
        </is>
      </c>
      <c r="D2481" t="inlineStr">
        <is>
          <t>adidas Copa Zone Cushion II White M</t>
        </is>
      </c>
      <c r="E2481" s="2">
        <f>HYPERLINK("https://www.amazon.com/Adidas-Cushion-Soccer-Medium-White/dp/B00FNNYFM8/ref=sr_1_7?keywords=adidas+Copa+Zone+Cushion+II+Sock&amp;qid=1695171113&amp;sr=8-7", "https://www.amazon.com/Adidas-Cushion-Soccer-Medium-White/dp/B00FNNYFM8/ref=sr_1_7?keywords=adidas+Copa+Zone+Cushion+II+Sock&amp;qid=1695171113&amp;sr=8-7")</f>
        <v/>
      </c>
      <c r="F2481" t="inlineStr">
        <is>
          <t>B00FNNYFM8</t>
        </is>
      </c>
      <c r="G2481">
        <f>_xlfn.IMAGE("https://www.soccerplususa.com/prodimages/2487-DEFAULT-l.jpg")</f>
        <v/>
      </c>
      <c r="H2481">
        <f>_xlfn.IMAGE("https://m.media-amazon.com/images/I/61+-OqZA3OL._AC_UL320_.jpg")</f>
        <v/>
      </c>
      <c r="K2481" t="inlineStr">
        <is>
          <t>6.0</t>
        </is>
      </c>
      <c r="L2481" t="n">
        <v>16.99</v>
      </c>
      <c r="M2481" s="1" t="inlineStr">
        <is>
          <t>183.17%</t>
        </is>
      </c>
      <c r="N2481" s="3" t="n">
        <v>183.17</v>
      </c>
      <c r="O2481" t="n">
        <v>4.6</v>
      </c>
      <c r="P2481" t="n">
        <v>3</v>
      </c>
      <c r="R2481" t="inlineStr">
        <is>
          <t>InStock</t>
        </is>
      </c>
      <c r="S2481" t="inlineStr">
        <is>
          <t>11.95</t>
        </is>
      </c>
      <c r="T2481" t="inlineStr">
        <is>
          <t>5130206</t>
        </is>
      </c>
    </row>
    <row r="2482" ht="75" customHeight="1">
      <c r="A2482" s="2">
        <f>HYPERLINK("https://www.soccerplususa.com/adidas/adidas-copa-zone-cushion-ii-sock-1944", "https://www.soccerplususa.com/adidas/adidas-copa-zone-cushion-ii-sock-1944")</f>
        <v/>
      </c>
      <c r="B2482" t="inlineStr">
        <is>
          <t>undefined</t>
        </is>
      </c>
      <c r="C2482" t="inlineStr">
        <is>
          <t>adidas Copa Zone Cushion II Sock</t>
        </is>
      </c>
      <c r="D2482" t="inlineStr">
        <is>
          <t>adidas Copa Zone Cushion II White M</t>
        </is>
      </c>
      <c r="E2482" s="2">
        <f>HYPERLINK("https://www.amazon.com/Adidas-Cushion-Soccer-Medium-White/dp/B00FNNYFM8/ref=sr_1_7?keywords=adidas+Copa+Zone+Cushion+II+Sock&amp;qid=1695171111&amp;sr=8-7", "https://www.amazon.com/Adidas-Cushion-Soccer-Medium-White/dp/B00FNNYFM8/ref=sr_1_7?keywords=adidas+Copa+Zone+Cushion+II+Sock&amp;qid=1695171111&amp;sr=8-7")</f>
        <v/>
      </c>
      <c r="F2482" t="inlineStr">
        <is>
          <t>B00FNNYFM8</t>
        </is>
      </c>
      <c r="G2482">
        <f>_xlfn.IMAGE("https://www.soccerplususa.com/prodimages/2489-DEFAULT-l.jpg")</f>
        <v/>
      </c>
      <c r="H2482">
        <f>_xlfn.IMAGE("https://m.media-amazon.com/images/I/61+-OqZA3OL._AC_UL320_.jpg")</f>
        <v/>
      </c>
      <c r="K2482" t="inlineStr">
        <is>
          <t>6.0</t>
        </is>
      </c>
      <c r="L2482" t="n">
        <v>16.99</v>
      </c>
      <c r="M2482" s="1" t="inlineStr">
        <is>
          <t>183.17%</t>
        </is>
      </c>
      <c r="N2482" s="3" t="n">
        <v>183.17</v>
      </c>
      <c r="O2482" t="n">
        <v>4.6</v>
      </c>
      <c r="P2482" t="n">
        <v>3</v>
      </c>
      <c r="R2482" t="inlineStr">
        <is>
          <t>InStock</t>
        </is>
      </c>
      <c r="S2482" t="inlineStr">
        <is>
          <t>11.95</t>
        </is>
      </c>
      <c r="T2482" t="inlineStr">
        <is>
          <t>5130226</t>
        </is>
      </c>
    </row>
    <row r="2483" ht="75" customHeight="1">
      <c r="A2483" s="2">
        <f>HYPERLINK("https://www.soccerplususa.com/adidas/adidas-copa-zone-cushion-ii-sock-1967", "https://www.soccerplususa.com/adidas/adidas-copa-zone-cushion-ii-sock-1967")</f>
        <v/>
      </c>
      <c r="B2483" t="inlineStr">
        <is>
          <t>undefined</t>
        </is>
      </c>
      <c r="C2483" t="inlineStr">
        <is>
          <t>adidas Copa Zone Cushion II Sock</t>
        </is>
      </c>
      <c r="D2483" t="inlineStr">
        <is>
          <t>adidas Copa Zone Cushion II White M</t>
        </is>
      </c>
      <c r="E2483" s="2">
        <f>HYPERLINK("https://www.amazon.com/Adidas-Cushion-Soccer-Medium-White/dp/B00FNNYFM8/ref=sr_1_7?keywords=adidas+Copa+Zone+Cushion+II+Sock&amp;qid=1695171108&amp;sr=8-7", "https://www.amazon.com/Adidas-Cushion-Soccer-Medium-White/dp/B00FNNYFM8/ref=sr_1_7?keywords=adidas+Copa+Zone+Cushion+II+Sock&amp;qid=1695171108&amp;sr=8-7")</f>
        <v/>
      </c>
      <c r="F2483" t="inlineStr">
        <is>
          <t>B00FNNYFM8</t>
        </is>
      </c>
      <c r="G2483">
        <f>_xlfn.IMAGE("https://www.soccerplususa.com/prodimages/2497-DEFAULT-l.jpg")</f>
        <v/>
      </c>
      <c r="H2483">
        <f>_xlfn.IMAGE("https://m.media-amazon.com/images/I/61+-OqZA3OL._AC_UL320_.jpg")</f>
        <v/>
      </c>
      <c r="K2483" t="inlineStr">
        <is>
          <t>6.0</t>
        </is>
      </c>
      <c r="L2483" t="n">
        <v>16.99</v>
      </c>
      <c r="M2483" s="1" t="inlineStr">
        <is>
          <t>183.17%</t>
        </is>
      </c>
      <c r="N2483" s="3" t="n">
        <v>183.17</v>
      </c>
      <c r="O2483" t="n">
        <v>4.6</v>
      </c>
      <c r="P2483" t="n">
        <v>3</v>
      </c>
      <c r="R2483" t="inlineStr">
        <is>
          <t>InStock</t>
        </is>
      </c>
      <c r="S2483" t="inlineStr">
        <is>
          <t>11.95</t>
        </is>
      </c>
      <c r="T2483" t="inlineStr">
        <is>
          <t>5130297</t>
        </is>
      </c>
    </row>
    <row r="2484" ht="75" customHeight="1">
      <c r="A2484" s="2">
        <f>HYPERLINK("https://www.soccerplususa.com/adidas/adidas-copa-zone-cushion-ii-sock-1959", "https://www.soccerplususa.com/adidas/adidas-copa-zone-cushion-ii-sock-1959")</f>
        <v/>
      </c>
      <c r="B2484" t="inlineStr">
        <is>
          <t>undefined</t>
        </is>
      </c>
      <c r="C2484" t="inlineStr">
        <is>
          <t>adidas Copa Zone Cushion II Sock</t>
        </is>
      </c>
      <c r="D2484" t="inlineStr">
        <is>
          <t>adidas Copa Zone Cushion II White M</t>
        </is>
      </c>
      <c r="E2484" s="2">
        <f>HYPERLINK("https://www.amazon.com/Adidas-Cushion-Soccer-Medium-White/dp/B00FNNYFM8/ref=sr_1_7?keywords=adidas+Copa+Zone+Cushion+II+Sock&amp;qid=1695171116&amp;sr=8-7", "https://www.amazon.com/Adidas-Cushion-Soccer-Medium-White/dp/B00FNNYFM8/ref=sr_1_7?keywords=adidas+Copa+Zone+Cushion+II+Sock&amp;qid=1695171116&amp;sr=8-7")</f>
        <v/>
      </c>
      <c r="F2484" t="inlineStr">
        <is>
          <t>B00FNNYFM8</t>
        </is>
      </c>
      <c r="G2484">
        <f>_xlfn.IMAGE("https://www.soccerplususa.com/prodimages/2495-DEFAULT-l.jpg")</f>
        <v/>
      </c>
      <c r="H2484">
        <f>_xlfn.IMAGE("https://m.media-amazon.com/images/I/61+-OqZA3OL._AC_UL320_.jpg")</f>
        <v/>
      </c>
      <c r="K2484" t="inlineStr">
        <is>
          <t>6.0</t>
        </is>
      </c>
      <c r="L2484" t="n">
        <v>16.99</v>
      </c>
      <c r="M2484" s="1" t="inlineStr">
        <is>
          <t>183.17%</t>
        </is>
      </c>
      <c r="N2484" s="3" t="n">
        <v>183.17</v>
      </c>
      <c r="O2484" t="n">
        <v>4.6</v>
      </c>
      <c r="P2484" t="n">
        <v>3</v>
      </c>
      <c r="R2484" t="inlineStr">
        <is>
          <t>InStock</t>
        </is>
      </c>
      <c r="S2484" t="inlineStr">
        <is>
          <t>11.95</t>
        </is>
      </c>
      <c r="T2484" t="inlineStr">
        <is>
          <t>5130270</t>
        </is>
      </c>
    </row>
    <row r="2485" ht="75" customHeight="1">
      <c r="A2485" s="2">
        <f>HYPERLINK("https://www.soccerplususa.com/adidas/adidas-copa-zone-cushion-ii-sock-1948", "https://www.soccerplususa.com/adidas/adidas-copa-zone-cushion-ii-sock-1948")</f>
        <v/>
      </c>
      <c r="B2485" t="inlineStr">
        <is>
          <t>undefined</t>
        </is>
      </c>
      <c r="C2485" t="inlineStr">
        <is>
          <t>adidas Copa Zone Cushion II Sock</t>
        </is>
      </c>
      <c r="D2485" t="inlineStr">
        <is>
          <t>adidas Copa Zone Cushion II White M</t>
        </is>
      </c>
      <c r="E2485" s="2">
        <f>HYPERLINK("https://www.amazon.com/Adidas-Cushion-Soccer-Medium-White/dp/B00FNNYFM8/ref=sr_1_6?keywords=adidas+Copa+Zone+Cushion+II+Sock&amp;qid=1695171109&amp;sr=8-6", "https://www.amazon.com/Adidas-Cushion-Soccer-Medium-White/dp/B00FNNYFM8/ref=sr_1_6?keywords=adidas+Copa+Zone+Cushion+II+Sock&amp;qid=1695171109&amp;sr=8-6")</f>
        <v/>
      </c>
      <c r="F2485" t="inlineStr">
        <is>
          <t>B00FNNYFM8</t>
        </is>
      </c>
      <c r="G2485">
        <f>_xlfn.IMAGE("https://www.soccerplususa.com/prodimages/2493-DEFAULT-l.jpg")</f>
        <v/>
      </c>
      <c r="H2485">
        <f>_xlfn.IMAGE("https://m.media-amazon.com/images/I/61+-OqZA3OL._AC_UL320_.jpg")</f>
        <v/>
      </c>
      <c r="K2485" t="inlineStr">
        <is>
          <t>6.0</t>
        </is>
      </c>
      <c r="L2485" t="n">
        <v>16.99</v>
      </c>
      <c r="M2485" s="1" t="inlineStr">
        <is>
          <t>183.17%</t>
        </is>
      </c>
      <c r="N2485" s="3" t="n">
        <v>183.17</v>
      </c>
      <c r="O2485" t="n">
        <v>4.6</v>
      </c>
      <c r="P2485" t="n">
        <v>3</v>
      </c>
      <c r="R2485" t="inlineStr">
        <is>
          <t>InStock</t>
        </is>
      </c>
      <c r="S2485" t="inlineStr">
        <is>
          <t>11.95</t>
        </is>
      </c>
      <c r="T2485" t="inlineStr">
        <is>
          <t>5130236</t>
        </is>
      </c>
    </row>
    <row r="2486" ht="75" customHeight="1">
      <c r="A2486" s="2">
        <f>HYPERLINK("https://www.soccerplususa.com/adidas/adidas-copa-zone-cushion-ii-sock-1973", "https://www.soccerplususa.com/adidas/adidas-copa-zone-cushion-ii-sock-1973")</f>
        <v/>
      </c>
      <c r="B2486" t="inlineStr">
        <is>
          <t>undefined</t>
        </is>
      </c>
      <c r="C2486" t="inlineStr">
        <is>
          <t>adidas Copa Zone Cushion II Sock</t>
        </is>
      </c>
      <c r="D2486" t="inlineStr">
        <is>
          <t>adidas Copa Zone Cushion II White M</t>
        </is>
      </c>
      <c r="E2486" s="2">
        <f>HYPERLINK("https://www.amazon.com/Adidas-Cushion-Soccer-Medium-White/dp/B00FNNYFM8/ref=sr_1_7?keywords=adidas+Copa+Zone+Cushion+II+Sock&amp;qid=1695171113&amp;sr=8-7", "https://www.amazon.com/Adidas-Cushion-Soccer-Medium-White/dp/B00FNNYFM8/ref=sr_1_7?keywords=adidas+Copa+Zone+Cushion+II+Sock&amp;qid=1695171113&amp;sr=8-7")</f>
        <v/>
      </c>
      <c r="F2486" t="inlineStr">
        <is>
          <t>B00FNNYFM8</t>
        </is>
      </c>
      <c r="G2486">
        <f>_xlfn.IMAGE("https://www.soccerplususa.com/prodimages/2500-DEFAULT-l.jpg")</f>
        <v/>
      </c>
      <c r="H2486">
        <f>_xlfn.IMAGE("https://m.media-amazon.com/images/I/61+-OqZA3OL._AC_UL320_.jpg")</f>
        <v/>
      </c>
      <c r="K2486" t="inlineStr">
        <is>
          <t>6.0</t>
        </is>
      </c>
      <c r="L2486" t="n">
        <v>16.99</v>
      </c>
      <c r="M2486" s="1" t="inlineStr">
        <is>
          <t>183.17%</t>
        </is>
      </c>
      <c r="N2486" s="3" t="n">
        <v>183.17</v>
      </c>
      <c r="O2486" t="n">
        <v>4.6</v>
      </c>
      <c r="P2486" t="n">
        <v>3</v>
      </c>
      <c r="R2486" t="inlineStr">
        <is>
          <t>InStock</t>
        </is>
      </c>
      <c r="S2486" t="inlineStr">
        <is>
          <t>11.95</t>
        </is>
      </c>
      <c r="T2486" t="inlineStr">
        <is>
          <t>5130322</t>
        </is>
      </c>
    </row>
    <row r="2487" ht="75" customHeight="1">
      <c r="A2487" s="2">
        <f>HYPERLINK("https://www.soccerplususa.com/adidas/adidas-copa-zone-cushion-ii-sock-1962", "https://www.soccerplususa.com/adidas/adidas-copa-zone-cushion-ii-sock-1962")</f>
        <v/>
      </c>
      <c r="B2487" t="inlineStr">
        <is>
          <t>undefined</t>
        </is>
      </c>
      <c r="C2487" t="inlineStr">
        <is>
          <t>adidas Copa Zone Cushion II Sock</t>
        </is>
      </c>
      <c r="D2487" t="inlineStr">
        <is>
          <t>adidas Copa Zone Cushion II White M</t>
        </is>
      </c>
      <c r="E2487" s="2">
        <f>HYPERLINK("https://www.amazon.com/Adidas-Cushion-Soccer-Medium-White/dp/B00FNNYFM8/ref=sr_1_6?keywords=adidas+Copa+Zone+Cushion+II+Sock&amp;qid=1695171112&amp;sr=8-6", "https://www.amazon.com/Adidas-Cushion-Soccer-Medium-White/dp/B00FNNYFM8/ref=sr_1_6?keywords=adidas+Copa+Zone+Cushion+II+Sock&amp;qid=1695171112&amp;sr=8-6")</f>
        <v/>
      </c>
      <c r="F2487" t="inlineStr">
        <is>
          <t>B00FNNYFM8</t>
        </is>
      </c>
      <c r="G2487">
        <f>_xlfn.IMAGE("https://www.soccerplususa.com/prodimages/2496-DEFAULT-l.jpg")</f>
        <v/>
      </c>
      <c r="H2487">
        <f>_xlfn.IMAGE("https://m.media-amazon.com/images/I/61+-OqZA3OL._AC_UL320_.jpg")</f>
        <v/>
      </c>
      <c r="K2487" t="inlineStr">
        <is>
          <t>6.0</t>
        </is>
      </c>
      <c r="L2487" t="n">
        <v>16.99</v>
      </c>
      <c r="M2487" s="1" t="inlineStr">
        <is>
          <t>183.17%</t>
        </is>
      </c>
      <c r="N2487" s="3" t="n">
        <v>183.17</v>
      </c>
      <c r="O2487" t="n">
        <v>4.6</v>
      </c>
      <c r="P2487" t="n">
        <v>3</v>
      </c>
      <c r="R2487" t="inlineStr">
        <is>
          <t>InStock</t>
        </is>
      </c>
      <c r="S2487" t="inlineStr">
        <is>
          <t>11.95</t>
        </is>
      </c>
      <c r="T2487" t="inlineStr">
        <is>
          <t>5130280</t>
        </is>
      </c>
    </row>
    <row r="2488" ht="75" customHeight="1">
      <c r="A2488" s="2">
        <f>HYPERLINK("https://www.soccerplususa.com/adidas/adidas-copa-zone-cushion-ii-sock-1930", "https://www.soccerplususa.com/adidas/adidas-copa-zone-cushion-ii-sock-1930")</f>
        <v/>
      </c>
      <c r="B2488" t="inlineStr">
        <is>
          <t>undefined</t>
        </is>
      </c>
      <c r="C2488" t="inlineStr">
        <is>
          <t>adidas Copa Zone Cushion II Sock</t>
        </is>
      </c>
      <c r="D2488" t="inlineStr">
        <is>
          <t>adidas Copa Zone Cushion II White M</t>
        </is>
      </c>
      <c r="E2488" s="2">
        <f>HYPERLINK("https://www.amazon.com/Adidas-Cushion-Soccer-Medium-White/dp/B00FNNYFM8/ref=sr_1_7?keywords=adidas+Copa+Zone+Cushion+II+Sock&amp;qid=1695171120&amp;sr=8-7", "https://www.amazon.com/Adidas-Cushion-Soccer-Medium-White/dp/B00FNNYFM8/ref=sr_1_7?keywords=adidas+Copa+Zone+Cushion+II+Sock&amp;qid=1695171120&amp;sr=8-7")</f>
        <v/>
      </c>
      <c r="F2488" t="inlineStr">
        <is>
          <t>B00FNNYFM8</t>
        </is>
      </c>
      <c r="G2488">
        <f>_xlfn.IMAGE("https://www.soccerplususa.com/prodimages/2482-DEFAULT-l.jpg")</f>
        <v/>
      </c>
      <c r="H2488">
        <f>_xlfn.IMAGE("https://m.media-amazon.com/images/I/61+-OqZA3OL._AC_UL320_.jpg")</f>
        <v/>
      </c>
      <c r="K2488" t="inlineStr">
        <is>
          <t>6.0</t>
        </is>
      </c>
      <c r="L2488" t="n">
        <v>16.99</v>
      </c>
      <c r="M2488" s="1" t="inlineStr">
        <is>
          <t>183.17%</t>
        </is>
      </c>
      <c r="N2488" s="3" t="n">
        <v>183.17</v>
      </c>
      <c r="O2488" t="n">
        <v>4.6</v>
      </c>
      <c r="P2488" t="n">
        <v>3</v>
      </c>
      <c r="R2488" t="inlineStr">
        <is>
          <t>InStock</t>
        </is>
      </c>
      <c r="S2488" t="inlineStr">
        <is>
          <t>11.95</t>
        </is>
      </c>
      <c r="T2488" t="inlineStr">
        <is>
          <t>5130173</t>
        </is>
      </c>
    </row>
    <row r="2489" ht="75" customHeight="1">
      <c r="A2489" s="2">
        <f>HYPERLINK("https://www.soccerplususa.com/adidas/adidas-copa-zone-cushion-ii-sock-1945", "https://www.soccerplususa.com/adidas/adidas-copa-zone-cushion-ii-sock-1945")</f>
        <v/>
      </c>
      <c r="B2489" t="inlineStr">
        <is>
          <t>undefined</t>
        </is>
      </c>
      <c r="C2489" t="inlineStr">
        <is>
          <t>adidas Copa Zone Cushion II Sock</t>
        </is>
      </c>
      <c r="D2489" t="inlineStr">
        <is>
          <t>adidas Copa Zone Cushion II White M</t>
        </is>
      </c>
      <c r="E2489" s="2">
        <f>HYPERLINK("https://www.amazon.com/Adidas-Cushion-Soccer-Medium-White/dp/B00FNNYFM8/ref=sr_1_7?keywords=adidas+Copa+Zone+Cushion+II+Sock&amp;qid=1695171108&amp;sr=8-7", "https://www.amazon.com/Adidas-Cushion-Soccer-Medium-White/dp/B00FNNYFM8/ref=sr_1_7?keywords=adidas+Copa+Zone+Cushion+II+Sock&amp;qid=1695171108&amp;sr=8-7")</f>
        <v/>
      </c>
      <c r="F2489" t="inlineStr">
        <is>
          <t>B00FNNYFM8</t>
        </is>
      </c>
      <c r="G2489">
        <f>_xlfn.IMAGE("https://www.soccerplususa.com/prodimages/2490-DEFAULT-l.jpg")</f>
        <v/>
      </c>
      <c r="H2489">
        <f>_xlfn.IMAGE("https://m.media-amazon.com/images/I/61+-OqZA3OL._AC_UL320_.jpg")</f>
        <v/>
      </c>
      <c r="K2489" t="inlineStr">
        <is>
          <t>6.0</t>
        </is>
      </c>
      <c r="L2489" t="n">
        <v>16.99</v>
      </c>
      <c r="M2489" s="1" t="inlineStr">
        <is>
          <t>183.17%</t>
        </is>
      </c>
      <c r="N2489" s="3" t="n">
        <v>183.17</v>
      </c>
      <c r="O2489" t="n">
        <v>4.6</v>
      </c>
      <c r="P2489" t="n">
        <v>3</v>
      </c>
      <c r="R2489" t="inlineStr">
        <is>
          <t>InStock</t>
        </is>
      </c>
      <c r="S2489" t="inlineStr">
        <is>
          <t>11.95</t>
        </is>
      </c>
      <c r="T2489" t="inlineStr">
        <is>
          <t>5130231</t>
        </is>
      </c>
    </row>
    <row r="2490" ht="75" customHeight="1">
      <c r="A2490" s="2">
        <f>HYPERLINK("https://www.soccerplususa.com/adidas/adidas-copa-zone-cushion-ii-sock-1900", "https://www.soccerplususa.com/adidas/adidas-copa-zone-cushion-ii-sock-1900")</f>
        <v/>
      </c>
      <c r="B2490" t="inlineStr">
        <is>
          <t>undefined</t>
        </is>
      </c>
      <c r="C2490" t="inlineStr">
        <is>
          <t>adidas Copa Zone Cushion II Sock</t>
        </is>
      </c>
      <c r="D2490" t="inlineStr">
        <is>
          <t>adidas Copa Zone Cushion II White M</t>
        </is>
      </c>
      <c r="E2490" s="2">
        <f>HYPERLINK("https://www.amazon.com/Adidas-Cushion-Soccer-Medium-White/dp/B00FNNYFM8/ref=sr_1_7?keywords=adidas+Copa+Zone+Cushion+II+Sock&amp;qid=1695171125&amp;sr=8-7", "https://www.amazon.com/Adidas-Cushion-Soccer-Medium-White/dp/B00FNNYFM8/ref=sr_1_7?keywords=adidas+Copa+Zone+Cushion+II+Sock&amp;qid=1695171125&amp;sr=8-7")</f>
        <v/>
      </c>
      <c r="F2490" t="inlineStr">
        <is>
          <t>B00FNNYFM8</t>
        </is>
      </c>
      <c r="G2490">
        <f>_xlfn.IMAGE("https://www.soccerplususa.com/prodimages/2474-DEFAULT-l.jpg")</f>
        <v/>
      </c>
      <c r="H2490">
        <f>_xlfn.IMAGE("https://m.media-amazon.com/images/I/61+-OqZA3OL._AC_UL320_.jpg")</f>
        <v/>
      </c>
      <c r="K2490" t="inlineStr">
        <is>
          <t>6.0</t>
        </is>
      </c>
      <c r="L2490" t="n">
        <v>16.99</v>
      </c>
      <c r="M2490" s="1" t="inlineStr">
        <is>
          <t>183.17%</t>
        </is>
      </c>
      <c r="N2490" s="3" t="n">
        <v>183.17</v>
      </c>
      <c r="O2490" t="n">
        <v>4.6</v>
      </c>
      <c r="P2490" t="n">
        <v>3</v>
      </c>
      <c r="R2490" t="inlineStr">
        <is>
          <t>InStock</t>
        </is>
      </c>
      <c r="S2490" t="inlineStr">
        <is>
          <t>11.95</t>
        </is>
      </c>
      <c r="T2490" t="inlineStr">
        <is>
          <t>5130095</t>
        </is>
      </c>
    </row>
    <row r="2491" ht="75" customHeight="1">
      <c r="A2491" s="2">
        <f>HYPERLINK("https://www.soccerplususa.com/adidas/adidas-copa-zone-cushion-iii-sock-2070", "https://www.soccerplususa.com/adidas/adidas-copa-zone-cushion-iii-sock-2070")</f>
        <v/>
      </c>
      <c r="B2491" t="inlineStr">
        <is>
          <t>undefined</t>
        </is>
      </c>
      <c r="C2491" t="inlineStr">
        <is>
          <t>adidas Copa Zone Cushion III Sock</t>
        </is>
      </c>
      <c r="D2491" t="inlineStr">
        <is>
          <t>adidas Copa Zone Cushion 4 Soccer Socks for Boys, Girls, Men and Women (1-Pair)</t>
        </is>
      </c>
      <c r="E2491" s="2">
        <f>HYPERLINK("https://www.amazon.com/adidas-Cushion-Soccer-1-Pack-Argentina/dp/B07D9HN6LZ/ref=sr_1_5?keywords=adidas+Copa+Zone+Cushion+III+Sock&amp;qid=1695171106&amp;sr=8-5", "https://www.amazon.com/adidas-Cushion-Soccer-1-Pack-Argentina/dp/B07D9HN6LZ/ref=sr_1_5?keywords=adidas+Copa+Zone+Cushion+III+Sock&amp;qid=1695171106&amp;sr=8-5")</f>
        <v/>
      </c>
      <c r="F2491" t="inlineStr">
        <is>
          <t>B07D9HN6LZ</t>
        </is>
      </c>
      <c r="G2491">
        <f>_xlfn.IMAGE("https://www.soccerplususa.com/prodimages/6072-DEFAULT-l.jpg")</f>
        <v/>
      </c>
      <c r="H2491">
        <f>_xlfn.IMAGE("https://m.media-amazon.com/images/I/81XA0Mz5E5L._AC_UL320_.jpg")</f>
        <v/>
      </c>
      <c r="K2491" t="inlineStr">
        <is>
          <t>6.0</t>
        </is>
      </c>
      <c r="L2491" t="n">
        <v>16.95</v>
      </c>
      <c r="M2491" s="1" t="inlineStr">
        <is>
          <t>182.50%</t>
        </is>
      </c>
      <c r="N2491" s="3" t="n">
        <v>182.5</v>
      </c>
      <c r="O2491" t="n">
        <v>4.7</v>
      </c>
      <c r="P2491" t="n">
        <v>699</v>
      </c>
      <c r="R2491" t="inlineStr">
        <is>
          <t>InStock</t>
        </is>
      </c>
      <c r="S2491" t="inlineStr">
        <is>
          <t>11.95</t>
        </is>
      </c>
      <c r="T2491" t="inlineStr">
        <is>
          <t>5143280</t>
        </is>
      </c>
    </row>
    <row r="2492" ht="75" customHeight="1">
      <c r="A2492" s="2">
        <f>HYPERLINK("https://www.soccerplususa.com/adidas/adidas-copa-zone-cushion-iii-sock-2057", "https://www.soccerplususa.com/adidas/adidas-copa-zone-cushion-iii-sock-2057")</f>
        <v/>
      </c>
      <c r="B2492" t="inlineStr">
        <is>
          <t>undefined</t>
        </is>
      </c>
      <c r="C2492" t="inlineStr">
        <is>
          <t>adidas Copa Zone Cushion III Sock</t>
        </is>
      </c>
      <c r="D2492" t="inlineStr">
        <is>
          <t>adidas Copa Zone Cushion 4 Soccer Socks for Boys, Girls, Men and Women (1-Pair)</t>
        </is>
      </c>
      <c r="E2492" s="2">
        <f>HYPERLINK("https://www.amazon.com/adidas-Cushion-Soccer-1-Pack-Argentina/dp/B07D9HN6LZ/ref=sr_1_5?keywords=adidas+Copa+Zone+Cushion+III+Sock&amp;qid=1695171108&amp;sr=8-5", "https://www.amazon.com/adidas-Cushion-Soccer-1-Pack-Argentina/dp/B07D9HN6LZ/ref=sr_1_5?keywords=adidas+Copa+Zone+Cushion+III+Sock&amp;qid=1695171108&amp;sr=8-5")</f>
        <v/>
      </c>
      <c r="F2492" t="inlineStr">
        <is>
          <t>B07D9HN6LZ</t>
        </is>
      </c>
      <c r="G2492">
        <f>_xlfn.IMAGE("https://www.soccerplususa.com/prodimages/7460-DEFAULT-l.jpg")</f>
        <v/>
      </c>
      <c r="H2492">
        <f>_xlfn.IMAGE("https://m.media-amazon.com/images/I/81XA0Mz5E5L._AC_UL320_.jpg")</f>
        <v/>
      </c>
      <c r="K2492" t="inlineStr">
        <is>
          <t>6.0</t>
        </is>
      </c>
      <c r="L2492" t="n">
        <v>16.95</v>
      </c>
      <c r="M2492" s="1" t="inlineStr">
        <is>
          <t>182.50%</t>
        </is>
      </c>
      <c r="N2492" s="3" t="n">
        <v>182.5</v>
      </c>
      <c r="O2492" t="n">
        <v>4.7</v>
      </c>
      <c r="P2492" t="n">
        <v>699</v>
      </c>
      <c r="R2492" t="inlineStr">
        <is>
          <t>InStock</t>
        </is>
      </c>
      <c r="S2492" t="inlineStr">
        <is>
          <t>11.95</t>
        </is>
      </c>
      <c r="T2492" t="inlineStr">
        <is>
          <t>5143259</t>
        </is>
      </c>
    </row>
    <row r="2493" ht="75" customHeight="1">
      <c r="A2493" s="2">
        <f>HYPERLINK("https://www.soccerplususa.com/nike/nike-academy-otc-soccer-sock-26957", "https://www.soccerplususa.com/nike/nike-academy-otc-soccer-sock-26957")</f>
        <v/>
      </c>
      <c r="B2493" t="inlineStr">
        <is>
          <t>undefined</t>
        </is>
      </c>
      <c r="C2493" t="inlineStr">
        <is>
          <t>Nike Academy OTC Soccer Sock</t>
        </is>
      </c>
      <c r="D2493" t="inlineStr">
        <is>
          <t>Nike Men`s Team MatchFit Core OTC Soccer Socks 1 Pair</t>
        </is>
      </c>
      <c r="E2493" s="2">
        <f>HYPERLINK("https://www.amazon.com/Nike-Matchfit-Cushioned-Soccer-White/dp/B07G5VJVCK/ref=sr_1_10?keywords=Nike+Academy+OTC+Soccer+Sock&amp;qid=1695171111&amp;sr=8-10", "https://www.amazon.com/Nike-Matchfit-Cushioned-Soccer-White/dp/B07G5VJVCK/ref=sr_1_10?keywords=Nike+Academy+OTC+Soccer+Sock&amp;qid=1695171111&amp;sr=8-10")</f>
        <v/>
      </c>
      <c r="F2493" t="inlineStr">
        <is>
          <t>B07G5VJVCK</t>
        </is>
      </c>
      <c r="G2493">
        <f>_xlfn.IMAGE("https://www.soccerplususa.com/prodimages/7019-DEFAULT-l.jpg")</f>
        <v/>
      </c>
      <c r="H2493">
        <f>_xlfn.IMAGE("https://m.media-amazon.com/images/I/51xYKHiPiOL._AC_UL320_.jpg")</f>
        <v/>
      </c>
      <c r="K2493" t="inlineStr">
        <is>
          <t>11.95</t>
        </is>
      </c>
      <c r="L2493" t="n">
        <v>33.43</v>
      </c>
      <c r="M2493" s="1" t="inlineStr">
        <is>
          <t>179.75%</t>
        </is>
      </c>
      <c r="N2493" s="3" t="n">
        <v>179.75</v>
      </c>
      <c r="O2493" t="n">
        <v>4.1</v>
      </c>
      <c r="P2493" t="n">
        <v>9</v>
      </c>
      <c r="R2493" t="inlineStr">
        <is>
          <t>InStock</t>
        </is>
      </c>
      <c r="S2493" t="inlineStr">
        <is>
          <t>12.0</t>
        </is>
      </c>
      <c r="T2493" t="inlineStr">
        <is>
          <t>SX4120-402</t>
        </is>
      </c>
    </row>
    <row r="2494" ht="75" customHeight="1">
      <c r="A2494" s="2">
        <f>HYPERLINK("https://www.soccerplususa.com/nike/nike-academy-otc-soccer-sock-26954", "https://www.soccerplususa.com/nike/nike-academy-otc-soccer-sock-26954")</f>
        <v/>
      </c>
      <c r="B2494" t="inlineStr">
        <is>
          <t>undefined</t>
        </is>
      </c>
      <c r="C2494" t="inlineStr">
        <is>
          <t>Nike Academy OTC Soccer Sock</t>
        </is>
      </c>
      <c r="D2494" t="inlineStr">
        <is>
          <t>Nike Men`s Team MatchFit Core OTC Soccer Socks 1 Pair</t>
        </is>
      </c>
      <c r="E2494" s="2">
        <f>HYPERLINK("https://www.amazon.com/Nike-Matchfit-Cushioned-Soccer-White/dp/B07G5VJVCK/ref=sr_1_10?keywords=Nike+Academy+OTC+Soccer+Sock&amp;qid=1695171124&amp;sr=8-10", "https://www.amazon.com/Nike-Matchfit-Cushioned-Soccer-White/dp/B07G5VJVCK/ref=sr_1_10?keywords=Nike+Academy+OTC+Soccer+Sock&amp;qid=1695171124&amp;sr=8-10")</f>
        <v/>
      </c>
      <c r="F2494" t="inlineStr">
        <is>
          <t>B07G5VJVCK</t>
        </is>
      </c>
      <c r="G2494">
        <f>_xlfn.IMAGE("https://www.soccerplususa.com/prodimages/3368-DEFAULT-l.jpg")</f>
        <v/>
      </c>
      <c r="H2494">
        <f>_xlfn.IMAGE("https://m.media-amazon.com/images/I/51xYKHiPiOL._AC_UL320_.jpg")</f>
        <v/>
      </c>
      <c r="K2494" t="inlineStr">
        <is>
          <t>11.95</t>
        </is>
      </c>
      <c r="L2494" t="n">
        <v>33.43</v>
      </c>
      <c r="M2494" s="1" t="inlineStr">
        <is>
          <t>179.75%</t>
        </is>
      </c>
      <c r="N2494" s="3" t="n">
        <v>179.75</v>
      </c>
      <c r="O2494" t="n">
        <v>4.1</v>
      </c>
      <c r="P2494" t="n">
        <v>9</v>
      </c>
      <c r="R2494" t="inlineStr">
        <is>
          <t>InStock</t>
        </is>
      </c>
      <c r="S2494" t="inlineStr">
        <is>
          <t>undefined</t>
        </is>
      </c>
      <c r="T2494" t="inlineStr">
        <is>
          <t>SX4120-001</t>
        </is>
      </c>
    </row>
    <row r="2495" ht="75" customHeight="1">
      <c r="A2495" s="2">
        <f>HYPERLINK("https://www.soccerplususa.com/nike/nike-academy-otc-soccer-sock-26958", "https://www.soccerplususa.com/nike/nike-academy-otc-soccer-sock-26958")</f>
        <v/>
      </c>
      <c r="B2495" t="inlineStr">
        <is>
          <t>undefined</t>
        </is>
      </c>
      <c r="C2495" t="inlineStr">
        <is>
          <t>Nike Academy OTC Soccer Sock</t>
        </is>
      </c>
      <c r="D2495" t="inlineStr">
        <is>
          <t>Nike Men`s Team MatchFit Core OTC Soccer Socks 1 Pair</t>
        </is>
      </c>
      <c r="E2495" s="2">
        <f>HYPERLINK("https://www.amazon.com/Nike-Matchfit-Cushioned-Soccer-White/dp/B07G5VJVCK/ref=sr_1_10?keywords=Nike+Academy+OTC+Soccer+Sock&amp;qid=1695171102&amp;sr=8-10", "https://www.amazon.com/Nike-Matchfit-Cushioned-Soccer-White/dp/B07G5VJVCK/ref=sr_1_10?keywords=Nike+Academy+OTC+Soccer+Sock&amp;qid=1695171102&amp;sr=8-10")</f>
        <v/>
      </c>
      <c r="F2495" t="inlineStr">
        <is>
          <t>B07G5VJVCK</t>
        </is>
      </c>
      <c r="G2495">
        <f>_xlfn.IMAGE("https://www.soccerplususa.com/prodimages/3370-DEFAULT-l.jpg")</f>
        <v/>
      </c>
      <c r="H2495">
        <f>_xlfn.IMAGE("https://m.media-amazon.com/images/I/51xYKHiPiOL._AC_UL320_.jpg")</f>
        <v/>
      </c>
      <c r="K2495" t="inlineStr">
        <is>
          <t>12.0</t>
        </is>
      </c>
      <c r="L2495" t="n">
        <v>33.43</v>
      </c>
      <c r="M2495" s="1" t="inlineStr">
        <is>
          <t>178.58%</t>
        </is>
      </c>
      <c r="N2495" s="3" t="n">
        <v>178.58</v>
      </c>
      <c r="O2495" t="n">
        <v>4.1</v>
      </c>
      <c r="P2495" t="n">
        <v>9</v>
      </c>
      <c r="R2495" t="inlineStr">
        <is>
          <t>InStock</t>
        </is>
      </c>
      <c r="S2495" t="inlineStr">
        <is>
          <t>undefined</t>
        </is>
      </c>
      <c r="T2495" t="inlineStr">
        <is>
          <t>SX4120-601</t>
        </is>
      </c>
    </row>
    <row r="2496" ht="75" customHeight="1">
      <c r="A2496" s="2">
        <f>HYPERLINK("https://www.soccerplususa.com/nike/nike-academy-otc-soccer-sock-26955", "https://www.soccerplususa.com/nike/nike-academy-otc-soccer-sock-26955")</f>
        <v/>
      </c>
      <c r="B2496" t="inlineStr">
        <is>
          <t>undefined</t>
        </is>
      </c>
      <c r="C2496" t="inlineStr">
        <is>
          <t>Nike Academy OTC Soccer Sock</t>
        </is>
      </c>
      <c r="D2496" t="inlineStr">
        <is>
          <t>Nike Men`s Team MatchFit Core OTC Soccer Socks 1 Pair</t>
        </is>
      </c>
      <c r="E2496" s="2">
        <f>HYPERLINK("https://www.amazon.com/Nike-Matchfit-Cushioned-Soccer-White/dp/B07G5VJVCK/ref=sr_1_10?keywords=Nike+Academy+OTC+Soccer+Sock&amp;qid=1695171108&amp;sr=8-10", "https://www.amazon.com/Nike-Matchfit-Cushioned-Soccer-White/dp/B07G5VJVCK/ref=sr_1_10?keywords=Nike+Academy+OTC+Soccer+Sock&amp;qid=1695171108&amp;sr=8-10")</f>
        <v/>
      </c>
      <c r="F2496" t="inlineStr">
        <is>
          <t>B07G5VJVCK</t>
        </is>
      </c>
      <c r="G2496">
        <f>_xlfn.IMAGE("https://www.soccerplususa.com/prodimages/3263-DEFAULT-l.jpg")</f>
        <v/>
      </c>
      <c r="H2496">
        <f>_xlfn.IMAGE("https://m.media-amazon.com/images/I/51xYKHiPiOL._AC_UL320_.jpg")</f>
        <v/>
      </c>
      <c r="K2496" t="inlineStr">
        <is>
          <t>12.0</t>
        </is>
      </c>
      <c r="L2496" t="n">
        <v>33.43</v>
      </c>
      <c r="M2496" s="1" t="inlineStr">
        <is>
          <t>178.58%</t>
        </is>
      </c>
      <c r="N2496" s="3" t="n">
        <v>178.58</v>
      </c>
      <c r="O2496" t="n">
        <v>4.1</v>
      </c>
      <c r="P2496" t="n">
        <v>9</v>
      </c>
      <c r="R2496" t="inlineStr">
        <is>
          <t>InStock</t>
        </is>
      </c>
      <c r="S2496" t="inlineStr">
        <is>
          <t>undefined</t>
        </is>
      </c>
      <c r="T2496" t="inlineStr">
        <is>
          <t>SX4120-101</t>
        </is>
      </c>
    </row>
    <row r="2497" ht="75" customHeight="1">
      <c r="A2497" s="2">
        <f>HYPERLINK("https://www.soccerplususa.com/nike/nike-academy-otc-soccer-sock-26956", "https://www.soccerplususa.com/nike/nike-academy-otc-soccer-sock-26956")</f>
        <v/>
      </c>
      <c r="B2497" t="inlineStr">
        <is>
          <t>undefined</t>
        </is>
      </c>
      <c r="C2497" t="inlineStr">
        <is>
          <t>Nike Academy OTC Soccer Sock</t>
        </is>
      </c>
      <c r="D2497" t="inlineStr">
        <is>
          <t>Nike Men`s Team MatchFit Core OTC Soccer Socks 1 Pair</t>
        </is>
      </c>
      <c r="E2497" s="2">
        <f>HYPERLINK("https://www.amazon.com/Nike-Matchfit-Cushioned-Soccer-White/dp/B07G5VJVCK/ref=sr_1_10?keywords=Nike+Academy+OTC+Soccer+Sock&amp;qid=1695171097&amp;sr=8-10", "https://www.amazon.com/Nike-Matchfit-Cushioned-Soccer-White/dp/B07G5VJVCK/ref=sr_1_10?keywords=Nike+Academy+OTC+Soccer+Sock&amp;qid=1695171097&amp;sr=8-10")</f>
        <v/>
      </c>
      <c r="F2497" t="inlineStr">
        <is>
          <t>B07G5VJVCK</t>
        </is>
      </c>
      <c r="G2497">
        <f>_xlfn.IMAGE("https://www.soccerplususa.com/prodimages/3369-DEFAULT-l.jpg")</f>
        <v/>
      </c>
      <c r="H2497">
        <f>_xlfn.IMAGE("https://m.media-amazon.com/images/I/51xYKHiPiOL._AC_UL320_.jpg")</f>
        <v/>
      </c>
      <c r="K2497" t="inlineStr">
        <is>
          <t>12.0</t>
        </is>
      </c>
      <c r="L2497" t="n">
        <v>33.43</v>
      </c>
      <c r="M2497" s="1" t="inlineStr">
        <is>
          <t>178.58%</t>
        </is>
      </c>
      <c r="N2497" s="3" t="n">
        <v>178.58</v>
      </c>
      <c r="O2497" t="n">
        <v>4.1</v>
      </c>
      <c r="P2497" t="n">
        <v>9</v>
      </c>
      <c r="R2497" t="inlineStr">
        <is>
          <t>InStock</t>
        </is>
      </c>
      <c r="S2497" t="inlineStr">
        <is>
          <t>undefined</t>
        </is>
      </c>
      <c r="T2497" t="inlineStr">
        <is>
          <t>SX4120-401</t>
        </is>
      </c>
    </row>
    <row r="2498" hidden="1" ht="15.75" customHeight="1">
      <c r="A2498" s="2">
        <f>HYPERLINK("https://www.soccerplususa.com/adidas/adidas-field-sock-ii-1374", "https://www.soccerplususa.com/adidas/adidas-field-sock-ii-1374")</f>
        <v/>
      </c>
      <c r="B2498" t="inlineStr">
        <is>
          <t>undefined</t>
        </is>
      </c>
      <c r="C2498" t="inlineStr">
        <is>
          <t>adidas Field Sock II</t>
        </is>
      </c>
      <c r="D2498" t="inlineStr">
        <is>
          <t>adidas Rivalry Field Multi Sport Over The Calf (OTC) Socks (2-Pair)</t>
        </is>
      </c>
      <c r="E2498" s="2">
        <f>HYPERLINK("https://www.amazon.com/adidas-Rivalry-Multi-Sport-2-Pack-Cobalt/dp/B01C9I3MO6/ref=sr_1_1?keywords=adidas+Field+Sock+II&amp;qid=1695171118&amp;sr=8-1", "https://www.amazon.com/adidas-Rivalry-Multi-Sport-2-Pack-Cobalt/dp/B01C9I3MO6/ref=sr_1_1?keywords=adidas+Field+Sock+II&amp;qid=1695171118&amp;sr=8-1")</f>
        <v/>
      </c>
      <c r="F2498" t="inlineStr">
        <is>
          <t>B01C9I3MO6</t>
        </is>
      </c>
      <c r="G2498">
        <f>_xludf.IMAGE("https://www.soccerplususa.com/prodimages/2446-DEFAULT-l.jpg")</f>
        <v/>
      </c>
      <c r="H2498">
        <f>_xludf.IMAGE("https://m.media-amazon.com/images/I/81JcBs+LQCL._AC_UL320_.jpg")</f>
        <v/>
      </c>
      <c r="K2498" t="inlineStr">
        <is>
          <t>5.0</t>
        </is>
      </c>
      <c r="L2498" t="n">
        <v>11.99</v>
      </c>
      <c r="M2498" s="1" t="inlineStr">
        <is>
          <t>139.80%</t>
        </is>
      </c>
      <c r="N2498" s="3" t="n">
        <v>139.8</v>
      </c>
      <c r="O2498" t="n">
        <v>4.7</v>
      </c>
      <c r="P2498" t="n">
        <v>9684</v>
      </c>
      <c r="R2498" t="inlineStr">
        <is>
          <t>InStock</t>
        </is>
      </c>
      <c r="S2498" t="inlineStr">
        <is>
          <t>7.95</t>
        </is>
      </c>
      <c r="T2498" t="inlineStr">
        <is>
          <t>321202S</t>
        </is>
      </c>
    </row>
    <row r="2499" ht="75" customHeight="1">
      <c r="A2499" s="2">
        <f>HYPERLINK("https://www.soccerplususa.com/adidas/adidas-alphaskin-tie-headband-43153", "https://www.soccerplususa.com/adidas/adidas-alphaskin-tie-headband-43153")</f>
        <v/>
      </c>
      <c r="B2499" t="inlineStr">
        <is>
          <t>undefined</t>
        </is>
      </c>
      <c r="C2499" t="inlineStr">
        <is>
          <t>adidas Alphaskin Tie Headband</t>
        </is>
      </c>
      <c r="D2499" t="inlineStr">
        <is>
          <t>adidas unisex-adult Alphaskin Headband</t>
        </is>
      </c>
      <c r="E2499" s="2">
        <f>HYPERLINK("https://www.amazon.com/adidas-Alphaskin-Headband-Silver-Reflective/dp/B08SJFJHMP/ref=sr_1_4?keywords=adidas+Alphaskin+Tie+Headband&amp;qid=1695171084&amp;sr=8-4", "https://www.amazon.com/adidas-Alphaskin-Headband-Silver-Reflective/dp/B08SJFJHMP/ref=sr_1_4?keywords=adidas+Alphaskin+Tie+Headband&amp;qid=1695171084&amp;sr=8-4")</f>
        <v/>
      </c>
      <c r="F2499" t="inlineStr">
        <is>
          <t>B08SJFJHMP</t>
        </is>
      </c>
      <c r="G2499">
        <f>_xlfn.IMAGE("https://www.soccerplususa.com/prodimages//36805-ROYALWHITE-M.jpg")</f>
        <v/>
      </c>
      <c r="H2499">
        <f>_xlfn.IMAGE("https://m.media-amazon.com/images/I/715KVtACaaS._AC_UL320_.jpg")</f>
        <v/>
      </c>
      <c r="K2499" t="inlineStr">
        <is>
          <t>9.95</t>
        </is>
      </c>
      <c r="L2499" t="n">
        <v>23.19</v>
      </c>
      <c r="M2499" s="1" t="inlineStr">
        <is>
          <t>133.07%</t>
        </is>
      </c>
      <c r="N2499" s="3" t="n">
        <v>133.07</v>
      </c>
      <c r="O2499" t="n">
        <v>4.6</v>
      </c>
      <c r="P2499" t="n">
        <v>159</v>
      </c>
      <c r="R2499" t="inlineStr">
        <is>
          <t>InStock</t>
        </is>
      </c>
      <c r="S2499" t="inlineStr">
        <is>
          <t>undefined</t>
        </is>
      </c>
      <c r="T2499" t="inlineStr">
        <is>
          <t>5147678</t>
        </is>
      </c>
    </row>
    <row r="2500" ht="75" customHeight="1">
      <c r="A2500" s="2">
        <f>HYPERLINK("https://www.soccerplususa.com/adidas/adidas-alphaskin-tie-headband-43150", "https://www.soccerplususa.com/adidas/adidas-alphaskin-tie-headband-43150")</f>
        <v/>
      </c>
      <c r="B2500" t="inlineStr">
        <is>
          <t>undefined</t>
        </is>
      </c>
      <c r="C2500" t="inlineStr">
        <is>
          <t>adidas Alphaskin Tie Headband</t>
        </is>
      </c>
      <c r="D2500" t="inlineStr">
        <is>
          <t>adidas unisex-adult Alphaskin Headband</t>
        </is>
      </c>
      <c r="E2500" s="2">
        <f>HYPERLINK("https://www.amazon.com/adidas-Alphaskin-Headband-Silver-Reflective/dp/B08SJFJHMP/ref=sr_1_4?keywords=adidas+Alphaskin+Tie+Headband&amp;qid=1695171083&amp;sr=8-4", "https://www.amazon.com/adidas-Alphaskin-Headband-Silver-Reflective/dp/B08SJFJHMP/ref=sr_1_4?keywords=adidas+Alphaskin+Tie+Headband&amp;qid=1695171083&amp;sr=8-4")</f>
        <v/>
      </c>
      <c r="F2500" t="inlineStr">
        <is>
          <t>B08SJFJHMP</t>
        </is>
      </c>
      <c r="G2500">
        <f>_xlfn.IMAGE("https://www.soccerplususa.com/prodimages//36807-BLACKWHITE-M.jpg")</f>
        <v/>
      </c>
      <c r="H2500">
        <f>_xlfn.IMAGE("https://m.media-amazon.com/images/I/715KVtACaaS._AC_UL320_.jpg")</f>
        <v/>
      </c>
      <c r="K2500" t="inlineStr">
        <is>
          <t>9.95</t>
        </is>
      </c>
      <c r="L2500" t="n">
        <v>23.19</v>
      </c>
      <c r="M2500" s="1" t="inlineStr">
        <is>
          <t>133.07%</t>
        </is>
      </c>
      <c r="N2500" s="3" t="n">
        <v>133.07</v>
      </c>
      <c r="O2500" t="n">
        <v>4.6</v>
      </c>
      <c r="P2500" t="n">
        <v>159</v>
      </c>
      <c r="R2500" t="inlineStr">
        <is>
          <t>InStock</t>
        </is>
      </c>
      <c r="S2500" t="inlineStr">
        <is>
          <t>undefined</t>
        </is>
      </c>
      <c r="T2500" t="inlineStr">
        <is>
          <t>5147633</t>
        </is>
      </c>
    </row>
    <row r="2501" hidden="1" ht="15.75" customHeight="1">
      <c r="A2501" s="2">
        <f>HYPERLINK("https://www.soccerplususa.com/nike/nike-classic-ii-sock-19565", "https://www.soccerplususa.com/nike/nike-classic-ii-sock-19565")</f>
        <v/>
      </c>
      <c r="B2501" t="inlineStr">
        <is>
          <t>undefined</t>
        </is>
      </c>
      <c r="C2501" t="inlineStr">
        <is>
          <t>Nike Classic II Sock</t>
        </is>
      </c>
      <c r="D2501" t="inlineStr">
        <is>
          <t>Nike Unisex Classic II Cushion Over-The-Calf Football Sock (X-Small, Black/White)</t>
        </is>
      </c>
      <c r="E2501" s="2">
        <f>HYPERLINK("https://www.amazon.com/Unisex-Classic-Cushion-Football-X-Small/dp/B01GQMZ528/ref=sr_1_4?keywords=Nike+Classic+II+Sock&amp;qid=1695171109&amp;sr=8-4", "https://www.amazon.com/Unisex-Classic-Cushion-Football-X-Small/dp/B01GQMZ528/ref=sr_1_4?keywords=Nike+Classic+II+Sock&amp;qid=1695171109&amp;sr=8-4")</f>
        <v/>
      </c>
      <c r="F2501" t="inlineStr">
        <is>
          <t>B01GQMZ528</t>
        </is>
      </c>
      <c r="G2501">
        <f>_xludf.IMAGE("https://www.soccerplususa.com/prodimages/3004-DEFAULT-l.jpg")</f>
        <v/>
      </c>
      <c r="H2501">
        <f>_xludf.IMAGE("https://m.media-amazon.com/images/I/81qEEW7hx1S._AC_UL320_.jpg")</f>
        <v/>
      </c>
      <c r="K2501" t="inlineStr">
        <is>
          <t>6.0</t>
        </is>
      </c>
      <c r="L2501" t="n">
        <v>13.77</v>
      </c>
      <c r="M2501" s="1" t="inlineStr">
        <is>
          <t>129.50%</t>
        </is>
      </c>
      <c r="N2501" s="3" t="n">
        <v>129.5</v>
      </c>
      <c r="O2501" t="n">
        <v>4.4</v>
      </c>
      <c r="P2501" t="n">
        <v>60</v>
      </c>
      <c r="R2501" t="inlineStr">
        <is>
          <t>InStock</t>
        </is>
      </c>
      <c r="S2501" t="inlineStr">
        <is>
          <t>9.95</t>
        </is>
      </c>
      <c r="T2501" t="inlineStr">
        <is>
          <t>394386-648</t>
        </is>
      </c>
    </row>
    <row r="2502" ht="75" customHeight="1">
      <c r="A2502" s="2">
        <f>HYPERLINK("https://www.soccerplususa.com/puma/puma-team-soccer-sock-29694", "https://www.soccerplususa.com/puma/puma-team-soccer-sock-29694")</f>
        <v/>
      </c>
      <c r="B2502" t="inlineStr">
        <is>
          <t>undefined</t>
        </is>
      </c>
      <c r="C2502" t="inlineStr">
        <is>
          <t>Puma Team Soccer Sock</t>
        </is>
      </c>
      <c r="D2502" t="inlineStr">
        <is>
          <t>PUMA Men's Team Socks</t>
        </is>
      </c>
      <c r="E2502" s="2">
        <f>HYPERLINK("https://www.amazon.com/Puma-Socks-Black-Small-Youth/dp/B00783LH7W/ref=sr_1_2?keywords=Puma+Team+Soccer+Sock&amp;qid=1695171097&amp;sr=8-2", "https://www.amazon.com/Puma-Socks-Black-Small-Youth/dp/B00783LH7W/ref=sr_1_2?keywords=Puma+Team+Soccer+Sock&amp;qid=1695171097&amp;sr=8-2")</f>
        <v/>
      </c>
      <c r="F2502" t="inlineStr">
        <is>
          <t>B00783LH7W</t>
        </is>
      </c>
      <c r="G2502">
        <f>_xlfn.IMAGE("https://www.soccerplususa.com/prodimages/2609-DEFAULT-l.jpg")</f>
        <v/>
      </c>
      <c r="H2502">
        <f>_xlfn.IMAGE("https://m.media-amazon.com/images/I/71LgTd1bOZL._AC_UL320_.jpg")</f>
        <v/>
      </c>
      <c r="K2502" t="inlineStr">
        <is>
          <t>7.95</t>
        </is>
      </c>
      <c r="L2502" t="n">
        <v>18.02</v>
      </c>
      <c r="M2502" s="1" t="inlineStr">
        <is>
          <t>126.67%</t>
        </is>
      </c>
      <c r="N2502" s="3" t="n">
        <v>126.67</v>
      </c>
      <c r="O2502" t="n">
        <v>4.4</v>
      </c>
      <c r="P2502" t="n">
        <v>300</v>
      </c>
      <c r="R2502" t="inlineStr">
        <is>
          <t>InStock</t>
        </is>
      </c>
      <c r="S2502" t="inlineStr">
        <is>
          <t>undefined</t>
        </is>
      </c>
      <c r="T2502" t="inlineStr">
        <is>
          <t>890420-08</t>
        </is>
      </c>
    </row>
    <row r="2503" ht="75" customHeight="1">
      <c r="A2503" s="2">
        <f>HYPERLINK("https://www.soccerplususa.com/adidas/adidas-team-speed-sock-1923", "https://www.soccerplususa.com/adidas/adidas-team-speed-sock-1923")</f>
        <v/>
      </c>
      <c r="B2503" t="inlineStr">
        <is>
          <t>undefined</t>
        </is>
      </c>
      <c r="C2503" t="inlineStr">
        <is>
          <t>adidas Team Speed Sock</t>
        </is>
      </c>
      <c r="D2503" t="inlineStr">
        <is>
          <t>adidas Speed Mesh Team Crew</t>
        </is>
      </c>
      <c r="E2503" s="2">
        <f>HYPERLINK("https://www.amazon.com/adidas-Basketball-Football-1-Pack-Purple/dp/B01MQYK92C/ref=sr_1_5?keywords=adidas+Team+Speed+Sock&amp;qid=1695171111&amp;sr=8-5", "https://www.amazon.com/adidas-Basketball-Football-1-Pack-Purple/dp/B01MQYK92C/ref=sr_1_5?keywords=adidas+Team+Speed+Sock&amp;qid=1695171111&amp;sr=8-5")</f>
        <v/>
      </c>
      <c r="F2503" t="inlineStr">
        <is>
          <t>B01MQYK92C</t>
        </is>
      </c>
      <c r="G2503">
        <f>_xlfn.IMAGE("https://www.soccerplususa.com/prodimages/6560-DEFAULT-l.jpg")</f>
        <v/>
      </c>
      <c r="H2503">
        <f>_xlfn.IMAGE("https://m.media-amazon.com/images/I/91qSdFaCB+L._AC_UL320_.jpg")</f>
        <v/>
      </c>
      <c r="K2503" t="inlineStr">
        <is>
          <t>8.0</t>
        </is>
      </c>
      <c r="L2503" t="n">
        <v>17.99</v>
      </c>
      <c r="M2503" s="1" t="inlineStr">
        <is>
          <t>124.87%</t>
        </is>
      </c>
      <c r="N2503" s="3" t="n">
        <v>124.87</v>
      </c>
      <c r="O2503" t="n">
        <v>4.6</v>
      </c>
      <c r="P2503" t="n">
        <v>459</v>
      </c>
      <c r="R2503" t="inlineStr">
        <is>
          <t>InStock</t>
        </is>
      </c>
      <c r="S2503" t="inlineStr">
        <is>
          <t>15.95</t>
        </is>
      </c>
      <c r="T2503" t="inlineStr">
        <is>
          <t>5130156</t>
        </is>
      </c>
    </row>
    <row r="2504" ht="75" customHeight="1">
      <c r="A2504" s="2">
        <f>HYPERLINK("https://www.soccerplususa.com/nike/nike-classic-ii-otc-sock-27057", "https://www.soccerplususa.com/nike/nike-classic-ii-otc-sock-27057")</f>
        <v/>
      </c>
      <c r="B2504" t="inlineStr">
        <is>
          <t>undefined</t>
        </is>
      </c>
      <c r="C2504" t="inlineStr">
        <is>
          <t>Nike Classic II OTC Sock</t>
        </is>
      </c>
      <c r="D2504" t="inlineStr">
        <is>
          <t>Nike Classic II Cushion Over-The-Calf Soccer Football Sock (Team Red/White, L)</t>
        </is>
      </c>
      <c r="E2504" s="2">
        <f>HYPERLINK("https://www.amazon.com/Nike-Classic-Cushion-Soccer-Football/dp/B005AGPSCE/ref=sr_1_7?keywords=Nike+Classic+II+OTC+Sock&amp;qid=1695171107&amp;sr=8-7", "https://www.amazon.com/Nike-Classic-Cushion-Soccer-Football/dp/B005AGPSCE/ref=sr_1_7?keywords=Nike+Classic+II+OTC+Sock&amp;qid=1695171107&amp;sr=8-7")</f>
        <v/>
      </c>
      <c r="F2504" t="inlineStr">
        <is>
          <t>B005AGPSCE</t>
        </is>
      </c>
      <c r="G2504">
        <f>_xlfn.IMAGE("https://www.soccerplususa.com/prodimages/4446-DEFAULT-l.jpg")</f>
        <v/>
      </c>
      <c r="H2504">
        <f>_xlfn.IMAGE("https://m.media-amazon.com/images/I/61SkxWzugVL._AC_UL320_.jpg")</f>
        <v/>
      </c>
      <c r="K2504" t="inlineStr">
        <is>
          <t>11.95</t>
        </is>
      </c>
      <c r="L2504" t="n">
        <v>25.4</v>
      </c>
      <c r="M2504" s="1" t="inlineStr">
        <is>
          <t>112.55%</t>
        </is>
      </c>
      <c r="N2504" s="3" t="n">
        <v>112.55</v>
      </c>
      <c r="O2504" t="n">
        <v>4.4</v>
      </c>
      <c r="P2504" t="n">
        <v>42</v>
      </c>
      <c r="R2504" t="inlineStr">
        <is>
          <t>InStock</t>
        </is>
      </c>
      <c r="S2504" t="inlineStr">
        <is>
          <t>undefined</t>
        </is>
      </c>
      <c r="T2504" t="inlineStr">
        <is>
          <t>SX5728-616</t>
        </is>
      </c>
    </row>
    <row r="2505" ht="75" customHeight="1">
      <c r="A2505" s="2">
        <f>HYPERLINK("https://www.soccerplususa.com/nike/nike-classic-ii-otc-sock-27049", "https://www.soccerplususa.com/nike/nike-classic-ii-otc-sock-27049")</f>
        <v/>
      </c>
      <c r="B2505" t="inlineStr">
        <is>
          <t>undefined</t>
        </is>
      </c>
      <c r="C2505" t="inlineStr">
        <is>
          <t>Nike Classic II OTC Sock</t>
        </is>
      </c>
      <c r="D2505" t="inlineStr">
        <is>
          <t>Nike Classic II Cushion Over-The-Calf Soccer Football Sock (Team Red/White, L)</t>
        </is>
      </c>
      <c r="E2505" s="2">
        <f>HYPERLINK("https://www.amazon.com/Nike-Classic-Cushion-Soccer-Football/dp/B005AGPSCE/ref=sr_1_7?keywords=Nike+Classic+II+OTC+Sock&amp;qid=1695171104&amp;sr=8-7", "https://www.amazon.com/Nike-Classic-Cushion-Soccer-Football/dp/B005AGPSCE/ref=sr_1_7?keywords=Nike+Classic+II+OTC+Sock&amp;qid=1695171104&amp;sr=8-7")</f>
        <v/>
      </c>
      <c r="F2505" t="inlineStr">
        <is>
          <t>B005AGPSCE</t>
        </is>
      </c>
      <c r="G2505">
        <f>_xlfn.IMAGE("https://www.soccerplususa.com/prodimages/4442-DEFAULT-l.jpg")</f>
        <v/>
      </c>
      <c r="H2505">
        <f>_xlfn.IMAGE("https://m.media-amazon.com/images/I/61SkxWzugVL._AC_UL320_.jpg")</f>
        <v/>
      </c>
      <c r="K2505" t="inlineStr">
        <is>
          <t>11.95</t>
        </is>
      </c>
      <c r="L2505" t="n">
        <v>25.4</v>
      </c>
      <c r="M2505" s="1" t="inlineStr">
        <is>
          <t>112.55%</t>
        </is>
      </c>
      <c r="N2505" s="3" t="n">
        <v>112.55</v>
      </c>
      <c r="O2505" t="n">
        <v>4.4</v>
      </c>
      <c r="P2505" t="n">
        <v>42</v>
      </c>
      <c r="R2505" t="inlineStr">
        <is>
          <t>InStock</t>
        </is>
      </c>
      <c r="S2505" t="inlineStr">
        <is>
          <t>undefined</t>
        </is>
      </c>
      <c r="T2505" t="inlineStr">
        <is>
          <t>SX5728-010</t>
        </is>
      </c>
    </row>
    <row r="2506" ht="75" customHeight="1">
      <c r="A2506" s="2">
        <f>HYPERLINK("https://www.soccerplususa.com/nike/nike-classic-ii-otc-sock-37537", "https://www.soccerplususa.com/nike/nike-classic-ii-otc-sock-37537")</f>
        <v/>
      </c>
      <c r="B2506" t="inlineStr">
        <is>
          <t>undefined</t>
        </is>
      </c>
      <c r="C2506" t="inlineStr">
        <is>
          <t>Nike Classic II OTC Sock</t>
        </is>
      </c>
      <c r="D2506" t="inlineStr">
        <is>
          <t>Nike Classic II Cushion Over-The-Calf Soccer Football Sock (Team Red/White, L)</t>
        </is>
      </c>
      <c r="E2506" s="2">
        <f>HYPERLINK("https://www.amazon.com/Nike-Classic-Cushion-Soccer-Football/dp/B005AGPSCE/ref=sr_1_7?keywords=Nike+Classic+II+OTC+Sock&amp;qid=1695171095&amp;sr=8-7", "https://www.amazon.com/Nike-Classic-Cushion-Soccer-Football/dp/B005AGPSCE/ref=sr_1_7?keywords=Nike+Classic+II+OTC+Sock&amp;qid=1695171095&amp;sr=8-7")</f>
        <v/>
      </c>
      <c r="F2506" t="inlineStr">
        <is>
          <t>B005AGPSCE</t>
        </is>
      </c>
      <c r="G2506">
        <f>_xlfn.IMAGE("https://www.soccerplususa.com/prodimages/10669-DEFAULT-l.jpg")</f>
        <v/>
      </c>
      <c r="H2506">
        <f>_xlfn.IMAGE("https://m.media-amazon.com/images/I/61SkxWzugVL._AC_UL320_.jpg")</f>
        <v/>
      </c>
      <c r="K2506" t="inlineStr">
        <is>
          <t>11.95</t>
        </is>
      </c>
      <c r="L2506" t="n">
        <v>25.4</v>
      </c>
      <c r="M2506" s="1" t="inlineStr">
        <is>
          <t>112.55%</t>
        </is>
      </c>
      <c r="N2506" s="3" t="n">
        <v>112.55</v>
      </c>
      <c r="O2506" t="n">
        <v>4.4</v>
      </c>
      <c r="P2506" t="n">
        <v>42</v>
      </c>
      <c r="R2506" t="inlineStr">
        <is>
          <t>InStock</t>
        </is>
      </c>
      <c r="S2506" t="inlineStr">
        <is>
          <t>undefined</t>
        </is>
      </c>
      <c r="T2506" t="inlineStr">
        <is>
          <t>SX5728-816</t>
        </is>
      </c>
    </row>
    <row r="2507" ht="75" customHeight="1">
      <c r="A2507" s="2">
        <f>HYPERLINK("https://www.soccerplususa.com/nike/nike-classic-ii-otc-sock-27061", "https://www.soccerplususa.com/nike/nike-classic-ii-otc-sock-27061")</f>
        <v/>
      </c>
      <c r="B2507" t="inlineStr">
        <is>
          <t>undefined</t>
        </is>
      </c>
      <c r="C2507" t="inlineStr">
        <is>
          <t>Nike Classic II OTC Sock</t>
        </is>
      </c>
      <c r="D2507" t="inlineStr">
        <is>
          <t>Nike Classic II Cushion Over-The-Calf Soccer Football Sock (Team Red/White, L)</t>
        </is>
      </c>
      <c r="E2507" s="2">
        <f>HYPERLINK("https://www.amazon.com/Nike-Classic-Cushion-Soccer-Football/dp/B005AGPSCE/ref=sr_1_7?keywords=Nike+Classic+II+OTC+Sock&amp;qid=1695171106&amp;sr=8-7", "https://www.amazon.com/Nike-Classic-Cushion-Soccer-Football/dp/B005AGPSCE/ref=sr_1_7?keywords=Nike+Classic+II+OTC+Sock&amp;qid=1695171106&amp;sr=8-7")</f>
        <v/>
      </c>
      <c r="F2507" t="inlineStr">
        <is>
          <t>B005AGPSCE</t>
        </is>
      </c>
      <c r="G2507">
        <f>_xlfn.IMAGE("https://www.soccerplususa.com/prodimages/6082-DEFAULT-l.jpg")</f>
        <v/>
      </c>
      <c r="H2507">
        <f>_xlfn.IMAGE("https://m.media-amazon.com/images/I/61SkxWzugVL._AC_UL320_.jpg")</f>
        <v/>
      </c>
      <c r="K2507" t="inlineStr">
        <is>
          <t>11.95</t>
        </is>
      </c>
      <c r="L2507" t="n">
        <v>25.4</v>
      </c>
      <c r="M2507" s="1" t="inlineStr">
        <is>
          <t>112.55%</t>
        </is>
      </c>
      <c r="N2507" s="3" t="n">
        <v>112.55</v>
      </c>
      <c r="O2507" t="n">
        <v>4.4</v>
      </c>
      <c r="P2507" t="n">
        <v>42</v>
      </c>
      <c r="R2507" t="inlineStr">
        <is>
          <t>InStock</t>
        </is>
      </c>
      <c r="S2507" t="inlineStr">
        <is>
          <t>undefined</t>
        </is>
      </c>
      <c r="T2507" t="inlineStr">
        <is>
          <t>SX5728-739</t>
        </is>
      </c>
    </row>
    <row r="2508" ht="75" customHeight="1">
      <c r="A2508" s="2">
        <f>HYPERLINK("https://www.soccerplususa.com/nike/nike-classic-ii-otc-sock-27051", "https://www.soccerplususa.com/nike/nike-classic-ii-otc-sock-27051")</f>
        <v/>
      </c>
      <c r="B2508" t="inlineStr">
        <is>
          <t>undefined</t>
        </is>
      </c>
      <c r="C2508" t="inlineStr">
        <is>
          <t>Nike Classic II OTC Sock</t>
        </is>
      </c>
      <c r="D2508" t="inlineStr">
        <is>
          <t>Nike Classic II Cushion Over-The-Calf Soccer Football Sock (Team Red/White, L)</t>
        </is>
      </c>
      <c r="E2508" s="2">
        <f>HYPERLINK("https://www.amazon.com/Nike-Classic-Cushion-Soccer-Football/dp/B005AGPSCE/ref=sr_1_7?keywords=Nike+Classic+II+OTC+Sock&amp;qid=1695171109&amp;sr=8-7", "https://www.amazon.com/Nike-Classic-Cushion-Soccer-Football/dp/B005AGPSCE/ref=sr_1_7?keywords=Nike+Classic+II+OTC+Sock&amp;qid=1695171109&amp;sr=8-7")</f>
        <v/>
      </c>
      <c r="F2508" t="inlineStr">
        <is>
          <t>B005AGPSCE</t>
        </is>
      </c>
      <c r="G2508">
        <f>_xlfn.IMAGE("https://www.soccerplususa.com/prodimages/4443-DEFAULT-l.jpg")</f>
        <v/>
      </c>
      <c r="H2508">
        <f>_xlfn.IMAGE("https://m.media-amazon.com/images/I/61SkxWzugVL._AC_UL320_.jpg")</f>
        <v/>
      </c>
      <c r="K2508" t="inlineStr">
        <is>
          <t>11.95</t>
        </is>
      </c>
      <c r="L2508" t="n">
        <v>25.4</v>
      </c>
      <c r="M2508" s="1" t="inlineStr">
        <is>
          <t>112.55%</t>
        </is>
      </c>
      <c r="N2508" s="3" t="n">
        <v>112.55</v>
      </c>
      <c r="O2508" t="n">
        <v>4.4</v>
      </c>
      <c r="P2508" t="n">
        <v>42</v>
      </c>
      <c r="R2508" t="inlineStr">
        <is>
          <t>InStock</t>
        </is>
      </c>
      <c r="S2508" t="inlineStr">
        <is>
          <t>undefined</t>
        </is>
      </c>
      <c r="T2508" t="inlineStr">
        <is>
          <t>SX5728-100</t>
        </is>
      </c>
    </row>
    <row r="2509" ht="75" customHeight="1">
      <c r="A2509" s="2">
        <f>HYPERLINK("https://www.soccerplususa.com/puma/puma-power-5-sock-29701", "https://www.soccerplususa.com/puma/puma-power-5-sock-29701")</f>
        <v/>
      </c>
      <c r="B2509" t="inlineStr">
        <is>
          <t>undefined</t>
        </is>
      </c>
      <c r="C2509" t="inlineStr">
        <is>
          <t>Puma Power 5 Sock</t>
        </is>
      </c>
      <c r="D2509" t="inlineStr">
        <is>
          <t>PUMA Women's 8 Pair No Show Sneaker Socks - 5-9.5</t>
        </is>
      </c>
      <c r="E2509" s="2">
        <f>HYPERLINK("https://www.amazon.com/PUMA-Womens-Pair-Sneaker-Socks/dp/B09YPCW3PK/ref=sr_1_7?keywords=Puma+Power+5+Sock&amp;qid=1695171100&amp;sr=8-7", "https://www.amazon.com/PUMA-Womens-Pair-Sneaker-Socks/dp/B09YPCW3PK/ref=sr_1_7?keywords=Puma+Power+5+Sock&amp;qid=1695171100&amp;sr=8-7")</f>
        <v/>
      </c>
      <c r="F2509" t="inlineStr">
        <is>
          <t>B09YPCW3PK</t>
        </is>
      </c>
      <c r="G2509">
        <f>_xlfn.IMAGE("https://www.soccerplususa.com/prodimages/32673-DEFAULT-l.jpg")</f>
        <v/>
      </c>
      <c r="H2509">
        <f>_xlfn.IMAGE("https://m.media-amazon.com/images/I/81ObKHK+7xL._AC_UL320_.jpg")</f>
        <v/>
      </c>
      <c r="K2509" t="inlineStr">
        <is>
          <t>8.0</t>
        </is>
      </c>
      <c r="L2509" t="n">
        <v>16.9</v>
      </c>
      <c r="M2509" s="1" t="inlineStr">
        <is>
          <t>111.25%</t>
        </is>
      </c>
      <c r="N2509" s="3" t="n">
        <v>111.25</v>
      </c>
      <c r="O2509" t="n">
        <v>4.8</v>
      </c>
      <c r="P2509" t="n">
        <v>90</v>
      </c>
      <c r="R2509" t="inlineStr">
        <is>
          <t>InStock</t>
        </is>
      </c>
      <c r="S2509" t="inlineStr">
        <is>
          <t>10.0</t>
        </is>
      </c>
      <c r="T2509" t="inlineStr">
        <is>
          <t>890422-05</t>
        </is>
      </c>
    </row>
    <row r="2510" ht="75" customHeight="1">
      <c r="A2510" s="2">
        <f>HYPERLINK("https://www.soccerplususa.com/adidas/adidas-copa-zone-cushion-sock-1159", "https://www.soccerplususa.com/adidas/adidas-copa-zone-cushion-sock-1159")</f>
        <v/>
      </c>
      <c r="B2510" t="inlineStr">
        <is>
          <t>undefined</t>
        </is>
      </c>
      <c r="C2510" t="inlineStr">
        <is>
          <t>adidas Copa Zone Cushion Sock</t>
        </is>
      </c>
      <c r="D2510" t="inlineStr">
        <is>
          <t>adidas Copa Zone Cushion Socks [White]</t>
        </is>
      </c>
      <c r="E2510" s="2">
        <f>HYPERLINK("https://www.amazon.com/Adidas-Cushion-Soccer-Small-White/dp/B00FNNYG4U", "https://www.amazon.com/Adidas-Cushion-Soccer-Small-White/dp/B00FNNYG4U")</f>
        <v/>
      </c>
      <c r="F2510" t="inlineStr">
        <is>
          <t>B00FNNYG4U</t>
        </is>
      </c>
      <c r="G2510">
        <f>_xlfn.IMAGE("https://www.soccerplususa.com/prodimages/32182-DEFAULT-l.jpg")</f>
        <v/>
      </c>
      <c r="H2510">
        <f>_xlfn.IMAGE("https://m.media-amazon.com/images/I/81WjN9RppTL._AC_UL320_.jpg")</f>
        <v/>
      </c>
      <c r="K2510" t="inlineStr">
        <is>
          <t>8.99</t>
        </is>
      </c>
      <c r="L2510" t="n">
        <v>18.71</v>
      </c>
      <c r="M2510" s="1" t="inlineStr">
        <is>
          <t>108.12%</t>
        </is>
      </c>
      <c r="N2510" s="3" t="n">
        <v>108.12</v>
      </c>
      <c r="O2510" t="n">
        <v>4</v>
      </c>
      <c r="P2510" t="n">
        <v>1</v>
      </c>
      <c r="R2510" t="inlineStr">
        <is>
          <t>InStock</t>
        </is>
      </c>
      <c r="S2510" t="inlineStr">
        <is>
          <t>9.95</t>
        </is>
      </c>
      <c r="T2510" t="inlineStr">
        <is>
          <t>231013</t>
        </is>
      </c>
    </row>
    <row r="2511" hidden="1" ht="15.75" customHeight="1">
      <c r="A2511" s="2">
        <f>HYPERLINK("https://www.soccerplususa.com/adidas/adidas-copa-zone-cushion-ii-sock-1900", "https://www.soccerplususa.com/adidas/adidas-copa-zone-cushion-ii-sock-1900")</f>
        <v/>
      </c>
      <c r="B2511" t="inlineStr">
        <is>
          <t>undefined</t>
        </is>
      </c>
      <c r="C2511" t="inlineStr">
        <is>
          <t>adidas Copa Zone Cushion II Sock</t>
        </is>
      </c>
      <c r="D2511" t="inlineStr">
        <is>
          <t>adidas Copa Zone Cushion II Soccer Sock (1-Pair)</t>
        </is>
      </c>
      <c r="E2511" s="2">
        <f>HYPERLINK("https://www.amazon.com/adidas-Cushion-Light-Maroon-Medium/dp/B00DF0RRL2/ref=sr_1_1?keywords=adidas+Copa+Zone+Cushion+II+Sock&amp;qid=1695171125&amp;sr=8-1", "https://www.amazon.com/adidas-Cushion-Light-Maroon-Medium/dp/B00DF0RRL2/ref=sr_1_1?keywords=adidas+Copa+Zone+Cushion+II+Sock&amp;qid=1695171125&amp;sr=8-1")</f>
        <v/>
      </c>
      <c r="F2511" t="inlineStr">
        <is>
          <t>B00DF0RRL2</t>
        </is>
      </c>
      <c r="G2511">
        <f>_xludf.IMAGE("https://www.soccerplususa.com/prodimages/2474-DEFAULT-l.jpg")</f>
        <v/>
      </c>
      <c r="H2511">
        <f>_xludf.IMAGE("https://m.media-amazon.com/images/I/91uVZ109eZL._AC_UL320_.jpg")</f>
        <v/>
      </c>
      <c r="K2511" t="inlineStr">
        <is>
          <t>6.0</t>
        </is>
      </c>
      <c r="L2511" t="n">
        <v>12.45</v>
      </c>
      <c r="M2511" s="1" t="inlineStr">
        <is>
          <t>107.50%</t>
        </is>
      </c>
      <c r="N2511" s="3" t="n">
        <v>107.5</v>
      </c>
      <c r="O2511" t="n">
        <v>4.6</v>
      </c>
      <c r="P2511" t="n">
        <v>1211</v>
      </c>
      <c r="R2511" t="inlineStr">
        <is>
          <t>InStock</t>
        </is>
      </c>
      <c r="S2511" t="inlineStr">
        <is>
          <t>11.95</t>
        </is>
      </c>
      <c r="T2511" t="inlineStr">
        <is>
          <t>5130095</t>
        </is>
      </c>
    </row>
    <row r="2512" hidden="1" ht="15.75" customHeight="1">
      <c r="A2512" s="2">
        <f>HYPERLINK("https://www.soccerplususa.com/adidas/adidas-copa-zone-cushion-ii-sock-1902", "https://www.soccerplususa.com/adidas/adidas-copa-zone-cushion-ii-sock-1902")</f>
        <v/>
      </c>
      <c r="B2512" t="inlineStr">
        <is>
          <t>undefined</t>
        </is>
      </c>
      <c r="C2512" t="inlineStr">
        <is>
          <t>adidas Copa Zone Cushion II Sock</t>
        </is>
      </c>
      <c r="D2512" t="inlineStr">
        <is>
          <t>adidas Copa Zone Cushion II Soccer Sock (1-Pair)</t>
        </is>
      </c>
      <c r="E2512" s="2">
        <f>HYPERLINK("https://www.amazon.com/adidas-Cushion-Light-Maroon-Medium/dp/B00DF0RRL2/ref=sr_1_2?keywords=adidas+Copa+Zone+Cushion+II+Sock&amp;qid=1695171110&amp;sr=8-2", "https://www.amazon.com/adidas-Cushion-Light-Maroon-Medium/dp/B00DF0RRL2/ref=sr_1_2?keywords=adidas+Copa+Zone+Cushion+II+Sock&amp;qid=1695171110&amp;sr=8-2")</f>
        <v/>
      </c>
      <c r="F2512" t="inlineStr">
        <is>
          <t>B00DF0RRL2</t>
        </is>
      </c>
      <c r="G2512">
        <f>_xludf.IMAGE("https://www.soccerplususa.com/prodimages/2475-DEFAULT-l.jpg")</f>
        <v/>
      </c>
      <c r="H2512">
        <f>_xludf.IMAGE("https://m.media-amazon.com/images/I/91uVZ109eZL._AC_UL320_.jpg")</f>
        <v/>
      </c>
      <c r="K2512" t="inlineStr">
        <is>
          <t>6.0</t>
        </is>
      </c>
      <c r="L2512" t="n">
        <v>12.45</v>
      </c>
      <c r="M2512" s="1" t="inlineStr">
        <is>
          <t>107.50%</t>
        </is>
      </c>
      <c r="N2512" s="3" t="n">
        <v>107.5</v>
      </c>
      <c r="O2512" t="n">
        <v>4.6</v>
      </c>
      <c r="P2512" t="n">
        <v>1211</v>
      </c>
      <c r="R2512" t="inlineStr">
        <is>
          <t>InStock</t>
        </is>
      </c>
      <c r="S2512" t="inlineStr">
        <is>
          <t>11.95</t>
        </is>
      </c>
      <c r="T2512" t="inlineStr">
        <is>
          <t>5130099</t>
        </is>
      </c>
    </row>
    <row r="2513" hidden="1" ht="15.75" customHeight="1">
      <c r="A2513" s="2">
        <f>HYPERLINK("https://www.soccerplususa.com/adidas/adidas-copa-zone-cushion-ii-sock-1942", "https://www.soccerplususa.com/adidas/adidas-copa-zone-cushion-ii-sock-1942")</f>
        <v/>
      </c>
      <c r="B2513" t="inlineStr">
        <is>
          <t>undefined</t>
        </is>
      </c>
      <c r="C2513" t="inlineStr">
        <is>
          <t>adidas Copa Zone Cushion II Sock</t>
        </is>
      </c>
      <c r="D2513" t="inlineStr">
        <is>
          <t>adidas Copa Zone Cushion II Soccer Sock (1-Pair)</t>
        </is>
      </c>
      <c r="E2513" s="2">
        <f>HYPERLINK("https://www.amazon.com/adidas-Cushion-Light-Maroon-Medium/dp/B00DF0RRL2/ref=sr_1_1?keywords=adidas+Copa+Zone+Cushion+II+Sock&amp;qid=1695171113&amp;sr=8-1", "https://www.amazon.com/adidas-Cushion-Light-Maroon-Medium/dp/B00DF0RRL2/ref=sr_1_1?keywords=adidas+Copa+Zone+Cushion+II+Sock&amp;qid=1695171113&amp;sr=8-1")</f>
        <v/>
      </c>
      <c r="F2513" t="inlineStr">
        <is>
          <t>B00DF0RRL2</t>
        </is>
      </c>
      <c r="G2513">
        <f>_xludf.IMAGE("https://www.soccerplususa.com/prodimages/2487-DEFAULT-l.jpg")</f>
        <v/>
      </c>
      <c r="H2513">
        <f>_xludf.IMAGE("https://m.media-amazon.com/images/I/91uVZ109eZL._AC_UL320_.jpg")</f>
        <v/>
      </c>
      <c r="K2513" t="inlineStr">
        <is>
          <t>6.0</t>
        </is>
      </c>
      <c r="L2513" t="n">
        <v>12.45</v>
      </c>
      <c r="M2513" s="1" t="inlineStr">
        <is>
          <t>107.50%</t>
        </is>
      </c>
      <c r="N2513" s="3" t="n">
        <v>107.5</v>
      </c>
      <c r="O2513" t="n">
        <v>4.6</v>
      </c>
      <c r="P2513" t="n">
        <v>1211</v>
      </c>
      <c r="R2513" t="inlineStr">
        <is>
          <t>InStock</t>
        </is>
      </c>
      <c r="S2513" t="inlineStr">
        <is>
          <t>11.95</t>
        </is>
      </c>
      <c r="T2513" t="inlineStr">
        <is>
          <t>5130206</t>
        </is>
      </c>
    </row>
    <row r="2514" hidden="1" ht="15.75" customHeight="1">
      <c r="A2514" s="2">
        <f>HYPERLINK("https://www.soccerplususa.com/adidas/adidas-copa-zone-cushion-ii-sock-1969", "https://www.soccerplususa.com/adidas/adidas-copa-zone-cushion-ii-sock-1969")</f>
        <v/>
      </c>
      <c r="B2514" t="inlineStr">
        <is>
          <t>undefined</t>
        </is>
      </c>
      <c r="C2514" t="inlineStr">
        <is>
          <t>adidas Copa Zone Cushion II Sock</t>
        </is>
      </c>
      <c r="D2514" t="inlineStr">
        <is>
          <t>adidas Copa Zone Cushion II Soccer Sock (1-Pair)</t>
        </is>
      </c>
      <c r="E2514" s="2">
        <f>HYPERLINK("https://www.amazon.com/adidas-Cushion-Light-Maroon-Medium/dp/B00DF0RRL2/ref=sr_1_1?keywords=adidas+Copa+Zone+Cushion+II+Sock&amp;qid=1695171113&amp;sr=8-1", "https://www.amazon.com/adidas-Cushion-Light-Maroon-Medium/dp/B00DF0RRL2/ref=sr_1_1?keywords=adidas+Copa+Zone+Cushion+II+Sock&amp;qid=1695171113&amp;sr=8-1")</f>
        <v/>
      </c>
      <c r="F2514" t="inlineStr">
        <is>
          <t>B00DF0RRL2</t>
        </is>
      </c>
      <c r="G2514">
        <f>_xludf.IMAGE("https://www.soccerplususa.com/prodimages/2498-DEFAULT-l.jpg")</f>
        <v/>
      </c>
      <c r="H2514">
        <f>_xludf.IMAGE("https://m.media-amazon.com/images/I/91uVZ109eZL._AC_UL320_.jpg")</f>
        <v/>
      </c>
      <c r="K2514" t="inlineStr">
        <is>
          <t>6.0</t>
        </is>
      </c>
      <c r="L2514" t="n">
        <v>12.45</v>
      </c>
      <c r="M2514" s="1" t="inlineStr">
        <is>
          <t>107.50%</t>
        </is>
      </c>
      <c r="N2514" s="3" t="n">
        <v>107.5</v>
      </c>
      <c r="O2514" t="n">
        <v>4.6</v>
      </c>
      <c r="P2514" t="n">
        <v>1211</v>
      </c>
      <c r="R2514" t="inlineStr">
        <is>
          <t>InStock</t>
        </is>
      </c>
      <c r="S2514" t="inlineStr">
        <is>
          <t>11.95</t>
        </is>
      </c>
      <c r="T2514" t="inlineStr">
        <is>
          <t>5130310</t>
        </is>
      </c>
    </row>
    <row r="2515" hidden="1" ht="15.75" customHeight="1">
      <c r="A2515" s="2">
        <f>HYPERLINK("https://www.soccerplususa.com/adidas/adidas-copa-zone-cushion-iii-sock-2057", "https://www.soccerplususa.com/adidas/adidas-copa-zone-cushion-iii-sock-2057")</f>
        <v/>
      </c>
      <c r="B2515" t="inlineStr">
        <is>
          <t>undefined</t>
        </is>
      </c>
      <c r="C2515" t="inlineStr">
        <is>
          <t>adidas Copa Zone Cushion III Sock</t>
        </is>
      </c>
      <c r="D2515" t="inlineStr">
        <is>
          <t>adidas Copa Zone Cushion II Soccer Sock (1-Pair)</t>
        </is>
      </c>
      <c r="E2515" s="2">
        <f>HYPERLINK("https://www.amazon.com/adidas-Cushion-Light-Maroon-Medium/dp/B00DF0RRL2/ref=sr_1_2?keywords=adidas+Copa+Zone+Cushion+III+Sock&amp;qid=1695171108&amp;sr=8-2", "https://www.amazon.com/adidas-Cushion-Light-Maroon-Medium/dp/B00DF0RRL2/ref=sr_1_2?keywords=adidas+Copa+Zone+Cushion+III+Sock&amp;qid=1695171108&amp;sr=8-2")</f>
        <v/>
      </c>
      <c r="F2515" t="inlineStr">
        <is>
          <t>B00DF0RRL2</t>
        </is>
      </c>
      <c r="G2515">
        <f>_xludf.IMAGE("https://www.soccerplususa.com/prodimages/7460-DEFAULT-l.jpg")</f>
        <v/>
      </c>
      <c r="H2515">
        <f>_xludf.IMAGE("https://m.media-amazon.com/images/I/91uVZ109eZL._AC_UL320_.jpg")</f>
        <v/>
      </c>
      <c r="K2515" t="inlineStr">
        <is>
          <t>6.0</t>
        </is>
      </c>
      <c r="L2515" t="n">
        <v>12.45</v>
      </c>
      <c r="M2515" s="1" t="inlineStr">
        <is>
          <t>107.50%</t>
        </is>
      </c>
      <c r="N2515" s="3" t="n">
        <v>107.5</v>
      </c>
      <c r="O2515" t="n">
        <v>4.6</v>
      </c>
      <c r="P2515" t="n">
        <v>1211</v>
      </c>
      <c r="R2515" t="inlineStr">
        <is>
          <t>InStock</t>
        </is>
      </c>
      <c r="S2515" t="inlineStr">
        <is>
          <t>11.95</t>
        </is>
      </c>
      <c r="T2515" t="inlineStr">
        <is>
          <t>5143259</t>
        </is>
      </c>
    </row>
    <row r="2516" hidden="1" ht="15.75" customHeight="1">
      <c r="A2516" s="2">
        <f>HYPERLINK("https://www.soccerplususa.com/adidas/adidas-copa-zone-cushion-ii-sock-1944", "https://www.soccerplususa.com/adidas/adidas-copa-zone-cushion-ii-sock-1944")</f>
        <v/>
      </c>
      <c r="B2516" t="inlineStr">
        <is>
          <t>undefined</t>
        </is>
      </c>
      <c r="C2516" t="inlineStr">
        <is>
          <t>adidas Copa Zone Cushion II Sock</t>
        </is>
      </c>
      <c r="D2516" t="inlineStr">
        <is>
          <t>adidas Copa Zone Cushion II Soccer Sock (1-Pair)</t>
        </is>
      </c>
      <c r="E2516" s="2">
        <f>HYPERLINK("https://www.amazon.com/adidas-Cushion-Light-Maroon-Medium/dp/B00DF0RRL2/ref=sr_1_1?keywords=adidas+Copa+Zone+Cushion+II+Sock&amp;qid=1695171111&amp;sr=8-1", "https://www.amazon.com/adidas-Cushion-Light-Maroon-Medium/dp/B00DF0RRL2/ref=sr_1_1?keywords=adidas+Copa+Zone+Cushion+II+Sock&amp;qid=1695171111&amp;sr=8-1")</f>
        <v/>
      </c>
      <c r="F2516" t="inlineStr">
        <is>
          <t>B00DF0RRL2</t>
        </is>
      </c>
      <c r="G2516">
        <f>_xludf.IMAGE("https://www.soccerplususa.com/prodimages/2489-DEFAULT-l.jpg")</f>
        <v/>
      </c>
      <c r="H2516">
        <f>_xludf.IMAGE("https://m.media-amazon.com/images/I/91uVZ109eZL._AC_UL320_.jpg")</f>
        <v/>
      </c>
      <c r="K2516" t="inlineStr">
        <is>
          <t>6.0</t>
        </is>
      </c>
      <c r="L2516" t="n">
        <v>12.45</v>
      </c>
      <c r="M2516" s="1" t="inlineStr">
        <is>
          <t>107.50%</t>
        </is>
      </c>
      <c r="N2516" s="3" t="n">
        <v>107.5</v>
      </c>
      <c r="O2516" t="n">
        <v>4.6</v>
      </c>
      <c r="P2516" t="n">
        <v>1211</v>
      </c>
      <c r="R2516" t="inlineStr">
        <is>
          <t>InStock</t>
        </is>
      </c>
      <c r="S2516" t="inlineStr">
        <is>
          <t>11.95</t>
        </is>
      </c>
      <c r="T2516" t="inlineStr">
        <is>
          <t>5130226</t>
        </is>
      </c>
    </row>
    <row r="2517" hidden="1" ht="15.75" customHeight="1">
      <c r="A2517" s="2">
        <f>HYPERLINK("https://www.soccerplususa.com/adidas/adidas-copa-zone-cushion-ii-sock-1907", "https://www.soccerplususa.com/adidas/adidas-copa-zone-cushion-ii-sock-1907")</f>
        <v/>
      </c>
      <c r="B2517" t="inlineStr">
        <is>
          <t>undefined</t>
        </is>
      </c>
      <c r="C2517" t="inlineStr">
        <is>
          <t>adidas Copa Zone Cushion II Sock</t>
        </is>
      </c>
      <c r="D2517" t="inlineStr">
        <is>
          <t>adidas Copa Zone Cushion II Soccer Sock (1-Pair)</t>
        </is>
      </c>
      <c r="E2517" s="2">
        <f>HYPERLINK("https://www.amazon.com/adidas-Cushion-Light-Maroon-Medium/dp/B00DF0RRL2/ref=sr_1_1?keywords=adidas+Copa+Zone+Cushion+II+Sock&amp;qid=1695171114&amp;sr=8-1", "https://www.amazon.com/adidas-Cushion-Light-Maroon-Medium/dp/B00DF0RRL2/ref=sr_1_1?keywords=adidas+Copa+Zone+Cushion+II+Sock&amp;qid=1695171114&amp;sr=8-1")</f>
        <v/>
      </c>
      <c r="F2517" t="inlineStr">
        <is>
          <t>B00DF0RRL2</t>
        </is>
      </c>
      <c r="G2517">
        <f>_xludf.IMAGE("https://www.soccerplususa.com/prodimages/2476-DEFAULT-l.jpg")</f>
        <v/>
      </c>
      <c r="H2517">
        <f>_xludf.IMAGE("https://m.media-amazon.com/images/I/91uVZ109eZL._AC_UL320_.jpg")</f>
        <v/>
      </c>
      <c r="K2517" t="inlineStr">
        <is>
          <t>6.0</t>
        </is>
      </c>
      <c r="L2517" t="n">
        <v>12.45</v>
      </c>
      <c r="M2517" s="1" t="inlineStr">
        <is>
          <t>107.50%</t>
        </is>
      </c>
      <c r="N2517" s="3" t="n">
        <v>107.5</v>
      </c>
      <c r="O2517" t="n">
        <v>4.6</v>
      </c>
      <c r="P2517" t="n">
        <v>1211</v>
      </c>
      <c r="R2517" t="inlineStr">
        <is>
          <t>InStock</t>
        </is>
      </c>
      <c r="S2517" t="inlineStr">
        <is>
          <t>11.95</t>
        </is>
      </c>
      <c r="T2517" t="inlineStr">
        <is>
          <t>5130109</t>
        </is>
      </c>
    </row>
    <row r="2518" hidden="1" ht="15.75" customHeight="1">
      <c r="A2518" s="2">
        <f>HYPERLINK("https://www.soccerplususa.com/adidas/adidas-copa-zone-cushion-ii-sock-1962", "https://www.soccerplususa.com/adidas/adidas-copa-zone-cushion-ii-sock-1962")</f>
        <v/>
      </c>
      <c r="B2518" t="inlineStr">
        <is>
          <t>undefined</t>
        </is>
      </c>
      <c r="C2518" t="inlineStr">
        <is>
          <t>adidas Copa Zone Cushion II Sock</t>
        </is>
      </c>
      <c r="D2518" t="inlineStr">
        <is>
          <t>adidas Copa Zone Cushion II Soccer Sock (1-Pair)</t>
        </is>
      </c>
      <c r="E2518" s="2">
        <f>HYPERLINK("https://www.amazon.com/adidas-Cushion-Light-Maroon-Medium/dp/B00DF0RRL2/ref=sr_1_1?keywords=adidas+Copa+Zone+Cushion+II+Sock&amp;qid=1695171112&amp;sr=8-1", "https://www.amazon.com/adidas-Cushion-Light-Maroon-Medium/dp/B00DF0RRL2/ref=sr_1_1?keywords=adidas+Copa+Zone+Cushion+II+Sock&amp;qid=1695171112&amp;sr=8-1")</f>
        <v/>
      </c>
      <c r="F2518" t="inlineStr">
        <is>
          <t>B00DF0RRL2</t>
        </is>
      </c>
      <c r="G2518">
        <f>_xludf.IMAGE("https://www.soccerplususa.com/prodimages/2496-DEFAULT-l.jpg")</f>
        <v/>
      </c>
      <c r="H2518">
        <f>_xludf.IMAGE("https://m.media-amazon.com/images/I/91uVZ109eZL._AC_UL320_.jpg")</f>
        <v/>
      </c>
      <c r="K2518" t="inlineStr">
        <is>
          <t>6.0</t>
        </is>
      </c>
      <c r="L2518" t="n">
        <v>12.45</v>
      </c>
      <c r="M2518" s="1" t="inlineStr">
        <is>
          <t>107.50%</t>
        </is>
      </c>
      <c r="N2518" s="3" t="n">
        <v>107.5</v>
      </c>
      <c r="O2518" t="n">
        <v>4.6</v>
      </c>
      <c r="P2518" t="n">
        <v>1211</v>
      </c>
      <c r="R2518" t="inlineStr">
        <is>
          <t>InStock</t>
        </is>
      </c>
      <c r="S2518" t="inlineStr">
        <is>
          <t>11.95</t>
        </is>
      </c>
      <c r="T2518" t="inlineStr">
        <is>
          <t>5130280</t>
        </is>
      </c>
    </row>
    <row r="2519" hidden="1" ht="15.75" customHeight="1">
      <c r="A2519" s="2">
        <f>HYPERLINK("https://www.soccerplususa.com/adidas/adidas-copa-zone-cushion-iii-sock-2070", "https://www.soccerplususa.com/adidas/adidas-copa-zone-cushion-iii-sock-2070")</f>
        <v/>
      </c>
      <c r="B2519" t="inlineStr">
        <is>
          <t>undefined</t>
        </is>
      </c>
      <c r="C2519" t="inlineStr">
        <is>
          <t>adidas Copa Zone Cushion III Sock</t>
        </is>
      </c>
      <c r="D2519" t="inlineStr">
        <is>
          <t>adidas Copa Zone Cushion II Soccer Sock (1-Pair)</t>
        </is>
      </c>
      <c r="E2519" s="2">
        <f>HYPERLINK("https://www.amazon.com/adidas-Cushion-Light-Maroon-Medium/dp/B00DF0RRL2/ref=sr_1_2?keywords=adidas+Copa+Zone+Cushion+III+Sock&amp;qid=1695171106&amp;sr=8-2", "https://www.amazon.com/adidas-Cushion-Light-Maroon-Medium/dp/B00DF0RRL2/ref=sr_1_2?keywords=adidas+Copa+Zone+Cushion+III+Sock&amp;qid=1695171106&amp;sr=8-2")</f>
        <v/>
      </c>
      <c r="F2519" t="inlineStr">
        <is>
          <t>B00DF0RRL2</t>
        </is>
      </c>
      <c r="G2519">
        <f>_xludf.IMAGE("https://www.soccerplususa.com/prodimages/6072-DEFAULT-l.jpg")</f>
        <v/>
      </c>
      <c r="H2519">
        <f>_xludf.IMAGE("https://m.media-amazon.com/images/I/91uVZ109eZL._AC_UL320_.jpg")</f>
        <v/>
      </c>
      <c r="K2519" t="inlineStr">
        <is>
          <t>6.0</t>
        </is>
      </c>
      <c r="L2519" t="n">
        <v>12.45</v>
      </c>
      <c r="M2519" s="1" t="inlineStr">
        <is>
          <t>107.50%</t>
        </is>
      </c>
      <c r="N2519" s="3" t="n">
        <v>107.5</v>
      </c>
      <c r="O2519" t="n">
        <v>4.6</v>
      </c>
      <c r="P2519" t="n">
        <v>1211</v>
      </c>
      <c r="R2519" t="inlineStr">
        <is>
          <t>InStock</t>
        </is>
      </c>
      <c r="S2519" t="inlineStr">
        <is>
          <t>11.95</t>
        </is>
      </c>
      <c r="T2519" t="inlineStr">
        <is>
          <t>5143280</t>
        </is>
      </c>
    </row>
    <row r="2520" hidden="1" ht="15.75" customHeight="1">
      <c r="A2520" s="2">
        <f>HYPERLINK("https://www.soccerplususa.com/adidas/adidas-copa-zone-cushion-ii-sock-1959", "https://www.soccerplususa.com/adidas/adidas-copa-zone-cushion-ii-sock-1959")</f>
        <v/>
      </c>
      <c r="B2520" t="inlineStr">
        <is>
          <t>undefined</t>
        </is>
      </c>
      <c r="C2520" t="inlineStr">
        <is>
          <t>adidas Copa Zone Cushion II Sock</t>
        </is>
      </c>
      <c r="D2520" t="inlineStr">
        <is>
          <t>adidas Copa Zone Cushion II Soccer Sock (1-Pair)</t>
        </is>
      </c>
      <c r="E2520" s="2">
        <f>HYPERLINK("https://www.amazon.com/adidas-Cushion-Light-Maroon-Medium/dp/B00DF0RRL2/ref=sr_1_1?keywords=adidas+Copa+Zone+Cushion+II+Sock&amp;qid=1695171116&amp;sr=8-1", "https://www.amazon.com/adidas-Cushion-Light-Maroon-Medium/dp/B00DF0RRL2/ref=sr_1_1?keywords=adidas+Copa+Zone+Cushion+II+Sock&amp;qid=1695171116&amp;sr=8-1")</f>
        <v/>
      </c>
      <c r="F2520" t="inlineStr">
        <is>
          <t>B00DF0RRL2</t>
        </is>
      </c>
      <c r="G2520">
        <f>_xludf.IMAGE("https://www.soccerplususa.com/prodimages/2495-DEFAULT-l.jpg")</f>
        <v/>
      </c>
      <c r="H2520">
        <f>_xludf.IMAGE("https://m.media-amazon.com/images/I/91uVZ109eZL._AC_UL320_.jpg")</f>
        <v/>
      </c>
      <c r="K2520" t="inlineStr">
        <is>
          <t>6.0</t>
        </is>
      </c>
      <c r="L2520" t="n">
        <v>12.45</v>
      </c>
      <c r="M2520" s="1" t="inlineStr">
        <is>
          <t>107.50%</t>
        </is>
      </c>
      <c r="N2520" s="3" t="n">
        <v>107.5</v>
      </c>
      <c r="O2520" t="n">
        <v>4.6</v>
      </c>
      <c r="P2520" t="n">
        <v>1211</v>
      </c>
      <c r="R2520" t="inlineStr">
        <is>
          <t>InStock</t>
        </is>
      </c>
      <c r="S2520" t="inlineStr">
        <is>
          <t>11.95</t>
        </is>
      </c>
      <c r="T2520" t="inlineStr">
        <is>
          <t>5130270</t>
        </is>
      </c>
    </row>
    <row r="2521" hidden="1" ht="15.75" customHeight="1">
      <c r="A2521" s="2">
        <f>HYPERLINK("https://www.soccerplususa.com/adidas/adidas-copa-zone-cushion-ii-sock-1967", "https://www.soccerplususa.com/adidas/adidas-copa-zone-cushion-ii-sock-1967")</f>
        <v/>
      </c>
      <c r="B2521" t="inlineStr">
        <is>
          <t>undefined</t>
        </is>
      </c>
      <c r="C2521" t="inlineStr">
        <is>
          <t>adidas Copa Zone Cushion II Sock</t>
        </is>
      </c>
      <c r="D2521" t="inlineStr">
        <is>
          <t>adidas Copa Zone Cushion II Soccer Sock (1-Pair)</t>
        </is>
      </c>
      <c r="E2521" s="2">
        <f>HYPERLINK("https://www.amazon.com/adidas-Cushion-Light-Maroon-Medium/dp/B00DF0RRL2/ref=sr_1_1?keywords=adidas+Copa+Zone+Cushion+II+Sock&amp;qid=1695171108&amp;sr=8-1", "https://www.amazon.com/adidas-Cushion-Light-Maroon-Medium/dp/B00DF0RRL2/ref=sr_1_1?keywords=adidas+Copa+Zone+Cushion+II+Sock&amp;qid=1695171108&amp;sr=8-1")</f>
        <v/>
      </c>
      <c r="F2521" t="inlineStr">
        <is>
          <t>B00DF0RRL2</t>
        </is>
      </c>
      <c r="G2521">
        <f>_xludf.IMAGE("https://www.soccerplususa.com/prodimages/2497-DEFAULT-l.jpg")</f>
        <v/>
      </c>
      <c r="H2521">
        <f>_xludf.IMAGE("https://m.media-amazon.com/images/I/91uVZ109eZL._AC_UL320_.jpg")</f>
        <v/>
      </c>
      <c r="K2521" t="inlineStr">
        <is>
          <t>6.0</t>
        </is>
      </c>
      <c r="L2521" t="n">
        <v>12.45</v>
      </c>
      <c r="M2521" s="1" t="inlineStr">
        <is>
          <t>107.50%</t>
        </is>
      </c>
      <c r="N2521" s="3" t="n">
        <v>107.5</v>
      </c>
      <c r="O2521" t="n">
        <v>4.6</v>
      </c>
      <c r="P2521" t="n">
        <v>1211</v>
      </c>
      <c r="R2521" t="inlineStr">
        <is>
          <t>InStock</t>
        </is>
      </c>
      <c r="S2521" t="inlineStr">
        <is>
          <t>11.95</t>
        </is>
      </c>
      <c r="T2521" t="inlineStr">
        <is>
          <t>5130297</t>
        </is>
      </c>
    </row>
    <row r="2522" hidden="1" ht="15.75" customHeight="1">
      <c r="A2522" s="2">
        <f>HYPERLINK("https://www.soccerplususa.com/adidas/adidas-copa-zone-cushion-ii-sock-1973", "https://www.soccerplususa.com/adidas/adidas-copa-zone-cushion-ii-sock-1973")</f>
        <v/>
      </c>
      <c r="B2522" t="inlineStr">
        <is>
          <t>undefined</t>
        </is>
      </c>
      <c r="C2522" t="inlineStr">
        <is>
          <t>adidas Copa Zone Cushion II Sock</t>
        </is>
      </c>
      <c r="D2522" t="inlineStr">
        <is>
          <t>adidas Copa Zone Cushion II Soccer Sock (1-Pair)</t>
        </is>
      </c>
      <c r="E2522" s="2">
        <f>HYPERLINK("https://www.amazon.com/adidas-Cushion-Light-Maroon-Medium/dp/B00DF0RRL2/ref=sr_1_1?keywords=adidas+Copa+Zone+Cushion+II+Sock&amp;qid=1695171113&amp;sr=8-1", "https://www.amazon.com/adidas-Cushion-Light-Maroon-Medium/dp/B00DF0RRL2/ref=sr_1_1?keywords=adidas+Copa+Zone+Cushion+II+Sock&amp;qid=1695171113&amp;sr=8-1")</f>
        <v/>
      </c>
      <c r="F2522" t="inlineStr">
        <is>
          <t>B00DF0RRL2</t>
        </is>
      </c>
      <c r="G2522">
        <f>_xludf.IMAGE("https://www.soccerplususa.com/prodimages/2500-DEFAULT-l.jpg")</f>
        <v/>
      </c>
      <c r="H2522">
        <f>_xludf.IMAGE("https://m.media-amazon.com/images/I/91uVZ109eZL._AC_UL320_.jpg")</f>
        <v/>
      </c>
      <c r="K2522" t="inlineStr">
        <is>
          <t>6.0</t>
        </is>
      </c>
      <c r="L2522" t="n">
        <v>12.45</v>
      </c>
      <c r="M2522" s="1" t="inlineStr">
        <is>
          <t>107.50%</t>
        </is>
      </c>
      <c r="N2522" s="3" t="n">
        <v>107.5</v>
      </c>
      <c r="O2522" t="n">
        <v>4.6</v>
      </c>
      <c r="P2522" t="n">
        <v>1211</v>
      </c>
      <c r="R2522" t="inlineStr">
        <is>
          <t>InStock</t>
        </is>
      </c>
      <c r="S2522" t="inlineStr">
        <is>
          <t>11.95</t>
        </is>
      </c>
      <c r="T2522" t="inlineStr">
        <is>
          <t>5130322</t>
        </is>
      </c>
    </row>
    <row r="2523" hidden="1" ht="15.75" customHeight="1">
      <c r="A2523" s="2">
        <f>HYPERLINK("https://www.soccerplususa.com/adidas/adidas-copa-zone-cushion-ii-sock-1930", "https://www.soccerplususa.com/adidas/adidas-copa-zone-cushion-ii-sock-1930")</f>
        <v/>
      </c>
      <c r="B2523" t="inlineStr">
        <is>
          <t>undefined</t>
        </is>
      </c>
      <c r="C2523" t="inlineStr">
        <is>
          <t>adidas Copa Zone Cushion II Sock</t>
        </is>
      </c>
      <c r="D2523" t="inlineStr">
        <is>
          <t>adidas Copa Zone Cushion II Soccer Sock (1-Pair)</t>
        </is>
      </c>
      <c r="E2523" s="2">
        <f>HYPERLINK("https://www.amazon.com/adidas-Cushion-Light-Maroon-Medium/dp/B00DF0RRL2/ref=sr_1_1?keywords=adidas+Copa+Zone+Cushion+II+Sock&amp;qid=1695171120&amp;sr=8-1", "https://www.amazon.com/adidas-Cushion-Light-Maroon-Medium/dp/B00DF0RRL2/ref=sr_1_1?keywords=adidas+Copa+Zone+Cushion+II+Sock&amp;qid=1695171120&amp;sr=8-1")</f>
        <v/>
      </c>
      <c r="F2523" t="inlineStr">
        <is>
          <t>B00DF0RRL2</t>
        </is>
      </c>
      <c r="G2523">
        <f>_xludf.IMAGE("https://www.soccerplususa.com/prodimages/2482-DEFAULT-l.jpg")</f>
        <v/>
      </c>
      <c r="H2523">
        <f>_xludf.IMAGE("https://m.media-amazon.com/images/I/91uVZ109eZL._AC_UL320_.jpg")</f>
        <v/>
      </c>
      <c r="K2523" t="inlineStr">
        <is>
          <t>6.0</t>
        </is>
      </c>
      <c r="L2523" t="n">
        <v>12.45</v>
      </c>
      <c r="M2523" s="1" t="inlineStr">
        <is>
          <t>107.50%</t>
        </is>
      </c>
      <c r="N2523" s="3" t="n">
        <v>107.5</v>
      </c>
      <c r="O2523" t="n">
        <v>4.6</v>
      </c>
      <c r="P2523" t="n">
        <v>1211</v>
      </c>
      <c r="R2523" t="inlineStr">
        <is>
          <t>InStock</t>
        </is>
      </c>
      <c r="S2523" t="inlineStr">
        <is>
          <t>11.95</t>
        </is>
      </c>
      <c r="T2523" t="inlineStr">
        <is>
          <t>5130173</t>
        </is>
      </c>
    </row>
    <row r="2524" hidden="1" ht="15.75" customHeight="1">
      <c r="A2524" s="2">
        <f>HYPERLINK("https://www.soccerplususa.com/adidas/adidas-copa-zone-cushion-ii-sock-1945", "https://www.soccerplususa.com/adidas/adidas-copa-zone-cushion-ii-sock-1945")</f>
        <v/>
      </c>
      <c r="B2524" t="inlineStr">
        <is>
          <t>undefined</t>
        </is>
      </c>
      <c r="C2524" t="inlineStr">
        <is>
          <t>adidas Copa Zone Cushion II Sock</t>
        </is>
      </c>
      <c r="D2524" t="inlineStr">
        <is>
          <t>adidas Copa Zone Cushion II Soccer Sock (1-Pair)</t>
        </is>
      </c>
      <c r="E2524" s="2">
        <f>HYPERLINK("https://www.amazon.com/adidas-Cushion-Light-Maroon-Medium/dp/B00DF0RRL2/ref=sr_1_1?keywords=adidas+Copa+Zone+Cushion+II+Sock&amp;qid=1695171108&amp;sr=8-1", "https://www.amazon.com/adidas-Cushion-Light-Maroon-Medium/dp/B00DF0RRL2/ref=sr_1_1?keywords=adidas+Copa+Zone+Cushion+II+Sock&amp;qid=1695171108&amp;sr=8-1")</f>
        <v/>
      </c>
      <c r="F2524" t="inlineStr">
        <is>
          <t>B00DF0RRL2</t>
        </is>
      </c>
      <c r="G2524">
        <f>_xludf.IMAGE("https://www.soccerplususa.com/prodimages/2490-DEFAULT-l.jpg")</f>
        <v/>
      </c>
      <c r="H2524">
        <f>_xludf.IMAGE("https://m.media-amazon.com/images/I/91uVZ109eZL._AC_UL320_.jpg")</f>
        <v/>
      </c>
      <c r="K2524" t="inlineStr">
        <is>
          <t>6.0</t>
        </is>
      </c>
      <c r="L2524" t="n">
        <v>12.45</v>
      </c>
      <c r="M2524" s="1" t="inlineStr">
        <is>
          <t>107.50%</t>
        </is>
      </c>
      <c r="N2524" s="3" t="n">
        <v>107.5</v>
      </c>
      <c r="O2524" t="n">
        <v>4.6</v>
      </c>
      <c r="P2524" t="n">
        <v>1211</v>
      </c>
      <c r="R2524" t="inlineStr">
        <is>
          <t>InStock</t>
        </is>
      </c>
      <c r="S2524" t="inlineStr">
        <is>
          <t>11.95</t>
        </is>
      </c>
      <c r="T2524" t="inlineStr">
        <is>
          <t>5130231</t>
        </is>
      </c>
    </row>
    <row r="2525" hidden="1" ht="15.75" customHeight="1">
      <c r="A2525" s="2">
        <f>HYPERLINK("https://www.soccerplususa.com/adidas/adidas-copa-zone-cushion-ii-sock-1948", "https://www.soccerplususa.com/adidas/adidas-copa-zone-cushion-ii-sock-1948")</f>
        <v/>
      </c>
      <c r="B2525" t="inlineStr">
        <is>
          <t>undefined</t>
        </is>
      </c>
      <c r="C2525" t="inlineStr">
        <is>
          <t>adidas Copa Zone Cushion II Sock</t>
        </is>
      </c>
      <c r="D2525" t="inlineStr">
        <is>
          <t>adidas Copa Zone Cushion II Soccer Sock (1-Pair)</t>
        </is>
      </c>
      <c r="E2525" s="2">
        <f>HYPERLINK("https://www.amazon.com/adidas-Cushion-Light-Maroon-Medium/dp/B00DF0RRL2/ref=sr_1_1?keywords=adidas+Copa+Zone+Cushion+II+Sock&amp;qid=1695171109&amp;sr=8-1", "https://www.amazon.com/adidas-Cushion-Light-Maroon-Medium/dp/B00DF0RRL2/ref=sr_1_1?keywords=adidas+Copa+Zone+Cushion+II+Sock&amp;qid=1695171109&amp;sr=8-1")</f>
        <v/>
      </c>
      <c r="F2525" t="inlineStr">
        <is>
          <t>B00DF0RRL2</t>
        </is>
      </c>
      <c r="G2525">
        <f>_xludf.IMAGE("https://www.soccerplususa.com/prodimages/2493-DEFAULT-l.jpg")</f>
        <v/>
      </c>
      <c r="H2525">
        <f>_xludf.IMAGE("https://m.media-amazon.com/images/I/91uVZ109eZL._AC_UL320_.jpg")</f>
        <v/>
      </c>
      <c r="K2525" t="inlineStr">
        <is>
          <t>6.0</t>
        </is>
      </c>
      <c r="L2525" t="n">
        <v>12.45</v>
      </c>
      <c r="M2525" s="1" t="inlineStr">
        <is>
          <t>107.50%</t>
        </is>
      </c>
      <c r="N2525" s="3" t="n">
        <v>107.5</v>
      </c>
      <c r="O2525" t="n">
        <v>4.6</v>
      </c>
      <c r="P2525" t="n">
        <v>1211</v>
      </c>
      <c r="R2525" t="inlineStr">
        <is>
          <t>InStock</t>
        </is>
      </c>
      <c r="S2525" t="inlineStr">
        <is>
          <t>11.95</t>
        </is>
      </c>
      <c r="T2525" t="inlineStr">
        <is>
          <t>5130236</t>
        </is>
      </c>
    </row>
    <row r="2526" ht="75" customHeight="1">
      <c r="A2526" s="2">
        <f>HYPERLINK("https://www.soccerplususa.com/sweat-x/sweat-x-odor-eliminator-spray-32391", "https://www.soccerplususa.com/sweat-x/sweat-x-odor-eliminator-spray-32391")</f>
        <v/>
      </c>
      <c r="B2526" t="inlineStr">
        <is>
          <t>undefined</t>
        </is>
      </c>
      <c r="C2526" t="inlineStr">
        <is>
          <t>Sweat X Odor Eliminator Spray</t>
        </is>
      </c>
      <c r="D2526" t="inlineStr">
        <is>
          <t>Sweat X Sport Mini Bundle - Sweat X Sport Laundry Detergent | Sweat X Sport Odor Eliminator Spray</t>
        </is>
      </c>
      <c r="E2526" s="2">
        <f>HYPERLINK("https://www.amazon.com/Sweat-Sport-Mini-Bundle-Eliminator/dp/B06XYB125K/ref=sr_1_2?keywords=Sweat+X+Odor+Eliminator+Spray&amp;qid=1695171102&amp;sr=8-2", "https://www.amazon.com/Sweat-Sport-Mini-Bundle-Eliminator/dp/B06XYB125K/ref=sr_1_2?keywords=Sweat+X+Odor+Eliminator+Spray&amp;qid=1695171102&amp;sr=8-2")</f>
        <v/>
      </c>
      <c r="F2526" t="inlineStr">
        <is>
          <t>B06XYB125K</t>
        </is>
      </c>
      <c r="G2526">
        <f>_xlfn.IMAGE("https://www.soccerplususa.com/prodimages/6257-DEFAULT-l.jpg")</f>
        <v/>
      </c>
      <c r="H2526">
        <f>_xlfn.IMAGE("https://m.media-amazon.com/images/I/612SsYjfmnL._AC_UL320_.jpg")</f>
        <v/>
      </c>
      <c r="K2526" t="inlineStr">
        <is>
          <t>14.95</t>
        </is>
      </c>
      <c r="L2526" t="n">
        <v>30</v>
      </c>
      <c r="M2526" s="1" t="inlineStr">
        <is>
          <t>100.67%</t>
        </is>
      </c>
      <c r="N2526" s="3" t="n">
        <v>100.67</v>
      </c>
      <c r="O2526" t="n">
        <v>4.3</v>
      </c>
      <c r="P2526" t="n">
        <v>90</v>
      </c>
      <c r="R2526" t="inlineStr">
        <is>
          <t>InStock</t>
        </is>
      </c>
      <c r="S2526" t="inlineStr">
        <is>
          <t>undefined</t>
        </is>
      </c>
      <c r="T2526" t="inlineStr">
        <is>
          <t>SWX4070</t>
        </is>
      </c>
    </row>
    <row r="2527" ht="75" customHeight="1">
      <c r="A2527" s="2">
        <f>HYPERLINK("https://www.soccerplususa.com/nike/nike-drifit-winter-warrior-neck-warmer-41003", "https://www.soccerplususa.com/nike/nike-drifit-winter-warrior-neck-warmer-41003")</f>
        <v/>
      </c>
      <c r="B2527" t="inlineStr">
        <is>
          <t>undefined</t>
        </is>
      </c>
      <c r="C2527" t="inlineStr">
        <is>
          <t>Nike Dri-FIT Winter Warrior Neck Warmer</t>
        </is>
      </c>
      <c r="D2527" t="inlineStr">
        <is>
          <t>Nike Therma Neck Warmer Dri-Fit Technology - Neck Gaiter (Black/White) Unisex</t>
        </is>
      </c>
      <c r="E2527" s="2">
        <f>HYPERLINK("https://www.amazon.com/Nike-Therma-Warmer-Dri-Fit-Technology/dp/B093TJDLS8/ref=sr_1_3?keywords=Nike+Dri-FIT+Winter+Warrior+Neck+Warmer&amp;qid=1695171082&amp;sr=8-3", "https://www.amazon.com/Nike-Therma-Warmer-Dri-Fit-Technology/dp/B093TJDLS8/ref=sr_1_3?keywords=Nike+Dri-FIT+Winter+Warrior+Neck+Warmer&amp;qid=1695171082&amp;sr=8-3")</f>
        <v/>
      </c>
      <c r="F2527" t="inlineStr">
        <is>
          <t>B093TJDLS8</t>
        </is>
      </c>
      <c r="G2527">
        <f>_xlfn.IMAGE("https://www.soccerplususa.com/prodimages//34371-BLACKWHITE-M.jpg")</f>
        <v/>
      </c>
      <c r="H2527">
        <f>_xlfn.IMAGE("https://m.media-amazon.com/images/I/61eKj5eM+kS._AC_UL320_.jpg")</f>
        <v/>
      </c>
      <c r="K2527" t="inlineStr">
        <is>
          <t>14.95</t>
        </is>
      </c>
      <c r="L2527" t="n">
        <v>29.95</v>
      </c>
      <c r="M2527" s="1" t="inlineStr">
        <is>
          <t>100.33%</t>
        </is>
      </c>
      <c r="N2527" s="3" t="n">
        <v>100.33</v>
      </c>
      <c r="O2527" t="n">
        <v>4.2</v>
      </c>
      <c r="P2527" t="n">
        <v>18</v>
      </c>
      <c r="R2527" t="inlineStr">
        <is>
          <t>InStock</t>
        </is>
      </c>
      <c r="S2527" t="inlineStr">
        <is>
          <t>undefined</t>
        </is>
      </c>
      <c r="T2527" t="inlineStr">
        <is>
          <t>DC9161-011</t>
        </is>
      </c>
    </row>
    <row r="2528" hidden="1" ht="15.75" customHeight="1">
      <c r="A2528" s="2">
        <f>HYPERLINK("https://www.soccerplususa.com/nike/nike-drifit-winter-warrior-neck-warmer-41003", "https://www.soccerplususa.com/nike/nike-drifit-winter-warrior-neck-warmer-41003")</f>
        <v/>
      </c>
      <c r="B2528" t="inlineStr">
        <is>
          <t>undefined</t>
        </is>
      </c>
      <c r="C2528" t="inlineStr">
        <is>
          <t>Nike Dri-FIT Winter Warrior Neck Warmer</t>
        </is>
      </c>
      <c r="D2528" t="inlineStr">
        <is>
          <t>Nike Therma Neck Warmer Dri-Fit Technology - Neck Gaiter (Swoosh) Unisex</t>
        </is>
      </c>
      <c r="E2528" s="2">
        <f>HYPERLINK("https://www.amazon.com/Nike-Therma-Warmer-Dri-Fit-Technology/dp/B093TG1KDD/ref=sr_1_8?keywords=Nike+Dri-FIT+Winter+Warrior+Neck+Warmer&amp;qid=1695171082&amp;sr=8-8", "https://www.amazon.com/Nike-Therma-Warmer-Dri-Fit-Technology/dp/B093TG1KDD/ref=sr_1_8?keywords=Nike+Dri-FIT+Winter+Warrior+Neck+Warmer&amp;qid=1695171082&amp;sr=8-8")</f>
        <v/>
      </c>
      <c r="F2528" t="inlineStr">
        <is>
          <t>B093TG1KDD</t>
        </is>
      </c>
      <c r="G2528">
        <f>_xludf.IMAGE("https://www.soccerplususa.com/prodimages//34371-BLACKWHITE-M.jpg")</f>
        <v/>
      </c>
      <c r="H2528">
        <f>_xludf.IMAGE("https://m.media-amazon.com/images/I/61MPYuRbVlS._AC_UL320_.jpg")</f>
        <v/>
      </c>
      <c r="K2528" t="inlineStr">
        <is>
          <t>14.95</t>
        </is>
      </c>
      <c r="L2528" t="n">
        <v>29.95</v>
      </c>
      <c r="M2528" s="1" t="inlineStr">
        <is>
          <t>100.33%</t>
        </is>
      </c>
      <c r="N2528" s="3" t="n">
        <v>100.33</v>
      </c>
      <c r="O2528" t="n">
        <v>3</v>
      </c>
      <c r="P2528" t="n">
        <v>7</v>
      </c>
      <c r="R2528" t="inlineStr">
        <is>
          <t>InStock</t>
        </is>
      </c>
      <c r="S2528" t="inlineStr">
        <is>
          <t>undefined</t>
        </is>
      </c>
      <c r="T2528" t="inlineStr">
        <is>
          <t>DC9161-011</t>
        </is>
      </c>
    </row>
    <row r="2529" hidden="1" ht="15.75" customHeight="1">
      <c r="A2529" s="2">
        <f>HYPERLINK("https://www.soccerplususa.com/adidas/adidas-copa-zone-cushion-ii-1949", "https://www.soccerplususa.com/adidas/adidas-copa-zone-cushion-ii-1949")</f>
        <v/>
      </c>
      <c r="B2529" t="inlineStr">
        <is>
          <t>undefined</t>
        </is>
      </c>
      <c r="C2529" t="inlineStr">
        <is>
          <t>adidas Copa Zone Cushion II</t>
        </is>
      </c>
      <c r="D2529" t="inlineStr">
        <is>
          <t>adidas Copa Zone Cushion 4 Soccer Socks for Boys, Girls, Men and Women (1-Pair)</t>
        </is>
      </c>
      <c r="E2529" s="2">
        <f>HYPERLINK("https://www.amazon.com/adidas-unisex-adult-Cushion-Soccer-X-Small/dp/B08KW52F1V/ref=sr_1_5?keywords=adidas+Copa+Zone+Cushion+II&amp;qid=1695171111&amp;sr=8-5", "https://www.amazon.com/adidas-unisex-adult-Cushion-Soccer-X-Small/dp/B08KW52F1V/ref=sr_1_5?keywords=adidas+Copa+Zone+Cushion+II&amp;qid=1695171111&amp;sr=8-5")</f>
        <v/>
      </c>
      <c r="F2529" t="inlineStr">
        <is>
          <t>B08KW52F1V</t>
        </is>
      </c>
      <c r="G2529">
        <f>_xludf.IMAGE("https://www.soccerplususa.com/prodimages/5096-DEFAULT-l.jpg")</f>
        <v/>
      </c>
      <c r="H2529">
        <f>_xludf.IMAGE("https://m.media-amazon.com/images/I/61LiVQlxxwL._AC_UL320_.jpg")</f>
        <v/>
      </c>
      <c r="K2529" t="inlineStr">
        <is>
          <t>6.0</t>
        </is>
      </c>
      <c r="L2529" t="n">
        <v>12</v>
      </c>
      <c r="M2529" s="1" t="inlineStr">
        <is>
          <t>100.00%</t>
        </is>
      </c>
      <c r="N2529" s="3" t="n">
        <v>100</v>
      </c>
      <c r="O2529" t="n">
        <v>4.7</v>
      </c>
      <c r="P2529" t="n">
        <v>699</v>
      </c>
      <c r="R2529" t="inlineStr">
        <is>
          <t>InStock</t>
        </is>
      </c>
      <c r="S2529" t="inlineStr">
        <is>
          <t>11.95</t>
        </is>
      </c>
      <c r="T2529" t="inlineStr">
        <is>
          <t>5130238</t>
        </is>
      </c>
    </row>
    <row r="2530" hidden="1" ht="15.75" customHeight="1">
      <c r="A2530" s="2">
        <f>HYPERLINK("https://www.soccerplususa.com/adidas/adidas-copa-zone-cushion-ii-sock-1944", "https://www.soccerplususa.com/adidas/adidas-copa-zone-cushion-ii-sock-1944")</f>
        <v/>
      </c>
      <c r="B2530" t="inlineStr">
        <is>
          <t>undefined</t>
        </is>
      </c>
      <c r="C2530" t="inlineStr">
        <is>
          <t>adidas Copa Zone Cushion II Sock</t>
        </is>
      </c>
      <c r="D2530" t="inlineStr">
        <is>
          <t>adidas Copa Zone Cushion 4 Soccer Socks for Boys, Girls, Men and Women (1-Pair)</t>
        </is>
      </c>
      <c r="E2530" s="2">
        <f>HYPERLINK("https://www.amazon.com/adidas-unisex-adult-Cushion-Soccer-X-Small/dp/B08KW52F1V/ref=sr_1_4?keywords=adidas+Copa+Zone+Cushion+II+Sock&amp;qid=1695171111&amp;sr=8-4", "https://www.amazon.com/adidas-unisex-adult-Cushion-Soccer-X-Small/dp/B08KW52F1V/ref=sr_1_4?keywords=adidas+Copa+Zone+Cushion+II+Sock&amp;qid=1695171111&amp;sr=8-4")</f>
        <v/>
      </c>
      <c r="F2530" t="inlineStr">
        <is>
          <t>B08KW52F1V</t>
        </is>
      </c>
      <c r="G2530">
        <f>_xludf.IMAGE("https://www.soccerplususa.com/prodimages/2489-DEFAULT-l.jpg")</f>
        <v/>
      </c>
      <c r="H2530">
        <f>_xludf.IMAGE("https://m.media-amazon.com/images/I/61LiVQlxxwL._AC_UL320_.jpg")</f>
        <v/>
      </c>
      <c r="K2530" t="inlineStr">
        <is>
          <t>6.0</t>
        </is>
      </c>
      <c r="L2530" t="n">
        <v>12</v>
      </c>
      <c r="M2530" s="1" t="inlineStr">
        <is>
          <t>100.00%</t>
        </is>
      </c>
      <c r="N2530" s="3" t="n">
        <v>100</v>
      </c>
      <c r="O2530" t="n">
        <v>4.7</v>
      </c>
      <c r="P2530" t="n">
        <v>699</v>
      </c>
      <c r="R2530" t="inlineStr">
        <is>
          <t>InStock</t>
        </is>
      </c>
      <c r="S2530" t="inlineStr">
        <is>
          <t>11.95</t>
        </is>
      </c>
      <c r="T2530" t="inlineStr">
        <is>
          <t>5130226</t>
        </is>
      </c>
    </row>
    <row r="2531" hidden="1" ht="15.75" customHeight="1">
      <c r="A2531" s="2">
        <f>HYPERLINK("https://www.soccerplususa.com/adidas/adidas-copa-zone-cushion-ii-sock-1962", "https://www.soccerplususa.com/adidas/adidas-copa-zone-cushion-ii-sock-1962")</f>
        <v/>
      </c>
      <c r="B2531" t="inlineStr">
        <is>
          <t>undefined</t>
        </is>
      </c>
      <c r="C2531" t="inlineStr">
        <is>
          <t>adidas Copa Zone Cushion II Sock</t>
        </is>
      </c>
      <c r="D2531" t="inlineStr">
        <is>
          <t>adidas Copa Zone Cushion III Soccer Socks (1-Pair)</t>
        </is>
      </c>
      <c r="E2531" s="2">
        <f>HYPERLINK("https://www.amazon.com/adidas-Cushion-Soccer-Socks-1-Pack/dp/B076P8F8FS/ref=sr_1_4?keywords=adidas+Copa+Zone+Cushion+II+Sock&amp;qid=1695171112&amp;sr=8-4", "https://www.amazon.com/adidas-Cushion-Soccer-Socks-1-Pack/dp/B076P8F8FS/ref=sr_1_4?keywords=adidas+Copa+Zone+Cushion+II+Sock&amp;qid=1695171112&amp;sr=8-4")</f>
        <v/>
      </c>
      <c r="F2531" t="inlineStr">
        <is>
          <t>B076P8F8FS</t>
        </is>
      </c>
      <c r="G2531">
        <f>_xludf.IMAGE("https://www.soccerplususa.com/prodimages/2496-DEFAULT-l.jpg")</f>
        <v/>
      </c>
      <c r="H2531">
        <f>_xludf.IMAGE("https://m.media-amazon.com/images/I/91T8E1cfwlL._AC_UL320_.jpg")</f>
        <v/>
      </c>
      <c r="K2531" t="inlineStr">
        <is>
          <t>6.0</t>
        </is>
      </c>
      <c r="L2531" t="n">
        <v>12</v>
      </c>
      <c r="M2531" s="1" t="inlineStr">
        <is>
          <t>100.00%</t>
        </is>
      </c>
      <c r="N2531" s="3" t="n">
        <v>100</v>
      </c>
      <c r="O2531" t="n">
        <v>4.6</v>
      </c>
      <c r="P2531" t="n">
        <v>15</v>
      </c>
      <c r="R2531" t="inlineStr">
        <is>
          <t>InStock</t>
        </is>
      </c>
      <c r="S2531" t="inlineStr">
        <is>
          <t>11.95</t>
        </is>
      </c>
      <c r="T2531" t="inlineStr">
        <is>
          <t>5130280</t>
        </is>
      </c>
    </row>
    <row r="2532" hidden="1" ht="15.75" customHeight="1">
      <c r="A2532" s="2">
        <f>HYPERLINK("https://www.soccerplususa.com/adidas/adidas-copa-zone-cushion-ii-sock-1962", "https://www.soccerplususa.com/adidas/adidas-copa-zone-cushion-ii-sock-1962")</f>
        <v/>
      </c>
      <c r="B2532" t="inlineStr">
        <is>
          <t>undefined</t>
        </is>
      </c>
      <c r="C2532" t="inlineStr">
        <is>
          <t>adidas Copa Zone Cushion II Sock</t>
        </is>
      </c>
      <c r="D2532" t="inlineStr">
        <is>
          <t>adidas Copa Zone Cushion 4 Soccer Socks for Boys, Girls, Men and Women (1-Pair)</t>
        </is>
      </c>
      <c r="E2532" s="2">
        <f>HYPERLINK("https://www.amazon.com/adidas-unisex-adult-Cushion-Soccer-X-Small/dp/B08KW52F1V/ref=sr_1_3?keywords=adidas+Copa+Zone+Cushion+II+Sock&amp;qid=1695171112&amp;sr=8-3", "https://www.amazon.com/adidas-unisex-adult-Cushion-Soccer-X-Small/dp/B08KW52F1V/ref=sr_1_3?keywords=adidas+Copa+Zone+Cushion+II+Sock&amp;qid=1695171112&amp;sr=8-3")</f>
        <v/>
      </c>
      <c r="F2532" t="inlineStr">
        <is>
          <t>B08KW52F1V</t>
        </is>
      </c>
      <c r="G2532">
        <f>_xludf.IMAGE("https://www.soccerplususa.com/prodimages/2496-DEFAULT-l.jpg")</f>
        <v/>
      </c>
      <c r="H2532">
        <f>_xludf.IMAGE("https://m.media-amazon.com/images/I/61LiVQlxxwL._AC_UL320_.jpg")</f>
        <v/>
      </c>
      <c r="K2532" t="inlineStr">
        <is>
          <t>6.0</t>
        </is>
      </c>
      <c r="L2532" t="n">
        <v>12</v>
      </c>
      <c r="M2532" s="1" t="inlineStr">
        <is>
          <t>100.00%</t>
        </is>
      </c>
      <c r="N2532" s="3" t="n">
        <v>100</v>
      </c>
      <c r="O2532" t="n">
        <v>4.7</v>
      </c>
      <c r="P2532" t="n">
        <v>699</v>
      </c>
      <c r="R2532" t="inlineStr">
        <is>
          <t>InStock</t>
        </is>
      </c>
      <c r="S2532" t="inlineStr">
        <is>
          <t>11.95</t>
        </is>
      </c>
      <c r="T2532" t="inlineStr">
        <is>
          <t>5130280</t>
        </is>
      </c>
    </row>
    <row r="2533" hidden="1" ht="15.75" customHeight="1">
      <c r="A2533" s="2">
        <f>HYPERLINK("https://www.soccerplususa.com/adidas/adidas-copa-zone-cushion-ii-sock-1967", "https://www.soccerplususa.com/adidas/adidas-copa-zone-cushion-ii-sock-1967")</f>
        <v/>
      </c>
      <c r="B2533" t="inlineStr">
        <is>
          <t>undefined</t>
        </is>
      </c>
      <c r="C2533" t="inlineStr">
        <is>
          <t>adidas Copa Zone Cushion II Sock</t>
        </is>
      </c>
      <c r="D2533" t="inlineStr">
        <is>
          <t>adidas Copa Zone Cushion 4 Soccer Socks for Boys, Girls, Men and Women (1-Pair)</t>
        </is>
      </c>
      <c r="E2533" s="2">
        <f>HYPERLINK("https://www.amazon.com/adidas-unisex-adult-Cushion-Soccer-X-Small/dp/B08KW52F1V/ref=sr_1_4?keywords=adidas+Copa+Zone+Cushion+II+Sock&amp;qid=1695171108&amp;sr=8-4", "https://www.amazon.com/adidas-unisex-adult-Cushion-Soccer-X-Small/dp/B08KW52F1V/ref=sr_1_4?keywords=adidas+Copa+Zone+Cushion+II+Sock&amp;qid=1695171108&amp;sr=8-4")</f>
        <v/>
      </c>
      <c r="F2533" t="inlineStr">
        <is>
          <t>B08KW52F1V</t>
        </is>
      </c>
      <c r="G2533">
        <f>_xludf.IMAGE("https://www.soccerplususa.com/prodimages/2497-DEFAULT-l.jpg")</f>
        <v/>
      </c>
      <c r="H2533">
        <f>_xludf.IMAGE("https://m.media-amazon.com/images/I/61LiVQlxxwL._AC_UL320_.jpg")</f>
        <v/>
      </c>
      <c r="K2533" t="inlineStr">
        <is>
          <t>6.0</t>
        </is>
      </c>
      <c r="L2533" t="n">
        <v>12</v>
      </c>
      <c r="M2533" s="1" t="inlineStr">
        <is>
          <t>100.00%</t>
        </is>
      </c>
      <c r="N2533" s="3" t="n">
        <v>100</v>
      </c>
      <c r="O2533" t="n">
        <v>4.7</v>
      </c>
      <c r="P2533" t="n">
        <v>699</v>
      </c>
      <c r="R2533" t="inlineStr">
        <is>
          <t>InStock</t>
        </is>
      </c>
      <c r="S2533" t="inlineStr">
        <is>
          <t>11.95</t>
        </is>
      </c>
      <c r="T2533" t="inlineStr">
        <is>
          <t>5130297</t>
        </is>
      </c>
    </row>
    <row r="2534" hidden="1" ht="15.75" customHeight="1">
      <c r="A2534" s="2">
        <f>HYPERLINK("https://www.soccerplususa.com/adidas/adidas-copa-zone-cushion-ii-sock-1944", "https://www.soccerplususa.com/adidas/adidas-copa-zone-cushion-ii-sock-1944")</f>
        <v/>
      </c>
      <c r="B2534" t="inlineStr">
        <is>
          <t>undefined</t>
        </is>
      </c>
      <c r="C2534" t="inlineStr">
        <is>
          <t>adidas Copa Zone Cushion II Sock</t>
        </is>
      </c>
      <c r="D2534" t="inlineStr">
        <is>
          <t>adidas Copa Zone Cushion III Soccer Socks (1-Pair)</t>
        </is>
      </c>
      <c r="E2534" s="2">
        <f>HYPERLINK("https://www.amazon.com/adidas-Cushion-Soccer-Socks-1-Pack/dp/B076P8F8FS/ref=sr_1_5?keywords=adidas+Copa+Zone+Cushion+II+Sock&amp;qid=1695171111&amp;sr=8-5", "https://www.amazon.com/adidas-Cushion-Soccer-Socks-1-Pack/dp/B076P8F8FS/ref=sr_1_5?keywords=adidas+Copa+Zone+Cushion+II+Sock&amp;qid=1695171111&amp;sr=8-5")</f>
        <v/>
      </c>
      <c r="F2534" t="inlineStr">
        <is>
          <t>B076P8F8FS</t>
        </is>
      </c>
      <c r="G2534">
        <f>_xludf.IMAGE("https://www.soccerplususa.com/prodimages/2489-DEFAULT-l.jpg")</f>
        <v/>
      </c>
      <c r="H2534">
        <f>_xludf.IMAGE("https://m.media-amazon.com/images/I/91T8E1cfwlL._AC_UL320_.jpg")</f>
        <v/>
      </c>
      <c r="K2534" t="inlineStr">
        <is>
          <t>6.0</t>
        </is>
      </c>
      <c r="L2534" t="n">
        <v>12</v>
      </c>
      <c r="M2534" s="1" t="inlineStr">
        <is>
          <t>100.00%</t>
        </is>
      </c>
      <c r="N2534" s="3" t="n">
        <v>100</v>
      </c>
      <c r="O2534" t="n">
        <v>4.6</v>
      </c>
      <c r="P2534" t="n">
        <v>15</v>
      </c>
      <c r="R2534" t="inlineStr">
        <is>
          <t>InStock</t>
        </is>
      </c>
      <c r="S2534" t="inlineStr">
        <is>
          <t>11.95</t>
        </is>
      </c>
      <c r="T2534" t="inlineStr">
        <is>
          <t>5130226</t>
        </is>
      </c>
    </row>
    <row r="2535" hidden="1" ht="15.75" customHeight="1">
      <c r="A2535" s="2">
        <f>HYPERLINK("https://www.soccerplususa.com/adidas/adidas-copa-zone-cushion-iii-sock-2070", "https://www.soccerplususa.com/adidas/adidas-copa-zone-cushion-iii-sock-2070")</f>
        <v/>
      </c>
      <c r="B2535" t="inlineStr">
        <is>
          <t>undefined</t>
        </is>
      </c>
      <c r="C2535" t="inlineStr">
        <is>
          <t>adidas Copa Zone Cushion III Sock</t>
        </is>
      </c>
      <c r="D2535" t="inlineStr">
        <is>
          <t>adidas Copa Zone Cushion III Soccer Socks (1-Pair)</t>
        </is>
      </c>
      <c r="E2535" s="2">
        <f>HYPERLINK("https://www.amazon.com/adidas-Cushion-Soccer-Socks-1-Pack/dp/B076P8F8FS/ref=sr_1_4?keywords=adidas+Copa+Zone+Cushion+III+Sock&amp;qid=1695171106&amp;sr=8-4", "https://www.amazon.com/adidas-Cushion-Soccer-Socks-1-Pack/dp/B076P8F8FS/ref=sr_1_4?keywords=adidas+Copa+Zone+Cushion+III+Sock&amp;qid=1695171106&amp;sr=8-4")</f>
        <v/>
      </c>
      <c r="F2535" t="inlineStr">
        <is>
          <t>B076P8F8FS</t>
        </is>
      </c>
      <c r="G2535">
        <f>_xludf.IMAGE("https://www.soccerplususa.com/prodimages/6072-DEFAULT-l.jpg")</f>
        <v/>
      </c>
      <c r="H2535">
        <f>_xludf.IMAGE("https://m.media-amazon.com/images/I/91T8E1cfwlL._AC_UL320_.jpg")</f>
        <v/>
      </c>
      <c r="K2535" t="inlineStr">
        <is>
          <t>6.0</t>
        </is>
      </c>
      <c r="L2535" t="n">
        <v>12</v>
      </c>
      <c r="M2535" s="1" t="inlineStr">
        <is>
          <t>100.00%</t>
        </is>
      </c>
      <c r="N2535" s="3" t="n">
        <v>100</v>
      </c>
      <c r="O2535" t="n">
        <v>4.6</v>
      </c>
      <c r="P2535" t="n">
        <v>15</v>
      </c>
      <c r="R2535" t="inlineStr">
        <is>
          <t>InStock</t>
        </is>
      </c>
      <c r="S2535" t="inlineStr">
        <is>
          <t>11.95</t>
        </is>
      </c>
      <c r="T2535" t="inlineStr">
        <is>
          <t>5143280</t>
        </is>
      </c>
    </row>
    <row r="2536" hidden="1" ht="15.75" customHeight="1">
      <c r="A2536" s="2">
        <f>HYPERLINK("https://www.soccerplususa.com/adidas/adidas-copa-zone-cushion-ii-1913", "https://www.soccerplususa.com/adidas/adidas-copa-zone-cushion-ii-1913")</f>
        <v/>
      </c>
      <c r="B2536" t="inlineStr">
        <is>
          <t>undefined</t>
        </is>
      </c>
      <c r="C2536" t="inlineStr">
        <is>
          <t>adidas Copa Zone Cushion II</t>
        </is>
      </c>
      <c r="D2536" t="inlineStr">
        <is>
          <t>adidas Copa Zone Cushion 4 Soccer Socks for Boys, Girls, Men and Women (1-Pair)</t>
        </is>
      </c>
      <c r="E2536" s="2">
        <f>HYPERLINK("https://www.amazon.com/adidas-unisex-adult-Cushion-Soccer-X-Small/dp/B08KW52F1V/ref=sr_1_5?keywords=adidas+Copa+Zone+Cushion+II&amp;qid=1695171113&amp;sr=8-5", "https://www.amazon.com/adidas-unisex-adult-Cushion-Soccer-X-Small/dp/B08KW52F1V/ref=sr_1_5?keywords=adidas+Copa+Zone+Cushion+II&amp;qid=1695171113&amp;sr=8-5")</f>
        <v/>
      </c>
      <c r="F2536" t="inlineStr">
        <is>
          <t>B08KW52F1V</t>
        </is>
      </c>
      <c r="G2536">
        <f>_xludf.IMAGE("https://www.soccerplususa.com/prodimages/5095-DEFAULT-l.jpg")</f>
        <v/>
      </c>
      <c r="H2536">
        <f>_xludf.IMAGE("https://m.media-amazon.com/images/I/61LiVQlxxwL._AC_UL320_.jpg")</f>
        <v/>
      </c>
      <c r="K2536" t="inlineStr">
        <is>
          <t>6.0</t>
        </is>
      </c>
      <c r="L2536" t="n">
        <v>12</v>
      </c>
      <c r="M2536" s="1" t="inlineStr">
        <is>
          <t>100.00%</t>
        </is>
      </c>
      <c r="N2536" s="3" t="n">
        <v>100</v>
      </c>
      <c r="O2536" t="n">
        <v>4.7</v>
      </c>
      <c r="P2536" t="n">
        <v>699</v>
      </c>
      <c r="R2536" t="inlineStr">
        <is>
          <t>InStock</t>
        </is>
      </c>
      <c r="S2536" t="inlineStr">
        <is>
          <t>11.95</t>
        </is>
      </c>
      <c r="T2536" t="inlineStr">
        <is>
          <t>5130128</t>
        </is>
      </c>
    </row>
    <row r="2537" hidden="1" ht="15.75" customHeight="1">
      <c r="A2537" s="2">
        <f>HYPERLINK("https://www.soccerplususa.com/adidas/adidas-copa-zone-cushion-ii-1913", "https://www.soccerplususa.com/adidas/adidas-copa-zone-cushion-ii-1913")</f>
        <v/>
      </c>
      <c r="B2537" t="inlineStr">
        <is>
          <t>undefined</t>
        </is>
      </c>
      <c r="C2537" t="inlineStr">
        <is>
          <t>adidas Copa Zone Cushion II</t>
        </is>
      </c>
      <c r="D2537" t="inlineStr">
        <is>
          <t>adidas Copa Zone Cushion III Soccer Socks (1-Pair)</t>
        </is>
      </c>
      <c r="E2537" s="2">
        <f>HYPERLINK("https://www.amazon.com/adidas-Cushion-Soccer-Socks-1-Pack/dp/B076P8F8FS/ref=sr_1_3?keywords=adidas+Copa+Zone+Cushion+II&amp;qid=1695171113&amp;sr=8-3", "https://www.amazon.com/adidas-Cushion-Soccer-Socks-1-Pack/dp/B076P8F8FS/ref=sr_1_3?keywords=adidas+Copa+Zone+Cushion+II&amp;qid=1695171113&amp;sr=8-3")</f>
        <v/>
      </c>
      <c r="F2537" t="inlineStr">
        <is>
          <t>B076P8F8FS</t>
        </is>
      </c>
      <c r="G2537">
        <f>_xludf.IMAGE("https://www.soccerplususa.com/prodimages/5095-DEFAULT-l.jpg")</f>
        <v/>
      </c>
      <c r="H2537">
        <f>_xludf.IMAGE("https://m.media-amazon.com/images/I/91T8E1cfwlL._AC_UL320_.jpg")</f>
        <v/>
      </c>
      <c r="K2537" t="inlineStr">
        <is>
          <t>6.0</t>
        </is>
      </c>
      <c r="L2537" t="n">
        <v>12</v>
      </c>
      <c r="M2537" s="1" t="inlineStr">
        <is>
          <t>100.00%</t>
        </is>
      </c>
      <c r="N2537" s="3" t="n">
        <v>100</v>
      </c>
      <c r="O2537" t="n">
        <v>4.6</v>
      </c>
      <c r="P2537" t="n">
        <v>15</v>
      </c>
      <c r="R2537" t="inlineStr">
        <is>
          <t>InStock</t>
        </is>
      </c>
      <c r="S2537" t="inlineStr">
        <is>
          <t>11.95</t>
        </is>
      </c>
      <c r="T2537" t="inlineStr">
        <is>
          <t>5130128</t>
        </is>
      </c>
    </row>
    <row r="2538" hidden="1" ht="15.75" customHeight="1">
      <c r="A2538" s="2">
        <f>HYPERLINK("https://www.soccerplususa.com/adidas/adidas-copa-zone-cushion-ii-sock-1900", "https://www.soccerplususa.com/adidas/adidas-copa-zone-cushion-ii-sock-1900")</f>
        <v/>
      </c>
      <c r="B2538" t="inlineStr">
        <is>
          <t>undefined</t>
        </is>
      </c>
      <c r="C2538" t="inlineStr">
        <is>
          <t>adidas Copa Zone Cushion II Sock</t>
        </is>
      </c>
      <c r="D2538" t="inlineStr">
        <is>
          <t>adidas Copa Zone Cushion III Soccer Socks (1-Pair)</t>
        </is>
      </c>
      <c r="E2538" s="2">
        <f>HYPERLINK("https://www.amazon.com/adidas-Cushion-Soccer-Socks-1-Pack/dp/B076P8F8FS/ref=sr_1_5?keywords=adidas+Copa+Zone+Cushion+II+Sock&amp;qid=1695171125&amp;sr=8-5", "https://www.amazon.com/adidas-Cushion-Soccer-Socks-1-Pack/dp/B076P8F8FS/ref=sr_1_5?keywords=adidas+Copa+Zone+Cushion+II+Sock&amp;qid=1695171125&amp;sr=8-5")</f>
        <v/>
      </c>
      <c r="F2538" t="inlineStr">
        <is>
          <t>B076P8F8FS</t>
        </is>
      </c>
      <c r="G2538">
        <f>_xludf.IMAGE("https://www.soccerplususa.com/prodimages/2474-DEFAULT-l.jpg")</f>
        <v/>
      </c>
      <c r="H2538">
        <f>_xludf.IMAGE("https://m.media-amazon.com/images/I/91T8E1cfwlL._AC_UL320_.jpg")</f>
        <v/>
      </c>
      <c r="K2538" t="inlineStr">
        <is>
          <t>6.0</t>
        </is>
      </c>
      <c r="L2538" t="n">
        <v>12</v>
      </c>
      <c r="M2538" s="1" t="inlineStr">
        <is>
          <t>100.00%</t>
        </is>
      </c>
      <c r="N2538" s="3" t="n">
        <v>100</v>
      </c>
      <c r="O2538" t="n">
        <v>4.6</v>
      </c>
      <c r="P2538" t="n">
        <v>15</v>
      </c>
      <c r="R2538" t="inlineStr">
        <is>
          <t>InStock</t>
        </is>
      </c>
      <c r="S2538" t="inlineStr">
        <is>
          <t>11.95</t>
        </is>
      </c>
      <c r="T2538" t="inlineStr">
        <is>
          <t>5130095</t>
        </is>
      </c>
    </row>
    <row r="2539" hidden="1" ht="15.75" customHeight="1">
      <c r="A2539" s="2">
        <f>HYPERLINK("https://www.soccerplususa.com/adidas/adidas-copa-zone-cushion-ii-sock-1900", "https://www.soccerplususa.com/adidas/adidas-copa-zone-cushion-ii-sock-1900")</f>
        <v/>
      </c>
      <c r="B2539" t="inlineStr">
        <is>
          <t>undefined</t>
        </is>
      </c>
      <c r="C2539" t="inlineStr">
        <is>
          <t>adidas Copa Zone Cushion II Sock</t>
        </is>
      </c>
      <c r="D2539" t="inlineStr">
        <is>
          <t>adidas Copa Zone Cushion 4 Soccer Socks for Boys, Girls, Men and Women (1-Pair)</t>
        </is>
      </c>
      <c r="E2539" s="2">
        <f>HYPERLINK("https://www.amazon.com/adidas-unisex-adult-Cushion-Soccer-X-Small/dp/B08KW52F1V/ref=sr_1_4?keywords=adidas+Copa+Zone+Cushion+II+Sock&amp;qid=1695171125&amp;sr=8-4", "https://www.amazon.com/adidas-unisex-adult-Cushion-Soccer-X-Small/dp/B08KW52F1V/ref=sr_1_4?keywords=adidas+Copa+Zone+Cushion+II+Sock&amp;qid=1695171125&amp;sr=8-4")</f>
        <v/>
      </c>
      <c r="F2539" t="inlineStr">
        <is>
          <t>B08KW52F1V</t>
        </is>
      </c>
      <c r="G2539">
        <f>_xludf.IMAGE("https://www.soccerplususa.com/prodimages/2474-DEFAULT-l.jpg")</f>
        <v/>
      </c>
      <c r="H2539">
        <f>_xludf.IMAGE("https://m.media-amazon.com/images/I/61LiVQlxxwL._AC_UL320_.jpg")</f>
        <v/>
      </c>
      <c r="K2539" t="inlineStr">
        <is>
          <t>6.0</t>
        </is>
      </c>
      <c r="L2539" t="n">
        <v>12</v>
      </c>
      <c r="M2539" s="1" t="inlineStr">
        <is>
          <t>100.00%</t>
        </is>
      </c>
      <c r="N2539" s="3" t="n">
        <v>100</v>
      </c>
      <c r="O2539" t="n">
        <v>4.7</v>
      </c>
      <c r="P2539" t="n">
        <v>699</v>
      </c>
      <c r="R2539" t="inlineStr">
        <is>
          <t>InStock</t>
        </is>
      </c>
      <c r="S2539" t="inlineStr">
        <is>
          <t>11.95</t>
        </is>
      </c>
      <c r="T2539" t="inlineStr">
        <is>
          <t>5130095</t>
        </is>
      </c>
    </row>
    <row r="2540" hidden="1" ht="15.75" customHeight="1">
      <c r="A2540" s="2">
        <f>HYPERLINK("https://www.soccerplususa.com/adidas/adidas-copa-zone-cushion-ii-sock-1945", "https://www.soccerplususa.com/adidas/adidas-copa-zone-cushion-ii-sock-1945")</f>
        <v/>
      </c>
      <c r="B2540" t="inlineStr">
        <is>
          <t>undefined</t>
        </is>
      </c>
      <c r="C2540" t="inlineStr">
        <is>
          <t>adidas Copa Zone Cushion II Sock</t>
        </is>
      </c>
      <c r="D2540" t="inlineStr">
        <is>
          <t>adidas Copa Zone Cushion 4 Soccer Socks for Boys, Girls, Men and Women (1-Pair)</t>
        </is>
      </c>
      <c r="E2540" s="2">
        <f>HYPERLINK("https://www.amazon.com/adidas-unisex-adult-Cushion-Soccer-X-Small/dp/B08KW52F1V/ref=sr_1_4?keywords=adidas+Copa+Zone+Cushion+II+Sock&amp;qid=1695171108&amp;sr=8-4", "https://www.amazon.com/adidas-unisex-adult-Cushion-Soccer-X-Small/dp/B08KW52F1V/ref=sr_1_4?keywords=adidas+Copa+Zone+Cushion+II+Sock&amp;qid=1695171108&amp;sr=8-4")</f>
        <v/>
      </c>
      <c r="F2540" t="inlineStr">
        <is>
          <t>B08KW52F1V</t>
        </is>
      </c>
      <c r="G2540">
        <f>_xludf.IMAGE("https://www.soccerplususa.com/prodimages/2490-DEFAULT-l.jpg")</f>
        <v/>
      </c>
      <c r="H2540">
        <f>_xludf.IMAGE("https://m.media-amazon.com/images/I/61LiVQlxxwL._AC_UL320_.jpg")</f>
        <v/>
      </c>
      <c r="K2540" t="inlineStr">
        <is>
          <t>6.0</t>
        </is>
      </c>
      <c r="L2540" t="n">
        <v>12</v>
      </c>
      <c r="M2540" s="1" t="inlineStr">
        <is>
          <t>100.00%</t>
        </is>
      </c>
      <c r="N2540" s="3" t="n">
        <v>100</v>
      </c>
      <c r="O2540" t="n">
        <v>4.7</v>
      </c>
      <c r="P2540" t="n">
        <v>699</v>
      </c>
      <c r="R2540" t="inlineStr">
        <is>
          <t>InStock</t>
        </is>
      </c>
      <c r="S2540" t="inlineStr">
        <is>
          <t>11.95</t>
        </is>
      </c>
      <c r="T2540" t="inlineStr">
        <is>
          <t>5130231</t>
        </is>
      </c>
    </row>
    <row r="2541" hidden="1" ht="15.75" customHeight="1">
      <c r="A2541" s="2">
        <f>HYPERLINK("https://www.soccerplususa.com/puma/puma-team-soccer-sock-29688", "https://www.soccerplususa.com/puma/puma-team-soccer-sock-29688")</f>
        <v/>
      </c>
      <c r="B2541" t="inlineStr">
        <is>
          <t>undefined</t>
        </is>
      </c>
      <c r="C2541" t="inlineStr">
        <is>
          <t>Puma Team Soccer Sock</t>
        </is>
      </c>
      <c r="D2541" t="inlineStr">
        <is>
          <t>PUMA Men's Team Liga Socks</t>
        </is>
      </c>
      <c r="E2541" s="2">
        <f>HYPERLINK("https://www.amazon.com/PUMA-Socks-Blackpuma-White-3-5-6/dp/B07KX4BLQJ/ref=sr_1_1?keywords=Puma+Team+Soccer+Sock&amp;qid=1695171098&amp;sr=8-1", "https://www.amazon.com/PUMA-Socks-Blackpuma-White-3-5-6/dp/B07KX4BLQJ/ref=sr_1_1?keywords=Puma+Team+Soccer+Sock&amp;qid=1695171098&amp;sr=8-1")</f>
        <v/>
      </c>
      <c r="F2541" t="inlineStr">
        <is>
          <t>B07KX4BLQJ</t>
        </is>
      </c>
      <c r="G2541">
        <f>_xludf.IMAGE("https://www.soccerplususa.com/prodimages/3776-DEFAULT-l.jpg")</f>
        <v/>
      </c>
      <c r="H2541">
        <f>_xludf.IMAGE("https://m.media-amazon.com/images/I/71-WWG5q4nL._AC_UL320_.jpg")</f>
        <v/>
      </c>
      <c r="K2541" t="inlineStr">
        <is>
          <t>6.0</t>
        </is>
      </c>
      <c r="L2541" t="n">
        <v>12</v>
      </c>
      <c r="M2541" s="1" t="inlineStr">
        <is>
          <t>100.00%</t>
        </is>
      </c>
      <c r="N2541" s="3" t="n">
        <v>100</v>
      </c>
      <c r="O2541" t="n">
        <v>4.5</v>
      </c>
      <c r="P2541" t="n">
        <v>711</v>
      </c>
      <c r="R2541" t="inlineStr">
        <is>
          <t>InStock</t>
        </is>
      </c>
      <c r="S2541" t="inlineStr">
        <is>
          <t>undefined</t>
        </is>
      </c>
      <c r="T2541" t="inlineStr">
        <is>
          <t>890420-01</t>
        </is>
      </c>
    </row>
    <row r="2542" hidden="1" ht="15.75" customHeight="1">
      <c r="A2542" s="2">
        <f>HYPERLINK("https://www.soccerplususa.com/adidas/adidas-copa-zone-cushion-ii-sock-1907", "https://www.soccerplususa.com/adidas/adidas-copa-zone-cushion-ii-sock-1907")</f>
        <v/>
      </c>
      <c r="B2542" t="inlineStr">
        <is>
          <t>undefined</t>
        </is>
      </c>
      <c r="C2542" t="inlineStr">
        <is>
          <t>adidas Copa Zone Cushion II Sock</t>
        </is>
      </c>
      <c r="D2542" t="inlineStr">
        <is>
          <t>adidas Copa Zone Cushion III Soccer Socks (1-Pair)</t>
        </is>
      </c>
      <c r="E2542" s="2">
        <f>HYPERLINK("https://www.amazon.com/adidas-Cushion-Soccer-Socks-1-Pack/dp/B076P8F8FS/ref=sr_1_5?keywords=adidas+Copa+Zone+Cushion+II+Sock&amp;qid=1695171114&amp;sr=8-5", "https://www.amazon.com/adidas-Cushion-Soccer-Socks-1-Pack/dp/B076P8F8FS/ref=sr_1_5?keywords=adidas+Copa+Zone+Cushion+II+Sock&amp;qid=1695171114&amp;sr=8-5")</f>
        <v/>
      </c>
      <c r="F2542" t="inlineStr">
        <is>
          <t>B076P8F8FS</t>
        </is>
      </c>
      <c r="G2542">
        <f>_xludf.IMAGE("https://www.soccerplususa.com/prodimages/2476-DEFAULT-l.jpg")</f>
        <v/>
      </c>
      <c r="H2542">
        <f>_xludf.IMAGE("https://m.media-amazon.com/images/I/91T8E1cfwlL._AC_UL320_.jpg")</f>
        <v/>
      </c>
      <c r="K2542" t="inlineStr">
        <is>
          <t>6.0</t>
        </is>
      </c>
      <c r="L2542" t="n">
        <v>12</v>
      </c>
      <c r="M2542" s="1" t="inlineStr">
        <is>
          <t>100.00%</t>
        </is>
      </c>
      <c r="N2542" s="3" t="n">
        <v>100</v>
      </c>
      <c r="O2542" t="n">
        <v>4.6</v>
      </c>
      <c r="P2542" t="n">
        <v>15</v>
      </c>
      <c r="R2542" t="inlineStr">
        <is>
          <t>InStock</t>
        </is>
      </c>
      <c r="S2542" t="inlineStr">
        <is>
          <t>11.95</t>
        </is>
      </c>
      <c r="T2542" t="inlineStr">
        <is>
          <t>5130109</t>
        </is>
      </c>
    </row>
    <row r="2543" hidden="1" ht="15.75" customHeight="1">
      <c r="A2543" s="2">
        <f>HYPERLINK("https://www.soccerplususa.com/adidas/adidas-copa-zone-cushion-ii-sock-1969", "https://www.soccerplususa.com/adidas/adidas-copa-zone-cushion-ii-sock-1969")</f>
        <v/>
      </c>
      <c r="B2543" t="inlineStr">
        <is>
          <t>undefined</t>
        </is>
      </c>
      <c r="C2543" t="inlineStr">
        <is>
          <t>adidas Copa Zone Cushion II Sock</t>
        </is>
      </c>
      <c r="D2543" t="inlineStr">
        <is>
          <t>adidas Copa Zone Cushion III Soccer Socks (1-Pair)</t>
        </is>
      </c>
      <c r="E2543" s="2">
        <f>HYPERLINK("https://www.amazon.com/adidas-Cushion-Soccer-Socks-1-Pack/dp/B076P8F8FS/ref=sr_1_5?keywords=adidas+Copa+Zone+Cushion+II+Sock&amp;qid=1695171113&amp;sr=8-5", "https://www.amazon.com/adidas-Cushion-Soccer-Socks-1-Pack/dp/B076P8F8FS/ref=sr_1_5?keywords=adidas+Copa+Zone+Cushion+II+Sock&amp;qid=1695171113&amp;sr=8-5")</f>
        <v/>
      </c>
      <c r="F2543" t="inlineStr">
        <is>
          <t>B076P8F8FS</t>
        </is>
      </c>
      <c r="G2543">
        <f>_xludf.IMAGE("https://www.soccerplususa.com/prodimages/2498-DEFAULT-l.jpg")</f>
        <v/>
      </c>
      <c r="H2543">
        <f>_xludf.IMAGE("https://m.media-amazon.com/images/I/91T8E1cfwlL._AC_UL320_.jpg")</f>
        <v/>
      </c>
      <c r="K2543" t="inlineStr">
        <is>
          <t>6.0</t>
        </is>
      </c>
      <c r="L2543" t="n">
        <v>12</v>
      </c>
      <c r="M2543" s="1" t="inlineStr">
        <is>
          <t>100.00%</t>
        </is>
      </c>
      <c r="N2543" s="3" t="n">
        <v>100</v>
      </c>
      <c r="O2543" t="n">
        <v>4.6</v>
      </c>
      <c r="P2543" t="n">
        <v>15</v>
      </c>
      <c r="R2543" t="inlineStr">
        <is>
          <t>InStock</t>
        </is>
      </c>
      <c r="S2543" t="inlineStr">
        <is>
          <t>11.95</t>
        </is>
      </c>
      <c r="T2543" t="inlineStr">
        <is>
          <t>5130310</t>
        </is>
      </c>
    </row>
    <row r="2544" hidden="1" ht="15.75" customHeight="1">
      <c r="A2544" s="2">
        <f>HYPERLINK("https://www.soccerplususa.com/adidas/adidas-copa-zone-cushion-ii-sock-1969", "https://www.soccerplususa.com/adidas/adidas-copa-zone-cushion-ii-sock-1969")</f>
        <v/>
      </c>
      <c r="B2544" t="inlineStr">
        <is>
          <t>undefined</t>
        </is>
      </c>
      <c r="C2544" t="inlineStr">
        <is>
          <t>adidas Copa Zone Cushion II Sock</t>
        </is>
      </c>
      <c r="D2544" t="inlineStr">
        <is>
          <t>adidas Copa Zone Cushion 4 Soccer Socks for Boys, Girls, Men and Women (1-Pair)</t>
        </is>
      </c>
      <c r="E2544" s="2">
        <f>HYPERLINK("https://www.amazon.com/adidas-unisex-adult-Cushion-Soccer-X-Small/dp/B08KW52F1V/ref=sr_1_4?keywords=adidas+Copa+Zone+Cushion+II+Sock&amp;qid=1695171113&amp;sr=8-4", "https://www.amazon.com/adidas-unisex-adult-Cushion-Soccer-X-Small/dp/B08KW52F1V/ref=sr_1_4?keywords=adidas+Copa+Zone+Cushion+II+Sock&amp;qid=1695171113&amp;sr=8-4")</f>
        <v/>
      </c>
      <c r="F2544" t="inlineStr">
        <is>
          <t>B08KW52F1V</t>
        </is>
      </c>
      <c r="G2544">
        <f>_xludf.IMAGE("https://www.soccerplususa.com/prodimages/2498-DEFAULT-l.jpg")</f>
        <v/>
      </c>
      <c r="H2544">
        <f>_xludf.IMAGE("https://m.media-amazon.com/images/I/61LiVQlxxwL._AC_UL320_.jpg")</f>
        <v/>
      </c>
      <c r="K2544" t="inlineStr">
        <is>
          <t>6.0</t>
        </is>
      </c>
      <c r="L2544" t="n">
        <v>12</v>
      </c>
      <c r="M2544" s="1" t="inlineStr">
        <is>
          <t>100.00%</t>
        </is>
      </c>
      <c r="N2544" s="3" t="n">
        <v>100</v>
      </c>
      <c r="O2544" t="n">
        <v>4.7</v>
      </c>
      <c r="P2544" t="n">
        <v>699</v>
      </c>
      <c r="R2544" t="inlineStr">
        <is>
          <t>InStock</t>
        </is>
      </c>
      <c r="S2544" t="inlineStr">
        <is>
          <t>11.95</t>
        </is>
      </c>
      <c r="T2544" t="inlineStr">
        <is>
          <t>5130310</t>
        </is>
      </c>
    </row>
    <row r="2545" hidden="1" ht="15.75" customHeight="1">
      <c r="A2545" s="2">
        <f>HYPERLINK("https://www.soccerplususa.com/adidas/adidas-copa-zone-cushion-ii-1922", "https://www.soccerplususa.com/adidas/adidas-copa-zone-cushion-ii-1922")</f>
        <v/>
      </c>
      <c r="B2545" t="inlineStr">
        <is>
          <t>undefined</t>
        </is>
      </c>
      <c r="C2545" t="inlineStr">
        <is>
          <t>adidas Copa Zone Cushion II</t>
        </is>
      </c>
      <c r="D2545" t="inlineStr">
        <is>
          <t>adidas Copa Zone Cushion 4 Soccer Socks for Boys, Girls, Men and Women (1-Pair)</t>
        </is>
      </c>
      <c r="E2545" s="2">
        <f>HYPERLINK("https://www.amazon.com/adidas-unisex-adult-Cushion-Soccer-X-Small/dp/B08KW52F1V/ref=sr_1_5?keywords=adidas+Copa+Zone+Cushion+II&amp;qid=1695171129&amp;sr=8-5", "https://www.amazon.com/adidas-unisex-adult-Cushion-Soccer-X-Small/dp/B08KW52F1V/ref=sr_1_5?keywords=adidas+Copa+Zone+Cushion+II&amp;qid=1695171129&amp;sr=8-5")</f>
        <v/>
      </c>
      <c r="F2545" t="inlineStr">
        <is>
          <t>B08KW52F1V</t>
        </is>
      </c>
      <c r="G2545">
        <f>_xludf.IMAGE("https://www.soccerplususa.com/prodimages/5094-DEFAULT-l.jpg")</f>
        <v/>
      </c>
      <c r="H2545">
        <f>_xludf.IMAGE("https://m.media-amazon.com/images/I/61LiVQlxxwL._AC_UL320_.jpg")</f>
        <v/>
      </c>
      <c r="K2545" t="inlineStr">
        <is>
          <t>6.0</t>
        </is>
      </c>
      <c r="L2545" t="n">
        <v>12</v>
      </c>
      <c r="M2545" s="1" t="inlineStr">
        <is>
          <t>100.00%</t>
        </is>
      </c>
      <c r="N2545" s="3" t="n">
        <v>100</v>
      </c>
      <c r="O2545" t="n">
        <v>4.7</v>
      </c>
      <c r="P2545" t="n">
        <v>699</v>
      </c>
      <c r="R2545" t="inlineStr">
        <is>
          <t>InStock</t>
        </is>
      </c>
      <c r="S2545" t="inlineStr">
        <is>
          <t>11.95</t>
        </is>
      </c>
      <c r="T2545" t="inlineStr">
        <is>
          <t>5130155</t>
        </is>
      </c>
    </row>
    <row r="2546" hidden="1" ht="15.75" customHeight="1">
      <c r="A2546" s="2">
        <f>HYPERLINK("https://www.soccerplususa.com/adidas/adidas-copa-zone-cushion-ii-1887", "https://www.soccerplususa.com/adidas/adidas-copa-zone-cushion-ii-1887")</f>
        <v/>
      </c>
      <c r="B2546" t="inlineStr">
        <is>
          <t>undefined</t>
        </is>
      </c>
      <c r="C2546" t="inlineStr">
        <is>
          <t>adidas Copa Zone Cushion II</t>
        </is>
      </c>
      <c r="D2546" t="inlineStr">
        <is>
          <t>adidas Copa Zone Cushion III Soccer Socks (1-Pair)</t>
        </is>
      </c>
      <c r="E2546" s="2">
        <f>HYPERLINK("https://www.amazon.com/adidas-Cushion-Soccer-Socks-1-Pack/dp/B076P8F8FS/ref=sr_1_3?keywords=adidas+Copa+Zone+Cushion+II&amp;qid=1695171116&amp;sr=8-3", "https://www.amazon.com/adidas-Cushion-Soccer-Socks-1-Pack/dp/B076P8F8FS/ref=sr_1_3?keywords=adidas+Copa+Zone+Cushion+II&amp;qid=1695171116&amp;sr=8-3")</f>
        <v/>
      </c>
      <c r="F2546" t="inlineStr">
        <is>
          <t>B076P8F8FS</t>
        </is>
      </c>
      <c r="G2546">
        <f>_xludf.IMAGE("https://www.soccerplususa.com/prodimages/2504-DEFAULT-l.jpg")</f>
        <v/>
      </c>
      <c r="H2546">
        <f>_xludf.IMAGE("https://m.media-amazon.com/images/I/91T8E1cfwlL._AC_UL320_.jpg")</f>
        <v/>
      </c>
      <c r="K2546" t="inlineStr">
        <is>
          <t>6.0</t>
        </is>
      </c>
      <c r="L2546" t="n">
        <v>12</v>
      </c>
      <c r="M2546" s="1" t="inlineStr">
        <is>
          <t>100.00%</t>
        </is>
      </c>
      <c r="N2546" s="3" t="n">
        <v>100</v>
      </c>
      <c r="O2546" t="n">
        <v>4.6</v>
      </c>
      <c r="P2546" t="n">
        <v>15</v>
      </c>
      <c r="R2546" t="inlineStr">
        <is>
          <t>InStock</t>
        </is>
      </c>
      <c r="S2546" t="inlineStr">
        <is>
          <t>11.95</t>
        </is>
      </c>
      <c r="T2546" t="inlineStr">
        <is>
          <t>5130040</t>
        </is>
      </c>
    </row>
    <row r="2547" hidden="1" ht="15.75" customHeight="1">
      <c r="A2547" s="2">
        <f>HYPERLINK("https://www.soccerplususa.com/adidas/adidas-copa-zone-cushion-ii-1887", "https://www.soccerplususa.com/adidas/adidas-copa-zone-cushion-ii-1887")</f>
        <v/>
      </c>
      <c r="B2547" t="inlineStr">
        <is>
          <t>undefined</t>
        </is>
      </c>
      <c r="C2547" t="inlineStr">
        <is>
          <t>adidas Copa Zone Cushion II</t>
        </is>
      </c>
      <c r="D2547" t="inlineStr">
        <is>
          <t>adidas Copa Zone Cushion 4 Soccer Socks for Boys, Girls, Men and Women (1-Pair)</t>
        </is>
      </c>
      <c r="E2547" s="2">
        <f>HYPERLINK("https://www.amazon.com/adidas-unisex-adult-Cushion-Soccer-X-Small/dp/B08KW52F1V/ref=sr_1_5?keywords=adidas+Copa+Zone+Cushion+II&amp;qid=1695171116&amp;sr=8-5", "https://www.amazon.com/adidas-unisex-adult-Cushion-Soccer-X-Small/dp/B08KW52F1V/ref=sr_1_5?keywords=adidas+Copa+Zone+Cushion+II&amp;qid=1695171116&amp;sr=8-5")</f>
        <v/>
      </c>
      <c r="F2547" t="inlineStr">
        <is>
          <t>B08KW52F1V</t>
        </is>
      </c>
      <c r="G2547">
        <f>_xludf.IMAGE("https://www.soccerplususa.com/prodimages/2504-DEFAULT-l.jpg")</f>
        <v/>
      </c>
      <c r="H2547">
        <f>_xludf.IMAGE("https://m.media-amazon.com/images/I/61LiVQlxxwL._AC_UL320_.jpg")</f>
        <v/>
      </c>
      <c r="K2547" t="inlineStr">
        <is>
          <t>6.0</t>
        </is>
      </c>
      <c r="L2547" t="n">
        <v>12</v>
      </c>
      <c r="M2547" s="1" t="inlineStr">
        <is>
          <t>100.00%</t>
        </is>
      </c>
      <c r="N2547" s="3" t="n">
        <v>100</v>
      </c>
      <c r="O2547" t="n">
        <v>4.7</v>
      </c>
      <c r="P2547" t="n">
        <v>699</v>
      </c>
      <c r="R2547" t="inlineStr">
        <is>
          <t>InStock</t>
        </is>
      </c>
      <c r="S2547" t="inlineStr">
        <is>
          <t>11.95</t>
        </is>
      </c>
      <c r="T2547" t="inlineStr">
        <is>
          <t>5130040</t>
        </is>
      </c>
    </row>
    <row r="2548" hidden="1" ht="15.75" customHeight="1">
      <c r="A2548" s="2">
        <f>HYPERLINK("https://www.soccerplususa.com/adidas/adidas-copa-zone-cushion-ii-1949", "https://www.soccerplususa.com/adidas/adidas-copa-zone-cushion-ii-1949")</f>
        <v/>
      </c>
      <c r="B2548" t="inlineStr">
        <is>
          <t>undefined</t>
        </is>
      </c>
      <c r="C2548" t="inlineStr">
        <is>
          <t>adidas Copa Zone Cushion II</t>
        </is>
      </c>
      <c r="D2548" t="inlineStr">
        <is>
          <t>adidas Copa Zone Cushion III Soccer Socks (1-Pair)</t>
        </is>
      </c>
      <c r="E2548" s="2">
        <f>HYPERLINK("https://www.amazon.com/adidas-Cushion-Soccer-Socks-1-Pack/dp/B076P8F8FS/ref=sr_1_3?keywords=adidas+Copa+Zone+Cushion+II&amp;qid=1695171111&amp;sr=8-3", "https://www.amazon.com/adidas-Cushion-Soccer-Socks-1-Pack/dp/B076P8F8FS/ref=sr_1_3?keywords=adidas+Copa+Zone+Cushion+II&amp;qid=1695171111&amp;sr=8-3")</f>
        <v/>
      </c>
      <c r="F2548" t="inlineStr">
        <is>
          <t>B076P8F8FS</t>
        </is>
      </c>
      <c r="G2548">
        <f>_xludf.IMAGE("https://www.soccerplususa.com/prodimages/5096-DEFAULT-l.jpg")</f>
        <v/>
      </c>
      <c r="H2548">
        <f>_xludf.IMAGE("https://m.media-amazon.com/images/I/91T8E1cfwlL._AC_UL320_.jpg")</f>
        <v/>
      </c>
      <c r="K2548" t="inlineStr">
        <is>
          <t>6.0</t>
        </is>
      </c>
      <c r="L2548" t="n">
        <v>12</v>
      </c>
      <c r="M2548" s="1" t="inlineStr">
        <is>
          <t>100.00%</t>
        </is>
      </c>
      <c r="N2548" s="3" t="n">
        <v>100</v>
      </c>
      <c r="O2548" t="n">
        <v>4.6</v>
      </c>
      <c r="P2548" t="n">
        <v>15</v>
      </c>
      <c r="R2548" t="inlineStr">
        <is>
          <t>InStock</t>
        </is>
      </c>
      <c r="S2548" t="inlineStr">
        <is>
          <t>11.95</t>
        </is>
      </c>
      <c r="T2548" t="inlineStr">
        <is>
          <t>5130238</t>
        </is>
      </c>
    </row>
    <row r="2549" hidden="1" ht="15.75" customHeight="1">
      <c r="A2549" s="2">
        <f>HYPERLINK("https://www.soccerplususa.com/adidas/adidas-copa-zone-cushion-ii-1922", "https://www.soccerplususa.com/adidas/adidas-copa-zone-cushion-ii-1922")</f>
        <v/>
      </c>
      <c r="B2549" t="inlineStr">
        <is>
          <t>undefined</t>
        </is>
      </c>
      <c r="C2549" t="inlineStr">
        <is>
          <t>adidas Copa Zone Cushion II</t>
        </is>
      </c>
      <c r="D2549" t="inlineStr">
        <is>
          <t>adidas Copa Zone Cushion III Soccer Socks (1-Pair)</t>
        </is>
      </c>
      <c r="E2549" s="2">
        <f>HYPERLINK("https://www.amazon.com/adidas-Cushion-Soccer-Socks-1-Pack/dp/B076P8F8FS/ref=sr_1_3?keywords=adidas+Copa+Zone+Cushion+II&amp;qid=1695171129&amp;sr=8-3", "https://www.amazon.com/adidas-Cushion-Soccer-Socks-1-Pack/dp/B076P8F8FS/ref=sr_1_3?keywords=adidas+Copa+Zone+Cushion+II&amp;qid=1695171129&amp;sr=8-3")</f>
        <v/>
      </c>
      <c r="F2549" t="inlineStr">
        <is>
          <t>B076P8F8FS</t>
        </is>
      </c>
      <c r="G2549">
        <f>_xludf.IMAGE("https://www.soccerplususa.com/prodimages/5094-DEFAULT-l.jpg")</f>
        <v/>
      </c>
      <c r="H2549">
        <f>_xludf.IMAGE("https://m.media-amazon.com/images/I/91T8E1cfwlL._AC_UL320_.jpg")</f>
        <v/>
      </c>
      <c r="K2549" t="inlineStr">
        <is>
          <t>6.0</t>
        </is>
      </c>
      <c r="L2549" t="n">
        <v>12</v>
      </c>
      <c r="M2549" s="1" t="inlineStr">
        <is>
          <t>100.00%</t>
        </is>
      </c>
      <c r="N2549" s="3" t="n">
        <v>100</v>
      </c>
      <c r="O2549" t="n">
        <v>4.6</v>
      </c>
      <c r="P2549" t="n">
        <v>15</v>
      </c>
      <c r="R2549" t="inlineStr">
        <is>
          <t>InStock</t>
        </is>
      </c>
      <c r="S2549" t="inlineStr">
        <is>
          <t>11.95</t>
        </is>
      </c>
      <c r="T2549" t="inlineStr">
        <is>
          <t>5130155</t>
        </is>
      </c>
    </row>
    <row r="2550" hidden="1" ht="15.75" customHeight="1">
      <c r="A2550" s="2">
        <f>HYPERLINK("https://www.soccerplususa.com/adidas/adidas-copa-zone-cushion-ii-sock-1902", "https://www.soccerplususa.com/adidas/adidas-copa-zone-cushion-ii-sock-1902")</f>
        <v/>
      </c>
      <c r="B2550" t="inlineStr">
        <is>
          <t>undefined</t>
        </is>
      </c>
      <c r="C2550" t="inlineStr">
        <is>
          <t>adidas Copa Zone Cushion II Sock</t>
        </is>
      </c>
      <c r="D2550" t="inlineStr">
        <is>
          <t>adidas Copa Zone Cushion III Soccer Socks (1-Pair)</t>
        </is>
      </c>
      <c r="E2550" s="2">
        <f>HYPERLINK("https://www.amazon.com/adidas-Cushion-Soccer-Socks-1-Pack/dp/B076P8F8FS/ref=sr_1_6?keywords=adidas+Copa+Zone+Cushion+II+Sock&amp;qid=1695171110&amp;sr=8-6", "https://www.amazon.com/adidas-Cushion-Soccer-Socks-1-Pack/dp/B076P8F8FS/ref=sr_1_6?keywords=adidas+Copa+Zone+Cushion+II+Sock&amp;qid=1695171110&amp;sr=8-6")</f>
        <v/>
      </c>
      <c r="F2550" t="inlineStr">
        <is>
          <t>B076P8F8FS</t>
        </is>
      </c>
      <c r="G2550">
        <f>_xludf.IMAGE("https://www.soccerplususa.com/prodimages/2475-DEFAULT-l.jpg")</f>
        <v/>
      </c>
      <c r="H2550">
        <f>_xludf.IMAGE("https://m.media-amazon.com/images/I/91T8E1cfwlL._AC_UL320_.jpg")</f>
        <v/>
      </c>
      <c r="K2550" t="inlineStr">
        <is>
          <t>6.0</t>
        </is>
      </c>
      <c r="L2550" t="n">
        <v>12</v>
      </c>
      <c r="M2550" s="1" t="inlineStr">
        <is>
          <t>100.00%</t>
        </is>
      </c>
      <c r="N2550" s="3" t="n">
        <v>100</v>
      </c>
      <c r="O2550" t="n">
        <v>4.6</v>
      </c>
      <c r="P2550" t="n">
        <v>15</v>
      </c>
      <c r="R2550" t="inlineStr">
        <is>
          <t>InStock</t>
        </is>
      </c>
      <c r="S2550" t="inlineStr">
        <is>
          <t>11.95</t>
        </is>
      </c>
      <c r="T2550" t="inlineStr">
        <is>
          <t>5130099</t>
        </is>
      </c>
    </row>
    <row r="2551" hidden="1" ht="15.75" customHeight="1">
      <c r="A2551" s="2">
        <f>HYPERLINK("https://www.soccerplususa.com/adidas/adidas-copa-zone-cushion-ii-sock-1902", "https://www.soccerplususa.com/adidas/adidas-copa-zone-cushion-ii-sock-1902")</f>
        <v/>
      </c>
      <c r="B2551" t="inlineStr">
        <is>
          <t>undefined</t>
        </is>
      </c>
      <c r="C2551" t="inlineStr">
        <is>
          <t>adidas Copa Zone Cushion II Sock</t>
        </is>
      </c>
      <c r="D2551" t="inlineStr">
        <is>
          <t>adidas Copa Zone Cushion 4 Soccer Socks for Boys, Girls, Men and Women (1-Pair)</t>
        </is>
      </c>
      <c r="E2551" s="2">
        <f>HYPERLINK("https://www.amazon.com/adidas-unisex-adult-Cushion-Soccer-X-Small/dp/B08KW52F1V/ref=sr_1_5?keywords=adidas+Copa+Zone+Cushion+II+Sock&amp;qid=1695171110&amp;sr=8-5", "https://www.amazon.com/adidas-unisex-adult-Cushion-Soccer-X-Small/dp/B08KW52F1V/ref=sr_1_5?keywords=adidas+Copa+Zone+Cushion+II+Sock&amp;qid=1695171110&amp;sr=8-5")</f>
        <v/>
      </c>
      <c r="F2551" t="inlineStr">
        <is>
          <t>B08KW52F1V</t>
        </is>
      </c>
      <c r="G2551">
        <f>_xludf.IMAGE("https://www.soccerplususa.com/prodimages/2475-DEFAULT-l.jpg")</f>
        <v/>
      </c>
      <c r="H2551">
        <f>_xludf.IMAGE("https://m.media-amazon.com/images/I/61LiVQlxxwL._AC_UL320_.jpg")</f>
        <v/>
      </c>
      <c r="K2551" t="inlineStr">
        <is>
          <t>6.0</t>
        </is>
      </c>
      <c r="L2551" t="n">
        <v>12</v>
      </c>
      <c r="M2551" s="1" t="inlineStr">
        <is>
          <t>100.00%</t>
        </is>
      </c>
      <c r="N2551" s="3" t="n">
        <v>100</v>
      </c>
      <c r="O2551" t="n">
        <v>4.7</v>
      </c>
      <c r="P2551" t="n">
        <v>699</v>
      </c>
      <c r="R2551" t="inlineStr">
        <is>
          <t>InStock</t>
        </is>
      </c>
      <c r="S2551" t="inlineStr">
        <is>
          <t>11.95</t>
        </is>
      </c>
      <c r="T2551" t="inlineStr">
        <is>
          <t>5130099</t>
        </is>
      </c>
    </row>
    <row r="2552" hidden="1" ht="15.75" customHeight="1">
      <c r="A2552" s="2">
        <f>HYPERLINK("https://www.soccerplususa.com/adidas/adidas-copa-zone-cushion-ii-sock-1967", "https://www.soccerplususa.com/adidas/adidas-copa-zone-cushion-ii-sock-1967")</f>
        <v/>
      </c>
      <c r="B2552" t="inlineStr">
        <is>
          <t>undefined</t>
        </is>
      </c>
      <c r="C2552" t="inlineStr">
        <is>
          <t>adidas Copa Zone Cushion II Sock</t>
        </is>
      </c>
      <c r="D2552" t="inlineStr">
        <is>
          <t>adidas Copa Zone Cushion III Soccer Socks (1-Pair)</t>
        </is>
      </c>
      <c r="E2552" s="2">
        <f>HYPERLINK("https://www.amazon.com/adidas-Cushion-Soccer-Socks-1-Pack/dp/B076P8F8FS/ref=sr_1_5?keywords=adidas+Copa+Zone+Cushion+II+Sock&amp;qid=1695171108&amp;sr=8-5", "https://www.amazon.com/adidas-Cushion-Soccer-Socks-1-Pack/dp/B076P8F8FS/ref=sr_1_5?keywords=adidas+Copa+Zone+Cushion+II+Sock&amp;qid=1695171108&amp;sr=8-5")</f>
        <v/>
      </c>
      <c r="F2552" t="inlineStr">
        <is>
          <t>B076P8F8FS</t>
        </is>
      </c>
      <c r="G2552">
        <f>_xludf.IMAGE("https://www.soccerplususa.com/prodimages/2497-DEFAULT-l.jpg")</f>
        <v/>
      </c>
      <c r="H2552">
        <f>_xludf.IMAGE("https://m.media-amazon.com/images/I/91T8E1cfwlL._AC_UL320_.jpg")</f>
        <v/>
      </c>
      <c r="K2552" t="inlineStr">
        <is>
          <t>6.0</t>
        </is>
      </c>
      <c r="L2552" t="n">
        <v>12</v>
      </c>
      <c r="M2552" s="1" t="inlineStr">
        <is>
          <t>100.00%</t>
        </is>
      </c>
      <c r="N2552" s="3" t="n">
        <v>100</v>
      </c>
      <c r="O2552" t="n">
        <v>4.6</v>
      </c>
      <c r="P2552" t="n">
        <v>15</v>
      </c>
      <c r="R2552" t="inlineStr">
        <is>
          <t>InStock</t>
        </is>
      </c>
      <c r="S2552" t="inlineStr">
        <is>
          <t>11.95</t>
        </is>
      </c>
      <c r="T2552" t="inlineStr">
        <is>
          <t>5130297</t>
        </is>
      </c>
    </row>
    <row r="2553" hidden="1" ht="15.75" customHeight="1">
      <c r="A2553" s="2">
        <f>HYPERLINK("https://www.soccerplususa.com/adidas/adidas-copa-zone-cushion-ii-sock-1948", "https://www.soccerplususa.com/adidas/adidas-copa-zone-cushion-ii-sock-1948")</f>
        <v/>
      </c>
      <c r="B2553" t="inlineStr">
        <is>
          <t>undefined</t>
        </is>
      </c>
      <c r="C2553" t="inlineStr">
        <is>
          <t>adidas Copa Zone Cushion II Sock</t>
        </is>
      </c>
      <c r="D2553" t="inlineStr">
        <is>
          <t>adidas Copa Zone Cushion III Soccer Socks (1-Pair)</t>
        </is>
      </c>
      <c r="E2553" s="2">
        <f>HYPERLINK("https://www.amazon.com/adidas-Cushion-Soccer-Socks-1-Pack/dp/B076P8F8FS/ref=sr_1_4?keywords=adidas+Copa+Zone+Cushion+II+Sock&amp;qid=1695171109&amp;sr=8-4", "https://www.amazon.com/adidas-Cushion-Soccer-Socks-1-Pack/dp/B076P8F8FS/ref=sr_1_4?keywords=adidas+Copa+Zone+Cushion+II+Sock&amp;qid=1695171109&amp;sr=8-4")</f>
        <v/>
      </c>
      <c r="F2553" t="inlineStr">
        <is>
          <t>B076P8F8FS</t>
        </is>
      </c>
      <c r="G2553">
        <f>_xludf.IMAGE("https://www.soccerplususa.com/prodimages/2493-DEFAULT-l.jpg")</f>
        <v/>
      </c>
      <c r="H2553">
        <f>_xludf.IMAGE("https://m.media-amazon.com/images/I/91T8E1cfwlL._AC_UL320_.jpg")</f>
        <v/>
      </c>
      <c r="K2553" t="inlineStr">
        <is>
          <t>6.0</t>
        </is>
      </c>
      <c r="L2553" t="n">
        <v>12</v>
      </c>
      <c r="M2553" s="1" t="inlineStr">
        <is>
          <t>100.00%</t>
        </is>
      </c>
      <c r="N2553" s="3" t="n">
        <v>100</v>
      </c>
      <c r="O2553" t="n">
        <v>4.6</v>
      </c>
      <c r="P2553" t="n">
        <v>15</v>
      </c>
      <c r="R2553" t="inlineStr">
        <is>
          <t>InStock</t>
        </is>
      </c>
      <c r="S2553" t="inlineStr">
        <is>
          <t>11.95</t>
        </is>
      </c>
      <c r="T2553" t="inlineStr">
        <is>
          <t>5130236</t>
        </is>
      </c>
    </row>
    <row r="2554" hidden="1" ht="15.75" customHeight="1">
      <c r="A2554" s="2">
        <f>HYPERLINK("https://www.soccerplususa.com/adidas/adidas-copa-zone-cushion-ii-sock-1907", "https://www.soccerplususa.com/adidas/adidas-copa-zone-cushion-ii-sock-1907")</f>
        <v/>
      </c>
      <c r="B2554" t="inlineStr">
        <is>
          <t>undefined</t>
        </is>
      </c>
      <c r="C2554" t="inlineStr">
        <is>
          <t>adidas Copa Zone Cushion II Sock</t>
        </is>
      </c>
      <c r="D2554" t="inlineStr">
        <is>
          <t>adidas Copa Zone Cushion 4 Soccer Socks for Boys, Girls, Men and Women (1-Pair)</t>
        </is>
      </c>
      <c r="E2554" s="2">
        <f>HYPERLINK("https://www.amazon.com/adidas-unisex-adult-Cushion-Soccer-X-Small/dp/B08KW52F1V/ref=sr_1_4?keywords=adidas+Copa+Zone+Cushion+II+Sock&amp;qid=1695171114&amp;sr=8-4", "https://www.amazon.com/adidas-unisex-adult-Cushion-Soccer-X-Small/dp/B08KW52F1V/ref=sr_1_4?keywords=adidas+Copa+Zone+Cushion+II+Sock&amp;qid=1695171114&amp;sr=8-4")</f>
        <v/>
      </c>
      <c r="F2554" t="inlineStr">
        <is>
          <t>B08KW52F1V</t>
        </is>
      </c>
      <c r="G2554">
        <f>_xludf.IMAGE("https://www.soccerplususa.com/prodimages/2476-DEFAULT-l.jpg")</f>
        <v/>
      </c>
      <c r="H2554">
        <f>_xludf.IMAGE("https://m.media-amazon.com/images/I/61LiVQlxxwL._AC_UL320_.jpg")</f>
        <v/>
      </c>
      <c r="K2554" t="inlineStr">
        <is>
          <t>6.0</t>
        </is>
      </c>
      <c r="L2554" t="n">
        <v>12</v>
      </c>
      <c r="M2554" s="1" t="inlineStr">
        <is>
          <t>100.00%</t>
        </is>
      </c>
      <c r="N2554" s="3" t="n">
        <v>100</v>
      </c>
      <c r="O2554" t="n">
        <v>4.7</v>
      </c>
      <c r="P2554" t="n">
        <v>699</v>
      </c>
      <c r="R2554" t="inlineStr">
        <is>
          <t>InStock</t>
        </is>
      </c>
      <c r="S2554" t="inlineStr">
        <is>
          <t>11.95</t>
        </is>
      </c>
      <c r="T2554" t="inlineStr">
        <is>
          <t>5130109</t>
        </is>
      </c>
    </row>
    <row r="2555" hidden="1" ht="15.75" customHeight="1">
      <c r="A2555" s="2">
        <f>HYPERLINK("https://www.soccerplususa.com/adidas/adidas-copa-zone-cushion-ii-sock-1930", "https://www.soccerplususa.com/adidas/adidas-copa-zone-cushion-ii-sock-1930")</f>
        <v/>
      </c>
      <c r="B2555" t="inlineStr">
        <is>
          <t>undefined</t>
        </is>
      </c>
      <c r="C2555" t="inlineStr">
        <is>
          <t>adidas Copa Zone Cushion II Sock</t>
        </is>
      </c>
      <c r="D2555" t="inlineStr">
        <is>
          <t>adidas Copa Zone Cushion III Soccer Socks (1-Pair)</t>
        </is>
      </c>
      <c r="E2555" s="2">
        <f>HYPERLINK("https://www.amazon.com/adidas-Cushion-Soccer-Socks-1-Pack/dp/B076P8F8FS/ref=sr_1_5?keywords=adidas+Copa+Zone+Cushion+II+Sock&amp;qid=1695171120&amp;sr=8-5", "https://www.amazon.com/adidas-Cushion-Soccer-Socks-1-Pack/dp/B076P8F8FS/ref=sr_1_5?keywords=adidas+Copa+Zone+Cushion+II+Sock&amp;qid=1695171120&amp;sr=8-5")</f>
        <v/>
      </c>
      <c r="F2555" t="inlineStr">
        <is>
          <t>B076P8F8FS</t>
        </is>
      </c>
      <c r="G2555">
        <f>_xludf.IMAGE("https://www.soccerplususa.com/prodimages/2482-DEFAULT-l.jpg")</f>
        <v/>
      </c>
      <c r="H2555">
        <f>_xludf.IMAGE("https://m.media-amazon.com/images/I/91T8E1cfwlL._AC_UL320_.jpg")</f>
        <v/>
      </c>
      <c r="K2555" t="inlineStr">
        <is>
          <t>6.0</t>
        </is>
      </c>
      <c r="L2555" t="n">
        <v>12</v>
      </c>
      <c r="M2555" s="1" t="inlineStr">
        <is>
          <t>100.00%</t>
        </is>
      </c>
      <c r="N2555" s="3" t="n">
        <v>100</v>
      </c>
      <c r="O2555" t="n">
        <v>4.6</v>
      </c>
      <c r="P2555" t="n">
        <v>15</v>
      </c>
      <c r="R2555" t="inlineStr">
        <is>
          <t>InStock</t>
        </is>
      </c>
      <c r="S2555" t="inlineStr">
        <is>
          <t>11.95</t>
        </is>
      </c>
      <c r="T2555" t="inlineStr">
        <is>
          <t>5130173</t>
        </is>
      </c>
    </row>
    <row r="2556" hidden="1" ht="15.75" customHeight="1">
      <c r="A2556" s="2">
        <f>HYPERLINK("https://www.soccerplususa.com/adidas/adidas-copa-zone-cushion-ii-sock-1973", "https://www.soccerplususa.com/adidas/adidas-copa-zone-cushion-ii-sock-1973")</f>
        <v/>
      </c>
      <c r="B2556" t="inlineStr">
        <is>
          <t>undefined</t>
        </is>
      </c>
      <c r="C2556" t="inlineStr">
        <is>
          <t>adidas Copa Zone Cushion II Sock</t>
        </is>
      </c>
      <c r="D2556" t="inlineStr">
        <is>
          <t>adidas Copa Zone Cushion 4 Soccer Socks for Boys, Girls, Men and Women (1-Pair)</t>
        </is>
      </c>
      <c r="E2556" s="2">
        <f>HYPERLINK("https://www.amazon.com/adidas-unisex-adult-Cushion-Soccer-X-Small/dp/B08KW52F1V/ref=sr_1_4?keywords=adidas+Copa+Zone+Cushion+II+Sock&amp;qid=1695171113&amp;sr=8-4", "https://www.amazon.com/adidas-unisex-adult-Cushion-Soccer-X-Small/dp/B08KW52F1V/ref=sr_1_4?keywords=adidas+Copa+Zone+Cushion+II+Sock&amp;qid=1695171113&amp;sr=8-4")</f>
        <v/>
      </c>
      <c r="F2556" t="inlineStr">
        <is>
          <t>B08KW52F1V</t>
        </is>
      </c>
      <c r="G2556">
        <f>_xludf.IMAGE("https://www.soccerplususa.com/prodimages/2500-DEFAULT-l.jpg")</f>
        <v/>
      </c>
      <c r="H2556">
        <f>_xludf.IMAGE("https://m.media-amazon.com/images/I/61LiVQlxxwL._AC_UL320_.jpg")</f>
        <v/>
      </c>
      <c r="K2556" t="inlineStr">
        <is>
          <t>6.0</t>
        </is>
      </c>
      <c r="L2556" t="n">
        <v>12</v>
      </c>
      <c r="M2556" s="1" t="inlineStr">
        <is>
          <t>100.00%</t>
        </is>
      </c>
      <c r="N2556" s="3" t="n">
        <v>100</v>
      </c>
      <c r="O2556" t="n">
        <v>4.7</v>
      </c>
      <c r="P2556" t="n">
        <v>699</v>
      </c>
      <c r="R2556" t="inlineStr">
        <is>
          <t>InStock</t>
        </is>
      </c>
      <c r="S2556" t="inlineStr">
        <is>
          <t>11.95</t>
        </is>
      </c>
      <c r="T2556" t="inlineStr">
        <is>
          <t>5130322</t>
        </is>
      </c>
    </row>
    <row r="2557" hidden="1" ht="15.75" customHeight="1">
      <c r="A2557" s="2">
        <f>HYPERLINK("https://www.soccerplususa.com/adidas/adidas-copa-zone-cushion-ii-sock-1973", "https://www.soccerplususa.com/adidas/adidas-copa-zone-cushion-ii-sock-1973")</f>
        <v/>
      </c>
      <c r="B2557" t="inlineStr">
        <is>
          <t>undefined</t>
        </is>
      </c>
      <c r="C2557" t="inlineStr">
        <is>
          <t>adidas Copa Zone Cushion II Sock</t>
        </is>
      </c>
      <c r="D2557" t="inlineStr">
        <is>
          <t>adidas Copa Zone Cushion III Soccer Socks (1-Pair)</t>
        </is>
      </c>
      <c r="E2557" s="2">
        <f>HYPERLINK("https://www.amazon.com/adidas-Cushion-Soccer-Socks-1-Pack/dp/B076P8F8FS/ref=sr_1_5?keywords=adidas+Copa+Zone+Cushion+II+Sock&amp;qid=1695171113&amp;sr=8-5", "https://www.amazon.com/adidas-Cushion-Soccer-Socks-1-Pack/dp/B076P8F8FS/ref=sr_1_5?keywords=adidas+Copa+Zone+Cushion+II+Sock&amp;qid=1695171113&amp;sr=8-5")</f>
        <v/>
      </c>
      <c r="F2557" t="inlineStr">
        <is>
          <t>B076P8F8FS</t>
        </is>
      </c>
      <c r="G2557">
        <f>_xludf.IMAGE("https://www.soccerplususa.com/prodimages/2500-DEFAULT-l.jpg")</f>
        <v/>
      </c>
      <c r="H2557">
        <f>_xludf.IMAGE("https://m.media-amazon.com/images/I/91T8E1cfwlL._AC_UL320_.jpg")</f>
        <v/>
      </c>
      <c r="K2557" t="inlineStr">
        <is>
          <t>6.0</t>
        </is>
      </c>
      <c r="L2557" t="n">
        <v>12</v>
      </c>
      <c r="M2557" s="1" t="inlineStr">
        <is>
          <t>100.00%</t>
        </is>
      </c>
      <c r="N2557" s="3" t="n">
        <v>100</v>
      </c>
      <c r="O2557" t="n">
        <v>4.6</v>
      </c>
      <c r="P2557" t="n">
        <v>15</v>
      </c>
      <c r="R2557" t="inlineStr">
        <is>
          <t>InStock</t>
        </is>
      </c>
      <c r="S2557" t="inlineStr">
        <is>
          <t>11.95</t>
        </is>
      </c>
      <c r="T2557" t="inlineStr">
        <is>
          <t>5130322</t>
        </is>
      </c>
    </row>
    <row r="2558" hidden="1" ht="15.75" customHeight="1">
      <c r="A2558" s="2">
        <f>HYPERLINK("https://www.soccerplususa.com/adidas/adidas-copa-zone-cushion-ii-sock-1942", "https://www.soccerplususa.com/adidas/adidas-copa-zone-cushion-ii-sock-1942")</f>
        <v/>
      </c>
      <c r="B2558" t="inlineStr">
        <is>
          <t>undefined</t>
        </is>
      </c>
      <c r="C2558" t="inlineStr">
        <is>
          <t>adidas Copa Zone Cushion II Sock</t>
        </is>
      </c>
      <c r="D2558" t="inlineStr">
        <is>
          <t>adidas Copa Zone Cushion 4 Soccer Socks for Boys, Girls, Men and Women (1-Pair)</t>
        </is>
      </c>
      <c r="E2558" s="2">
        <f>HYPERLINK("https://www.amazon.com/adidas-unisex-adult-Cushion-Soccer-X-Small/dp/B08KW52F1V/ref=sr_1_4?keywords=adidas+Copa+Zone+Cushion+II+Sock&amp;qid=1695171113&amp;sr=8-4", "https://www.amazon.com/adidas-unisex-adult-Cushion-Soccer-X-Small/dp/B08KW52F1V/ref=sr_1_4?keywords=adidas+Copa+Zone+Cushion+II+Sock&amp;qid=1695171113&amp;sr=8-4")</f>
        <v/>
      </c>
      <c r="F2558" t="inlineStr">
        <is>
          <t>B08KW52F1V</t>
        </is>
      </c>
      <c r="G2558">
        <f>_xludf.IMAGE("https://www.soccerplususa.com/prodimages/2487-DEFAULT-l.jpg")</f>
        <v/>
      </c>
      <c r="H2558">
        <f>_xludf.IMAGE("https://m.media-amazon.com/images/I/61LiVQlxxwL._AC_UL320_.jpg")</f>
        <v/>
      </c>
      <c r="K2558" t="inlineStr">
        <is>
          <t>6.0</t>
        </is>
      </c>
      <c r="L2558" t="n">
        <v>12</v>
      </c>
      <c r="M2558" s="1" t="inlineStr">
        <is>
          <t>100.00%</t>
        </is>
      </c>
      <c r="N2558" s="3" t="n">
        <v>100</v>
      </c>
      <c r="O2558" t="n">
        <v>4.7</v>
      </c>
      <c r="P2558" t="n">
        <v>699</v>
      </c>
      <c r="R2558" t="inlineStr">
        <is>
          <t>InStock</t>
        </is>
      </c>
      <c r="S2558" t="inlineStr">
        <is>
          <t>11.95</t>
        </is>
      </c>
      <c r="T2558" t="inlineStr">
        <is>
          <t>5130206</t>
        </is>
      </c>
    </row>
    <row r="2559" hidden="1" ht="15.75" customHeight="1">
      <c r="A2559" s="2">
        <f>HYPERLINK("https://www.soccerplususa.com/adidas/adidas-copa-zone-cushion-ii-sock-1959", "https://www.soccerplususa.com/adidas/adidas-copa-zone-cushion-ii-sock-1959")</f>
        <v/>
      </c>
      <c r="B2559" t="inlineStr">
        <is>
          <t>undefined</t>
        </is>
      </c>
      <c r="C2559" t="inlineStr">
        <is>
          <t>adidas Copa Zone Cushion II Sock</t>
        </is>
      </c>
      <c r="D2559" t="inlineStr">
        <is>
          <t>adidas Copa Zone Cushion III Soccer Socks (1-Pair)</t>
        </is>
      </c>
      <c r="E2559" s="2">
        <f>HYPERLINK("https://www.amazon.com/adidas-Cushion-Soccer-Socks-1-Pack/dp/B076P8F8FS/ref=sr_1_5?keywords=adidas+Copa+Zone+Cushion+II+Sock&amp;qid=1695171116&amp;sr=8-5", "https://www.amazon.com/adidas-Cushion-Soccer-Socks-1-Pack/dp/B076P8F8FS/ref=sr_1_5?keywords=adidas+Copa+Zone+Cushion+II+Sock&amp;qid=1695171116&amp;sr=8-5")</f>
        <v/>
      </c>
      <c r="F2559" t="inlineStr">
        <is>
          <t>B076P8F8FS</t>
        </is>
      </c>
      <c r="G2559">
        <f>_xludf.IMAGE("https://www.soccerplususa.com/prodimages/2495-DEFAULT-l.jpg")</f>
        <v/>
      </c>
      <c r="H2559">
        <f>_xludf.IMAGE("https://m.media-amazon.com/images/I/91T8E1cfwlL._AC_UL320_.jpg")</f>
        <v/>
      </c>
      <c r="K2559" t="inlineStr">
        <is>
          <t>6.0</t>
        </is>
      </c>
      <c r="L2559" t="n">
        <v>12</v>
      </c>
      <c r="M2559" s="1" t="inlineStr">
        <is>
          <t>100.00%</t>
        </is>
      </c>
      <c r="N2559" s="3" t="n">
        <v>100</v>
      </c>
      <c r="O2559" t="n">
        <v>4.6</v>
      </c>
      <c r="P2559" t="n">
        <v>15</v>
      </c>
      <c r="R2559" t="inlineStr">
        <is>
          <t>InStock</t>
        </is>
      </c>
      <c r="S2559" t="inlineStr">
        <is>
          <t>11.95</t>
        </is>
      </c>
      <c r="T2559" t="inlineStr">
        <is>
          <t>5130270</t>
        </is>
      </c>
    </row>
    <row r="2560" hidden="1" ht="15.75" customHeight="1">
      <c r="A2560" s="2">
        <f>HYPERLINK("https://www.soccerplususa.com/adidas/adidas-copa-zone-cushion-ii-sock-1942", "https://www.soccerplususa.com/adidas/adidas-copa-zone-cushion-ii-sock-1942")</f>
        <v/>
      </c>
      <c r="B2560" t="inlineStr">
        <is>
          <t>undefined</t>
        </is>
      </c>
      <c r="C2560" t="inlineStr">
        <is>
          <t>adidas Copa Zone Cushion II Sock</t>
        </is>
      </c>
      <c r="D2560" t="inlineStr">
        <is>
          <t>adidas Copa Zone Cushion III Soccer Socks (1-Pair)</t>
        </is>
      </c>
      <c r="E2560" s="2">
        <f>HYPERLINK("https://www.amazon.com/adidas-Cushion-Soccer-Socks-1-Pack/dp/B076P8F8FS/ref=sr_1_5?keywords=adidas+Copa+Zone+Cushion+II+Sock&amp;qid=1695171113&amp;sr=8-5", "https://www.amazon.com/adidas-Cushion-Soccer-Socks-1-Pack/dp/B076P8F8FS/ref=sr_1_5?keywords=adidas+Copa+Zone+Cushion+II+Sock&amp;qid=1695171113&amp;sr=8-5")</f>
        <v/>
      </c>
      <c r="F2560" t="inlineStr">
        <is>
          <t>B076P8F8FS</t>
        </is>
      </c>
      <c r="G2560">
        <f>_xludf.IMAGE("https://www.soccerplususa.com/prodimages/2487-DEFAULT-l.jpg")</f>
        <v/>
      </c>
      <c r="H2560">
        <f>_xludf.IMAGE("https://m.media-amazon.com/images/I/91T8E1cfwlL._AC_UL320_.jpg")</f>
        <v/>
      </c>
      <c r="K2560" t="inlineStr">
        <is>
          <t>6.0</t>
        </is>
      </c>
      <c r="L2560" t="n">
        <v>12</v>
      </c>
      <c r="M2560" s="1" t="inlineStr">
        <is>
          <t>100.00%</t>
        </is>
      </c>
      <c r="N2560" s="3" t="n">
        <v>100</v>
      </c>
      <c r="O2560" t="n">
        <v>4.6</v>
      </c>
      <c r="P2560" t="n">
        <v>15</v>
      </c>
      <c r="R2560" t="inlineStr">
        <is>
          <t>InStock</t>
        </is>
      </c>
      <c r="S2560" t="inlineStr">
        <is>
          <t>11.95</t>
        </is>
      </c>
      <c r="T2560" t="inlineStr">
        <is>
          <t>5130206</t>
        </is>
      </c>
    </row>
    <row r="2561" hidden="1" ht="15.75" customHeight="1">
      <c r="A2561" s="2">
        <f>HYPERLINK("https://www.soccerplususa.com/adidas/adidas-copa-zone-cushion-ii-sock-1959", "https://www.soccerplususa.com/adidas/adidas-copa-zone-cushion-ii-sock-1959")</f>
        <v/>
      </c>
      <c r="B2561" t="inlineStr">
        <is>
          <t>undefined</t>
        </is>
      </c>
      <c r="C2561" t="inlineStr">
        <is>
          <t>adidas Copa Zone Cushion II Sock</t>
        </is>
      </c>
      <c r="D2561" t="inlineStr">
        <is>
          <t>adidas Copa Zone Cushion 4 Soccer Socks for Boys, Girls, Men and Women (1-Pair)</t>
        </is>
      </c>
      <c r="E2561" s="2">
        <f>HYPERLINK("https://www.amazon.com/adidas-unisex-adult-Cushion-Soccer-X-Small/dp/B08KW52F1V/ref=sr_1_4?keywords=adidas+Copa+Zone+Cushion+II+Sock&amp;qid=1695171116&amp;sr=8-4", "https://www.amazon.com/adidas-unisex-adult-Cushion-Soccer-X-Small/dp/B08KW52F1V/ref=sr_1_4?keywords=adidas+Copa+Zone+Cushion+II+Sock&amp;qid=1695171116&amp;sr=8-4")</f>
        <v/>
      </c>
      <c r="F2561" t="inlineStr">
        <is>
          <t>B08KW52F1V</t>
        </is>
      </c>
      <c r="G2561">
        <f>_xludf.IMAGE("https://www.soccerplususa.com/prodimages/2495-DEFAULT-l.jpg")</f>
        <v/>
      </c>
      <c r="H2561">
        <f>_xludf.IMAGE("https://m.media-amazon.com/images/I/61LiVQlxxwL._AC_UL320_.jpg")</f>
        <v/>
      </c>
      <c r="K2561" t="inlineStr">
        <is>
          <t>6.0</t>
        </is>
      </c>
      <c r="L2561" t="n">
        <v>12</v>
      </c>
      <c r="M2561" s="1" t="inlineStr">
        <is>
          <t>100.00%</t>
        </is>
      </c>
      <c r="N2561" s="3" t="n">
        <v>100</v>
      </c>
      <c r="O2561" t="n">
        <v>4.7</v>
      </c>
      <c r="P2561" t="n">
        <v>699</v>
      </c>
      <c r="R2561" t="inlineStr">
        <is>
          <t>InStock</t>
        </is>
      </c>
      <c r="S2561" t="inlineStr">
        <is>
          <t>11.95</t>
        </is>
      </c>
      <c r="T2561" t="inlineStr">
        <is>
          <t>5130270</t>
        </is>
      </c>
    </row>
    <row r="2562" hidden="1" ht="15.75" customHeight="1">
      <c r="A2562" s="2">
        <f>HYPERLINK("https://www.soccerplususa.com/adidas/adidas-copa-zone-cushion-ii-sock-1945", "https://www.soccerplususa.com/adidas/adidas-copa-zone-cushion-ii-sock-1945")</f>
        <v/>
      </c>
      <c r="B2562" t="inlineStr">
        <is>
          <t>undefined</t>
        </is>
      </c>
      <c r="C2562" t="inlineStr">
        <is>
          <t>adidas Copa Zone Cushion II Sock</t>
        </is>
      </c>
      <c r="D2562" t="inlineStr">
        <is>
          <t>adidas Copa Zone Cushion III Soccer Socks (1-Pair)</t>
        </is>
      </c>
      <c r="E2562" s="2">
        <f>HYPERLINK("https://www.amazon.com/adidas-Cushion-Soccer-Socks-1-Pack/dp/B076P8F8FS/ref=sr_1_5?keywords=adidas+Copa+Zone+Cushion+II+Sock&amp;qid=1695171108&amp;sr=8-5", "https://www.amazon.com/adidas-Cushion-Soccer-Socks-1-Pack/dp/B076P8F8FS/ref=sr_1_5?keywords=adidas+Copa+Zone+Cushion+II+Sock&amp;qid=1695171108&amp;sr=8-5")</f>
        <v/>
      </c>
      <c r="F2562" t="inlineStr">
        <is>
          <t>B076P8F8FS</t>
        </is>
      </c>
      <c r="G2562">
        <f>_xludf.IMAGE("https://www.soccerplususa.com/prodimages/2490-DEFAULT-l.jpg")</f>
        <v/>
      </c>
      <c r="H2562">
        <f>_xludf.IMAGE("https://m.media-amazon.com/images/I/91T8E1cfwlL._AC_UL320_.jpg")</f>
        <v/>
      </c>
      <c r="K2562" t="inlineStr">
        <is>
          <t>6.0</t>
        </is>
      </c>
      <c r="L2562" t="n">
        <v>12</v>
      </c>
      <c r="M2562" s="1" t="inlineStr">
        <is>
          <t>100.00%</t>
        </is>
      </c>
      <c r="N2562" s="3" t="n">
        <v>100</v>
      </c>
      <c r="O2562" t="n">
        <v>4.6</v>
      </c>
      <c r="P2562" t="n">
        <v>15</v>
      </c>
      <c r="R2562" t="inlineStr">
        <is>
          <t>InStock</t>
        </is>
      </c>
      <c r="S2562" t="inlineStr">
        <is>
          <t>11.95</t>
        </is>
      </c>
      <c r="T2562" t="inlineStr">
        <is>
          <t>5130231</t>
        </is>
      </c>
    </row>
    <row r="2563" hidden="1" ht="15.75" customHeight="1">
      <c r="A2563" s="2">
        <f>HYPERLINK("https://www.soccerplususa.com/adidas/adidas-copa-zone-cushion-ii-sock-1930", "https://www.soccerplususa.com/adidas/adidas-copa-zone-cushion-ii-sock-1930")</f>
        <v/>
      </c>
      <c r="B2563" t="inlineStr">
        <is>
          <t>undefined</t>
        </is>
      </c>
      <c r="C2563" t="inlineStr">
        <is>
          <t>adidas Copa Zone Cushion II Sock</t>
        </is>
      </c>
      <c r="D2563" t="inlineStr">
        <is>
          <t>adidas Copa Zone Cushion 4 Soccer Socks for Boys, Girls, Men and Women (1-Pair)</t>
        </is>
      </c>
      <c r="E2563" s="2">
        <f>HYPERLINK("https://www.amazon.com/adidas-unisex-adult-Cushion-Soccer-X-Small/dp/B08KW52F1V/ref=sr_1_4?keywords=adidas+Copa+Zone+Cushion+II+Sock&amp;qid=1695171120&amp;sr=8-4", "https://www.amazon.com/adidas-unisex-adult-Cushion-Soccer-X-Small/dp/B08KW52F1V/ref=sr_1_4?keywords=adidas+Copa+Zone+Cushion+II+Sock&amp;qid=1695171120&amp;sr=8-4")</f>
        <v/>
      </c>
      <c r="F2563" t="inlineStr">
        <is>
          <t>B08KW52F1V</t>
        </is>
      </c>
      <c r="G2563">
        <f>_xludf.IMAGE("https://www.soccerplususa.com/prodimages/2482-DEFAULT-l.jpg")</f>
        <v/>
      </c>
      <c r="H2563">
        <f>_xludf.IMAGE("https://m.media-amazon.com/images/I/61LiVQlxxwL._AC_UL320_.jpg")</f>
        <v/>
      </c>
      <c r="K2563" t="inlineStr">
        <is>
          <t>6.0</t>
        </is>
      </c>
      <c r="L2563" t="n">
        <v>12</v>
      </c>
      <c r="M2563" s="1" t="inlineStr">
        <is>
          <t>100.00%</t>
        </is>
      </c>
      <c r="N2563" s="3" t="n">
        <v>100</v>
      </c>
      <c r="O2563" t="n">
        <v>4.7</v>
      </c>
      <c r="P2563" t="n">
        <v>699</v>
      </c>
      <c r="R2563" t="inlineStr">
        <is>
          <t>InStock</t>
        </is>
      </c>
      <c r="S2563" t="inlineStr">
        <is>
          <t>11.95</t>
        </is>
      </c>
      <c r="T2563" t="inlineStr">
        <is>
          <t>5130173</t>
        </is>
      </c>
    </row>
    <row r="2564" hidden="1" ht="15.75" customHeight="1">
      <c r="A2564" s="2">
        <f>HYPERLINK("https://www.soccerplususa.com/adidas/adidas-copa-zone-cushion-iii-sock-2057", "https://www.soccerplususa.com/adidas/adidas-copa-zone-cushion-iii-sock-2057")</f>
        <v/>
      </c>
      <c r="B2564" t="inlineStr">
        <is>
          <t>undefined</t>
        </is>
      </c>
      <c r="C2564" t="inlineStr">
        <is>
          <t>adidas Copa Zone Cushion III Sock</t>
        </is>
      </c>
      <c r="D2564" t="inlineStr">
        <is>
          <t>adidas Copa Zone Cushion III Soccer Socks (1-Pair)</t>
        </is>
      </c>
      <c r="E2564" s="2">
        <f>HYPERLINK("https://www.amazon.com/adidas-Cushion-Soccer-Socks-1-Pack/dp/B076P8F8FS/ref=sr_1_4?keywords=adidas+Copa+Zone+Cushion+III+Sock&amp;qid=1695171108&amp;sr=8-4", "https://www.amazon.com/adidas-Cushion-Soccer-Socks-1-Pack/dp/B076P8F8FS/ref=sr_1_4?keywords=adidas+Copa+Zone+Cushion+III+Sock&amp;qid=1695171108&amp;sr=8-4")</f>
        <v/>
      </c>
      <c r="F2564" t="inlineStr">
        <is>
          <t>B076P8F8FS</t>
        </is>
      </c>
      <c r="G2564">
        <f>_xludf.IMAGE("https://www.soccerplususa.com/prodimages/7460-DEFAULT-l.jpg")</f>
        <v/>
      </c>
      <c r="H2564">
        <f>_xludf.IMAGE("https://m.media-amazon.com/images/I/91T8E1cfwlL._AC_UL320_.jpg")</f>
        <v/>
      </c>
      <c r="K2564" t="inlineStr">
        <is>
          <t>6.0</t>
        </is>
      </c>
      <c r="L2564" t="n">
        <v>12</v>
      </c>
      <c r="M2564" s="1" t="inlineStr">
        <is>
          <t>100.00%</t>
        </is>
      </c>
      <c r="N2564" s="3" t="n">
        <v>100</v>
      </c>
      <c r="O2564" t="n">
        <v>4.6</v>
      </c>
      <c r="P2564" t="n">
        <v>15</v>
      </c>
      <c r="R2564" t="inlineStr">
        <is>
          <t>InStock</t>
        </is>
      </c>
      <c r="S2564" t="inlineStr">
        <is>
          <t>11.95</t>
        </is>
      </c>
      <c r="T2564" t="inlineStr">
        <is>
          <t>5143259</t>
        </is>
      </c>
    </row>
    <row r="2565" hidden="1" ht="15.75" customHeight="1">
      <c r="A2565" s="2">
        <f>HYPERLINK("https://www.soccerplususa.com/adidas/adidas-copa-zone-cushion-ii-sock-1948", "https://www.soccerplususa.com/adidas/adidas-copa-zone-cushion-ii-sock-1948")</f>
        <v/>
      </c>
      <c r="B2565" t="inlineStr">
        <is>
          <t>undefined</t>
        </is>
      </c>
      <c r="C2565" t="inlineStr">
        <is>
          <t>adidas Copa Zone Cushion II Sock</t>
        </is>
      </c>
      <c r="D2565" t="inlineStr">
        <is>
          <t>adidas Copa Zone Cushion 4 Soccer Socks for Boys, Girls, Men and Women (1-Pair)</t>
        </is>
      </c>
      <c r="E2565" s="2">
        <f>HYPERLINK("https://www.amazon.com/adidas-unisex-adult-Cushion-Soccer-X-Small/dp/B08KW52F1V/ref=sr_1_3?keywords=adidas+Copa+Zone+Cushion+II+Sock&amp;qid=1695171109&amp;sr=8-3", "https://www.amazon.com/adidas-unisex-adult-Cushion-Soccer-X-Small/dp/B08KW52F1V/ref=sr_1_3?keywords=adidas+Copa+Zone+Cushion+II+Sock&amp;qid=1695171109&amp;sr=8-3")</f>
        <v/>
      </c>
      <c r="F2565" t="inlineStr">
        <is>
          <t>B08KW52F1V</t>
        </is>
      </c>
      <c r="G2565">
        <f>_xludf.IMAGE("https://www.soccerplususa.com/prodimages/2493-DEFAULT-l.jpg")</f>
        <v/>
      </c>
      <c r="H2565">
        <f>_xludf.IMAGE("https://m.media-amazon.com/images/I/61LiVQlxxwL._AC_UL320_.jpg")</f>
        <v/>
      </c>
      <c r="K2565" t="inlineStr">
        <is>
          <t>6.0</t>
        </is>
      </c>
      <c r="L2565" t="n">
        <v>12</v>
      </c>
      <c r="M2565" s="1" t="inlineStr">
        <is>
          <t>100.00%</t>
        </is>
      </c>
      <c r="N2565" s="3" t="n">
        <v>100</v>
      </c>
      <c r="O2565" t="n">
        <v>4.7</v>
      </c>
      <c r="P2565" t="n">
        <v>699</v>
      </c>
      <c r="R2565" t="inlineStr">
        <is>
          <t>InStock</t>
        </is>
      </c>
      <c r="S2565" t="inlineStr">
        <is>
          <t>11.95</t>
        </is>
      </c>
      <c r="T2565" t="inlineStr">
        <is>
          <t>5130236</t>
        </is>
      </c>
    </row>
    <row r="2566" hidden="1" ht="15.75" customHeight="1">
      <c r="A2566" s="2">
        <f>HYPERLINK("https://www.soccerplususa.com/adidas/adidas-copa-zone-cushion-ii-1949", "https://www.soccerplususa.com/adidas/adidas-copa-zone-cushion-ii-1949")</f>
        <v/>
      </c>
      <c r="B2566" t="inlineStr">
        <is>
          <t>undefined</t>
        </is>
      </c>
      <c r="C2566" t="inlineStr">
        <is>
          <t>adidas Copa Zone Cushion II</t>
        </is>
      </c>
      <c r="D2566" t="inlineStr">
        <is>
          <t>adidas Copa Zone Cushion II Soccer Sock (1-Pair)</t>
        </is>
      </c>
      <c r="E2566" s="2">
        <f>HYPERLINK("https://www.amazon.com/adidas-Cushion-Soccer-Socks-1-Pack/dp/B00DF0S3D8/ref=sr_1_1?keywords=adidas+Copa+Zone+Cushion+II&amp;qid=1695171111&amp;sr=8-1", "https://www.amazon.com/adidas-Cushion-Soccer-Socks-1-Pack/dp/B00DF0S3D8/ref=sr_1_1?keywords=adidas+Copa+Zone+Cushion+II&amp;qid=1695171111&amp;sr=8-1")</f>
        <v/>
      </c>
      <c r="F2566" t="inlineStr">
        <is>
          <t>B00DF0S3D8</t>
        </is>
      </c>
      <c r="G2566">
        <f>_xludf.IMAGE("https://www.soccerplususa.com/prodimages/5096-DEFAULT-l.jpg")</f>
        <v/>
      </c>
      <c r="H2566">
        <f>_xludf.IMAGE("https://m.media-amazon.com/images/I/81VLMPsXB-L._AC_UL320_.jpg")</f>
        <v/>
      </c>
      <c r="K2566" t="inlineStr">
        <is>
          <t>6.0</t>
        </is>
      </c>
      <c r="L2566" t="n">
        <v>11.99</v>
      </c>
      <c r="M2566" s="1" t="inlineStr">
        <is>
          <t>99.83%</t>
        </is>
      </c>
      <c r="N2566" s="3" t="n">
        <v>99.83</v>
      </c>
      <c r="O2566" t="n">
        <v>4.6</v>
      </c>
      <c r="P2566" t="n">
        <v>1211</v>
      </c>
      <c r="R2566" t="inlineStr">
        <is>
          <t>InStock</t>
        </is>
      </c>
      <c r="S2566" t="inlineStr">
        <is>
          <t>11.95</t>
        </is>
      </c>
      <c r="T2566" t="inlineStr">
        <is>
          <t>5130238</t>
        </is>
      </c>
    </row>
    <row r="2567" hidden="1" ht="15.75" customHeight="1">
      <c r="A2567" s="2">
        <f>HYPERLINK("https://www.soccerplususa.com/adidas/adidas-copa-zone-cushion-ii-1913", "https://www.soccerplususa.com/adidas/adidas-copa-zone-cushion-ii-1913")</f>
        <v/>
      </c>
      <c r="B2567" t="inlineStr">
        <is>
          <t>undefined</t>
        </is>
      </c>
      <c r="C2567" t="inlineStr">
        <is>
          <t>adidas Copa Zone Cushion II</t>
        </is>
      </c>
      <c r="D2567" t="inlineStr">
        <is>
          <t>adidas Copa Zone Cushion II Soccer Sock (1-Pair)</t>
        </is>
      </c>
      <c r="E2567" s="2">
        <f>HYPERLINK("https://www.amazon.com/adidas-Cushion-Soccer-Socks-1-Pack/dp/B00DF0S3D8/ref=sr_1_1?keywords=adidas+Copa+Zone+Cushion+II&amp;qid=1695171113&amp;sr=8-1", "https://www.amazon.com/adidas-Cushion-Soccer-Socks-1-Pack/dp/B00DF0S3D8/ref=sr_1_1?keywords=adidas+Copa+Zone+Cushion+II&amp;qid=1695171113&amp;sr=8-1")</f>
        <v/>
      </c>
      <c r="F2567" t="inlineStr">
        <is>
          <t>B00DF0S3D8</t>
        </is>
      </c>
      <c r="G2567">
        <f>_xludf.IMAGE("https://www.soccerplususa.com/prodimages/5095-DEFAULT-l.jpg")</f>
        <v/>
      </c>
      <c r="H2567">
        <f>_xludf.IMAGE("https://m.media-amazon.com/images/I/81VLMPsXB-L._AC_UL320_.jpg")</f>
        <v/>
      </c>
      <c r="K2567" t="inlineStr">
        <is>
          <t>6.0</t>
        </is>
      </c>
      <c r="L2567" t="n">
        <v>11.99</v>
      </c>
      <c r="M2567" s="1" t="inlineStr">
        <is>
          <t>99.83%</t>
        </is>
      </c>
      <c r="N2567" s="3" t="n">
        <v>99.83</v>
      </c>
      <c r="O2567" t="n">
        <v>4.6</v>
      </c>
      <c r="P2567" t="n">
        <v>1211</v>
      </c>
      <c r="R2567" t="inlineStr">
        <is>
          <t>InStock</t>
        </is>
      </c>
      <c r="S2567" t="inlineStr">
        <is>
          <t>11.95</t>
        </is>
      </c>
      <c r="T2567" t="inlineStr">
        <is>
          <t>5130128</t>
        </is>
      </c>
    </row>
    <row r="2568" hidden="1" ht="15.75" customHeight="1">
      <c r="A2568" s="2">
        <f>HYPERLINK("https://www.soccerplususa.com/adidas/adidas-copa-zone-cushion-ii-1887", "https://www.soccerplususa.com/adidas/adidas-copa-zone-cushion-ii-1887")</f>
        <v/>
      </c>
      <c r="B2568" t="inlineStr">
        <is>
          <t>undefined</t>
        </is>
      </c>
      <c r="C2568" t="inlineStr">
        <is>
          <t>adidas Copa Zone Cushion II</t>
        </is>
      </c>
      <c r="D2568" t="inlineStr">
        <is>
          <t>adidas Copa Zone Cushion II Soccer Sock (1-Pair)</t>
        </is>
      </c>
      <c r="E2568" s="2">
        <f>HYPERLINK("https://www.amazon.com/adidas-Cushion-Soccer-Socks-1-Pack/dp/B00DF0S3D8/ref=sr_1_1?keywords=adidas+Copa+Zone+Cushion+II&amp;qid=1695171116&amp;sr=8-1", "https://www.amazon.com/adidas-Cushion-Soccer-Socks-1-Pack/dp/B00DF0S3D8/ref=sr_1_1?keywords=adidas+Copa+Zone+Cushion+II&amp;qid=1695171116&amp;sr=8-1")</f>
        <v/>
      </c>
      <c r="F2568" t="inlineStr">
        <is>
          <t>B00DF0S3D8</t>
        </is>
      </c>
      <c r="G2568">
        <f>_xludf.IMAGE("https://www.soccerplususa.com/prodimages/2504-DEFAULT-l.jpg")</f>
        <v/>
      </c>
      <c r="H2568">
        <f>_xludf.IMAGE("https://m.media-amazon.com/images/I/81VLMPsXB-L._AC_UL320_.jpg")</f>
        <v/>
      </c>
      <c r="K2568" t="inlineStr">
        <is>
          <t>6.0</t>
        </is>
      </c>
      <c r="L2568" t="n">
        <v>11.99</v>
      </c>
      <c r="M2568" s="1" t="inlineStr">
        <is>
          <t>99.83%</t>
        </is>
      </c>
      <c r="N2568" s="3" t="n">
        <v>99.83</v>
      </c>
      <c r="O2568" t="n">
        <v>4.6</v>
      </c>
      <c r="P2568" t="n">
        <v>1211</v>
      </c>
      <c r="R2568" t="inlineStr">
        <is>
          <t>InStock</t>
        </is>
      </c>
      <c r="S2568" t="inlineStr">
        <is>
          <t>11.95</t>
        </is>
      </c>
      <c r="T2568" t="inlineStr">
        <is>
          <t>5130040</t>
        </is>
      </c>
    </row>
    <row r="2569" hidden="1" ht="15.75" customHeight="1">
      <c r="A2569" s="2">
        <f>HYPERLINK("https://www.soccerplususa.com/adidas/adidas-copa-zone-cushion-ii-1922", "https://www.soccerplususa.com/adidas/adidas-copa-zone-cushion-ii-1922")</f>
        <v/>
      </c>
      <c r="B2569" t="inlineStr">
        <is>
          <t>undefined</t>
        </is>
      </c>
      <c r="C2569" t="inlineStr">
        <is>
          <t>adidas Copa Zone Cushion II</t>
        </is>
      </c>
      <c r="D2569" t="inlineStr">
        <is>
          <t>adidas Copa Zone Cushion II Soccer Sock (1-Pair)</t>
        </is>
      </c>
      <c r="E2569" s="2">
        <f>HYPERLINK("https://www.amazon.com/adidas-Cushion-Soccer-Socks-1-Pack/dp/B00DF0S3D8/ref=sr_1_1?keywords=adidas+Copa+Zone+Cushion+II&amp;qid=1695171129&amp;sr=8-1", "https://www.amazon.com/adidas-Cushion-Soccer-Socks-1-Pack/dp/B00DF0S3D8/ref=sr_1_1?keywords=adidas+Copa+Zone+Cushion+II&amp;qid=1695171129&amp;sr=8-1")</f>
        <v/>
      </c>
      <c r="F2569" t="inlineStr">
        <is>
          <t>B00DF0S3D8</t>
        </is>
      </c>
      <c r="G2569">
        <f>_xludf.IMAGE("https://www.soccerplususa.com/prodimages/5094-DEFAULT-l.jpg")</f>
        <v/>
      </c>
      <c r="H2569">
        <f>_xludf.IMAGE("https://m.media-amazon.com/images/I/81VLMPsXB-L._AC_UL320_.jpg")</f>
        <v/>
      </c>
      <c r="K2569" t="inlineStr">
        <is>
          <t>6.0</t>
        </is>
      </c>
      <c r="L2569" t="n">
        <v>11.99</v>
      </c>
      <c r="M2569" s="1" t="inlineStr">
        <is>
          <t>99.83%</t>
        </is>
      </c>
      <c r="N2569" s="3" t="n">
        <v>99.83</v>
      </c>
      <c r="O2569" t="n">
        <v>4.6</v>
      </c>
      <c r="P2569" t="n">
        <v>1211</v>
      </c>
      <c r="R2569" t="inlineStr">
        <is>
          <t>InStock</t>
        </is>
      </c>
      <c r="S2569" t="inlineStr">
        <is>
          <t>11.95</t>
        </is>
      </c>
      <c r="T2569" t="inlineStr">
        <is>
          <t>5130155</t>
        </is>
      </c>
    </row>
    <row r="2570" hidden="1" ht="15.75" customHeight="1">
      <c r="A2570" s="2">
        <f>HYPERLINK("https://www.soccerplususa.com/adidas/adidas-copa-zone-cushion-ii-1949", "https://www.soccerplususa.com/adidas/adidas-copa-zone-cushion-ii-1949")</f>
        <v/>
      </c>
      <c r="B2570" t="inlineStr">
        <is>
          <t>undefined</t>
        </is>
      </c>
      <c r="C2570" t="inlineStr">
        <is>
          <t>adidas Copa Zone Cushion II</t>
        </is>
      </c>
      <c r="D2570" t="inlineStr">
        <is>
          <t>adidas Copa Zone Cushion II Large Socks</t>
        </is>
      </c>
      <c r="E2570" s="2">
        <f>HYPERLINK("https://www.amazon.com/Adidas-Cushion-Soccer-Large-White/dp/B00E34KJ9Q/ref=sr_1_2?keywords=adidas+Copa+Zone+Cushion+II&amp;qid=1695171111&amp;sr=8-2", "https://www.amazon.com/Adidas-Cushion-Soccer-Large-White/dp/B00E34KJ9Q/ref=sr_1_2?keywords=adidas+Copa+Zone+Cushion+II&amp;qid=1695171111&amp;sr=8-2")</f>
        <v/>
      </c>
      <c r="F2570" t="inlineStr">
        <is>
          <t>B00E34KJ9Q</t>
        </is>
      </c>
      <c r="G2570">
        <f>_xludf.IMAGE("https://www.soccerplususa.com/prodimages/5096-DEFAULT-l.jpg")</f>
        <v/>
      </c>
      <c r="H2570">
        <f>_xludf.IMAGE("https://m.media-amazon.com/images/I/61+-OqZA3OL._AC_UL320_.jpg")</f>
        <v/>
      </c>
      <c r="K2570" t="inlineStr">
        <is>
          <t>6.0</t>
        </is>
      </c>
      <c r="L2570" t="n">
        <v>11.9</v>
      </c>
      <c r="M2570" s="1" t="inlineStr">
        <is>
          <t>98.33%</t>
        </is>
      </c>
      <c r="N2570" s="3" t="n">
        <v>98.33</v>
      </c>
      <c r="O2570" t="n">
        <v>4.5</v>
      </c>
      <c r="P2570" t="n">
        <v>2</v>
      </c>
      <c r="R2570" t="inlineStr">
        <is>
          <t>InStock</t>
        </is>
      </c>
      <c r="S2570" t="inlineStr">
        <is>
          <t>11.95</t>
        </is>
      </c>
      <c r="T2570" t="inlineStr">
        <is>
          <t>5130238</t>
        </is>
      </c>
    </row>
    <row r="2571" hidden="1" ht="15.75" customHeight="1">
      <c r="A2571" s="2">
        <f>HYPERLINK("https://www.soccerplususa.com/adidas/adidas-copa-zone-cushion-ii-1887", "https://www.soccerplususa.com/adidas/adidas-copa-zone-cushion-ii-1887")</f>
        <v/>
      </c>
      <c r="B2571" t="inlineStr">
        <is>
          <t>undefined</t>
        </is>
      </c>
      <c r="C2571" t="inlineStr">
        <is>
          <t>adidas Copa Zone Cushion II</t>
        </is>
      </c>
      <c r="D2571" t="inlineStr">
        <is>
          <t>adidas Copa Zone Cushion II Large Socks</t>
        </is>
      </c>
      <c r="E2571" s="2">
        <f>HYPERLINK("https://www.amazon.com/Adidas-Cushion-Soccer-Large-White/dp/B00E34KJ9Q/ref=sr_1_2?keywords=adidas+Copa+Zone+Cushion+II&amp;qid=1695171116&amp;sr=8-2", "https://www.amazon.com/Adidas-Cushion-Soccer-Large-White/dp/B00E34KJ9Q/ref=sr_1_2?keywords=adidas+Copa+Zone+Cushion+II&amp;qid=1695171116&amp;sr=8-2")</f>
        <v/>
      </c>
      <c r="F2571" t="inlineStr">
        <is>
          <t>B00E34KJ9Q</t>
        </is>
      </c>
      <c r="G2571">
        <f>_xludf.IMAGE("https://www.soccerplususa.com/prodimages/2504-DEFAULT-l.jpg")</f>
        <v/>
      </c>
      <c r="H2571">
        <f>_xludf.IMAGE("https://m.media-amazon.com/images/I/61+-OqZA3OL._AC_UL320_.jpg")</f>
        <v/>
      </c>
      <c r="K2571" t="inlineStr">
        <is>
          <t>6.0</t>
        </is>
      </c>
      <c r="L2571" t="n">
        <v>11.9</v>
      </c>
      <c r="M2571" s="1" t="inlineStr">
        <is>
          <t>98.33%</t>
        </is>
      </c>
      <c r="N2571" s="3" t="n">
        <v>98.33</v>
      </c>
      <c r="O2571" t="n">
        <v>4.5</v>
      </c>
      <c r="P2571" t="n">
        <v>2</v>
      </c>
      <c r="R2571" t="inlineStr">
        <is>
          <t>InStock</t>
        </is>
      </c>
      <c r="S2571" t="inlineStr">
        <is>
          <t>11.95</t>
        </is>
      </c>
      <c r="T2571" t="inlineStr">
        <is>
          <t>5130040</t>
        </is>
      </c>
    </row>
    <row r="2572" hidden="1" ht="15.75" customHeight="1">
      <c r="A2572" s="2">
        <f>HYPERLINK("https://www.soccerplususa.com/adidas/adidas-copa-zone-cushion-ii-1913", "https://www.soccerplususa.com/adidas/adidas-copa-zone-cushion-ii-1913")</f>
        <v/>
      </c>
      <c r="B2572" t="inlineStr">
        <is>
          <t>undefined</t>
        </is>
      </c>
      <c r="C2572" t="inlineStr">
        <is>
          <t>adidas Copa Zone Cushion II</t>
        </is>
      </c>
      <c r="D2572" t="inlineStr">
        <is>
          <t>adidas Copa Zone Cushion II Large Socks</t>
        </is>
      </c>
      <c r="E2572" s="2">
        <f>HYPERLINK("https://www.amazon.com/Adidas-Cushion-Soccer-Large-White/dp/B00E34KJ9Q/ref=sr_1_2?keywords=adidas+Copa+Zone+Cushion+II&amp;qid=1695171113&amp;sr=8-2", "https://www.amazon.com/Adidas-Cushion-Soccer-Large-White/dp/B00E34KJ9Q/ref=sr_1_2?keywords=adidas+Copa+Zone+Cushion+II&amp;qid=1695171113&amp;sr=8-2")</f>
        <v/>
      </c>
      <c r="F2572" t="inlineStr">
        <is>
          <t>B00E34KJ9Q</t>
        </is>
      </c>
      <c r="G2572">
        <f>_xludf.IMAGE("https://www.soccerplususa.com/prodimages/5095-DEFAULT-l.jpg")</f>
        <v/>
      </c>
      <c r="H2572">
        <f>_xludf.IMAGE("https://m.media-amazon.com/images/I/61+-OqZA3OL._AC_UL320_.jpg")</f>
        <v/>
      </c>
      <c r="K2572" t="inlineStr">
        <is>
          <t>6.0</t>
        </is>
      </c>
      <c r="L2572" t="n">
        <v>11.9</v>
      </c>
      <c r="M2572" s="1" t="inlineStr">
        <is>
          <t>98.33%</t>
        </is>
      </c>
      <c r="N2572" s="3" t="n">
        <v>98.33</v>
      </c>
      <c r="O2572" t="n">
        <v>4.5</v>
      </c>
      <c r="P2572" t="n">
        <v>2</v>
      </c>
      <c r="R2572" t="inlineStr">
        <is>
          <t>InStock</t>
        </is>
      </c>
      <c r="S2572" t="inlineStr">
        <is>
          <t>11.95</t>
        </is>
      </c>
      <c r="T2572" t="inlineStr">
        <is>
          <t>5130128</t>
        </is>
      </c>
    </row>
    <row r="2573" hidden="1" ht="15.75" customHeight="1">
      <c r="A2573" s="2">
        <f>HYPERLINK("https://www.soccerplususa.com/adidas/adidas-copa-zone-cushion-ii-sock-1900", "https://www.soccerplususa.com/adidas/adidas-copa-zone-cushion-ii-sock-1900")</f>
        <v/>
      </c>
      <c r="B2573" t="inlineStr">
        <is>
          <t>undefined</t>
        </is>
      </c>
      <c r="C2573" t="inlineStr">
        <is>
          <t>adidas Copa Zone Cushion II Sock</t>
        </is>
      </c>
      <c r="D2573" t="inlineStr">
        <is>
          <t>adidas Copa Zone Cushion II Large Socks</t>
        </is>
      </c>
      <c r="E2573" s="2">
        <f>HYPERLINK("https://www.amazon.com/Adidas-Cushion-Soccer-Large-White/dp/B00E34KJ9Q/ref=sr_1_3?keywords=adidas+Copa+Zone+Cushion+II+Sock&amp;qid=1695171125&amp;sr=8-3", "https://www.amazon.com/Adidas-Cushion-Soccer-Large-White/dp/B00E34KJ9Q/ref=sr_1_3?keywords=adidas+Copa+Zone+Cushion+II+Sock&amp;qid=1695171125&amp;sr=8-3")</f>
        <v/>
      </c>
      <c r="F2573" t="inlineStr">
        <is>
          <t>B00E34KJ9Q</t>
        </is>
      </c>
      <c r="G2573">
        <f>_xludf.IMAGE("https://www.soccerplususa.com/prodimages/2474-DEFAULT-l.jpg")</f>
        <v/>
      </c>
      <c r="H2573">
        <f>_xludf.IMAGE("https://m.media-amazon.com/images/I/61+-OqZA3OL._AC_UL320_.jpg")</f>
        <v/>
      </c>
      <c r="K2573" t="inlineStr">
        <is>
          <t>6.0</t>
        </is>
      </c>
      <c r="L2573" t="n">
        <v>11.9</v>
      </c>
      <c r="M2573" s="1" t="inlineStr">
        <is>
          <t>98.33%</t>
        </is>
      </c>
      <c r="N2573" s="3" t="n">
        <v>98.33</v>
      </c>
      <c r="O2573" t="n">
        <v>4.5</v>
      </c>
      <c r="P2573" t="n">
        <v>2</v>
      </c>
      <c r="R2573" t="inlineStr">
        <is>
          <t>InStock</t>
        </is>
      </c>
      <c r="S2573" t="inlineStr">
        <is>
          <t>11.95</t>
        </is>
      </c>
      <c r="T2573" t="inlineStr">
        <is>
          <t>5130095</t>
        </is>
      </c>
    </row>
    <row r="2574" hidden="1" ht="15.75" customHeight="1">
      <c r="A2574" s="2">
        <f>HYPERLINK("https://www.soccerplususa.com/adidas/adidas-copa-zone-cushion-ii-sock-1969", "https://www.soccerplususa.com/adidas/adidas-copa-zone-cushion-ii-sock-1969")</f>
        <v/>
      </c>
      <c r="B2574" t="inlineStr">
        <is>
          <t>undefined</t>
        </is>
      </c>
      <c r="C2574" t="inlineStr">
        <is>
          <t>adidas Copa Zone Cushion II Sock</t>
        </is>
      </c>
      <c r="D2574" t="inlineStr">
        <is>
          <t>adidas Copa Zone Cushion II Large Socks</t>
        </is>
      </c>
      <c r="E2574" s="2">
        <f>HYPERLINK("https://www.amazon.com/Adidas-Cushion-Soccer-Large-White/dp/B00E34KJ9Q/ref=sr_1_3?keywords=adidas+Copa+Zone+Cushion+II+Sock&amp;qid=1695171113&amp;sr=8-3", "https://www.amazon.com/Adidas-Cushion-Soccer-Large-White/dp/B00E34KJ9Q/ref=sr_1_3?keywords=adidas+Copa+Zone+Cushion+II+Sock&amp;qid=1695171113&amp;sr=8-3")</f>
        <v/>
      </c>
      <c r="F2574" t="inlineStr">
        <is>
          <t>B00E34KJ9Q</t>
        </is>
      </c>
      <c r="G2574">
        <f>_xludf.IMAGE("https://www.soccerplususa.com/prodimages/2498-DEFAULT-l.jpg")</f>
        <v/>
      </c>
      <c r="H2574">
        <f>_xludf.IMAGE("https://m.media-amazon.com/images/I/61+-OqZA3OL._AC_UL320_.jpg")</f>
        <v/>
      </c>
      <c r="K2574" t="inlineStr">
        <is>
          <t>6.0</t>
        </is>
      </c>
      <c r="L2574" t="n">
        <v>11.9</v>
      </c>
      <c r="M2574" s="1" t="inlineStr">
        <is>
          <t>98.33%</t>
        </is>
      </c>
      <c r="N2574" s="3" t="n">
        <v>98.33</v>
      </c>
      <c r="O2574" t="n">
        <v>4.5</v>
      </c>
      <c r="P2574" t="n">
        <v>2</v>
      </c>
      <c r="R2574" t="inlineStr">
        <is>
          <t>InStock</t>
        </is>
      </c>
      <c r="S2574" t="inlineStr">
        <is>
          <t>11.95</t>
        </is>
      </c>
      <c r="T2574" t="inlineStr">
        <is>
          <t>5130310</t>
        </is>
      </c>
    </row>
    <row r="2575" hidden="1" ht="15.75" customHeight="1">
      <c r="A2575" s="2">
        <f>HYPERLINK("https://www.soccerplususa.com/adidas/adidas-copa-zone-cushion-ii-sock-1942", "https://www.soccerplususa.com/adidas/adidas-copa-zone-cushion-ii-sock-1942")</f>
        <v/>
      </c>
      <c r="B2575" t="inlineStr">
        <is>
          <t>undefined</t>
        </is>
      </c>
      <c r="C2575" t="inlineStr">
        <is>
          <t>adidas Copa Zone Cushion II Sock</t>
        </is>
      </c>
      <c r="D2575" t="inlineStr">
        <is>
          <t>adidas Copa Zone Cushion II Large Socks</t>
        </is>
      </c>
      <c r="E2575" s="2">
        <f>HYPERLINK("https://www.amazon.com/Adidas-Cushion-Soccer-Large-White/dp/B00E34KJ9Q/ref=sr_1_3?keywords=adidas+Copa+Zone+Cushion+II+Sock&amp;qid=1695171113&amp;sr=8-3", "https://www.amazon.com/Adidas-Cushion-Soccer-Large-White/dp/B00E34KJ9Q/ref=sr_1_3?keywords=adidas+Copa+Zone+Cushion+II+Sock&amp;qid=1695171113&amp;sr=8-3")</f>
        <v/>
      </c>
      <c r="F2575" t="inlineStr">
        <is>
          <t>B00E34KJ9Q</t>
        </is>
      </c>
      <c r="G2575">
        <f>_xludf.IMAGE("https://www.soccerplususa.com/prodimages/2487-DEFAULT-l.jpg")</f>
        <v/>
      </c>
      <c r="H2575">
        <f>_xludf.IMAGE("https://m.media-amazon.com/images/I/61+-OqZA3OL._AC_UL320_.jpg")</f>
        <v/>
      </c>
      <c r="K2575" t="inlineStr">
        <is>
          <t>6.0</t>
        </is>
      </c>
      <c r="L2575" t="n">
        <v>11.9</v>
      </c>
      <c r="M2575" s="1" t="inlineStr">
        <is>
          <t>98.33%</t>
        </is>
      </c>
      <c r="N2575" s="3" t="n">
        <v>98.33</v>
      </c>
      <c r="O2575" t="n">
        <v>4.5</v>
      </c>
      <c r="P2575" t="n">
        <v>2</v>
      </c>
      <c r="R2575" t="inlineStr">
        <is>
          <t>InStock</t>
        </is>
      </c>
      <c r="S2575" t="inlineStr">
        <is>
          <t>11.95</t>
        </is>
      </c>
      <c r="T2575" t="inlineStr">
        <is>
          <t>5130206</t>
        </is>
      </c>
    </row>
    <row r="2576" hidden="1" ht="15.75" customHeight="1">
      <c r="A2576" s="2">
        <f>HYPERLINK("https://www.soccerplususa.com/adidas/adidas-copa-zone-cushion-ii-sock-1973", "https://www.soccerplususa.com/adidas/adidas-copa-zone-cushion-ii-sock-1973")</f>
        <v/>
      </c>
      <c r="B2576" t="inlineStr">
        <is>
          <t>undefined</t>
        </is>
      </c>
      <c r="C2576" t="inlineStr">
        <is>
          <t>adidas Copa Zone Cushion II Sock</t>
        </is>
      </c>
      <c r="D2576" t="inlineStr">
        <is>
          <t>adidas Copa Zone Cushion II Large Socks</t>
        </is>
      </c>
      <c r="E2576" s="2">
        <f>HYPERLINK("https://www.amazon.com/Adidas-Cushion-Soccer-Large-White/dp/B00E34KJ9Q/ref=sr_1_3?keywords=adidas+Copa+Zone+Cushion+II+Sock&amp;qid=1695171113&amp;sr=8-3", "https://www.amazon.com/Adidas-Cushion-Soccer-Large-White/dp/B00E34KJ9Q/ref=sr_1_3?keywords=adidas+Copa+Zone+Cushion+II+Sock&amp;qid=1695171113&amp;sr=8-3")</f>
        <v/>
      </c>
      <c r="F2576" t="inlineStr">
        <is>
          <t>B00E34KJ9Q</t>
        </is>
      </c>
      <c r="G2576">
        <f>_xludf.IMAGE("https://www.soccerplususa.com/prodimages/2500-DEFAULT-l.jpg")</f>
        <v/>
      </c>
      <c r="H2576">
        <f>_xludf.IMAGE("https://m.media-amazon.com/images/I/61+-OqZA3OL._AC_UL320_.jpg")</f>
        <v/>
      </c>
      <c r="K2576" t="inlineStr">
        <is>
          <t>6.0</t>
        </is>
      </c>
      <c r="L2576" t="n">
        <v>11.9</v>
      </c>
      <c r="M2576" s="1" t="inlineStr">
        <is>
          <t>98.33%</t>
        </is>
      </c>
      <c r="N2576" s="3" t="n">
        <v>98.33</v>
      </c>
      <c r="O2576" t="n">
        <v>4.5</v>
      </c>
      <c r="P2576" t="n">
        <v>2</v>
      </c>
      <c r="R2576" t="inlineStr">
        <is>
          <t>InStock</t>
        </is>
      </c>
      <c r="S2576" t="inlineStr">
        <is>
          <t>11.95</t>
        </is>
      </c>
      <c r="T2576" t="inlineStr">
        <is>
          <t>5130322</t>
        </is>
      </c>
    </row>
    <row r="2577" hidden="1" ht="15.75" customHeight="1">
      <c r="A2577" s="2">
        <f>HYPERLINK("https://www.soccerplususa.com/adidas/adidas-copa-zone-cushion-ii-sock-1930", "https://www.soccerplususa.com/adidas/adidas-copa-zone-cushion-ii-sock-1930")</f>
        <v/>
      </c>
      <c r="B2577" t="inlineStr">
        <is>
          <t>undefined</t>
        </is>
      </c>
      <c r="C2577" t="inlineStr">
        <is>
          <t>adidas Copa Zone Cushion II Sock</t>
        </is>
      </c>
      <c r="D2577" t="inlineStr">
        <is>
          <t>adidas Copa Zone Cushion II Large Socks</t>
        </is>
      </c>
      <c r="E2577" s="2">
        <f>HYPERLINK("https://www.amazon.com/Adidas-Cushion-Soccer-Large-White/dp/B00E34KJ9Q/ref=sr_1_3?keywords=adidas+Copa+Zone+Cushion+II+Sock&amp;qid=1695171120&amp;sr=8-3", "https://www.amazon.com/Adidas-Cushion-Soccer-Large-White/dp/B00E34KJ9Q/ref=sr_1_3?keywords=adidas+Copa+Zone+Cushion+II+Sock&amp;qid=1695171120&amp;sr=8-3")</f>
        <v/>
      </c>
      <c r="F2577" t="inlineStr">
        <is>
          <t>B00E34KJ9Q</t>
        </is>
      </c>
      <c r="G2577">
        <f>_xludf.IMAGE("https://www.soccerplususa.com/prodimages/2482-DEFAULT-l.jpg")</f>
        <v/>
      </c>
      <c r="H2577">
        <f>_xludf.IMAGE("https://m.media-amazon.com/images/I/61+-OqZA3OL._AC_UL320_.jpg")</f>
        <v/>
      </c>
      <c r="K2577" t="inlineStr">
        <is>
          <t>6.0</t>
        </is>
      </c>
      <c r="L2577" t="n">
        <v>11.9</v>
      </c>
      <c r="M2577" s="1" t="inlineStr">
        <is>
          <t>98.33%</t>
        </is>
      </c>
      <c r="N2577" s="3" t="n">
        <v>98.33</v>
      </c>
      <c r="O2577" t="n">
        <v>4.5</v>
      </c>
      <c r="P2577" t="n">
        <v>2</v>
      </c>
      <c r="R2577" t="inlineStr">
        <is>
          <t>InStock</t>
        </is>
      </c>
      <c r="S2577" t="inlineStr">
        <is>
          <t>11.95</t>
        </is>
      </c>
      <c r="T2577" t="inlineStr">
        <is>
          <t>5130173</t>
        </is>
      </c>
    </row>
    <row r="2578" hidden="1" ht="15.75" customHeight="1">
      <c r="A2578" s="2">
        <f>HYPERLINK("https://www.soccerplususa.com/adidas/adidas-copa-zone-cushion-ii-sock-1948", "https://www.soccerplususa.com/adidas/adidas-copa-zone-cushion-ii-sock-1948")</f>
        <v/>
      </c>
      <c r="B2578" t="inlineStr">
        <is>
          <t>undefined</t>
        </is>
      </c>
      <c r="C2578" t="inlineStr">
        <is>
          <t>adidas Copa Zone Cushion II Sock</t>
        </is>
      </c>
      <c r="D2578" t="inlineStr">
        <is>
          <t>adidas Copa Zone Cushion II Large Socks</t>
        </is>
      </c>
      <c r="E2578" s="2">
        <f>HYPERLINK("https://www.amazon.com/Adidas-Cushion-Soccer-Large-White/dp/B00E34KJ9Q/ref=sr_1_2?keywords=adidas+Copa+Zone+Cushion+II+Sock&amp;qid=1695171109&amp;sr=8-2", "https://www.amazon.com/Adidas-Cushion-Soccer-Large-White/dp/B00E34KJ9Q/ref=sr_1_2?keywords=adidas+Copa+Zone+Cushion+II+Sock&amp;qid=1695171109&amp;sr=8-2")</f>
        <v/>
      </c>
      <c r="F2578" t="inlineStr">
        <is>
          <t>B00E34KJ9Q</t>
        </is>
      </c>
      <c r="G2578">
        <f>_xludf.IMAGE("https://www.soccerplususa.com/prodimages/2493-DEFAULT-l.jpg")</f>
        <v/>
      </c>
      <c r="H2578">
        <f>_xludf.IMAGE("https://m.media-amazon.com/images/I/61+-OqZA3OL._AC_UL320_.jpg")</f>
        <v/>
      </c>
      <c r="K2578" t="inlineStr">
        <is>
          <t>6.0</t>
        </is>
      </c>
      <c r="L2578" t="n">
        <v>11.9</v>
      </c>
      <c r="M2578" s="1" t="inlineStr">
        <is>
          <t>98.33%</t>
        </is>
      </c>
      <c r="N2578" s="3" t="n">
        <v>98.33</v>
      </c>
      <c r="O2578" t="n">
        <v>4.5</v>
      </c>
      <c r="P2578" t="n">
        <v>2</v>
      </c>
      <c r="R2578" t="inlineStr">
        <is>
          <t>InStock</t>
        </is>
      </c>
      <c r="S2578" t="inlineStr">
        <is>
          <t>11.95</t>
        </is>
      </c>
      <c r="T2578" t="inlineStr">
        <is>
          <t>5130236</t>
        </is>
      </c>
    </row>
    <row r="2579" hidden="1" ht="15.75" customHeight="1">
      <c r="A2579" s="2">
        <f>HYPERLINK("https://www.soccerplususa.com/adidas/adidas-copa-zone-cushion-ii-sock-1945", "https://www.soccerplususa.com/adidas/adidas-copa-zone-cushion-ii-sock-1945")</f>
        <v/>
      </c>
      <c r="B2579" t="inlineStr">
        <is>
          <t>undefined</t>
        </is>
      </c>
      <c r="C2579" t="inlineStr">
        <is>
          <t>adidas Copa Zone Cushion II Sock</t>
        </is>
      </c>
      <c r="D2579" t="inlineStr">
        <is>
          <t>adidas Copa Zone Cushion II Large Socks</t>
        </is>
      </c>
      <c r="E2579" s="2">
        <f>HYPERLINK("https://www.amazon.com/Adidas-Cushion-Soccer-Large-White/dp/B00E34KJ9Q/ref=sr_1_3?keywords=adidas+Copa+Zone+Cushion+II+Sock&amp;qid=1695171108&amp;sr=8-3", "https://www.amazon.com/Adidas-Cushion-Soccer-Large-White/dp/B00E34KJ9Q/ref=sr_1_3?keywords=adidas+Copa+Zone+Cushion+II+Sock&amp;qid=1695171108&amp;sr=8-3")</f>
        <v/>
      </c>
      <c r="F2579" t="inlineStr">
        <is>
          <t>B00E34KJ9Q</t>
        </is>
      </c>
      <c r="G2579">
        <f>_xludf.IMAGE("https://www.soccerplususa.com/prodimages/2490-DEFAULT-l.jpg")</f>
        <v/>
      </c>
      <c r="H2579">
        <f>_xludf.IMAGE("https://m.media-amazon.com/images/I/61+-OqZA3OL._AC_UL320_.jpg")</f>
        <v/>
      </c>
      <c r="K2579" t="inlineStr">
        <is>
          <t>6.0</t>
        </is>
      </c>
      <c r="L2579" t="n">
        <v>11.9</v>
      </c>
      <c r="M2579" s="1" t="inlineStr">
        <is>
          <t>98.33%</t>
        </is>
      </c>
      <c r="N2579" s="3" t="n">
        <v>98.33</v>
      </c>
      <c r="O2579" t="n">
        <v>4.5</v>
      </c>
      <c r="P2579" t="n">
        <v>2</v>
      </c>
      <c r="R2579" t="inlineStr">
        <is>
          <t>InStock</t>
        </is>
      </c>
      <c r="S2579" t="inlineStr">
        <is>
          <t>11.95</t>
        </is>
      </c>
      <c r="T2579" t="inlineStr">
        <is>
          <t>5130231</t>
        </is>
      </c>
    </row>
    <row r="2580" hidden="1" ht="15.75" customHeight="1">
      <c r="A2580" s="2">
        <f>HYPERLINK("https://www.soccerplususa.com/adidas/adidas-copa-zone-cushion-ii-sock-1902", "https://www.soccerplususa.com/adidas/adidas-copa-zone-cushion-ii-sock-1902")</f>
        <v/>
      </c>
      <c r="B2580" t="inlineStr">
        <is>
          <t>undefined</t>
        </is>
      </c>
      <c r="C2580" t="inlineStr">
        <is>
          <t>adidas Copa Zone Cushion II Sock</t>
        </is>
      </c>
      <c r="D2580" t="inlineStr">
        <is>
          <t>adidas Copa Zone Cushion II Large Socks</t>
        </is>
      </c>
      <c r="E2580" s="2">
        <f>HYPERLINK("https://www.amazon.com/Adidas-Cushion-Soccer-Large-White/dp/B00E34KJ9Q/ref=sr_1_4?keywords=adidas+Copa+Zone+Cushion+II+Sock&amp;qid=1695171110&amp;sr=8-4", "https://www.amazon.com/Adidas-Cushion-Soccer-Large-White/dp/B00E34KJ9Q/ref=sr_1_4?keywords=adidas+Copa+Zone+Cushion+II+Sock&amp;qid=1695171110&amp;sr=8-4")</f>
        <v/>
      </c>
      <c r="F2580" t="inlineStr">
        <is>
          <t>B00E34KJ9Q</t>
        </is>
      </c>
      <c r="G2580">
        <f>_xludf.IMAGE("https://www.soccerplususa.com/prodimages/2475-DEFAULT-l.jpg")</f>
        <v/>
      </c>
      <c r="H2580">
        <f>_xludf.IMAGE("https://m.media-amazon.com/images/I/61+-OqZA3OL._AC_UL320_.jpg")</f>
        <v/>
      </c>
      <c r="K2580" t="inlineStr">
        <is>
          <t>6.0</t>
        </is>
      </c>
      <c r="L2580" t="n">
        <v>11.9</v>
      </c>
      <c r="M2580" s="1" t="inlineStr">
        <is>
          <t>98.33%</t>
        </is>
      </c>
      <c r="N2580" s="3" t="n">
        <v>98.33</v>
      </c>
      <c r="O2580" t="n">
        <v>4.5</v>
      </c>
      <c r="P2580" t="n">
        <v>2</v>
      </c>
      <c r="R2580" t="inlineStr">
        <is>
          <t>InStock</t>
        </is>
      </c>
      <c r="S2580" t="inlineStr">
        <is>
          <t>11.95</t>
        </is>
      </c>
      <c r="T2580" t="inlineStr">
        <is>
          <t>5130099</t>
        </is>
      </c>
    </row>
    <row r="2581" hidden="1" ht="15.75" customHeight="1">
      <c r="A2581" s="2">
        <f>HYPERLINK("https://www.soccerplususa.com/adidas/adidas-copa-zone-cushion-ii-1922", "https://www.soccerplususa.com/adidas/adidas-copa-zone-cushion-ii-1922")</f>
        <v/>
      </c>
      <c r="B2581" t="inlineStr">
        <is>
          <t>undefined</t>
        </is>
      </c>
      <c r="C2581" t="inlineStr">
        <is>
          <t>adidas Copa Zone Cushion II</t>
        </is>
      </c>
      <c r="D2581" t="inlineStr">
        <is>
          <t>adidas Copa Zone Cushion II Large Socks</t>
        </is>
      </c>
      <c r="E2581" s="2">
        <f>HYPERLINK("https://www.amazon.com/Adidas-Cushion-Soccer-Large-White/dp/B00E34KJ9Q/ref=sr_1_2?keywords=adidas+Copa+Zone+Cushion+II&amp;qid=1695171129&amp;sr=8-2", "https://www.amazon.com/Adidas-Cushion-Soccer-Large-White/dp/B00E34KJ9Q/ref=sr_1_2?keywords=adidas+Copa+Zone+Cushion+II&amp;qid=1695171129&amp;sr=8-2")</f>
        <v/>
      </c>
      <c r="F2581" t="inlineStr">
        <is>
          <t>B00E34KJ9Q</t>
        </is>
      </c>
      <c r="G2581">
        <f>_xludf.IMAGE("https://www.soccerplususa.com/prodimages/5094-DEFAULT-l.jpg")</f>
        <v/>
      </c>
      <c r="H2581">
        <f>_xludf.IMAGE("https://m.media-amazon.com/images/I/61+-OqZA3OL._AC_UL320_.jpg")</f>
        <v/>
      </c>
      <c r="K2581" t="inlineStr">
        <is>
          <t>6.0</t>
        </is>
      </c>
      <c r="L2581" t="n">
        <v>11.9</v>
      </c>
      <c r="M2581" s="1" t="inlineStr">
        <is>
          <t>98.33%</t>
        </is>
      </c>
      <c r="N2581" s="3" t="n">
        <v>98.33</v>
      </c>
      <c r="O2581" t="n">
        <v>4.5</v>
      </c>
      <c r="P2581" t="n">
        <v>2</v>
      </c>
      <c r="R2581" t="inlineStr">
        <is>
          <t>InStock</t>
        </is>
      </c>
      <c r="S2581" t="inlineStr">
        <is>
          <t>11.95</t>
        </is>
      </c>
      <c r="T2581" t="inlineStr">
        <is>
          <t>5130155</t>
        </is>
      </c>
    </row>
    <row r="2582" hidden="1" ht="15.75" customHeight="1">
      <c r="A2582" s="2">
        <f>HYPERLINK("https://www.soccerplususa.com/adidas/adidas-copa-zone-cushion-ii-sock-1959", "https://www.soccerplususa.com/adidas/adidas-copa-zone-cushion-ii-sock-1959")</f>
        <v/>
      </c>
      <c r="B2582" t="inlineStr">
        <is>
          <t>undefined</t>
        </is>
      </c>
      <c r="C2582" t="inlineStr">
        <is>
          <t>adidas Copa Zone Cushion II Sock</t>
        </is>
      </c>
      <c r="D2582" t="inlineStr">
        <is>
          <t>adidas Copa Zone Cushion II Large Socks</t>
        </is>
      </c>
      <c r="E2582" s="2">
        <f>HYPERLINK("https://www.amazon.com/Adidas-Cushion-Soccer-Large-White/dp/B00E34KJ9Q/ref=sr_1_3?keywords=adidas+Copa+Zone+Cushion+II+Sock&amp;qid=1695171116&amp;sr=8-3", "https://www.amazon.com/Adidas-Cushion-Soccer-Large-White/dp/B00E34KJ9Q/ref=sr_1_3?keywords=adidas+Copa+Zone+Cushion+II+Sock&amp;qid=1695171116&amp;sr=8-3")</f>
        <v/>
      </c>
      <c r="F2582" t="inlineStr">
        <is>
          <t>B00E34KJ9Q</t>
        </is>
      </c>
      <c r="G2582">
        <f>_xludf.IMAGE("https://www.soccerplususa.com/prodimages/2495-DEFAULT-l.jpg")</f>
        <v/>
      </c>
      <c r="H2582">
        <f>_xludf.IMAGE("https://m.media-amazon.com/images/I/61+-OqZA3OL._AC_UL320_.jpg")</f>
        <v/>
      </c>
      <c r="K2582" t="inlineStr">
        <is>
          <t>6.0</t>
        </is>
      </c>
      <c r="L2582" t="n">
        <v>11.9</v>
      </c>
      <c r="M2582" s="1" t="inlineStr">
        <is>
          <t>98.33%</t>
        </is>
      </c>
      <c r="N2582" s="3" t="n">
        <v>98.33</v>
      </c>
      <c r="O2582" t="n">
        <v>4.5</v>
      </c>
      <c r="P2582" t="n">
        <v>2</v>
      </c>
      <c r="R2582" t="inlineStr">
        <is>
          <t>InStock</t>
        </is>
      </c>
      <c r="S2582" t="inlineStr">
        <is>
          <t>11.95</t>
        </is>
      </c>
      <c r="T2582" t="inlineStr">
        <is>
          <t>5130270</t>
        </is>
      </c>
    </row>
    <row r="2583" hidden="1" ht="15.75" customHeight="1">
      <c r="A2583" s="2">
        <f>HYPERLINK("https://www.soccerplususa.com/adidas/adidas-copa-zone-cushion-ii-sock-1962", "https://www.soccerplususa.com/adidas/adidas-copa-zone-cushion-ii-sock-1962")</f>
        <v/>
      </c>
      <c r="B2583" t="inlineStr">
        <is>
          <t>undefined</t>
        </is>
      </c>
      <c r="C2583" t="inlineStr">
        <is>
          <t>adidas Copa Zone Cushion II Sock</t>
        </is>
      </c>
      <c r="D2583" t="inlineStr">
        <is>
          <t>adidas Copa Zone Cushion II Large Socks</t>
        </is>
      </c>
      <c r="E2583" s="2">
        <f>HYPERLINK("https://www.amazon.com/Adidas-Cushion-Soccer-Large-White/dp/B00E34KJ9Q/ref=sr_1_2?keywords=adidas+Copa+Zone+Cushion+II+Sock&amp;qid=1695171112&amp;sr=8-2", "https://www.amazon.com/Adidas-Cushion-Soccer-Large-White/dp/B00E34KJ9Q/ref=sr_1_2?keywords=adidas+Copa+Zone+Cushion+II+Sock&amp;qid=1695171112&amp;sr=8-2")</f>
        <v/>
      </c>
      <c r="F2583" t="inlineStr">
        <is>
          <t>B00E34KJ9Q</t>
        </is>
      </c>
      <c r="G2583">
        <f>_xludf.IMAGE("https://www.soccerplususa.com/prodimages/2496-DEFAULT-l.jpg")</f>
        <v/>
      </c>
      <c r="H2583">
        <f>_xludf.IMAGE("https://m.media-amazon.com/images/I/61+-OqZA3OL._AC_UL320_.jpg")</f>
        <v/>
      </c>
      <c r="K2583" t="inlineStr">
        <is>
          <t>6.0</t>
        </is>
      </c>
      <c r="L2583" t="n">
        <v>11.9</v>
      </c>
      <c r="M2583" s="1" t="inlineStr">
        <is>
          <t>98.33%</t>
        </is>
      </c>
      <c r="N2583" s="3" t="n">
        <v>98.33</v>
      </c>
      <c r="O2583" t="n">
        <v>4.5</v>
      </c>
      <c r="P2583" t="n">
        <v>2</v>
      </c>
      <c r="R2583" t="inlineStr">
        <is>
          <t>InStock</t>
        </is>
      </c>
      <c r="S2583" t="inlineStr">
        <is>
          <t>11.95</t>
        </is>
      </c>
      <c r="T2583" t="inlineStr">
        <is>
          <t>5130280</t>
        </is>
      </c>
    </row>
    <row r="2584" hidden="1" ht="15.75" customHeight="1">
      <c r="A2584" s="2">
        <f>HYPERLINK("https://www.soccerplususa.com/adidas/adidas-copa-zone-cushion-ii-sock-1944", "https://www.soccerplususa.com/adidas/adidas-copa-zone-cushion-ii-sock-1944")</f>
        <v/>
      </c>
      <c r="B2584" t="inlineStr">
        <is>
          <t>undefined</t>
        </is>
      </c>
      <c r="C2584" t="inlineStr">
        <is>
          <t>adidas Copa Zone Cushion II Sock</t>
        </is>
      </c>
      <c r="D2584" t="inlineStr">
        <is>
          <t>adidas Copa Zone Cushion II Large Socks</t>
        </is>
      </c>
      <c r="E2584" s="2">
        <f>HYPERLINK("https://www.amazon.com/Adidas-Cushion-Soccer-Large-White/dp/B00E34KJ9Q/ref=sr_1_3?keywords=adidas+Copa+Zone+Cushion+II+Sock&amp;qid=1695171111&amp;sr=8-3", "https://www.amazon.com/Adidas-Cushion-Soccer-Large-White/dp/B00E34KJ9Q/ref=sr_1_3?keywords=adidas+Copa+Zone+Cushion+II+Sock&amp;qid=1695171111&amp;sr=8-3")</f>
        <v/>
      </c>
      <c r="F2584" t="inlineStr">
        <is>
          <t>B00E34KJ9Q</t>
        </is>
      </c>
      <c r="G2584">
        <f>_xludf.IMAGE("https://www.soccerplususa.com/prodimages/2489-DEFAULT-l.jpg")</f>
        <v/>
      </c>
      <c r="H2584">
        <f>_xludf.IMAGE("https://m.media-amazon.com/images/I/61+-OqZA3OL._AC_UL320_.jpg")</f>
        <v/>
      </c>
      <c r="K2584" t="inlineStr">
        <is>
          <t>6.0</t>
        </is>
      </c>
      <c r="L2584" t="n">
        <v>11.9</v>
      </c>
      <c r="M2584" s="1" t="inlineStr">
        <is>
          <t>98.33%</t>
        </is>
      </c>
      <c r="N2584" s="3" t="n">
        <v>98.33</v>
      </c>
      <c r="O2584" t="n">
        <v>4.5</v>
      </c>
      <c r="P2584" t="n">
        <v>2</v>
      </c>
      <c r="R2584" t="inlineStr">
        <is>
          <t>InStock</t>
        </is>
      </c>
      <c r="S2584" t="inlineStr">
        <is>
          <t>11.95</t>
        </is>
      </c>
      <c r="T2584" t="inlineStr">
        <is>
          <t>5130226</t>
        </is>
      </c>
    </row>
    <row r="2585" hidden="1" ht="15.75" customHeight="1">
      <c r="A2585" s="2">
        <f>HYPERLINK("https://www.soccerplususa.com/adidas/adidas-copa-zone-cushion-ii-sock-1967", "https://www.soccerplususa.com/adidas/adidas-copa-zone-cushion-ii-sock-1967")</f>
        <v/>
      </c>
      <c r="B2585" t="inlineStr">
        <is>
          <t>undefined</t>
        </is>
      </c>
      <c r="C2585" t="inlineStr">
        <is>
          <t>adidas Copa Zone Cushion II Sock</t>
        </is>
      </c>
      <c r="D2585" t="inlineStr">
        <is>
          <t>adidas Copa Zone Cushion II Large Socks</t>
        </is>
      </c>
      <c r="E2585" s="2">
        <f>HYPERLINK("https://www.amazon.com/Adidas-Cushion-Soccer-Large-White/dp/B00E34KJ9Q/ref=sr_1_3?keywords=adidas+Copa+Zone+Cushion+II+Sock&amp;qid=1695171108&amp;sr=8-3", "https://www.amazon.com/Adidas-Cushion-Soccer-Large-White/dp/B00E34KJ9Q/ref=sr_1_3?keywords=adidas+Copa+Zone+Cushion+II+Sock&amp;qid=1695171108&amp;sr=8-3")</f>
        <v/>
      </c>
      <c r="F2585" t="inlineStr">
        <is>
          <t>B00E34KJ9Q</t>
        </is>
      </c>
      <c r="G2585">
        <f>_xludf.IMAGE("https://www.soccerplususa.com/prodimages/2497-DEFAULT-l.jpg")</f>
        <v/>
      </c>
      <c r="H2585">
        <f>_xludf.IMAGE("https://m.media-amazon.com/images/I/61+-OqZA3OL._AC_UL320_.jpg")</f>
        <v/>
      </c>
      <c r="K2585" t="inlineStr">
        <is>
          <t>6.0</t>
        </is>
      </c>
      <c r="L2585" t="n">
        <v>11.9</v>
      </c>
      <c r="M2585" s="1" t="inlineStr">
        <is>
          <t>98.33%</t>
        </is>
      </c>
      <c r="N2585" s="3" t="n">
        <v>98.33</v>
      </c>
      <c r="O2585" t="n">
        <v>4.5</v>
      </c>
      <c r="P2585" t="n">
        <v>2</v>
      </c>
      <c r="R2585" t="inlineStr">
        <is>
          <t>InStock</t>
        </is>
      </c>
      <c r="S2585" t="inlineStr">
        <is>
          <t>11.95</t>
        </is>
      </c>
      <c r="T2585" t="inlineStr">
        <is>
          <t>5130297</t>
        </is>
      </c>
    </row>
    <row r="2586" hidden="1" ht="15.75" customHeight="1">
      <c r="A2586" s="2">
        <f>HYPERLINK("https://www.soccerplususa.com/adidas/adidas-copa-zone-cushion-ii-sock-1907", "https://www.soccerplususa.com/adidas/adidas-copa-zone-cushion-ii-sock-1907")</f>
        <v/>
      </c>
      <c r="B2586" t="inlineStr">
        <is>
          <t>undefined</t>
        </is>
      </c>
      <c r="C2586" t="inlineStr">
        <is>
          <t>adidas Copa Zone Cushion II Sock</t>
        </is>
      </c>
      <c r="D2586" t="inlineStr">
        <is>
          <t>adidas Copa Zone Cushion II Large Socks</t>
        </is>
      </c>
      <c r="E2586" s="2">
        <f>HYPERLINK("https://www.amazon.com/Adidas-Cushion-Soccer-Large-White/dp/B00E34KJ9Q/ref=sr_1_3?keywords=adidas+Copa+Zone+Cushion+II+Sock&amp;qid=1695171114&amp;sr=8-3", "https://www.amazon.com/Adidas-Cushion-Soccer-Large-White/dp/B00E34KJ9Q/ref=sr_1_3?keywords=adidas+Copa+Zone+Cushion+II+Sock&amp;qid=1695171114&amp;sr=8-3")</f>
        <v/>
      </c>
      <c r="F2586" t="inlineStr">
        <is>
          <t>B00E34KJ9Q</t>
        </is>
      </c>
      <c r="G2586">
        <f>_xludf.IMAGE("https://www.soccerplususa.com/prodimages/2476-DEFAULT-l.jpg")</f>
        <v/>
      </c>
      <c r="H2586">
        <f>_xludf.IMAGE("https://m.media-amazon.com/images/I/61+-OqZA3OL._AC_UL320_.jpg")</f>
        <v/>
      </c>
      <c r="K2586" t="inlineStr">
        <is>
          <t>6.0</t>
        </is>
      </c>
      <c r="L2586" t="n">
        <v>11.9</v>
      </c>
      <c r="M2586" s="1" t="inlineStr">
        <is>
          <t>98.33%</t>
        </is>
      </c>
      <c r="N2586" s="3" t="n">
        <v>98.33</v>
      </c>
      <c r="O2586" t="n">
        <v>4.5</v>
      </c>
      <c r="P2586" t="n">
        <v>2</v>
      </c>
      <c r="R2586" t="inlineStr">
        <is>
          <t>InStock</t>
        </is>
      </c>
      <c r="S2586" t="inlineStr">
        <is>
          <t>11.95</t>
        </is>
      </c>
      <c r="T2586" t="inlineStr">
        <is>
          <t>5130109</t>
        </is>
      </c>
    </row>
    <row r="2587" ht="75" customHeight="1">
      <c r="A2587" s="2">
        <f>HYPERLINK("https://www.soccerplususa.com/adidas/adidas-team-speed-sock-1890", "https://www.soccerplususa.com/adidas/adidas-team-speed-sock-1890")</f>
        <v/>
      </c>
      <c r="B2587" t="inlineStr">
        <is>
          <t>undefined</t>
        </is>
      </c>
      <c r="C2587" t="inlineStr">
        <is>
          <t>adidas Team Speed Sock</t>
        </is>
      </c>
      <c r="D2587" t="inlineStr">
        <is>
          <t>adidas Speed Mesh Team Crew</t>
        </is>
      </c>
      <c r="E2587" s="2">
        <f>HYPERLINK("https://www.amazon.com/adidas-Basketball-Football-1-Pack-Medium/dp/B01N7KQEIQ/ref=sr_1_5?keywords=adidas+Team+Speed+Sock&amp;qid=1695171116&amp;sr=8-5", "https://www.amazon.com/adidas-Basketball-Football-1-Pack-Medium/dp/B01N7KQEIQ/ref=sr_1_5?keywords=adidas+Team+Speed+Sock&amp;qid=1695171116&amp;sr=8-5")</f>
        <v/>
      </c>
      <c r="F2587" t="inlineStr">
        <is>
          <t>B01N7KQEIQ</t>
        </is>
      </c>
      <c r="G2587">
        <f>_xlfn.IMAGE("https://www.soccerplususa.com/prodimages/6561-DEFAULT-l.jpg")</f>
        <v/>
      </c>
      <c r="H2587">
        <f>_xlfn.IMAGE("https://m.media-amazon.com/images/I/911TmeBgmCL._AC_UL320_.jpg")</f>
        <v/>
      </c>
      <c r="K2587" t="inlineStr">
        <is>
          <t>8.0</t>
        </is>
      </c>
      <c r="L2587" t="n">
        <v>15.51</v>
      </c>
      <c r="M2587" s="1" t="inlineStr">
        <is>
          <t>93.88%</t>
        </is>
      </c>
      <c r="N2587" s="3" t="n">
        <v>93.88</v>
      </c>
      <c r="O2587" t="n">
        <v>4.6</v>
      </c>
      <c r="P2587" t="n">
        <v>459</v>
      </c>
      <c r="R2587" t="inlineStr">
        <is>
          <t>InStock</t>
        </is>
      </c>
      <c r="S2587" t="inlineStr">
        <is>
          <t>15.95</t>
        </is>
      </c>
      <c r="T2587" t="inlineStr">
        <is>
          <t>5130065</t>
        </is>
      </c>
    </row>
    <row r="2588" hidden="1" ht="15.75" customHeight="1">
      <c r="A2588" s="2">
        <f>HYPERLINK("https://www.soccerplususa.com/adidas/adidas-copa-zone-cushion-ii-1887", "https://www.soccerplususa.com/adidas/adidas-copa-zone-cushion-ii-1887")</f>
        <v/>
      </c>
      <c r="B2588" t="inlineStr">
        <is>
          <t>undefined</t>
        </is>
      </c>
      <c r="C2588" t="inlineStr">
        <is>
          <t>adidas Copa Zone Cushion II</t>
        </is>
      </c>
      <c r="D2588" t="inlineStr">
        <is>
          <t>adidas Copa Zone Cushion 4 Soccer Socks (1-Pair) -Irregular</t>
        </is>
      </c>
      <c r="E2588" s="2">
        <f>HYPERLINK("https://www.amazon.com/adidas-Cushion-Irregular-Sock-Team-X-Small/dp/B08ZXZ8LQL/ref=sr_1_7?keywords=adidas+Copa+Zone+Cushion+II&amp;qid=1695171116&amp;sr=8-7", "https://www.amazon.com/adidas-Cushion-Irregular-Sock-Team-X-Small/dp/B08ZXZ8LQL/ref=sr_1_7?keywords=adidas+Copa+Zone+Cushion+II&amp;qid=1695171116&amp;sr=8-7")</f>
        <v/>
      </c>
      <c r="F2588" t="inlineStr">
        <is>
          <t>B08ZXZ8LQL</t>
        </is>
      </c>
      <c r="G2588">
        <f>_xludf.IMAGE("https://www.soccerplususa.com/prodimages/2504-DEFAULT-l.jpg")</f>
        <v/>
      </c>
      <c r="H2588">
        <f>_xludf.IMAGE("https://m.media-amazon.com/images/I/81z9VJEVGjL._AC_UL320_.jpg")</f>
        <v/>
      </c>
      <c r="K2588" t="inlineStr">
        <is>
          <t>6.0</t>
        </is>
      </c>
      <c r="L2588" t="n">
        <v>11.44</v>
      </c>
      <c r="M2588" s="1" t="inlineStr">
        <is>
          <t>90.67%</t>
        </is>
      </c>
      <c r="N2588" s="3" t="n">
        <v>90.67</v>
      </c>
      <c r="O2588" t="n">
        <v>4</v>
      </c>
      <c r="P2588" t="n">
        <v>15</v>
      </c>
      <c r="R2588" t="inlineStr">
        <is>
          <t>InStock</t>
        </is>
      </c>
      <c r="S2588" t="inlineStr">
        <is>
          <t>11.95</t>
        </is>
      </c>
      <c r="T2588" t="inlineStr">
        <is>
          <t>5130040</t>
        </is>
      </c>
    </row>
    <row r="2589" hidden="1" ht="15.75" customHeight="1">
      <c r="A2589" s="2">
        <f>HYPERLINK("https://www.soccerplususa.com/adidas/adidas-copa-zone-cushion-ii-sock-1948", "https://www.soccerplususa.com/adidas/adidas-copa-zone-cushion-ii-sock-1948")</f>
        <v/>
      </c>
      <c r="B2589" t="inlineStr">
        <is>
          <t>undefined</t>
        </is>
      </c>
      <c r="C2589" t="inlineStr">
        <is>
          <t>adidas Copa Zone Cushion II Sock</t>
        </is>
      </c>
      <c r="D2589" t="inlineStr">
        <is>
          <t>adidas Copa Zone Cushion 4 Soccer Socks (1-Pair) -Irregular</t>
        </is>
      </c>
      <c r="E2589" s="2">
        <f>HYPERLINK("https://www.amazon.com/adidas-Cushion-Irregular-Sock-Team-X-Small/dp/B08ZXZ8LQL/ref=sr_1_10?keywords=adidas+Copa+Zone+Cushion+II+Sock&amp;qid=1695171109&amp;sr=8-10", "https://www.amazon.com/adidas-Cushion-Irregular-Sock-Team-X-Small/dp/B08ZXZ8LQL/ref=sr_1_10?keywords=adidas+Copa+Zone+Cushion+II+Sock&amp;qid=1695171109&amp;sr=8-10")</f>
        <v/>
      </c>
      <c r="F2589" t="inlineStr">
        <is>
          <t>B08ZXZ8LQL</t>
        </is>
      </c>
      <c r="G2589">
        <f>_xludf.IMAGE("https://www.soccerplususa.com/prodimages/2493-DEFAULT-l.jpg")</f>
        <v/>
      </c>
      <c r="H2589">
        <f>_xludf.IMAGE("https://m.media-amazon.com/images/I/81z9VJEVGjL._AC_UL320_.jpg")</f>
        <v/>
      </c>
      <c r="K2589" t="inlineStr">
        <is>
          <t>6.0</t>
        </is>
      </c>
      <c r="L2589" t="n">
        <v>11.44</v>
      </c>
      <c r="M2589" s="1" t="inlineStr">
        <is>
          <t>90.67%</t>
        </is>
      </c>
      <c r="N2589" s="3" t="n">
        <v>90.67</v>
      </c>
      <c r="O2589" t="n">
        <v>4</v>
      </c>
      <c r="P2589" t="n">
        <v>15</v>
      </c>
      <c r="R2589" t="inlineStr">
        <is>
          <t>InStock</t>
        </is>
      </c>
      <c r="S2589" t="inlineStr">
        <is>
          <t>11.95</t>
        </is>
      </c>
      <c r="T2589" t="inlineStr">
        <is>
          <t>5130236</t>
        </is>
      </c>
    </row>
    <row r="2590" hidden="1" ht="15.75" customHeight="1">
      <c r="A2590" s="2">
        <f>HYPERLINK("https://www.soccerplususa.com/adidas/adidas-copa-zone-cushion-ii-1949", "https://www.soccerplususa.com/adidas/adidas-copa-zone-cushion-ii-1949")</f>
        <v/>
      </c>
      <c r="B2590" t="inlineStr">
        <is>
          <t>undefined</t>
        </is>
      </c>
      <c r="C2590" t="inlineStr">
        <is>
          <t>adidas Copa Zone Cushion II</t>
        </is>
      </c>
      <c r="D2590" t="inlineStr">
        <is>
          <t>adidas Copa Zone Cushion 4 Soccer Socks (1-Pair) -Irregular</t>
        </is>
      </c>
      <c r="E2590" s="2">
        <f>HYPERLINK("https://www.amazon.com/adidas-Cushion-Irregular-Sock-Team-X-Small/dp/B08ZXZ8LQL/ref=sr_1_8?keywords=adidas+Copa+Zone+Cushion+II&amp;qid=1695171111&amp;sr=8-8", "https://www.amazon.com/adidas-Cushion-Irregular-Sock-Team-X-Small/dp/B08ZXZ8LQL/ref=sr_1_8?keywords=adidas+Copa+Zone+Cushion+II&amp;qid=1695171111&amp;sr=8-8")</f>
        <v/>
      </c>
      <c r="F2590" t="inlineStr">
        <is>
          <t>B08ZXZ8LQL</t>
        </is>
      </c>
      <c r="G2590">
        <f>_xludf.IMAGE("https://www.soccerplususa.com/prodimages/5096-DEFAULT-l.jpg")</f>
        <v/>
      </c>
      <c r="H2590">
        <f>_xludf.IMAGE("https://m.media-amazon.com/images/I/81z9VJEVGjL._AC_UL320_.jpg")</f>
        <v/>
      </c>
      <c r="K2590" t="inlineStr">
        <is>
          <t>6.0</t>
        </is>
      </c>
      <c r="L2590" t="n">
        <v>11.44</v>
      </c>
      <c r="M2590" s="1" t="inlineStr">
        <is>
          <t>90.67%</t>
        </is>
      </c>
      <c r="N2590" s="3" t="n">
        <v>90.67</v>
      </c>
      <c r="O2590" t="n">
        <v>4</v>
      </c>
      <c r="P2590" t="n">
        <v>15</v>
      </c>
      <c r="R2590" t="inlineStr">
        <is>
          <t>InStock</t>
        </is>
      </c>
      <c r="S2590" t="inlineStr">
        <is>
          <t>11.95</t>
        </is>
      </c>
      <c r="T2590" t="inlineStr">
        <is>
          <t>5130238</t>
        </is>
      </c>
    </row>
    <row r="2591" hidden="1" ht="15.75" customHeight="1">
      <c r="A2591" s="2">
        <f>HYPERLINK("https://www.soccerplususa.com/adidas/adidas-copa-zone-cushion-ii-1922", "https://www.soccerplususa.com/adidas/adidas-copa-zone-cushion-ii-1922")</f>
        <v/>
      </c>
      <c r="B2591" t="inlineStr">
        <is>
          <t>undefined</t>
        </is>
      </c>
      <c r="C2591" t="inlineStr">
        <is>
          <t>adidas Copa Zone Cushion II</t>
        </is>
      </c>
      <c r="D2591" t="inlineStr">
        <is>
          <t>adidas Copa Zone Cushion 4 Soccer Socks (1-Pair) -Irregular</t>
        </is>
      </c>
      <c r="E2591" s="2">
        <f>HYPERLINK("https://www.amazon.com/adidas-Cushion-Irregular-Sock-Team-X-Small/dp/B08ZXZ8LQL/ref=sr_1_8?keywords=adidas+Copa+Zone+Cushion+II&amp;qid=1695171129&amp;sr=8-8", "https://www.amazon.com/adidas-Cushion-Irregular-Sock-Team-X-Small/dp/B08ZXZ8LQL/ref=sr_1_8?keywords=adidas+Copa+Zone+Cushion+II&amp;qid=1695171129&amp;sr=8-8")</f>
        <v/>
      </c>
      <c r="F2591" t="inlineStr">
        <is>
          <t>B08ZXZ8LQL</t>
        </is>
      </c>
      <c r="G2591">
        <f>_xludf.IMAGE("https://www.soccerplususa.com/prodimages/5094-DEFAULT-l.jpg")</f>
        <v/>
      </c>
      <c r="H2591">
        <f>_xludf.IMAGE("https://m.media-amazon.com/images/I/81z9VJEVGjL._AC_UL320_.jpg")</f>
        <v/>
      </c>
      <c r="K2591" t="inlineStr">
        <is>
          <t>6.0</t>
        </is>
      </c>
      <c r="L2591" t="n">
        <v>11.44</v>
      </c>
      <c r="M2591" s="1" t="inlineStr">
        <is>
          <t>90.67%</t>
        </is>
      </c>
      <c r="N2591" s="3" t="n">
        <v>90.67</v>
      </c>
      <c r="O2591" t="n">
        <v>4</v>
      </c>
      <c r="P2591" t="n">
        <v>15</v>
      </c>
      <c r="R2591" t="inlineStr">
        <is>
          <t>InStock</t>
        </is>
      </c>
      <c r="S2591" t="inlineStr">
        <is>
          <t>11.95</t>
        </is>
      </c>
      <c r="T2591" t="inlineStr">
        <is>
          <t>5130155</t>
        </is>
      </c>
    </row>
    <row r="2592" hidden="1" ht="15.75" customHeight="1">
      <c r="A2592" s="2">
        <f>HYPERLINK("https://www.soccerplususa.com/adidas/adidas-copa-zone-cushion-ii-1913", "https://www.soccerplususa.com/adidas/adidas-copa-zone-cushion-ii-1913")</f>
        <v/>
      </c>
      <c r="B2592" t="inlineStr">
        <is>
          <t>undefined</t>
        </is>
      </c>
      <c r="C2592" t="inlineStr">
        <is>
          <t>adidas Copa Zone Cushion II</t>
        </is>
      </c>
      <c r="D2592" t="inlineStr">
        <is>
          <t>adidas Copa Zone Cushion 4 Soccer Socks (1-Pair) -Irregular</t>
        </is>
      </c>
      <c r="E2592" s="2">
        <f>HYPERLINK("https://www.amazon.com/adidas-Cushion-Irregular-Sock-Team-X-Small/dp/B08ZXZ8LQL/ref=sr_1_8?keywords=adidas+Copa+Zone+Cushion+II&amp;qid=1695171113&amp;sr=8-8", "https://www.amazon.com/adidas-Cushion-Irregular-Sock-Team-X-Small/dp/B08ZXZ8LQL/ref=sr_1_8?keywords=adidas+Copa+Zone+Cushion+II&amp;qid=1695171113&amp;sr=8-8")</f>
        <v/>
      </c>
      <c r="F2592" t="inlineStr">
        <is>
          <t>B08ZXZ8LQL</t>
        </is>
      </c>
      <c r="G2592">
        <f>_xludf.IMAGE("https://www.soccerplususa.com/prodimages/5095-DEFAULT-l.jpg")</f>
        <v/>
      </c>
      <c r="H2592">
        <f>_xludf.IMAGE("https://m.media-amazon.com/images/I/81z9VJEVGjL._AC_UL320_.jpg")</f>
        <v/>
      </c>
      <c r="K2592" t="inlineStr">
        <is>
          <t>6.0</t>
        </is>
      </c>
      <c r="L2592" t="n">
        <v>11.44</v>
      </c>
      <c r="M2592" s="1" t="inlineStr">
        <is>
          <t>90.67%</t>
        </is>
      </c>
      <c r="N2592" s="3" t="n">
        <v>90.67</v>
      </c>
      <c r="O2592" t="n">
        <v>4</v>
      </c>
      <c r="P2592" t="n">
        <v>15</v>
      </c>
      <c r="R2592" t="inlineStr">
        <is>
          <t>InStock</t>
        </is>
      </c>
      <c r="S2592" t="inlineStr">
        <is>
          <t>11.95</t>
        </is>
      </c>
      <c r="T2592" t="inlineStr">
        <is>
          <t>5130128</t>
        </is>
      </c>
    </row>
    <row r="2593" hidden="1" ht="15.75" customHeight="1">
      <c r="A2593" s="2">
        <f>HYPERLINK("https://www.soccerplususa.com/adidas/adidas-copa-zone-cushion-iii-sock-2057", "https://www.soccerplususa.com/adidas/adidas-copa-zone-cushion-iii-sock-2057")</f>
        <v/>
      </c>
      <c r="B2593" t="inlineStr">
        <is>
          <t>undefined</t>
        </is>
      </c>
      <c r="C2593" t="inlineStr">
        <is>
          <t>adidas Copa Zone Cushion III Sock</t>
        </is>
      </c>
      <c r="D2593" t="inlineStr">
        <is>
          <t>adidas Copa Zone Cushion 4 Soccer Socks (1-Pair) -Irregular</t>
        </is>
      </c>
      <c r="E2593" s="2">
        <f>HYPERLINK("https://www.amazon.com/adidas-Cushion-Irregular-Sock-Team-X-Small/dp/B08ZXZ8LQL/ref=sr_1_9?keywords=adidas+Copa+Zone+Cushion+III+Sock&amp;qid=1695171108&amp;sr=8-9", "https://www.amazon.com/adidas-Cushion-Irregular-Sock-Team-X-Small/dp/B08ZXZ8LQL/ref=sr_1_9?keywords=adidas+Copa+Zone+Cushion+III+Sock&amp;qid=1695171108&amp;sr=8-9")</f>
        <v/>
      </c>
      <c r="F2593" t="inlineStr">
        <is>
          <t>B08ZXZ8LQL</t>
        </is>
      </c>
      <c r="G2593">
        <f>_xludf.IMAGE("https://www.soccerplususa.com/prodimages/7460-DEFAULT-l.jpg")</f>
        <v/>
      </c>
      <c r="H2593">
        <f>_xludf.IMAGE("https://m.media-amazon.com/images/I/81z9VJEVGjL._AC_UL320_.jpg")</f>
        <v/>
      </c>
      <c r="K2593" t="inlineStr">
        <is>
          <t>6.0</t>
        </is>
      </c>
      <c r="L2593" t="n">
        <v>11.44</v>
      </c>
      <c r="M2593" s="1" t="inlineStr">
        <is>
          <t>90.67%</t>
        </is>
      </c>
      <c r="N2593" s="3" t="n">
        <v>90.67</v>
      </c>
      <c r="O2593" t="n">
        <v>4</v>
      </c>
      <c r="P2593" t="n">
        <v>15</v>
      </c>
      <c r="R2593" t="inlineStr">
        <is>
          <t>InStock</t>
        </is>
      </c>
      <c r="S2593" t="inlineStr">
        <is>
          <t>11.95</t>
        </is>
      </c>
      <c r="T2593" t="inlineStr">
        <is>
          <t>5143259</t>
        </is>
      </c>
    </row>
    <row r="2594" hidden="1" ht="15.75" customHeight="1">
      <c r="A2594" s="2">
        <f>HYPERLINK("https://www.soccerplususa.com/adidas/adidas-copa-zone-cushion-ii-sock-1962", "https://www.soccerplususa.com/adidas/adidas-copa-zone-cushion-ii-sock-1962")</f>
        <v/>
      </c>
      <c r="B2594" t="inlineStr">
        <is>
          <t>undefined</t>
        </is>
      </c>
      <c r="C2594" t="inlineStr">
        <is>
          <t>adidas Copa Zone Cushion II Sock</t>
        </is>
      </c>
      <c r="D2594" t="inlineStr">
        <is>
          <t>adidas Copa Zone Cushion 4 Soccer Socks (1-Pair) -Irregular</t>
        </is>
      </c>
      <c r="E2594" s="2">
        <f>HYPERLINK("https://www.amazon.com/adidas-Cushion-Irregular-Sock-Team-X-Small/dp/B08ZXZ8LQL/ref=sr_1_10?keywords=adidas+Copa+Zone+Cushion+II+Sock&amp;qid=1695171112&amp;sr=8-10", "https://www.amazon.com/adidas-Cushion-Irregular-Sock-Team-X-Small/dp/B08ZXZ8LQL/ref=sr_1_10?keywords=adidas+Copa+Zone+Cushion+II+Sock&amp;qid=1695171112&amp;sr=8-10")</f>
        <v/>
      </c>
      <c r="F2594" t="inlineStr">
        <is>
          <t>B08ZXZ8LQL</t>
        </is>
      </c>
      <c r="G2594">
        <f>_xludf.IMAGE("https://www.soccerplususa.com/prodimages/2496-DEFAULT-l.jpg")</f>
        <v/>
      </c>
      <c r="H2594">
        <f>_xludf.IMAGE("https://m.media-amazon.com/images/I/81z9VJEVGjL._AC_UL320_.jpg")</f>
        <v/>
      </c>
      <c r="K2594" t="inlineStr">
        <is>
          <t>6.0</t>
        </is>
      </c>
      <c r="L2594" t="n">
        <v>11.44</v>
      </c>
      <c r="M2594" s="1" t="inlineStr">
        <is>
          <t>90.67%</t>
        </is>
      </c>
      <c r="N2594" s="3" t="n">
        <v>90.67</v>
      </c>
      <c r="O2594" t="n">
        <v>4</v>
      </c>
      <c r="P2594" t="n">
        <v>15</v>
      </c>
      <c r="R2594" t="inlineStr">
        <is>
          <t>InStock</t>
        </is>
      </c>
      <c r="S2594" t="inlineStr">
        <is>
          <t>11.95</t>
        </is>
      </c>
      <c r="T2594" t="inlineStr">
        <is>
          <t>5130280</t>
        </is>
      </c>
    </row>
    <row r="2595" hidden="1" ht="15.75" customHeight="1">
      <c r="A2595" s="2">
        <f>HYPERLINK("https://www.soccerplususa.com/adidas/adidas-copa-zone-cushion-iii-sock-2070", "https://www.soccerplususa.com/adidas/adidas-copa-zone-cushion-iii-sock-2070")</f>
        <v/>
      </c>
      <c r="B2595" t="inlineStr">
        <is>
          <t>undefined</t>
        </is>
      </c>
      <c r="C2595" t="inlineStr">
        <is>
          <t>adidas Copa Zone Cushion III Sock</t>
        </is>
      </c>
      <c r="D2595" t="inlineStr">
        <is>
          <t>adidas Copa Zone Cushion 4 Soccer Socks (1-Pair) -Irregular</t>
        </is>
      </c>
      <c r="E2595" s="2">
        <f>HYPERLINK("https://www.amazon.com/adidas-Cushion-Irregular-Sock-Team-X-Small/dp/B08ZXZ8LQL/ref=sr_1_9?keywords=adidas+Copa+Zone+Cushion+III+Sock&amp;qid=1695171106&amp;sr=8-9", "https://www.amazon.com/adidas-Cushion-Irregular-Sock-Team-X-Small/dp/B08ZXZ8LQL/ref=sr_1_9?keywords=adidas+Copa+Zone+Cushion+III+Sock&amp;qid=1695171106&amp;sr=8-9")</f>
        <v/>
      </c>
      <c r="F2595" t="inlineStr">
        <is>
          <t>B08ZXZ8LQL</t>
        </is>
      </c>
      <c r="G2595">
        <f>_xludf.IMAGE("https://www.soccerplususa.com/prodimages/6072-DEFAULT-l.jpg")</f>
        <v/>
      </c>
      <c r="H2595">
        <f>_xludf.IMAGE("https://m.media-amazon.com/images/I/81z9VJEVGjL._AC_UL320_.jpg")</f>
        <v/>
      </c>
      <c r="K2595" t="inlineStr">
        <is>
          <t>6.0</t>
        </is>
      </c>
      <c r="L2595" t="n">
        <v>11.44</v>
      </c>
      <c r="M2595" s="1" t="inlineStr">
        <is>
          <t>90.67%</t>
        </is>
      </c>
      <c r="N2595" s="3" t="n">
        <v>90.67</v>
      </c>
      <c r="O2595" t="n">
        <v>4</v>
      </c>
      <c r="P2595" t="n">
        <v>15</v>
      </c>
      <c r="R2595" t="inlineStr">
        <is>
          <t>InStock</t>
        </is>
      </c>
      <c r="S2595" t="inlineStr">
        <is>
          <t>11.95</t>
        </is>
      </c>
      <c r="T2595" t="inlineStr">
        <is>
          <t>5143280</t>
        </is>
      </c>
    </row>
    <row r="2596" ht="75" customHeight="1">
      <c r="A2596" s="2">
        <f>HYPERLINK("https://www.soccerplususa.com/adidas/adidas-team-speed-sock-1896", "https://www.soccerplususa.com/adidas/adidas-team-speed-sock-1896")</f>
        <v/>
      </c>
      <c r="B2596" t="inlineStr">
        <is>
          <t>undefined</t>
        </is>
      </c>
      <c r="C2596" t="inlineStr">
        <is>
          <t>adidas Team Speed Sock</t>
        </is>
      </c>
      <c r="D2596" t="inlineStr">
        <is>
          <t>adidas Team Speed 2 Soccer Socks for Boys, Girls, Men and Women (1-Pair)</t>
        </is>
      </c>
      <c r="E2596" s="2">
        <f>HYPERLINK("https://www.amazon.com/adidas-Speed-Soccer-1-Pack-13C-4Y/dp/B077XPD7JS/ref=sr_1_2?keywords=adidas+Team+Speed+Sock&amp;qid=1695171111&amp;sr=8-2", "https://www.amazon.com/adidas-Speed-Soccer-1-Pack-13C-4Y/dp/B077XPD7JS/ref=sr_1_2?keywords=adidas+Team+Speed+Sock&amp;qid=1695171111&amp;sr=8-2")</f>
        <v/>
      </c>
      <c r="F2596" t="inlineStr">
        <is>
          <t>B077XPD7JS</t>
        </is>
      </c>
      <c r="G2596">
        <f>_xlfn.IMAGE("https://www.soccerplususa.com/prodimages/5438-DEFAULT-l.jpg")</f>
        <v/>
      </c>
      <c r="H2596">
        <f>_xlfn.IMAGE("https://m.media-amazon.com/images/I/91XbYtKrrGL._AC_UL320_.jpg")</f>
        <v/>
      </c>
      <c r="K2596" t="inlineStr">
        <is>
          <t>8.0</t>
        </is>
      </c>
      <c r="L2596" t="n">
        <v>15.12</v>
      </c>
      <c r="M2596" s="1" t="inlineStr">
        <is>
          <t>89.00%</t>
        </is>
      </c>
      <c r="N2596" s="3" t="n">
        <v>89</v>
      </c>
      <c r="O2596" t="n">
        <v>4.7</v>
      </c>
      <c r="P2596" t="n">
        <v>1519</v>
      </c>
      <c r="R2596" t="inlineStr">
        <is>
          <t>InStock</t>
        </is>
      </c>
      <c r="S2596" t="inlineStr">
        <is>
          <t>15.95</t>
        </is>
      </c>
      <c r="T2596" t="inlineStr">
        <is>
          <t>5130084</t>
        </is>
      </c>
    </row>
    <row r="2597" ht="75" customHeight="1">
      <c r="A2597" s="2">
        <f>HYPERLINK("https://www.soccerplususa.com/adidas/adidas-team-speed-sock-1888", "https://www.soccerplususa.com/adidas/adidas-team-speed-sock-1888")</f>
        <v/>
      </c>
      <c r="B2597" t="inlineStr">
        <is>
          <t>undefined</t>
        </is>
      </c>
      <c r="C2597" t="inlineStr">
        <is>
          <t>adidas Team Speed Sock</t>
        </is>
      </c>
      <c r="D2597" t="inlineStr">
        <is>
          <t>adidas Team Speed 2 Soccer Socks for Boys, Girls, Men and Women (1-Pair)</t>
        </is>
      </c>
      <c r="E2597" s="2">
        <f>HYPERLINK("https://www.amazon.com/adidas-Speed-Soccer-1-Pack-13C-4Y/dp/B077XPD7JS/ref=sr_1_2?keywords=adidas+Team+Speed+Sock&amp;qid=1695171114&amp;sr=8-2", "https://www.amazon.com/adidas-Speed-Soccer-1-Pack-13C-4Y/dp/B077XPD7JS/ref=sr_1_2?keywords=adidas+Team+Speed+Sock&amp;qid=1695171114&amp;sr=8-2")</f>
        <v/>
      </c>
      <c r="F2597" t="inlineStr">
        <is>
          <t>B077XPD7JS</t>
        </is>
      </c>
      <c r="G2597">
        <f>_xlfn.IMAGE("https://www.soccerplususa.com/prodimages/2502-DEFAULT-l.jpg")</f>
        <v/>
      </c>
      <c r="H2597">
        <f>_xlfn.IMAGE("https://m.media-amazon.com/images/I/91XbYtKrrGL._AC_UL320_.jpg")</f>
        <v/>
      </c>
      <c r="K2597" t="inlineStr">
        <is>
          <t>8.0</t>
        </is>
      </c>
      <c r="L2597" t="n">
        <v>15.12</v>
      </c>
      <c r="M2597" s="1" t="inlineStr">
        <is>
          <t>89.00%</t>
        </is>
      </c>
      <c r="N2597" s="3" t="n">
        <v>89</v>
      </c>
      <c r="O2597" t="n">
        <v>4.7</v>
      </c>
      <c r="P2597" t="n">
        <v>1519</v>
      </c>
      <c r="R2597" t="inlineStr">
        <is>
          <t>InStock</t>
        </is>
      </c>
      <c r="S2597" t="inlineStr">
        <is>
          <t>15.95</t>
        </is>
      </c>
      <c r="T2597" t="inlineStr">
        <is>
          <t>5130045</t>
        </is>
      </c>
    </row>
    <row r="2598" ht="75" customHeight="1">
      <c r="A2598" s="2">
        <f>HYPERLINK("https://www.soccerplususa.com/adidas/adidas-team-speed-sock-1897", "https://www.soccerplususa.com/adidas/adidas-team-speed-sock-1897")</f>
        <v/>
      </c>
      <c r="B2598" t="inlineStr">
        <is>
          <t>undefined</t>
        </is>
      </c>
      <c r="C2598" t="inlineStr">
        <is>
          <t>adidas Team Speed Sock</t>
        </is>
      </c>
      <c r="D2598" t="inlineStr">
        <is>
          <t>adidas Team Speed 2 Soccer Socks for Boys, Girls, Men and Women (1-Pair)</t>
        </is>
      </c>
      <c r="E2598" s="2">
        <f>HYPERLINK("https://www.amazon.com/adidas-Speed-Soccer-1-Pack-13C-4Y/dp/B077XPD7JS/ref=sr_1_2?keywords=adidas+Team+Speed+Sock&amp;qid=1695171122&amp;sr=8-2", "https://www.amazon.com/adidas-Speed-Soccer-1-Pack-13C-4Y/dp/B077XPD7JS/ref=sr_1_2?keywords=adidas+Team+Speed+Sock&amp;qid=1695171122&amp;sr=8-2")</f>
        <v/>
      </c>
      <c r="F2598" t="inlineStr">
        <is>
          <t>B077XPD7JS</t>
        </is>
      </c>
      <c r="G2598">
        <f>_xlfn.IMAGE("https://www.soccerplususa.com/prodimages/30895-DEFAULT-l.jpg")</f>
        <v/>
      </c>
      <c r="H2598">
        <f>_xlfn.IMAGE("https://m.media-amazon.com/images/I/91XbYtKrrGL._AC_UL320_.jpg")</f>
        <v/>
      </c>
      <c r="K2598" t="inlineStr">
        <is>
          <t>8.0</t>
        </is>
      </c>
      <c r="L2598" t="n">
        <v>15.12</v>
      </c>
      <c r="M2598" s="1" t="inlineStr">
        <is>
          <t>89.00%</t>
        </is>
      </c>
      <c r="N2598" s="3" t="n">
        <v>89</v>
      </c>
      <c r="O2598" t="n">
        <v>4.7</v>
      </c>
      <c r="P2598" t="n">
        <v>1519</v>
      </c>
      <c r="R2598" t="inlineStr">
        <is>
          <t>InStock</t>
        </is>
      </c>
      <c r="S2598" t="inlineStr">
        <is>
          <t>15.95</t>
        </is>
      </c>
      <c r="T2598" t="inlineStr">
        <is>
          <t>5130088</t>
        </is>
      </c>
    </row>
    <row r="2599" ht="75" customHeight="1">
      <c r="A2599" s="2">
        <f>HYPERLINK("https://www.soccerplususa.com/adidas/adidas-team-speed-sock-1890", "https://www.soccerplususa.com/adidas/adidas-team-speed-sock-1890")</f>
        <v/>
      </c>
      <c r="B2599" t="inlineStr">
        <is>
          <t>undefined</t>
        </is>
      </c>
      <c r="C2599" t="inlineStr">
        <is>
          <t>adidas Team Speed Sock</t>
        </is>
      </c>
      <c r="D2599" t="inlineStr">
        <is>
          <t>adidas Team Speed 2 Soccer Socks for Boys, Girls, Men and Women (1-Pair)</t>
        </is>
      </c>
      <c r="E2599" s="2">
        <f>HYPERLINK("https://www.amazon.com/adidas-Speed-Soccer-1-Pack-13C-4Y/dp/B077XPD7JS/ref=sr_1_2?keywords=adidas+Team+Speed+Sock&amp;qid=1695171116&amp;sr=8-2", "https://www.amazon.com/adidas-Speed-Soccer-1-Pack-13C-4Y/dp/B077XPD7JS/ref=sr_1_2?keywords=adidas+Team+Speed+Sock&amp;qid=1695171116&amp;sr=8-2")</f>
        <v/>
      </c>
      <c r="F2599" t="inlineStr">
        <is>
          <t>B077XPD7JS</t>
        </is>
      </c>
      <c r="G2599">
        <f>_xlfn.IMAGE("https://www.soccerplususa.com/prodimages/6561-DEFAULT-l.jpg")</f>
        <v/>
      </c>
      <c r="H2599">
        <f>_xlfn.IMAGE("https://m.media-amazon.com/images/I/91XbYtKrrGL._AC_UL320_.jpg")</f>
        <v/>
      </c>
      <c r="K2599" t="inlineStr">
        <is>
          <t>8.0</t>
        </is>
      </c>
      <c r="L2599" t="n">
        <v>15.12</v>
      </c>
      <c r="M2599" s="1" t="inlineStr">
        <is>
          <t>89.00%</t>
        </is>
      </c>
      <c r="N2599" s="3" t="n">
        <v>89</v>
      </c>
      <c r="O2599" t="n">
        <v>4.7</v>
      </c>
      <c r="P2599" t="n">
        <v>1519</v>
      </c>
      <c r="R2599" t="inlineStr">
        <is>
          <t>InStock</t>
        </is>
      </c>
      <c r="S2599" t="inlineStr">
        <is>
          <t>15.95</t>
        </is>
      </c>
      <c r="T2599" t="inlineStr">
        <is>
          <t>5130065</t>
        </is>
      </c>
    </row>
    <row r="2600" ht="75" customHeight="1">
      <c r="A2600" s="2">
        <f>HYPERLINK("https://www.soccerplususa.com/adidas/adidas-team-speed-sock-1923", "https://www.soccerplususa.com/adidas/adidas-team-speed-sock-1923")</f>
        <v/>
      </c>
      <c r="B2600" t="inlineStr">
        <is>
          <t>undefined</t>
        </is>
      </c>
      <c r="C2600" t="inlineStr">
        <is>
          <t>adidas Team Speed Sock</t>
        </is>
      </c>
      <c r="D2600" t="inlineStr">
        <is>
          <t>adidas Team Speed 2 Soccer Socks for Boys, Girls, Men and Women (1-Pair)</t>
        </is>
      </c>
      <c r="E2600" s="2">
        <f>HYPERLINK("https://www.amazon.com/adidas-Speed-Soccer-1-Pack-13C-4Y/dp/B077XPD7JS/ref=sr_1_2?keywords=adidas+Team+Speed+Sock&amp;qid=1695171111&amp;sr=8-2", "https://www.amazon.com/adidas-Speed-Soccer-1-Pack-13C-4Y/dp/B077XPD7JS/ref=sr_1_2?keywords=adidas+Team+Speed+Sock&amp;qid=1695171111&amp;sr=8-2")</f>
        <v/>
      </c>
      <c r="F2600" t="inlineStr">
        <is>
          <t>B077XPD7JS</t>
        </is>
      </c>
      <c r="G2600">
        <f>_xlfn.IMAGE("https://www.soccerplususa.com/prodimages/6560-DEFAULT-l.jpg")</f>
        <v/>
      </c>
      <c r="H2600">
        <f>_xlfn.IMAGE("https://m.media-amazon.com/images/I/91XbYtKrrGL._AC_UL320_.jpg")</f>
        <v/>
      </c>
      <c r="K2600" t="inlineStr">
        <is>
          <t>8.0</t>
        </is>
      </c>
      <c r="L2600" t="n">
        <v>15.12</v>
      </c>
      <c r="M2600" s="1" t="inlineStr">
        <is>
          <t>89.00%</t>
        </is>
      </c>
      <c r="N2600" s="3" t="n">
        <v>89</v>
      </c>
      <c r="O2600" t="n">
        <v>4.7</v>
      </c>
      <c r="P2600" t="n">
        <v>1519</v>
      </c>
      <c r="R2600" t="inlineStr">
        <is>
          <t>InStock</t>
        </is>
      </c>
      <c r="S2600" t="inlineStr">
        <is>
          <t>15.95</t>
        </is>
      </c>
      <c r="T2600" t="inlineStr">
        <is>
          <t>5130156</t>
        </is>
      </c>
    </row>
    <row r="2601" ht="75" customHeight="1">
      <c r="A2601" s="2">
        <f>HYPERLINK("https://www.soccerplususa.com/adidas/adidas-copa-zone-cushion-iii-sock-2067", "https://www.soccerplususa.com/adidas/adidas-copa-zone-cushion-iii-sock-2067")</f>
        <v/>
      </c>
      <c r="B2601" t="inlineStr">
        <is>
          <t>undefined</t>
        </is>
      </c>
      <c r="C2601" t="inlineStr">
        <is>
          <t>adidas Copa Zone Cushion III Sock</t>
        </is>
      </c>
      <c r="D2601" t="inlineStr">
        <is>
          <t>adidas Copa Zone Cushion 4 Soccer Socks for Boys, Girls, Men and Women (1-Pair)</t>
        </is>
      </c>
      <c r="E2601" s="2">
        <f>HYPERLINK("https://www.amazon.com/adidas-Cushion-Soccer-1-Pack-Argentina/dp/B07D9HN6LZ/ref=sr_1_5?keywords=adidas+Copa+Zone+Cushion+III+Sock&amp;qid=1695171107&amp;sr=8-5", "https://www.amazon.com/adidas-Cushion-Soccer-1-Pack-Argentina/dp/B07D9HN6LZ/ref=sr_1_5?keywords=adidas+Copa+Zone+Cushion+III+Sock&amp;qid=1695171107&amp;sr=8-5")</f>
        <v/>
      </c>
      <c r="F2601" t="inlineStr">
        <is>
          <t>B07D9HN6LZ</t>
        </is>
      </c>
      <c r="G2601">
        <f>_xlfn.IMAGE("https://www.soccerplususa.com/prodimages/6071-DEFAULT-l.jpg")</f>
        <v/>
      </c>
      <c r="H2601">
        <f>_xlfn.IMAGE("https://m.media-amazon.com/images/I/81XA0Mz5E5L._AC_UL320_.jpg")</f>
        <v/>
      </c>
      <c r="K2601" t="inlineStr">
        <is>
          <t>8.99</t>
        </is>
      </c>
      <c r="L2601" t="n">
        <v>16.95</v>
      </c>
      <c r="M2601" s="1" t="inlineStr">
        <is>
          <t>88.54%</t>
        </is>
      </c>
      <c r="N2601" s="3" t="n">
        <v>88.54000000000001</v>
      </c>
      <c r="O2601" t="n">
        <v>4.7</v>
      </c>
      <c r="P2601" t="n">
        <v>699</v>
      </c>
      <c r="R2601" t="inlineStr">
        <is>
          <t>InStock</t>
        </is>
      </c>
      <c r="S2601" t="inlineStr">
        <is>
          <t>11.95</t>
        </is>
      </c>
      <c r="T2601" t="inlineStr">
        <is>
          <t>5143276</t>
        </is>
      </c>
    </row>
    <row r="2602" ht="75" customHeight="1">
      <c r="A2602" s="2">
        <f>HYPERLINK("https://www.soccerplususa.com/adidas/adidas-copa-zone-cushion-sock-1159", "https://www.soccerplususa.com/adidas/adidas-copa-zone-cushion-sock-1159")</f>
        <v/>
      </c>
      <c r="B2602" t="inlineStr">
        <is>
          <t>undefined</t>
        </is>
      </c>
      <c r="C2602" t="inlineStr">
        <is>
          <t>adidas Copa Zone Cushion Sock</t>
        </is>
      </c>
      <c r="D2602" t="inlineStr">
        <is>
          <t>adidas Copa Zone Cushion 4 Soccer Socks for Boys, Girls, Men and Women (1-Pair)</t>
        </is>
      </c>
      <c r="E2602" s="2">
        <f>HYPERLINK("https://www.amazon.com/adidas-Cushion-Soccer-1-Pack-Argentina/dp/B07D9HN6LZ", "https://www.amazon.com/adidas-Cushion-Soccer-1-Pack-Argentina/dp/B07D9HN6LZ")</f>
        <v/>
      </c>
      <c r="F2602" t="inlineStr">
        <is>
          <t>B07D9HN6LZ</t>
        </is>
      </c>
      <c r="G2602">
        <f>_xlfn.IMAGE("https://www.soccerplususa.com/prodimages/32182-DEFAULT-l.jpg")</f>
        <v/>
      </c>
      <c r="H2602">
        <f>_xlfn.IMAGE("https://m.media-amazon.com/images/I/81XA0Mz5E5L._AC_UL320_.jpg")</f>
        <v/>
      </c>
      <c r="K2602" t="inlineStr">
        <is>
          <t>8.99</t>
        </is>
      </c>
      <c r="L2602" t="n">
        <v>16.95</v>
      </c>
      <c r="M2602" s="1" t="inlineStr">
        <is>
          <t>88.54%</t>
        </is>
      </c>
      <c r="N2602" s="3" t="n">
        <v>88.54000000000001</v>
      </c>
      <c r="O2602" t="n">
        <v>4.7</v>
      </c>
      <c r="P2602" t="n">
        <v>699</v>
      </c>
      <c r="R2602" t="inlineStr">
        <is>
          <t>InStock</t>
        </is>
      </c>
      <c r="S2602" t="inlineStr">
        <is>
          <t>9.95</t>
        </is>
      </c>
      <c r="T2602" t="inlineStr">
        <is>
          <t>231013</t>
        </is>
      </c>
    </row>
    <row r="2603" ht="75" customHeight="1">
      <c r="A2603" s="2">
        <f>HYPERLINK("https://www.soccerplususa.com/adidas/adidas-team-speed-sock-1888", "https://www.soccerplususa.com/adidas/adidas-team-speed-sock-1888")</f>
        <v/>
      </c>
      <c r="B2603" t="inlineStr">
        <is>
          <t>undefined</t>
        </is>
      </c>
      <c r="C2603" t="inlineStr">
        <is>
          <t>adidas Team Speed Sock</t>
        </is>
      </c>
      <c r="D2603" t="inlineStr">
        <is>
          <t>adidas Speed Mesh Team Crew</t>
        </is>
      </c>
      <c r="E2603" s="2">
        <f>HYPERLINK("https://www.amazon.com/adidas-Basketball-Football-1-Pack-Medium/dp/B01N7KQEIQ/ref=sr_1_9?keywords=adidas+Team+Speed+Sock&amp;qid=1695171114&amp;sr=8-9", "https://www.amazon.com/adidas-Basketball-Football-1-Pack-Medium/dp/B01N7KQEIQ/ref=sr_1_9?keywords=adidas+Team+Speed+Sock&amp;qid=1695171114&amp;sr=8-9")</f>
        <v/>
      </c>
      <c r="F2603" t="inlineStr">
        <is>
          <t>B01N7KQEIQ</t>
        </is>
      </c>
      <c r="G2603">
        <f>_xlfn.IMAGE("https://www.soccerplususa.com/prodimages/2502-DEFAULT-l.jpg")</f>
        <v/>
      </c>
      <c r="H2603">
        <f>_xlfn.IMAGE("https://m.media-amazon.com/images/I/911TmeBgmCL._AC_UL320_.jpg")</f>
        <v/>
      </c>
      <c r="K2603" t="inlineStr">
        <is>
          <t>8.0</t>
        </is>
      </c>
      <c r="L2603" t="n">
        <v>15</v>
      </c>
      <c r="M2603" s="1" t="inlineStr">
        <is>
          <t>87.50%</t>
        </is>
      </c>
      <c r="N2603" s="3" t="n">
        <v>87.5</v>
      </c>
      <c r="O2603" t="n">
        <v>4.6</v>
      </c>
      <c r="P2603" t="n">
        <v>459</v>
      </c>
      <c r="R2603" t="inlineStr">
        <is>
          <t>InStock</t>
        </is>
      </c>
      <c r="S2603" t="inlineStr">
        <is>
          <t>15.95</t>
        </is>
      </c>
      <c r="T2603" t="inlineStr">
        <is>
          <t>5130045</t>
        </is>
      </c>
    </row>
    <row r="2604" ht="75" customHeight="1">
      <c r="A2604" s="2">
        <f>HYPERLINK("https://www.soccerplususa.com/adidas/adidas-team-speed-sock-1897", "https://www.soccerplususa.com/adidas/adidas-team-speed-sock-1897")</f>
        <v/>
      </c>
      <c r="B2604" t="inlineStr">
        <is>
          <t>undefined</t>
        </is>
      </c>
      <c r="C2604" t="inlineStr">
        <is>
          <t>adidas Team Speed Sock</t>
        </is>
      </c>
      <c r="D2604" t="inlineStr">
        <is>
          <t>adidas Speed Mesh Team Crew</t>
        </is>
      </c>
      <c r="E2604" s="2">
        <f>HYPERLINK("https://www.amazon.com/adidas-Basketball-Football-1-Pack-Medium/dp/B01N7KQEIQ/ref=sr_1_5?keywords=adidas+Team+Speed+Sock&amp;qid=1695171122&amp;sr=8-5", "https://www.amazon.com/adidas-Basketball-Football-1-Pack-Medium/dp/B01N7KQEIQ/ref=sr_1_5?keywords=adidas+Team+Speed+Sock&amp;qid=1695171122&amp;sr=8-5")</f>
        <v/>
      </c>
      <c r="F2604" t="inlineStr">
        <is>
          <t>B01N7KQEIQ</t>
        </is>
      </c>
      <c r="G2604">
        <f>_xlfn.IMAGE("https://www.soccerplususa.com/prodimages/30895-DEFAULT-l.jpg")</f>
        <v/>
      </c>
      <c r="H2604">
        <f>_xlfn.IMAGE("https://m.media-amazon.com/images/I/911TmeBgmCL._AC_UL320_.jpg")</f>
        <v/>
      </c>
      <c r="K2604" t="inlineStr">
        <is>
          <t>8.0</t>
        </is>
      </c>
      <c r="L2604" t="n">
        <v>15</v>
      </c>
      <c r="M2604" s="1" t="inlineStr">
        <is>
          <t>87.50%</t>
        </is>
      </c>
      <c r="N2604" s="3" t="n">
        <v>87.5</v>
      </c>
      <c r="O2604" t="n">
        <v>4.6</v>
      </c>
      <c r="P2604" t="n">
        <v>459</v>
      </c>
      <c r="R2604" t="inlineStr">
        <is>
          <t>InStock</t>
        </is>
      </c>
      <c r="S2604" t="inlineStr">
        <is>
          <t>15.95</t>
        </is>
      </c>
      <c r="T2604" t="inlineStr">
        <is>
          <t>5130088</t>
        </is>
      </c>
    </row>
    <row r="2605" hidden="1" ht="15.75" customHeight="1">
      <c r="A2605" s="2">
        <f>HYPERLINK("https://www.soccerplususa.com/puma/puma-team-soccer-sock-29688", "https://www.soccerplususa.com/puma/puma-team-soccer-sock-29688")</f>
        <v/>
      </c>
      <c r="B2605" t="inlineStr">
        <is>
          <t>undefined</t>
        </is>
      </c>
      <c r="C2605" t="inlineStr">
        <is>
          <t>Puma Team Soccer Sock</t>
        </is>
      </c>
      <c r="D2605" t="inlineStr">
        <is>
          <t>PUMA Men's Team Socks</t>
        </is>
      </c>
      <c r="E2605" s="2">
        <f>HYPERLINK("https://www.amazon.com/Puma-Socks-Black-Small-Youth/dp/B00783LH7W/ref=sr_1_2?keywords=Puma+Team+Soccer+Sock&amp;qid=1695171098&amp;sr=8-2", "https://www.amazon.com/Puma-Socks-Black-Small-Youth/dp/B00783LH7W/ref=sr_1_2?keywords=Puma+Team+Soccer+Sock&amp;qid=1695171098&amp;sr=8-2")</f>
        <v/>
      </c>
      <c r="F2605" t="inlineStr">
        <is>
          <t>B00783LH7W</t>
        </is>
      </c>
      <c r="G2605">
        <f>_xludf.IMAGE("https://www.soccerplususa.com/prodimages/3776-DEFAULT-l.jpg")</f>
        <v/>
      </c>
      <c r="H2605">
        <f>_xludf.IMAGE("https://m.media-amazon.com/images/I/71LgTd1bOZL._AC_UL320_.jpg")</f>
        <v/>
      </c>
      <c r="K2605" t="inlineStr">
        <is>
          <t>6.0</t>
        </is>
      </c>
      <c r="L2605" t="n">
        <v>11.23</v>
      </c>
      <c r="M2605" s="1" t="inlineStr">
        <is>
          <t>87.17%</t>
        </is>
      </c>
      <c r="N2605" s="3" t="n">
        <v>87.17</v>
      </c>
      <c r="O2605" t="n">
        <v>4.4</v>
      </c>
      <c r="P2605" t="n">
        <v>300</v>
      </c>
      <c r="R2605" t="inlineStr">
        <is>
          <t>InStock</t>
        </is>
      </c>
      <c r="S2605" t="inlineStr">
        <is>
          <t>undefined</t>
        </is>
      </c>
      <c r="T2605" t="inlineStr">
        <is>
          <t>890420-01</t>
        </is>
      </c>
    </row>
    <row r="2606" ht="75" customHeight="1">
      <c r="A2606" s="2">
        <f>HYPERLINK("https://www.soccerplususa.com/pure-grip-socks/pure-grip-player-gloves-41852", "https://www.soccerplususa.com/pure-grip-socks/pure-grip-player-gloves-41852")</f>
        <v/>
      </c>
      <c r="B2606" t="inlineStr">
        <is>
          <t>undefined</t>
        </is>
      </c>
      <c r="C2606" t="inlineStr">
        <is>
          <t>Pure Grip Player Gloves</t>
        </is>
      </c>
      <c r="D2606" t="inlineStr">
        <is>
          <t>Pure Athlete Football Receiver Gloves – Elite-Stick Silicone Gripping Technology – Adult/Youth</t>
        </is>
      </c>
      <c r="E2606" s="2">
        <f>HYPERLINK("https://www.amazon.com/Pure-Athlete-Football-Receiver-Gloves/dp/B07JQ4PXF7/ref=sr_1_10?keywords=Pure+Grip+Player+Gloves&amp;qid=1695171083&amp;sr=8-10", "https://www.amazon.com/Pure-Athlete-Football-Receiver-Gloves/dp/B07JQ4PXF7/ref=sr_1_10?keywords=Pure+Grip+Player+Gloves&amp;qid=1695171083&amp;sr=8-10")</f>
        <v/>
      </c>
      <c r="F2606" t="inlineStr">
        <is>
          <t>B07JQ4PXF7</t>
        </is>
      </c>
      <c r="G2606">
        <f>_xlfn.IMAGE("https://www.soccerplususa.com/prodimages/34456-DEFAULT-l.jpg")</f>
        <v/>
      </c>
      <c r="H2606">
        <f>_xlfn.IMAGE("https://m.media-amazon.com/images/I/715q7adY3nL._AC_UL320_.jpg")</f>
        <v/>
      </c>
      <c r="K2606" t="inlineStr">
        <is>
          <t>13.99</t>
        </is>
      </c>
      <c r="L2606" t="n">
        <v>25.97</v>
      </c>
      <c r="M2606" s="1" t="inlineStr">
        <is>
          <t>85.63%</t>
        </is>
      </c>
      <c r="N2606" s="3" t="n">
        <v>85.63</v>
      </c>
      <c r="O2606" t="n">
        <v>4.2</v>
      </c>
      <c r="P2606" t="n">
        <v>641</v>
      </c>
      <c r="R2606" t="inlineStr">
        <is>
          <t>InStock</t>
        </is>
      </c>
      <c r="S2606" t="inlineStr">
        <is>
          <t>undefined</t>
        </is>
      </c>
      <c r="T2606" t="inlineStr">
        <is>
          <t>PGPG</t>
        </is>
      </c>
    </row>
    <row r="2607" hidden="1" ht="15.75" customHeight="1">
      <c r="A2607" s="2">
        <f>HYPERLINK("https://www.soccerplususa.com/adidas/adidas-copa-zone-cushion-ii-sock-1948", "https://www.soccerplususa.com/adidas/adidas-copa-zone-cushion-ii-sock-1948")</f>
        <v/>
      </c>
      <c r="B2607" t="inlineStr">
        <is>
          <t>undefined</t>
        </is>
      </c>
      <c r="C2607" t="inlineStr">
        <is>
          <t>adidas Copa Zone Cushion II Sock</t>
        </is>
      </c>
      <c r="D2607" t="inlineStr">
        <is>
          <t>adidas Copa Zone Cushion 4 Soccer Socks (1-Pair) for Men, Women, Boys and Girls</t>
        </is>
      </c>
      <c r="E2607" s="2">
        <f>HYPERLINK("https://www.amazon.com/adidas-Cushion-Soccer-Socks-1-Pack/dp/B07D9DQX8Q/ref=sr_1_8?keywords=adidas+Copa+Zone+Cushion+II+Sock&amp;qid=1695171109&amp;sr=8-8", "https://www.amazon.com/adidas-Cushion-Soccer-Socks-1-Pack/dp/B07D9DQX8Q/ref=sr_1_8?keywords=adidas+Copa+Zone+Cushion+II+Sock&amp;qid=1695171109&amp;sr=8-8")</f>
        <v/>
      </c>
      <c r="F2607" t="inlineStr">
        <is>
          <t>B07D9DQX8Q</t>
        </is>
      </c>
      <c r="G2607">
        <f>_xludf.IMAGE("https://www.soccerplususa.com/prodimages/2493-DEFAULT-l.jpg")</f>
        <v/>
      </c>
      <c r="H2607">
        <f>_xludf.IMAGE("https://m.media-amazon.com/images/I/71A6w4+ocTL._AC_UL320_.jpg")</f>
        <v/>
      </c>
      <c r="K2607" t="inlineStr">
        <is>
          <t>6.0</t>
        </is>
      </c>
      <c r="L2607" t="n">
        <v>11</v>
      </c>
      <c r="M2607" s="1" t="inlineStr">
        <is>
          <t>83.33%</t>
        </is>
      </c>
      <c r="N2607" s="3" t="n">
        <v>83.33</v>
      </c>
      <c r="O2607" t="n">
        <v>4.7</v>
      </c>
      <c r="P2607" t="n">
        <v>6297</v>
      </c>
      <c r="R2607" t="inlineStr">
        <is>
          <t>InStock</t>
        </is>
      </c>
      <c r="S2607" t="inlineStr">
        <is>
          <t>11.95</t>
        </is>
      </c>
      <c r="T2607" t="inlineStr">
        <is>
          <t>5130236</t>
        </is>
      </c>
    </row>
    <row r="2608" hidden="1" ht="15.75" customHeight="1">
      <c r="A2608" s="2">
        <f>HYPERLINK("https://www.soccerplususa.com/adidas/adidas-copa-zone-cushion-ii-1887", "https://www.soccerplususa.com/adidas/adidas-copa-zone-cushion-ii-1887")</f>
        <v/>
      </c>
      <c r="B2608" t="inlineStr">
        <is>
          <t>undefined</t>
        </is>
      </c>
      <c r="C2608" t="inlineStr">
        <is>
          <t>adidas Copa Zone Cushion II</t>
        </is>
      </c>
      <c r="D2608" t="inlineStr">
        <is>
          <t>adidas Copa Zone Cushion 4 Soccer Socks (1-Pair) for Men, Women, Boys and Girls</t>
        </is>
      </c>
      <c r="E2608" s="2">
        <f>HYPERLINK("https://www.amazon.com/adidas-Cushion-Soccer-Socks-1-Pack/dp/B07D9DQX8Q/ref=sr_1_4?keywords=adidas+Copa+Zone+Cushion+II&amp;qid=1695171116&amp;sr=8-4", "https://www.amazon.com/adidas-Cushion-Soccer-Socks-1-Pack/dp/B07D9DQX8Q/ref=sr_1_4?keywords=adidas+Copa+Zone+Cushion+II&amp;qid=1695171116&amp;sr=8-4")</f>
        <v/>
      </c>
      <c r="F2608" t="inlineStr">
        <is>
          <t>B07D9DQX8Q</t>
        </is>
      </c>
      <c r="G2608">
        <f>_xludf.IMAGE("https://www.soccerplususa.com/prodimages/2504-DEFAULT-l.jpg")</f>
        <v/>
      </c>
      <c r="H2608">
        <f>_xludf.IMAGE("https://m.media-amazon.com/images/I/71A6w4+ocTL._AC_UL320_.jpg")</f>
        <v/>
      </c>
      <c r="K2608" t="inlineStr">
        <is>
          <t>6.0</t>
        </is>
      </c>
      <c r="L2608" t="n">
        <v>11</v>
      </c>
      <c r="M2608" s="1" t="inlineStr">
        <is>
          <t>83.33%</t>
        </is>
      </c>
      <c r="N2608" s="3" t="n">
        <v>83.33</v>
      </c>
      <c r="O2608" t="n">
        <v>4.7</v>
      </c>
      <c r="P2608" t="n">
        <v>6297</v>
      </c>
      <c r="R2608" t="inlineStr">
        <is>
          <t>InStock</t>
        </is>
      </c>
      <c r="S2608" t="inlineStr">
        <is>
          <t>11.95</t>
        </is>
      </c>
      <c r="T2608" t="inlineStr">
        <is>
          <t>5130040</t>
        </is>
      </c>
    </row>
    <row r="2609" hidden="1" ht="15.75" customHeight="1">
      <c r="A2609" s="2">
        <f>HYPERLINK("https://www.soccerplususa.com/adidas/adidas-copa-zone-cushion-ii-1949", "https://www.soccerplususa.com/adidas/adidas-copa-zone-cushion-ii-1949")</f>
        <v/>
      </c>
      <c r="B2609" t="inlineStr">
        <is>
          <t>undefined</t>
        </is>
      </c>
      <c r="C2609" t="inlineStr">
        <is>
          <t>adidas Copa Zone Cushion II</t>
        </is>
      </c>
      <c r="D2609" t="inlineStr">
        <is>
          <t>adidas Copa Zone Cushion 4 Soccer Socks (1-Pair) for Men, Women, Boys and Girls</t>
        </is>
      </c>
      <c r="E2609" s="2">
        <f>HYPERLINK("https://www.amazon.com/adidas-Cushion-Soccer-Socks-1-Pack/dp/B07D9DQX8Q/ref=sr_1_4?keywords=adidas+Copa+Zone+Cushion+II&amp;qid=1695171111&amp;sr=8-4", "https://www.amazon.com/adidas-Cushion-Soccer-Socks-1-Pack/dp/B07D9DQX8Q/ref=sr_1_4?keywords=adidas+Copa+Zone+Cushion+II&amp;qid=1695171111&amp;sr=8-4")</f>
        <v/>
      </c>
      <c r="F2609" t="inlineStr">
        <is>
          <t>B07D9DQX8Q</t>
        </is>
      </c>
      <c r="G2609">
        <f>_xludf.IMAGE("https://www.soccerplususa.com/prodimages/5096-DEFAULT-l.jpg")</f>
        <v/>
      </c>
      <c r="H2609">
        <f>_xludf.IMAGE("https://m.media-amazon.com/images/I/71A6w4+ocTL._AC_UL320_.jpg")</f>
        <v/>
      </c>
      <c r="K2609" t="inlineStr">
        <is>
          <t>6.0</t>
        </is>
      </c>
      <c r="L2609" t="n">
        <v>11</v>
      </c>
      <c r="M2609" s="1" t="inlineStr">
        <is>
          <t>83.33%</t>
        </is>
      </c>
      <c r="N2609" s="3" t="n">
        <v>83.33</v>
      </c>
      <c r="O2609" t="n">
        <v>4.7</v>
      </c>
      <c r="P2609" t="n">
        <v>6297</v>
      </c>
      <c r="R2609" t="inlineStr">
        <is>
          <t>InStock</t>
        </is>
      </c>
      <c r="S2609" t="inlineStr">
        <is>
          <t>11.95</t>
        </is>
      </c>
      <c r="T2609" t="inlineStr">
        <is>
          <t>5130238</t>
        </is>
      </c>
    </row>
    <row r="2610" hidden="1" ht="15.75" customHeight="1">
      <c r="A2610" s="2">
        <f>HYPERLINK("https://www.soccerplususa.com/adidas/adidas-copa-zone-cushion-ii-1922", "https://www.soccerplususa.com/adidas/adidas-copa-zone-cushion-ii-1922")</f>
        <v/>
      </c>
      <c r="B2610" t="inlineStr">
        <is>
          <t>undefined</t>
        </is>
      </c>
      <c r="C2610" t="inlineStr">
        <is>
          <t>adidas Copa Zone Cushion II</t>
        </is>
      </c>
      <c r="D2610" t="inlineStr">
        <is>
          <t>adidas Copa Zone Cushion 4 Soccer Socks (1-Pair) for Men, Women, Boys and Girls</t>
        </is>
      </c>
      <c r="E2610" s="2">
        <f>HYPERLINK("https://www.amazon.com/adidas-Cushion-Soccer-Socks-1-Pack/dp/B07D9DQX8Q/ref=sr_1_4?keywords=adidas+Copa+Zone+Cushion+II&amp;qid=1695171129&amp;sr=8-4", "https://www.amazon.com/adidas-Cushion-Soccer-Socks-1-Pack/dp/B07D9DQX8Q/ref=sr_1_4?keywords=adidas+Copa+Zone+Cushion+II&amp;qid=1695171129&amp;sr=8-4")</f>
        <v/>
      </c>
      <c r="F2610" t="inlineStr">
        <is>
          <t>B07D9DQX8Q</t>
        </is>
      </c>
      <c r="G2610">
        <f>_xludf.IMAGE("https://www.soccerplususa.com/prodimages/5094-DEFAULT-l.jpg")</f>
        <v/>
      </c>
      <c r="H2610">
        <f>_xludf.IMAGE("https://m.media-amazon.com/images/I/71A6w4+ocTL._AC_UL320_.jpg")</f>
        <v/>
      </c>
      <c r="K2610" t="inlineStr">
        <is>
          <t>6.0</t>
        </is>
      </c>
      <c r="L2610" t="n">
        <v>11</v>
      </c>
      <c r="M2610" s="1" t="inlineStr">
        <is>
          <t>83.33%</t>
        </is>
      </c>
      <c r="N2610" s="3" t="n">
        <v>83.33</v>
      </c>
      <c r="O2610" t="n">
        <v>4.7</v>
      </c>
      <c r="P2610" t="n">
        <v>6297</v>
      </c>
      <c r="R2610" t="inlineStr">
        <is>
          <t>InStock</t>
        </is>
      </c>
      <c r="S2610" t="inlineStr">
        <is>
          <t>11.95</t>
        </is>
      </c>
      <c r="T2610" t="inlineStr">
        <is>
          <t>5130155</t>
        </is>
      </c>
    </row>
    <row r="2611" hidden="1" ht="15.75" customHeight="1">
      <c r="A2611" s="2">
        <f>HYPERLINK("https://www.soccerplususa.com/adidas/adidas-copa-zone-cushion-ii-1913", "https://www.soccerplususa.com/adidas/adidas-copa-zone-cushion-ii-1913")</f>
        <v/>
      </c>
      <c r="B2611" t="inlineStr">
        <is>
          <t>undefined</t>
        </is>
      </c>
      <c r="C2611" t="inlineStr">
        <is>
          <t>adidas Copa Zone Cushion II</t>
        </is>
      </c>
      <c r="D2611" t="inlineStr">
        <is>
          <t>adidas Copa Zone Cushion 4 Soccer Socks (1-Pair) for Men, Women, Boys and Girls</t>
        </is>
      </c>
      <c r="E2611" s="2">
        <f>HYPERLINK("https://www.amazon.com/adidas-Cushion-Soccer-Socks-1-Pack/dp/B07D9DQX8Q/ref=sr_1_4?keywords=adidas+Copa+Zone+Cushion+II&amp;qid=1695171113&amp;sr=8-4", "https://www.amazon.com/adidas-Cushion-Soccer-Socks-1-Pack/dp/B07D9DQX8Q/ref=sr_1_4?keywords=adidas+Copa+Zone+Cushion+II&amp;qid=1695171113&amp;sr=8-4")</f>
        <v/>
      </c>
      <c r="F2611" t="inlineStr">
        <is>
          <t>B07D9DQX8Q</t>
        </is>
      </c>
      <c r="G2611">
        <f>_xludf.IMAGE("https://www.soccerplususa.com/prodimages/5095-DEFAULT-l.jpg")</f>
        <v/>
      </c>
      <c r="H2611">
        <f>_xludf.IMAGE("https://m.media-amazon.com/images/I/71A6w4+ocTL._AC_UL320_.jpg")</f>
        <v/>
      </c>
      <c r="K2611" t="inlineStr">
        <is>
          <t>6.0</t>
        </is>
      </c>
      <c r="L2611" t="n">
        <v>11</v>
      </c>
      <c r="M2611" s="1" t="inlineStr">
        <is>
          <t>83.33%</t>
        </is>
      </c>
      <c r="N2611" s="3" t="n">
        <v>83.33</v>
      </c>
      <c r="O2611" t="n">
        <v>4.7</v>
      </c>
      <c r="P2611" t="n">
        <v>6297</v>
      </c>
      <c r="R2611" t="inlineStr">
        <is>
          <t>InStock</t>
        </is>
      </c>
      <c r="S2611" t="inlineStr">
        <is>
          <t>11.95</t>
        </is>
      </c>
      <c r="T2611" t="inlineStr">
        <is>
          <t>5130128</t>
        </is>
      </c>
    </row>
    <row r="2612" hidden="1" ht="15.75" customHeight="1">
      <c r="A2612" s="2">
        <f>HYPERLINK("https://www.soccerplususa.com/adidas/adidas-copa-zone-cushion-ii-sock-1962", "https://www.soccerplususa.com/adidas/adidas-copa-zone-cushion-ii-sock-1962")</f>
        <v/>
      </c>
      <c r="B2612" t="inlineStr">
        <is>
          <t>undefined</t>
        </is>
      </c>
      <c r="C2612" t="inlineStr">
        <is>
          <t>adidas Copa Zone Cushion II Sock</t>
        </is>
      </c>
      <c r="D2612" t="inlineStr">
        <is>
          <t>adidas Copa Zone Cushion 4 Soccer Socks (1-Pair) for Men, Women, Boys and Girls</t>
        </is>
      </c>
      <c r="E2612" s="2">
        <f>HYPERLINK("https://www.amazon.com/adidas-Cushion-Soccer-Socks-1-Pack/dp/B07D9DQX8Q/ref=sr_1_8?keywords=adidas+Copa+Zone+Cushion+II+Sock&amp;qid=1695171112&amp;sr=8-8", "https://www.amazon.com/adidas-Cushion-Soccer-Socks-1-Pack/dp/B07D9DQX8Q/ref=sr_1_8?keywords=adidas+Copa+Zone+Cushion+II+Sock&amp;qid=1695171112&amp;sr=8-8")</f>
        <v/>
      </c>
      <c r="F2612" t="inlineStr">
        <is>
          <t>B07D9DQX8Q</t>
        </is>
      </c>
      <c r="G2612">
        <f>_xludf.IMAGE("https://www.soccerplususa.com/prodimages/2496-DEFAULT-l.jpg")</f>
        <v/>
      </c>
      <c r="H2612">
        <f>_xludf.IMAGE("https://m.media-amazon.com/images/I/71A6w4+ocTL._AC_UL320_.jpg")</f>
        <v/>
      </c>
      <c r="K2612" t="inlineStr">
        <is>
          <t>6.0</t>
        </is>
      </c>
      <c r="L2612" t="n">
        <v>11</v>
      </c>
      <c r="M2612" s="1" t="inlineStr">
        <is>
          <t>83.33%</t>
        </is>
      </c>
      <c r="N2612" s="3" t="n">
        <v>83.33</v>
      </c>
      <c r="O2612" t="n">
        <v>4.7</v>
      </c>
      <c r="P2612" t="n">
        <v>6297</v>
      </c>
      <c r="R2612" t="inlineStr">
        <is>
          <t>InStock</t>
        </is>
      </c>
      <c r="S2612" t="inlineStr">
        <is>
          <t>11.95</t>
        </is>
      </c>
      <c r="T2612" t="inlineStr">
        <is>
          <t>5130280</t>
        </is>
      </c>
    </row>
    <row r="2613" hidden="1" ht="15.75" customHeight="1">
      <c r="A2613" s="2">
        <f>HYPERLINK("https://www.soccerplususa.com/nike/nike-classic-ii-sock-19565", "https://www.soccerplususa.com/nike/nike-classic-ii-sock-19565")</f>
        <v/>
      </c>
      <c r="B2613" t="inlineStr">
        <is>
          <t>undefined</t>
        </is>
      </c>
      <c r="C2613" t="inlineStr">
        <is>
          <t>Nike Classic II Sock</t>
        </is>
      </c>
      <c r="D2613" t="inlineStr">
        <is>
          <t>Nike Classic II Cushion Over-The-Calf Socks SX5728 702 (Yellow, Small)</t>
        </is>
      </c>
      <c r="E2613" s="2">
        <f>HYPERLINK("https://www.amazon.com/Classic-Academy-Socks-Hi-Vis-Yellow/dp/B00CKTCGEM/ref=sr_1_6?keywords=Nike+Classic+II+Sock&amp;qid=1695171109&amp;sr=8-6", "https://www.amazon.com/Classic-Academy-Socks-Hi-Vis-Yellow/dp/B00CKTCGEM/ref=sr_1_6?keywords=Nike+Classic+II+Sock&amp;qid=1695171109&amp;sr=8-6")</f>
        <v/>
      </c>
      <c r="F2613" t="inlineStr">
        <is>
          <t>B00CKTCGEM</t>
        </is>
      </c>
      <c r="G2613">
        <f>_xludf.IMAGE("https://www.soccerplususa.com/prodimages/3004-DEFAULT-l.jpg")</f>
        <v/>
      </c>
      <c r="H2613">
        <f>_xludf.IMAGE("https://m.media-amazon.com/images/I/71Jp0asSEKL._AC_UL320_.jpg")</f>
        <v/>
      </c>
      <c r="K2613" t="inlineStr">
        <is>
          <t>6.0</t>
        </is>
      </c>
      <c r="L2613" t="n">
        <v>10.9</v>
      </c>
      <c r="M2613" s="1" t="inlineStr">
        <is>
          <t>81.67%</t>
        </is>
      </c>
      <c r="N2613" s="3" t="n">
        <v>81.67</v>
      </c>
      <c r="O2613" t="n">
        <v>4.2</v>
      </c>
      <c r="P2613" t="n">
        <v>56</v>
      </c>
      <c r="R2613" t="inlineStr">
        <is>
          <t>InStock</t>
        </is>
      </c>
      <c r="S2613" t="inlineStr">
        <is>
          <t>9.95</t>
        </is>
      </c>
      <c r="T2613" t="inlineStr">
        <is>
          <t>394386-648</t>
        </is>
      </c>
    </row>
    <row r="2614" ht="75" customHeight="1">
      <c r="A2614" s="2">
        <f>HYPERLINK("https://www.soccerplususa.com/adidas/adidas-tiro-glove-39774", "https://www.soccerplususa.com/adidas/adidas-tiro-glove-39774")</f>
        <v/>
      </c>
      <c r="B2614" t="inlineStr">
        <is>
          <t>undefined</t>
        </is>
      </c>
      <c r="C2614" t="inlineStr">
        <is>
          <t>adidas Tiro Glove</t>
        </is>
      </c>
      <c r="D2614" t="inlineStr">
        <is>
          <t>adidas Unisex-Adult Tiro League Goalkeeper Gloves</t>
        </is>
      </c>
      <c r="E2614" s="2">
        <f>HYPERLINK("https://www.amazon.com/adidas-Unisex-Adult-League-Goalkeeper-Metallic/dp/B09XN5TWKL/ref=sr_1_5?keywords=adidas+Tiro+Glove&amp;qid=1695171085&amp;sr=8-5", "https://www.amazon.com/adidas-Unisex-Adult-League-Goalkeeper-Metallic/dp/B09XN5TWKL/ref=sr_1_5?keywords=adidas+Tiro+Glove&amp;qid=1695171085&amp;sr=8-5")</f>
        <v/>
      </c>
      <c r="F2614" t="inlineStr">
        <is>
          <t>B09XN5TWKL</t>
        </is>
      </c>
      <c r="G2614">
        <f>_xlfn.IMAGE("https://www.soccerplususa.com/prodimages/32961-DEFAULT-l.jpg")</f>
        <v/>
      </c>
      <c r="H2614">
        <f>_xlfn.IMAGE("https://m.media-amazon.com/images/I/81OfoDjU3JL._AC_UL320_.jpg")</f>
        <v/>
      </c>
      <c r="K2614" t="inlineStr">
        <is>
          <t>24.95</t>
        </is>
      </c>
      <c r="L2614" t="n">
        <v>44.67</v>
      </c>
      <c r="M2614" s="1" t="inlineStr">
        <is>
          <t>79.04%</t>
        </is>
      </c>
      <c r="N2614" s="3" t="n">
        <v>79.04000000000001</v>
      </c>
      <c r="O2614" t="n">
        <v>4</v>
      </c>
      <c r="P2614" t="n">
        <v>13</v>
      </c>
      <c r="R2614" t="inlineStr">
        <is>
          <t>InStock</t>
        </is>
      </c>
      <c r="S2614" t="inlineStr">
        <is>
          <t>undefined</t>
        </is>
      </c>
      <c r="T2614" t="inlineStr">
        <is>
          <t>GH7252</t>
        </is>
      </c>
    </row>
    <row r="2615" ht="75" customHeight="1">
      <c r="A2615" s="2">
        <f>HYPERLINK("https://www.soccerplususa.com/adidas-2/adidas-metro-v-soccer-sock-39977", "https://www.soccerplususa.com/adidas-2/adidas-metro-v-soccer-sock-39977")</f>
        <v/>
      </c>
      <c r="B2615" t="inlineStr">
        <is>
          <t>undefined</t>
        </is>
      </c>
      <c r="C2615" t="inlineStr">
        <is>
          <t>adidas Metro V Soccer Sock</t>
        </is>
      </c>
      <c r="D2615" t="inlineStr">
        <is>
          <t>adidas Metro 4 Soccer Socks (1-Pair), Medium</t>
        </is>
      </c>
      <c r="E2615" s="2">
        <f>HYPERLINK("https://www.amazon.com/adidas-Metro-Soccer-Socks-1-Pack/dp/B00SGTAGGU/ref=sr_1_2?keywords=adidas+Metro+V+Soccer+Sock&amp;qid=1695171106&amp;sr=8-2", "https://www.amazon.com/adidas-Metro-Soccer-Socks-1-Pack/dp/B00SGTAGGU/ref=sr_1_2?keywords=adidas+Metro+V+Soccer+Sock&amp;qid=1695171106&amp;sr=8-2")</f>
        <v/>
      </c>
      <c r="F2615" t="inlineStr">
        <is>
          <t>B00SGTAGGU</t>
        </is>
      </c>
      <c r="G2615">
        <f>_xlfn.IMAGE("https://www.soccerplususa.com/prodimages/33109-DEFAULT-l.jpg")</f>
        <v/>
      </c>
      <c r="H2615">
        <f>_xlfn.IMAGE("https://m.media-amazon.com/images/I/81h7QKJ7WrL._AC_UL320_.jpg")</f>
        <v/>
      </c>
      <c r="K2615" t="inlineStr">
        <is>
          <t>8.95</t>
        </is>
      </c>
      <c r="L2615" t="n">
        <v>15.99</v>
      </c>
      <c r="M2615" s="1" t="inlineStr">
        <is>
          <t>78.66%</t>
        </is>
      </c>
      <c r="N2615" s="3" t="n">
        <v>78.66</v>
      </c>
      <c r="O2615" t="n">
        <v>4.7</v>
      </c>
      <c r="P2615" t="n">
        <v>8907</v>
      </c>
      <c r="R2615" t="inlineStr">
        <is>
          <t>InStock</t>
        </is>
      </c>
      <c r="S2615" t="inlineStr">
        <is>
          <t>undefined</t>
        </is>
      </c>
      <c r="T2615" t="inlineStr">
        <is>
          <t>5152117</t>
        </is>
      </c>
    </row>
    <row r="2616" ht="75" customHeight="1">
      <c r="A2616" s="2">
        <f>HYPERLINK("https://www.soccerplususa.com/adidas-2/adidas-metro-v-soccer-sock-39978", "https://www.soccerplususa.com/adidas-2/adidas-metro-v-soccer-sock-39978")</f>
        <v/>
      </c>
      <c r="B2616" t="inlineStr">
        <is>
          <t>undefined</t>
        </is>
      </c>
      <c r="C2616" t="inlineStr">
        <is>
          <t>adidas Metro V Soccer Sock</t>
        </is>
      </c>
      <c r="D2616" t="inlineStr">
        <is>
          <t>adidas Metro 4 Soccer Socks (1-Pair), Medium</t>
        </is>
      </c>
      <c r="E2616" s="2">
        <f>HYPERLINK("https://www.amazon.com/adidas-Metro-Soccer-Socks-1-Pack/dp/B00SGTAGGU/ref=sr_1_3?keywords=adidas+Metro+V+Soccer+Sock&amp;qid=1695171094&amp;sr=8-3", "https://www.amazon.com/adidas-Metro-Soccer-Socks-1-Pack/dp/B00SGTAGGU/ref=sr_1_3?keywords=adidas+Metro+V+Soccer+Sock&amp;qid=1695171094&amp;sr=8-3")</f>
        <v/>
      </c>
      <c r="F2616" t="inlineStr">
        <is>
          <t>B00SGTAGGU</t>
        </is>
      </c>
      <c r="G2616">
        <f>_xlfn.IMAGE("https://www.soccerplususa.com/prodimages/33110-DEFAULT-l.jpg")</f>
        <v/>
      </c>
      <c r="H2616">
        <f>_xlfn.IMAGE("https://m.media-amazon.com/images/I/81h7QKJ7WrL._AC_UL320_.jpg")</f>
        <v/>
      </c>
      <c r="K2616" t="inlineStr">
        <is>
          <t>8.95</t>
        </is>
      </c>
      <c r="L2616" t="n">
        <v>15.99</v>
      </c>
      <c r="M2616" s="1" t="inlineStr">
        <is>
          <t>78.66%</t>
        </is>
      </c>
      <c r="N2616" s="3" t="n">
        <v>78.66</v>
      </c>
      <c r="O2616" t="n">
        <v>4.7</v>
      </c>
      <c r="P2616" t="n">
        <v>8907</v>
      </c>
      <c r="R2616" t="inlineStr">
        <is>
          <t>InStock</t>
        </is>
      </c>
      <c r="S2616" t="inlineStr">
        <is>
          <t>undefined</t>
        </is>
      </c>
      <c r="T2616" t="inlineStr">
        <is>
          <t>5152118</t>
        </is>
      </c>
    </row>
    <row r="2617" ht="75" customHeight="1">
      <c r="A2617" s="2">
        <f>HYPERLINK("https://www.soccerplususa.com/adidas-2/adidas-metro-v-soccer-sock-40222", "https://www.soccerplususa.com/adidas-2/adidas-metro-v-soccer-sock-40222")</f>
        <v/>
      </c>
      <c r="B2617" t="inlineStr">
        <is>
          <t>undefined</t>
        </is>
      </c>
      <c r="C2617" t="inlineStr">
        <is>
          <t>adidas Metro V Soccer Sock</t>
        </is>
      </c>
      <c r="D2617" t="inlineStr">
        <is>
          <t>adidas Metro 4 Soccer Socks (1-Pair), Medium</t>
        </is>
      </c>
      <c r="E2617" s="2">
        <f>HYPERLINK("https://www.amazon.com/adidas-Metro-Soccer-Socks-1-Pack/dp/B00SGTAGGU/ref=sr_1_2?keywords=adidas+Metro+V+Soccer+Sock&amp;qid=1695171086&amp;sr=8-2", "https://www.amazon.com/adidas-Metro-Soccer-Socks-1-Pack/dp/B00SGTAGGU/ref=sr_1_2?keywords=adidas+Metro+V+Soccer+Sock&amp;qid=1695171086&amp;sr=8-2")</f>
        <v/>
      </c>
      <c r="F2617" t="inlineStr">
        <is>
          <t>B00SGTAGGU</t>
        </is>
      </c>
      <c r="G2617">
        <f>_xlfn.IMAGE("https://www.soccerplususa.com/prodimages/33922-DEFAULT-l.jpg")</f>
        <v/>
      </c>
      <c r="H2617">
        <f>_xlfn.IMAGE("https://m.media-amazon.com/images/I/81h7QKJ7WrL._AC_UL320_.jpg")</f>
        <v/>
      </c>
      <c r="K2617" t="inlineStr">
        <is>
          <t>8.95</t>
        </is>
      </c>
      <c r="L2617" t="n">
        <v>15.99</v>
      </c>
      <c r="M2617" s="1" t="inlineStr">
        <is>
          <t>78.66%</t>
        </is>
      </c>
      <c r="N2617" s="3" t="n">
        <v>78.66</v>
      </c>
      <c r="O2617" t="n">
        <v>4.7</v>
      </c>
      <c r="P2617" t="n">
        <v>8907</v>
      </c>
      <c r="R2617" t="inlineStr">
        <is>
          <t>InStock</t>
        </is>
      </c>
      <c r="S2617" t="inlineStr">
        <is>
          <t>undefined</t>
        </is>
      </c>
      <c r="T2617" t="inlineStr">
        <is>
          <t>5152116</t>
        </is>
      </c>
    </row>
    <row r="2618" ht="75" customHeight="1">
      <c r="A2618" s="2">
        <f>HYPERLINK("https://www.soccerplususa.com/adidas-2/adidas-metro-v-soccer-sock-39979", "https://www.soccerplususa.com/adidas-2/adidas-metro-v-soccer-sock-39979")</f>
        <v/>
      </c>
      <c r="B2618" t="inlineStr">
        <is>
          <t>undefined</t>
        </is>
      </c>
      <c r="C2618" t="inlineStr">
        <is>
          <t>adidas Metro V Soccer Sock</t>
        </is>
      </c>
      <c r="D2618" t="inlineStr">
        <is>
          <t>adidas Metro 4 Soccer Socks (1-Pair), Medium</t>
        </is>
      </c>
      <c r="E2618" s="2">
        <f>HYPERLINK("https://www.amazon.com/adidas-Metro-Soccer-Socks-1-Pack/dp/B00SGTAGGU/ref=sr_1_2?keywords=adidas+Metro+V+Soccer+Sock&amp;qid=1695171083&amp;sr=8-2", "https://www.amazon.com/adidas-Metro-Soccer-Socks-1-Pack/dp/B00SGTAGGU/ref=sr_1_2?keywords=adidas+Metro+V+Soccer+Sock&amp;qid=1695171083&amp;sr=8-2")</f>
        <v/>
      </c>
      <c r="F2618" t="inlineStr">
        <is>
          <t>B00SGTAGGU</t>
        </is>
      </c>
      <c r="G2618">
        <f>_xlfn.IMAGE("https://www.soccerplususa.com/prodimages/33111-DEFAULT-l.jpg")</f>
        <v/>
      </c>
      <c r="H2618">
        <f>_xlfn.IMAGE("https://m.media-amazon.com/images/I/81h7QKJ7WrL._AC_UL320_.jpg")</f>
        <v/>
      </c>
      <c r="K2618" t="inlineStr">
        <is>
          <t>8.95</t>
        </is>
      </c>
      <c r="L2618" t="n">
        <v>15.99</v>
      </c>
      <c r="M2618" s="1" t="inlineStr">
        <is>
          <t>78.66%</t>
        </is>
      </c>
      <c r="N2618" s="3" t="n">
        <v>78.66</v>
      </c>
      <c r="O2618" t="n">
        <v>4.7</v>
      </c>
      <c r="P2618" t="n">
        <v>8907</v>
      </c>
      <c r="R2618" t="inlineStr">
        <is>
          <t>InStock</t>
        </is>
      </c>
      <c r="S2618" t="inlineStr">
        <is>
          <t>undefined</t>
        </is>
      </c>
      <c r="T2618" t="inlineStr">
        <is>
          <t>5152115</t>
        </is>
      </c>
    </row>
    <row r="2619" ht="75" customHeight="1">
      <c r="A2619" s="2">
        <f>HYPERLINK("https://www.soccerplususa.com/adidas-2/adidas-metro-v-soccer-sock-39980", "https://www.soccerplususa.com/adidas-2/adidas-metro-v-soccer-sock-39980")</f>
        <v/>
      </c>
      <c r="B2619" t="inlineStr">
        <is>
          <t>undefined</t>
        </is>
      </c>
      <c r="C2619" t="inlineStr">
        <is>
          <t>adidas Metro V Soccer Sock</t>
        </is>
      </c>
      <c r="D2619" t="inlineStr">
        <is>
          <t>adidas Metro 4 Soccer Socks (1-Pair), Medium</t>
        </is>
      </c>
      <c r="E2619" s="2">
        <f>HYPERLINK("https://www.amazon.com/adidas-Metro-Soccer-Socks-1-Pack/dp/B00SGTAGGU/ref=sr_1_2?keywords=adidas+Metro+V+Soccer+Sock&amp;qid=1695171087&amp;sr=8-2", "https://www.amazon.com/adidas-Metro-Soccer-Socks-1-Pack/dp/B00SGTAGGU/ref=sr_1_2?keywords=adidas+Metro+V+Soccer+Sock&amp;qid=1695171087&amp;sr=8-2")</f>
        <v/>
      </c>
      <c r="F2619" t="inlineStr">
        <is>
          <t>B00SGTAGGU</t>
        </is>
      </c>
      <c r="G2619">
        <f>_xlfn.IMAGE("https://www.soccerplususa.com/prodimages/33112-DEFAULT-l.jpg")</f>
        <v/>
      </c>
      <c r="H2619">
        <f>_xlfn.IMAGE("https://m.media-amazon.com/images/I/81h7QKJ7WrL._AC_UL320_.jpg")</f>
        <v/>
      </c>
      <c r="K2619" t="inlineStr">
        <is>
          <t>8.95</t>
        </is>
      </c>
      <c r="L2619" t="n">
        <v>15.99</v>
      </c>
      <c r="M2619" s="1" t="inlineStr">
        <is>
          <t>78.66%</t>
        </is>
      </c>
      <c r="N2619" s="3" t="n">
        <v>78.66</v>
      </c>
      <c r="O2619" t="n">
        <v>4.7</v>
      </c>
      <c r="P2619" t="n">
        <v>8907</v>
      </c>
      <c r="R2619" t="inlineStr">
        <is>
          <t>InStock</t>
        </is>
      </c>
      <c r="S2619" t="inlineStr">
        <is>
          <t>undefined</t>
        </is>
      </c>
      <c r="T2619" t="inlineStr">
        <is>
          <t>5152119</t>
        </is>
      </c>
    </row>
    <row r="2620" ht="75" customHeight="1">
      <c r="A2620" s="2">
        <f>HYPERLINK("https://www.soccerplususa.com/adidas-2/adidas-metro-v-soccer-sock-39975", "https://www.soccerplususa.com/adidas-2/adidas-metro-v-soccer-sock-39975")</f>
        <v/>
      </c>
      <c r="B2620" t="inlineStr">
        <is>
          <t>undefined</t>
        </is>
      </c>
      <c r="C2620" t="inlineStr">
        <is>
          <t>adidas Metro V Soccer Sock</t>
        </is>
      </c>
      <c r="D2620" t="inlineStr">
        <is>
          <t>adidas Metro 4 Soccer Socks (1-Pair), Medium</t>
        </is>
      </c>
      <c r="E2620" s="2">
        <f>HYPERLINK("https://www.amazon.com/adidas-Metro-Soccer-Socks-1-Pack/dp/B00SGTAGGU/ref=sr_1_2?keywords=adidas+Metro+V+Soccer+Sock&amp;qid=1695171088&amp;sr=8-2", "https://www.amazon.com/adidas-Metro-Soccer-Socks-1-Pack/dp/B00SGTAGGU/ref=sr_1_2?keywords=adidas+Metro+V+Soccer+Sock&amp;qid=1695171088&amp;sr=8-2")</f>
        <v/>
      </c>
      <c r="F2620" t="inlineStr">
        <is>
          <t>B00SGTAGGU</t>
        </is>
      </c>
      <c r="G2620">
        <f>_xlfn.IMAGE("https://www.soccerplususa.com/prodimages/33107-DEFAULT-l.jpg")</f>
        <v/>
      </c>
      <c r="H2620">
        <f>_xlfn.IMAGE("https://m.media-amazon.com/images/I/81h7QKJ7WrL._AC_UL320_.jpg")</f>
        <v/>
      </c>
      <c r="K2620" t="inlineStr">
        <is>
          <t>8.95</t>
        </is>
      </c>
      <c r="L2620" t="n">
        <v>15.99</v>
      </c>
      <c r="M2620" s="1" t="inlineStr">
        <is>
          <t>78.66%</t>
        </is>
      </c>
      <c r="N2620" s="3" t="n">
        <v>78.66</v>
      </c>
      <c r="O2620" t="n">
        <v>4.7</v>
      </c>
      <c r="P2620" t="n">
        <v>8907</v>
      </c>
      <c r="R2620" t="inlineStr">
        <is>
          <t>InStock</t>
        </is>
      </c>
      <c r="S2620" t="inlineStr">
        <is>
          <t>undefined</t>
        </is>
      </c>
      <c r="T2620" t="inlineStr">
        <is>
          <t>5152114</t>
        </is>
      </c>
    </row>
    <row r="2621" hidden="1" ht="15.75" customHeight="1">
      <c r="A2621" s="2">
        <f>HYPERLINK("https://www.soccerplususa.com/adidas/adidas-copa-zone-cushion-iii-sock-2057", "https://www.soccerplususa.com/adidas/adidas-copa-zone-cushion-iii-sock-2057")</f>
        <v/>
      </c>
      <c r="B2621" t="inlineStr">
        <is>
          <t>undefined</t>
        </is>
      </c>
      <c r="C2621" t="inlineStr">
        <is>
          <t>adidas Copa Zone Cushion III Sock</t>
        </is>
      </c>
      <c r="D2621" t="inlineStr">
        <is>
          <t>adidas Copa Zone Cushion 4 Soccer Socks (1-Pair) for Men, Women, Boys and Girls</t>
        </is>
      </c>
      <c r="E2621" s="2">
        <f>HYPERLINK("https://www.amazon.com/adidas-Cushion-Soccer-Socks-1-Pair/dp/B0886G6VTQ/ref=sr_1_1?keywords=adidas+Copa+Zone+Cushion+III+Sock&amp;qid=1695171108&amp;sr=8-1", "https://www.amazon.com/adidas-Cushion-Soccer-Socks-1-Pair/dp/B0886G6VTQ/ref=sr_1_1?keywords=adidas+Copa+Zone+Cushion+III+Sock&amp;qid=1695171108&amp;sr=8-1")</f>
        <v/>
      </c>
      <c r="F2621" t="inlineStr">
        <is>
          <t>B0886G6VTQ</t>
        </is>
      </c>
      <c r="G2621">
        <f>_xludf.IMAGE("https://www.soccerplususa.com/prodimages/7460-DEFAULT-l.jpg")</f>
        <v/>
      </c>
      <c r="H2621">
        <f>_xludf.IMAGE("https://m.media-amazon.com/images/I/71kHYJ2uNIL._AC_UL320_.jpg")</f>
        <v/>
      </c>
      <c r="K2621" t="inlineStr">
        <is>
          <t>6.0</t>
        </is>
      </c>
      <c r="L2621" t="n">
        <v>10.59</v>
      </c>
      <c r="M2621" s="1" t="inlineStr">
        <is>
          <t>76.50%</t>
        </is>
      </c>
      <c r="N2621" s="3" t="n">
        <v>76.5</v>
      </c>
      <c r="O2621" t="n">
        <v>4.7</v>
      </c>
      <c r="P2621" t="n">
        <v>6297</v>
      </c>
      <c r="R2621" t="inlineStr">
        <is>
          <t>InStock</t>
        </is>
      </c>
      <c r="S2621" t="inlineStr">
        <is>
          <t>11.95</t>
        </is>
      </c>
      <c r="T2621" t="inlineStr">
        <is>
          <t>5143259</t>
        </is>
      </c>
    </row>
    <row r="2622" hidden="1" ht="15.75" customHeight="1">
      <c r="A2622" s="2">
        <f>HYPERLINK("https://www.soccerplususa.com/adidas/adidas-copa-zone-cushion-ii-sock-1900", "https://www.soccerplususa.com/adidas/adidas-copa-zone-cushion-ii-sock-1900")</f>
        <v/>
      </c>
      <c r="B2622" t="inlineStr">
        <is>
          <t>undefined</t>
        </is>
      </c>
      <c r="C2622" t="inlineStr">
        <is>
          <t>adidas Copa Zone Cushion II Sock</t>
        </is>
      </c>
      <c r="D2622" t="inlineStr">
        <is>
          <t>adidas Copa Zone Cushion 4 Soccer Socks (1-Pair) for Men, Women, Boys and Girls</t>
        </is>
      </c>
      <c r="E2622" s="2">
        <f>HYPERLINK("https://www.amazon.com/adidas-Cushion-Soccer-Socks-1-Pair/dp/B0886G6VTQ/ref=sr_1_2?keywords=adidas+Copa+Zone+Cushion+II+Sock&amp;qid=1695171125&amp;sr=8-2", "https://www.amazon.com/adidas-Cushion-Soccer-Socks-1-Pair/dp/B0886G6VTQ/ref=sr_1_2?keywords=adidas+Copa+Zone+Cushion+II+Sock&amp;qid=1695171125&amp;sr=8-2")</f>
        <v/>
      </c>
      <c r="F2622" t="inlineStr">
        <is>
          <t>B0886G6VTQ</t>
        </is>
      </c>
      <c r="G2622">
        <f>_xludf.IMAGE("https://www.soccerplususa.com/prodimages/2474-DEFAULT-l.jpg")</f>
        <v/>
      </c>
      <c r="H2622">
        <f>_xludf.IMAGE("https://m.media-amazon.com/images/I/71kHYJ2uNIL._AC_UL320_.jpg")</f>
        <v/>
      </c>
      <c r="K2622" t="inlineStr">
        <is>
          <t>6.0</t>
        </is>
      </c>
      <c r="L2622" t="n">
        <v>10.59</v>
      </c>
      <c r="M2622" s="1" t="inlineStr">
        <is>
          <t>76.50%</t>
        </is>
      </c>
      <c r="N2622" s="3" t="n">
        <v>76.5</v>
      </c>
      <c r="O2622" t="n">
        <v>4.7</v>
      </c>
      <c r="P2622" t="n">
        <v>6297</v>
      </c>
      <c r="R2622" t="inlineStr">
        <is>
          <t>InStock</t>
        </is>
      </c>
      <c r="S2622" t="inlineStr">
        <is>
          <t>11.95</t>
        </is>
      </c>
      <c r="T2622" t="inlineStr">
        <is>
          <t>5130095</t>
        </is>
      </c>
    </row>
    <row r="2623" hidden="1" ht="15.75" customHeight="1">
      <c r="A2623" s="2">
        <f>HYPERLINK("https://www.soccerplususa.com/adidas/adidas-copa-zone-cushion-ii-sock-1944", "https://www.soccerplususa.com/adidas/adidas-copa-zone-cushion-ii-sock-1944")</f>
        <v/>
      </c>
      <c r="B2623" t="inlineStr">
        <is>
          <t>undefined</t>
        </is>
      </c>
      <c r="C2623" t="inlineStr">
        <is>
          <t>adidas Copa Zone Cushion II Sock</t>
        </is>
      </c>
      <c r="D2623" t="inlineStr">
        <is>
          <t>adidas Copa Zone Cushion 4 Soccer Socks (1-Pair) for Men, Women, Boys and Girls</t>
        </is>
      </c>
      <c r="E2623" s="2">
        <f>HYPERLINK("https://www.amazon.com/adidas-Cushion-Soccer-Socks-1-Pair/dp/B0886G6VTQ/ref=sr_1_2?keywords=adidas+Copa+Zone+Cushion+II+Sock&amp;qid=1695171111&amp;sr=8-2", "https://www.amazon.com/adidas-Cushion-Soccer-Socks-1-Pair/dp/B0886G6VTQ/ref=sr_1_2?keywords=adidas+Copa+Zone+Cushion+II+Sock&amp;qid=1695171111&amp;sr=8-2")</f>
        <v/>
      </c>
      <c r="F2623" t="inlineStr">
        <is>
          <t>B0886G6VTQ</t>
        </is>
      </c>
      <c r="G2623">
        <f>_xludf.IMAGE("https://www.soccerplususa.com/prodimages/2489-DEFAULT-l.jpg")</f>
        <v/>
      </c>
      <c r="H2623">
        <f>_xludf.IMAGE("https://m.media-amazon.com/images/I/71kHYJ2uNIL._AC_UL320_.jpg")</f>
        <v/>
      </c>
      <c r="K2623" t="inlineStr">
        <is>
          <t>6.0</t>
        </is>
      </c>
      <c r="L2623" t="n">
        <v>10.59</v>
      </c>
      <c r="M2623" s="1" t="inlineStr">
        <is>
          <t>76.50%</t>
        </is>
      </c>
      <c r="N2623" s="3" t="n">
        <v>76.5</v>
      </c>
      <c r="O2623" t="n">
        <v>4.7</v>
      </c>
      <c r="P2623" t="n">
        <v>6297</v>
      </c>
      <c r="R2623" t="inlineStr">
        <is>
          <t>InStock</t>
        </is>
      </c>
      <c r="S2623" t="inlineStr">
        <is>
          <t>11.95</t>
        </is>
      </c>
      <c r="T2623" t="inlineStr">
        <is>
          <t>5130226</t>
        </is>
      </c>
    </row>
    <row r="2624" hidden="1" ht="15.75" customHeight="1">
      <c r="A2624" s="2">
        <f>HYPERLINK("https://www.soccerplususa.com/adidas/adidas-copa-zone-cushion-ii-sock-1930", "https://www.soccerplususa.com/adidas/adidas-copa-zone-cushion-ii-sock-1930")</f>
        <v/>
      </c>
      <c r="B2624" t="inlineStr">
        <is>
          <t>undefined</t>
        </is>
      </c>
      <c r="C2624" t="inlineStr">
        <is>
          <t>adidas Copa Zone Cushion II Sock</t>
        </is>
      </c>
      <c r="D2624" t="inlineStr">
        <is>
          <t>adidas Copa Zone Cushion 4 Soccer Socks (1-Pair) for Men, Women, Boys and Girls</t>
        </is>
      </c>
      <c r="E2624" s="2">
        <f>HYPERLINK("https://www.amazon.com/adidas-Cushion-Soccer-Socks-1-Pair/dp/B0886G6VTQ/ref=sr_1_2?keywords=adidas+Copa+Zone+Cushion+II+Sock&amp;qid=1695171120&amp;sr=8-2", "https://www.amazon.com/adidas-Cushion-Soccer-Socks-1-Pair/dp/B0886G6VTQ/ref=sr_1_2?keywords=adidas+Copa+Zone+Cushion+II+Sock&amp;qid=1695171120&amp;sr=8-2")</f>
        <v/>
      </c>
      <c r="F2624" t="inlineStr">
        <is>
          <t>B0886G6VTQ</t>
        </is>
      </c>
      <c r="G2624">
        <f>_xludf.IMAGE("https://www.soccerplususa.com/prodimages/2482-DEFAULT-l.jpg")</f>
        <v/>
      </c>
      <c r="H2624">
        <f>_xludf.IMAGE("https://m.media-amazon.com/images/I/71kHYJ2uNIL._AC_UL320_.jpg")</f>
        <v/>
      </c>
      <c r="K2624" t="inlineStr">
        <is>
          <t>6.0</t>
        </is>
      </c>
      <c r="L2624" t="n">
        <v>10.59</v>
      </c>
      <c r="M2624" s="1" t="inlineStr">
        <is>
          <t>76.50%</t>
        </is>
      </c>
      <c r="N2624" s="3" t="n">
        <v>76.5</v>
      </c>
      <c r="O2624" t="n">
        <v>4.7</v>
      </c>
      <c r="P2624" t="n">
        <v>6297</v>
      </c>
      <c r="R2624" t="inlineStr">
        <is>
          <t>InStock</t>
        </is>
      </c>
      <c r="S2624" t="inlineStr">
        <is>
          <t>11.95</t>
        </is>
      </c>
      <c r="T2624" t="inlineStr">
        <is>
          <t>5130173</t>
        </is>
      </c>
    </row>
    <row r="2625" hidden="1" ht="15.75" customHeight="1">
      <c r="A2625" s="2">
        <f>HYPERLINK("https://www.soccerplususa.com/adidas/adidas-copa-zone-cushion-ii-sock-1907", "https://www.soccerplususa.com/adidas/adidas-copa-zone-cushion-ii-sock-1907")</f>
        <v/>
      </c>
      <c r="B2625" t="inlineStr">
        <is>
          <t>undefined</t>
        </is>
      </c>
      <c r="C2625" t="inlineStr">
        <is>
          <t>adidas Copa Zone Cushion II Sock</t>
        </is>
      </c>
      <c r="D2625" t="inlineStr">
        <is>
          <t>adidas Copa Zone Cushion 4 Soccer Socks (1-Pair) for Men, Women, Boys and Girls</t>
        </is>
      </c>
      <c r="E2625" s="2">
        <f>HYPERLINK("https://www.amazon.com/adidas-Cushion-Soccer-Socks-1-Pair/dp/B0886G6VTQ/ref=sr_1_2?keywords=adidas+Copa+Zone+Cushion+II+Sock&amp;qid=1695171114&amp;sr=8-2", "https://www.amazon.com/adidas-Cushion-Soccer-Socks-1-Pair/dp/B0886G6VTQ/ref=sr_1_2?keywords=adidas+Copa+Zone+Cushion+II+Sock&amp;qid=1695171114&amp;sr=8-2")</f>
        <v/>
      </c>
      <c r="F2625" t="inlineStr">
        <is>
          <t>B0886G6VTQ</t>
        </is>
      </c>
      <c r="G2625">
        <f>_xludf.IMAGE("https://www.soccerplususa.com/prodimages/2476-DEFAULT-l.jpg")</f>
        <v/>
      </c>
      <c r="H2625">
        <f>_xludf.IMAGE("https://m.media-amazon.com/images/I/71kHYJ2uNIL._AC_UL320_.jpg")</f>
        <v/>
      </c>
      <c r="K2625" t="inlineStr">
        <is>
          <t>6.0</t>
        </is>
      </c>
      <c r="L2625" t="n">
        <v>10.59</v>
      </c>
      <c r="M2625" s="1" t="inlineStr">
        <is>
          <t>76.50%</t>
        </is>
      </c>
      <c r="N2625" s="3" t="n">
        <v>76.5</v>
      </c>
      <c r="O2625" t="n">
        <v>4.7</v>
      </c>
      <c r="P2625" t="n">
        <v>6297</v>
      </c>
      <c r="R2625" t="inlineStr">
        <is>
          <t>InStock</t>
        </is>
      </c>
      <c r="S2625" t="inlineStr">
        <is>
          <t>11.95</t>
        </is>
      </c>
      <c r="T2625" t="inlineStr">
        <is>
          <t>5130109</t>
        </is>
      </c>
    </row>
    <row r="2626" hidden="1" ht="15.75" customHeight="1">
      <c r="A2626" s="2">
        <f>HYPERLINK("https://www.soccerplususa.com/adidas/adidas-copa-zone-cushion-ii-sock-1902", "https://www.soccerplususa.com/adidas/adidas-copa-zone-cushion-ii-sock-1902")</f>
        <v/>
      </c>
      <c r="B2626" t="inlineStr">
        <is>
          <t>undefined</t>
        </is>
      </c>
      <c r="C2626" t="inlineStr">
        <is>
          <t>adidas Copa Zone Cushion II Sock</t>
        </is>
      </c>
      <c r="D2626" t="inlineStr">
        <is>
          <t>adidas Copa Zone Cushion 4 Soccer Socks (1-Pair) for Men, Women, Boys and Girls</t>
        </is>
      </c>
      <c r="E2626" s="2">
        <f>HYPERLINK("https://www.amazon.com/adidas-Cushion-Soccer-Socks-1-Pair/dp/B0886G6VTQ/ref=sr_1_3?keywords=adidas+Copa+Zone+Cushion+II+Sock&amp;qid=1695171110&amp;sr=8-3", "https://www.amazon.com/adidas-Cushion-Soccer-Socks-1-Pair/dp/B0886G6VTQ/ref=sr_1_3?keywords=adidas+Copa+Zone+Cushion+II+Sock&amp;qid=1695171110&amp;sr=8-3")</f>
        <v/>
      </c>
      <c r="F2626" t="inlineStr">
        <is>
          <t>B0886G6VTQ</t>
        </is>
      </c>
      <c r="G2626">
        <f>_xludf.IMAGE("https://www.soccerplususa.com/prodimages/2475-DEFAULT-l.jpg")</f>
        <v/>
      </c>
      <c r="H2626">
        <f>_xludf.IMAGE("https://m.media-amazon.com/images/I/71kHYJ2uNIL._AC_UL320_.jpg")</f>
        <v/>
      </c>
      <c r="K2626" t="inlineStr">
        <is>
          <t>6.0</t>
        </is>
      </c>
      <c r="L2626" t="n">
        <v>10.59</v>
      </c>
      <c r="M2626" s="1" t="inlineStr">
        <is>
          <t>76.50%</t>
        </is>
      </c>
      <c r="N2626" s="3" t="n">
        <v>76.5</v>
      </c>
      <c r="O2626" t="n">
        <v>4.7</v>
      </c>
      <c r="P2626" t="n">
        <v>6297</v>
      </c>
      <c r="R2626" t="inlineStr">
        <is>
          <t>InStock</t>
        </is>
      </c>
      <c r="S2626" t="inlineStr">
        <is>
          <t>11.95</t>
        </is>
      </c>
      <c r="T2626" t="inlineStr">
        <is>
          <t>5130099</t>
        </is>
      </c>
    </row>
    <row r="2627" hidden="1" ht="15.75" customHeight="1">
      <c r="A2627" s="2">
        <f>HYPERLINK("https://www.soccerplususa.com/adidas/adidas-copa-zone-cushion-ii-sock-1967", "https://www.soccerplususa.com/adidas/adidas-copa-zone-cushion-ii-sock-1967")</f>
        <v/>
      </c>
      <c r="B2627" t="inlineStr">
        <is>
          <t>undefined</t>
        </is>
      </c>
      <c r="C2627" t="inlineStr">
        <is>
          <t>adidas Copa Zone Cushion II Sock</t>
        </is>
      </c>
      <c r="D2627" t="inlineStr">
        <is>
          <t>adidas Copa Zone Cushion 4 Soccer Socks (1-Pair) for Men, Women, Boys and Girls</t>
        </is>
      </c>
      <c r="E2627" s="2">
        <f>HYPERLINK("https://www.amazon.com/adidas-Cushion-Soccer-Socks-1-Pair/dp/B0886G6VTQ/ref=sr_1_2?keywords=adidas+Copa+Zone+Cushion+II+Sock&amp;qid=1695171108&amp;sr=8-2", "https://www.amazon.com/adidas-Cushion-Soccer-Socks-1-Pair/dp/B0886G6VTQ/ref=sr_1_2?keywords=adidas+Copa+Zone+Cushion+II+Sock&amp;qid=1695171108&amp;sr=8-2")</f>
        <v/>
      </c>
      <c r="F2627" t="inlineStr">
        <is>
          <t>B0886G6VTQ</t>
        </is>
      </c>
      <c r="G2627">
        <f>_xludf.IMAGE("https://www.soccerplususa.com/prodimages/2497-DEFAULT-l.jpg")</f>
        <v/>
      </c>
      <c r="H2627">
        <f>_xludf.IMAGE("https://m.media-amazon.com/images/I/71kHYJ2uNIL._AC_UL320_.jpg")</f>
        <v/>
      </c>
      <c r="K2627" t="inlineStr">
        <is>
          <t>6.0</t>
        </is>
      </c>
      <c r="L2627" t="n">
        <v>10.59</v>
      </c>
      <c r="M2627" s="1" t="inlineStr">
        <is>
          <t>76.50%</t>
        </is>
      </c>
      <c r="N2627" s="3" t="n">
        <v>76.5</v>
      </c>
      <c r="O2627" t="n">
        <v>4.7</v>
      </c>
      <c r="P2627" t="n">
        <v>6297</v>
      </c>
      <c r="R2627" t="inlineStr">
        <is>
          <t>InStock</t>
        </is>
      </c>
      <c r="S2627" t="inlineStr">
        <is>
          <t>11.95</t>
        </is>
      </c>
      <c r="T2627" t="inlineStr">
        <is>
          <t>5130297</t>
        </is>
      </c>
    </row>
    <row r="2628" hidden="1" ht="15.75" customHeight="1">
      <c r="A2628" s="2">
        <f>HYPERLINK("https://www.soccerplususa.com/adidas/adidas-copa-zone-cushion-ii-sock-1959", "https://www.soccerplususa.com/adidas/adidas-copa-zone-cushion-ii-sock-1959")</f>
        <v/>
      </c>
      <c r="B2628" t="inlineStr">
        <is>
          <t>undefined</t>
        </is>
      </c>
      <c r="C2628" t="inlineStr">
        <is>
          <t>adidas Copa Zone Cushion II Sock</t>
        </is>
      </c>
      <c r="D2628" t="inlineStr">
        <is>
          <t>adidas Copa Zone Cushion 4 Soccer Socks (1-Pair) for Men, Women, Boys and Girls</t>
        </is>
      </c>
      <c r="E2628" s="2">
        <f>HYPERLINK("https://www.amazon.com/adidas-Cushion-Soccer-Socks-1-Pair/dp/B0886G6VTQ/ref=sr_1_2?keywords=adidas+Copa+Zone+Cushion+II+Sock&amp;qid=1695171116&amp;sr=8-2", "https://www.amazon.com/adidas-Cushion-Soccer-Socks-1-Pair/dp/B0886G6VTQ/ref=sr_1_2?keywords=adidas+Copa+Zone+Cushion+II+Sock&amp;qid=1695171116&amp;sr=8-2")</f>
        <v/>
      </c>
      <c r="F2628" t="inlineStr">
        <is>
          <t>B0886G6VTQ</t>
        </is>
      </c>
      <c r="G2628">
        <f>_xludf.IMAGE("https://www.soccerplususa.com/prodimages/2495-DEFAULT-l.jpg")</f>
        <v/>
      </c>
      <c r="H2628">
        <f>_xludf.IMAGE("https://m.media-amazon.com/images/I/71kHYJ2uNIL._AC_UL320_.jpg")</f>
        <v/>
      </c>
      <c r="K2628" t="inlineStr">
        <is>
          <t>6.0</t>
        </is>
      </c>
      <c r="L2628" t="n">
        <v>10.59</v>
      </c>
      <c r="M2628" s="1" t="inlineStr">
        <is>
          <t>76.50%</t>
        </is>
      </c>
      <c r="N2628" s="3" t="n">
        <v>76.5</v>
      </c>
      <c r="O2628" t="n">
        <v>4.7</v>
      </c>
      <c r="P2628" t="n">
        <v>6297</v>
      </c>
      <c r="R2628" t="inlineStr">
        <is>
          <t>InStock</t>
        </is>
      </c>
      <c r="S2628" t="inlineStr">
        <is>
          <t>11.95</t>
        </is>
      </c>
      <c r="T2628" t="inlineStr">
        <is>
          <t>5130270</t>
        </is>
      </c>
    </row>
    <row r="2629" hidden="1" ht="15.75" customHeight="1">
      <c r="A2629" s="2">
        <f>HYPERLINK("https://www.soccerplususa.com/adidas/adidas-copa-zone-cushion-ii-sock-1973", "https://www.soccerplususa.com/adidas/adidas-copa-zone-cushion-ii-sock-1973")</f>
        <v/>
      </c>
      <c r="B2629" t="inlineStr">
        <is>
          <t>undefined</t>
        </is>
      </c>
      <c r="C2629" t="inlineStr">
        <is>
          <t>adidas Copa Zone Cushion II Sock</t>
        </is>
      </c>
      <c r="D2629" t="inlineStr">
        <is>
          <t>adidas Copa Zone Cushion 4 Soccer Socks (1-Pair) for Men, Women, Boys and Girls</t>
        </is>
      </c>
      <c r="E2629" s="2">
        <f>HYPERLINK("https://www.amazon.com/adidas-Cushion-Soccer-Socks-1-Pair/dp/B0886G6VTQ/ref=sr_1_2?keywords=adidas+Copa+Zone+Cushion+II+Sock&amp;qid=1695171113&amp;sr=8-2", "https://www.amazon.com/adidas-Cushion-Soccer-Socks-1-Pair/dp/B0886G6VTQ/ref=sr_1_2?keywords=adidas+Copa+Zone+Cushion+II+Sock&amp;qid=1695171113&amp;sr=8-2")</f>
        <v/>
      </c>
      <c r="F2629" t="inlineStr">
        <is>
          <t>B0886G6VTQ</t>
        </is>
      </c>
      <c r="G2629">
        <f>_xludf.IMAGE("https://www.soccerplususa.com/prodimages/2500-DEFAULT-l.jpg")</f>
        <v/>
      </c>
      <c r="H2629">
        <f>_xludf.IMAGE("https://m.media-amazon.com/images/I/71kHYJ2uNIL._AC_UL320_.jpg")</f>
        <v/>
      </c>
      <c r="K2629" t="inlineStr">
        <is>
          <t>6.0</t>
        </is>
      </c>
      <c r="L2629" t="n">
        <v>10.59</v>
      </c>
      <c r="M2629" s="1" t="inlineStr">
        <is>
          <t>76.50%</t>
        </is>
      </c>
      <c r="N2629" s="3" t="n">
        <v>76.5</v>
      </c>
      <c r="O2629" t="n">
        <v>4.7</v>
      </c>
      <c r="P2629" t="n">
        <v>6297</v>
      </c>
      <c r="R2629" t="inlineStr">
        <is>
          <t>InStock</t>
        </is>
      </c>
      <c r="S2629" t="inlineStr">
        <is>
          <t>11.95</t>
        </is>
      </c>
      <c r="T2629" t="inlineStr">
        <is>
          <t>5130322</t>
        </is>
      </c>
    </row>
    <row r="2630" hidden="1" ht="15.75" customHeight="1">
      <c r="A2630" s="2">
        <f>HYPERLINK("https://www.soccerplususa.com/adidas/adidas-copa-zone-cushion-ii-sock-1942", "https://www.soccerplususa.com/adidas/adidas-copa-zone-cushion-ii-sock-1942")</f>
        <v/>
      </c>
      <c r="B2630" t="inlineStr">
        <is>
          <t>undefined</t>
        </is>
      </c>
      <c r="C2630" t="inlineStr">
        <is>
          <t>adidas Copa Zone Cushion II Sock</t>
        </is>
      </c>
      <c r="D2630" t="inlineStr">
        <is>
          <t>adidas Copa Zone Cushion 4 Soccer Socks (1-Pair) for Men, Women, Boys and Girls</t>
        </is>
      </c>
      <c r="E2630" s="2">
        <f>HYPERLINK("https://www.amazon.com/adidas-Cushion-Soccer-Socks-1-Pair/dp/B0886G6VTQ/ref=sr_1_2?keywords=adidas+Copa+Zone+Cushion+II+Sock&amp;qid=1695171113&amp;sr=8-2", "https://www.amazon.com/adidas-Cushion-Soccer-Socks-1-Pair/dp/B0886G6VTQ/ref=sr_1_2?keywords=adidas+Copa+Zone+Cushion+II+Sock&amp;qid=1695171113&amp;sr=8-2")</f>
        <v/>
      </c>
      <c r="F2630" t="inlineStr">
        <is>
          <t>B0886G6VTQ</t>
        </is>
      </c>
      <c r="G2630">
        <f>_xludf.IMAGE("https://www.soccerplususa.com/prodimages/2487-DEFAULT-l.jpg")</f>
        <v/>
      </c>
      <c r="H2630">
        <f>_xludf.IMAGE("https://m.media-amazon.com/images/I/71kHYJ2uNIL._AC_UL320_.jpg")</f>
        <v/>
      </c>
      <c r="K2630" t="inlineStr">
        <is>
          <t>6.0</t>
        </is>
      </c>
      <c r="L2630" t="n">
        <v>10.59</v>
      </c>
      <c r="M2630" s="1" t="inlineStr">
        <is>
          <t>76.50%</t>
        </is>
      </c>
      <c r="N2630" s="3" t="n">
        <v>76.5</v>
      </c>
      <c r="O2630" t="n">
        <v>4.7</v>
      </c>
      <c r="P2630" t="n">
        <v>6297</v>
      </c>
      <c r="R2630" t="inlineStr">
        <is>
          <t>InStock</t>
        </is>
      </c>
      <c r="S2630" t="inlineStr">
        <is>
          <t>11.95</t>
        </is>
      </c>
      <c r="T2630" t="inlineStr">
        <is>
          <t>5130206</t>
        </is>
      </c>
    </row>
    <row r="2631" hidden="1" ht="15.75" customHeight="1">
      <c r="A2631" s="2">
        <f>HYPERLINK("https://www.soccerplususa.com/adidas/adidas-copa-zone-cushion-ii-sock-1969", "https://www.soccerplususa.com/adidas/adidas-copa-zone-cushion-ii-sock-1969")</f>
        <v/>
      </c>
      <c r="B2631" t="inlineStr">
        <is>
          <t>undefined</t>
        </is>
      </c>
      <c r="C2631" t="inlineStr">
        <is>
          <t>adidas Copa Zone Cushion II Sock</t>
        </is>
      </c>
      <c r="D2631" t="inlineStr">
        <is>
          <t>adidas Copa Zone Cushion 4 Soccer Socks (1-Pair) for Men, Women, Boys and Girls</t>
        </is>
      </c>
      <c r="E2631" s="2">
        <f>HYPERLINK("https://www.amazon.com/adidas-Cushion-Soccer-Socks-1-Pair/dp/B0886G6VTQ/ref=sr_1_2?keywords=adidas+Copa+Zone+Cushion+II+Sock&amp;qid=1695171113&amp;sr=8-2", "https://www.amazon.com/adidas-Cushion-Soccer-Socks-1-Pair/dp/B0886G6VTQ/ref=sr_1_2?keywords=adidas+Copa+Zone+Cushion+II+Sock&amp;qid=1695171113&amp;sr=8-2")</f>
        <v/>
      </c>
      <c r="F2631" t="inlineStr">
        <is>
          <t>B0886G6VTQ</t>
        </is>
      </c>
      <c r="G2631">
        <f>_xludf.IMAGE("https://www.soccerplususa.com/prodimages/2498-DEFAULT-l.jpg")</f>
        <v/>
      </c>
      <c r="H2631">
        <f>_xludf.IMAGE("https://m.media-amazon.com/images/I/71kHYJ2uNIL._AC_UL320_.jpg")</f>
        <v/>
      </c>
      <c r="K2631" t="inlineStr">
        <is>
          <t>6.0</t>
        </is>
      </c>
      <c r="L2631" t="n">
        <v>10.59</v>
      </c>
      <c r="M2631" s="1" t="inlineStr">
        <is>
          <t>76.50%</t>
        </is>
      </c>
      <c r="N2631" s="3" t="n">
        <v>76.5</v>
      </c>
      <c r="O2631" t="n">
        <v>4.7</v>
      </c>
      <c r="P2631" t="n">
        <v>6297</v>
      </c>
      <c r="R2631" t="inlineStr">
        <is>
          <t>InStock</t>
        </is>
      </c>
      <c r="S2631" t="inlineStr">
        <is>
          <t>11.95</t>
        </is>
      </c>
      <c r="T2631" t="inlineStr">
        <is>
          <t>5130310</t>
        </is>
      </c>
    </row>
    <row r="2632" hidden="1" ht="15.75" customHeight="1">
      <c r="A2632" s="2">
        <f>HYPERLINK("https://www.soccerplususa.com/adidas/adidas-copa-zone-cushion-iii-sock-2070", "https://www.soccerplususa.com/adidas/adidas-copa-zone-cushion-iii-sock-2070")</f>
        <v/>
      </c>
      <c r="B2632" t="inlineStr">
        <is>
          <t>undefined</t>
        </is>
      </c>
      <c r="C2632" t="inlineStr">
        <is>
          <t>adidas Copa Zone Cushion III Sock</t>
        </is>
      </c>
      <c r="D2632" t="inlineStr">
        <is>
          <t>adidas Copa Zone Cushion 4 Soccer Socks (1-Pair) for Men, Women, Boys and Girls</t>
        </is>
      </c>
      <c r="E2632" s="2">
        <f>HYPERLINK("https://www.amazon.com/adidas-Cushion-Soccer-Socks-1-Pair/dp/B0886G6VTQ/ref=sr_1_1?keywords=adidas+Copa+Zone+Cushion+III+Sock&amp;qid=1695171106&amp;sr=8-1", "https://www.amazon.com/adidas-Cushion-Soccer-Socks-1-Pair/dp/B0886G6VTQ/ref=sr_1_1?keywords=adidas+Copa+Zone+Cushion+III+Sock&amp;qid=1695171106&amp;sr=8-1")</f>
        <v/>
      </c>
      <c r="F2632" t="inlineStr">
        <is>
          <t>B0886G6VTQ</t>
        </is>
      </c>
      <c r="G2632">
        <f>_xludf.IMAGE("https://www.soccerplususa.com/prodimages/6072-DEFAULT-l.jpg")</f>
        <v/>
      </c>
      <c r="H2632">
        <f>_xludf.IMAGE("https://m.media-amazon.com/images/I/71kHYJ2uNIL._AC_UL320_.jpg")</f>
        <v/>
      </c>
      <c r="K2632" t="inlineStr">
        <is>
          <t>6.0</t>
        </is>
      </c>
      <c r="L2632" t="n">
        <v>10.59</v>
      </c>
      <c r="M2632" s="1" t="inlineStr">
        <is>
          <t>76.50%</t>
        </is>
      </c>
      <c r="N2632" s="3" t="n">
        <v>76.5</v>
      </c>
      <c r="O2632" t="n">
        <v>4.7</v>
      </c>
      <c r="P2632" t="n">
        <v>6297</v>
      </c>
      <c r="R2632" t="inlineStr">
        <is>
          <t>InStock</t>
        </is>
      </c>
      <c r="S2632" t="inlineStr">
        <is>
          <t>11.95</t>
        </is>
      </c>
      <c r="T2632" t="inlineStr">
        <is>
          <t>5143280</t>
        </is>
      </c>
    </row>
    <row r="2633" hidden="1" ht="15.75" customHeight="1">
      <c r="A2633" s="2">
        <f>HYPERLINK("https://www.soccerplususa.com/adidas/adidas-copa-zone-cushion-ii-sock-1945", "https://www.soccerplususa.com/adidas/adidas-copa-zone-cushion-ii-sock-1945")</f>
        <v/>
      </c>
      <c r="B2633" t="inlineStr">
        <is>
          <t>undefined</t>
        </is>
      </c>
      <c r="C2633" t="inlineStr">
        <is>
          <t>adidas Copa Zone Cushion II Sock</t>
        </is>
      </c>
      <c r="D2633" t="inlineStr">
        <is>
          <t>adidas Copa Zone Cushion 4 Soccer Socks (1-Pair) for Men, Women, Boys and Girls</t>
        </is>
      </c>
      <c r="E2633" s="2">
        <f>HYPERLINK("https://www.amazon.com/adidas-Cushion-Soccer-Socks-1-Pair/dp/B0886G6VTQ/ref=sr_1_2?keywords=adidas+Copa+Zone+Cushion+II+Sock&amp;qid=1695171108&amp;sr=8-2", "https://www.amazon.com/adidas-Cushion-Soccer-Socks-1-Pair/dp/B0886G6VTQ/ref=sr_1_2?keywords=adidas+Copa+Zone+Cushion+II+Sock&amp;qid=1695171108&amp;sr=8-2")</f>
        <v/>
      </c>
      <c r="F2633" t="inlineStr">
        <is>
          <t>B0886G6VTQ</t>
        </is>
      </c>
      <c r="G2633">
        <f>_xludf.IMAGE("https://www.soccerplususa.com/prodimages/2490-DEFAULT-l.jpg")</f>
        <v/>
      </c>
      <c r="H2633">
        <f>_xludf.IMAGE("https://m.media-amazon.com/images/I/71kHYJ2uNIL._AC_UL320_.jpg")</f>
        <v/>
      </c>
      <c r="K2633" t="inlineStr">
        <is>
          <t>6.0</t>
        </is>
      </c>
      <c r="L2633" t="n">
        <v>10.59</v>
      </c>
      <c r="M2633" s="1" t="inlineStr">
        <is>
          <t>76.50%</t>
        </is>
      </c>
      <c r="N2633" s="3" t="n">
        <v>76.5</v>
      </c>
      <c r="O2633" t="n">
        <v>4.7</v>
      </c>
      <c r="P2633" t="n">
        <v>6297</v>
      </c>
      <c r="R2633" t="inlineStr">
        <is>
          <t>InStock</t>
        </is>
      </c>
      <c r="S2633" t="inlineStr">
        <is>
          <t>11.95</t>
        </is>
      </c>
      <c r="T2633" t="inlineStr">
        <is>
          <t>5130231</t>
        </is>
      </c>
    </row>
    <row r="2634" hidden="1" ht="15.75" customHeight="1">
      <c r="A2634" s="2">
        <f>HYPERLINK("https://www.soccerplususa.com/adidas/adidas-team-speed-sock-1896", "https://www.soccerplususa.com/adidas/adidas-team-speed-sock-1896")</f>
        <v/>
      </c>
      <c r="B2634" t="inlineStr">
        <is>
          <t>undefined</t>
        </is>
      </c>
      <c r="C2634" t="inlineStr">
        <is>
          <t>adidas Team Speed Sock</t>
        </is>
      </c>
      <c r="D2634" t="inlineStr">
        <is>
          <t>adidas Team Speed 3 Soccer Socks (1 Pair)</t>
        </is>
      </c>
      <c r="E2634" s="2">
        <f>HYPERLINK("https://www.amazon.com/adidas-Team-Speed-Soccer-Socks/dp/B0B9CH3RJT/ref=sr_1_1?keywords=adidas+Team+Speed+Sock&amp;qid=1695171111&amp;sr=8-1", "https://www.amazon.com/adidas-Team-Speed-Soccer-Socks/dp/B0B9CH3RJT/ref=sr_1_1?keywords=adidas+Team+Speed+Sock&amp;qid=1695171111&amp;sr=8-1")</f>
        <v/>
      </c>
      <c r="F2634" t="inlineStr">
        <is>
          <t>B0B9CH3RJT</t>
        </is>
      </c>
      <c r="G2634">
        <f>_xludf.IMAGE("https://www.soccerplususa.com/prodimages/5438-DEFAULT-l.jpg")</f>
        <v/>
      </c>
      <c r="H2634">
        <f>_xludf.IMAGE("https://m.media-amazon.com/images/I/71Q0Lo4RtBL._AC_UL320_.jpg")</f>
        <v/>
      </c>
      <c r="K2634" t="inlineStr">
        <is>
          <t>8.0</t>
        </is>
      </c>
      <c r="L2634" t="n">
        <v>14</v>
      </c>
      <c r="M2634" s="1" t="inlineStr">
        <is>
          <t>75.00%</t>
        </is>
      </c>
      <c r="N2634" s="3" t="n">
        <v>75</v>
      </c>
      <c r="O2634" t="n">
        <v>4.2</v>
      </c>
      <c r="P2634" t="n">
        <v>6</v>
      </c>
      <c r="R2634" t="inlineStr">
        <is>
          <t>InStock</t>
        </is>
      </c>
      <c r="S2634" t="inlineStr">
        <is>
          <t>15.95</t>
        </is>
      </c>
      <c r="T2634" t="inlineStr">
        <is>
          <t>5130084</t>
        </is>
      </c>
    </row>
    <row r="2635" hidden="1" ht="15.75" customHeight="1">
      <c r="A2635" s="2">
        <f>HYPERLINK("https://www.soccerplususa.com/adidas/adidas-team-speed-sock-1897", "https://www.soccerplususa.com/adidas/adidas-team-speed-sock-1897")</f>
        <v/>
      </c>
      <c r="B2635" t="inlineStr">
        <is>
          <t>undefined</t>
        </is>
      </c>
      <c r="C2635" t="inlineStr">
        <is>
          <t>adidas Team Speed Sock</t>
        </is>
      </c>
      <c r="D2635" t="inlineStr">
        <is>
          <t>adidas Team Speed 3 Soccer Socks (1 Pair)</t>
        </is>
      </c>
      <c r="E2635" s="2">
        <f>HYPERLINK("https://www.amazon.com/adidas-Team-Speed-Soccer-Socks/dp/B0B9CH3RJT/ref=sr_1_1?keywords=adidas+Team+Speed+Sock&amp;qid=1695171122&amp;sr=8-1", "https://www.amazon.com/adidas-Team-Speed-Soccer-Socks/dp/B0B9CH3RJT/ref=sr_1_1?keywords=adidas+Team+Speed+Sock&amp;qid=1695171122&amp;sr=8-1")</f>
        <v/>
      </c>
      <c r="F2635" t="inlineStr">
        <is>
          <t>B0B9CH3RJT</t>
        </is>
      </c>
      <c r="G2635">
        <f>_xludf.IMAGE("https://www.soccerplususa.com/prodimages/30895-DEFAULT-l.jpg")</f>
        <v/>
      </c>
      <c r="H2635">
        <f>_xludf.IMAGE("https://m.media-amazon.com/images/I/71Q0Lo4RtBL._AC_UL320_.jpg")</f>
        <v/>
      </c>
      <c r="K2635" t="inlineStr">
        <is>
          <t>8.0</t>
        </is>
      </c>
      <c r="L2635" t="n">
        <v>14</v>
      </c>
      <c r="M2635" s="1" t="inlineStr">
        <is>
          <t>75.00%</t>
        </is>
      </c>
      <c r="N2635" s="3" t="n">
        <v>75</v>
      </c>
      <c r="O2635" t="n">
        <v>4.2</v>
      </c>
      <c r="P2635" t="n">
        <v>6</v>
      </c>
      <c r="R2635" t="inlineStr">
        <is>
          <t>InStock</t>
        </is>
      </c>
      <c r="S2635" t="inlineStr">
        <is>
          <t>15.95</t>
        </is>
      </c>
      <c r="T2635" t="inlineStr">
        <is>
          <t>5130088</t>
        </is>
      </c>
    </row>
    <row r="2636" hidden="1" ht="15.75" customHeight="1">
      <c r="A2636" s="2">
        <f>HYPERLINK("https://www.soccerplususa.com/adidas/adidas-team-speed-sock-1890", "https://www.soccerplususa.com/adidas/adidas-team-speed-sock-1890")</f>
        <v/>
      </c>
      <c r="B2636" t="inlineStr">
        <is>
          <t>undefined</t>
        </is>
      </c>
      <c r="C2636" t="inlineStr">
        <is>
          <t>adidas Team Speed Sock</t>
        </is>
      </c>
      <c r="D2636" t="inlineStr">
        <is>
          <t>adidas Team Speed 3 Soccer Socks (1 Pair)</t>
        </is>
      </c>
      <c r="E2636" s="2">
        <f>HYPERLINK("https://www.amazon.com/Team-Speed-Soccer-Socks-Pair/dp/B091DBG67K/ref=sr_1_1?keywords=adidas+Team+Speed+Sock&amp;qid=1695171116&amp;sr=8-1", "https://www.amazon.com/Team-Speed-Soccer-Socks-Pair/dp/B091DBG67K/ref=sr_1_1?keywords=adidas+Team+Speed+Sock&amp;qid=1695171116&amp;sr=8-1")</f>
        <v/>
      </c>
      <c r="F2636" t="inlineStr">
        <is>
          <t>B091DBG67K</t>
        </is>
      </c>
      <c r="G2636">
        <f>_xludf.IMAGE("https://www.soccerplususa.com/prodimages/6561-DEFAULT-l.jpg")</f>
        <v/>
      </c>
      <c r="H2636">
        <f>_xludf.IMAGE("https://m.media-amazon.com/images/I/71nNFkwZMYL._AC_UL320_.jpg")</f>
        <v/>
      </c>
      <c r="K2636" t="inlineStr">
        <is>
          <t>8.0</t>
        </is>
      </c>
      <c r="L2636" t="n">
        <v>14</v>
      </c>
      <c r="M2636" s="1" t="inlineStr">
        <is>
          <t>75.00%</t>
        </is>
      </c>
      <c r="N2636" s="3" t="n">
        <v>75</v>
      </c>
      <c r="O2636" t="n">
        <v>4.6</v>
      </c>
      <c r="P2636" t="n">
        <v>203</v>
      </c>
      <c r="R2636" t="inlineStr">
        <is>
          <t>InStock</t>
        </is>
      </c>
      <c r="S2636" t="inlineStr">
        <is>
          <t>15.95</t>
        </is>
      </c>
      <c r="T2636" t="inlineStr">
        <is>
          <t>5130065</t>
        </is>
      </c>
    </row>
    <row r="2637" hidden="1" ht="15.75" customHeight="1">
      <c r="A2637" s="2">
        <f>HYPERLINK("https://www.soccerplususa.com/adidas/adidas-team-speed-sock-1923", "https://www.soccerplususa.com/adidas/adidas-team-speed-sock-1923")</f>
        <v/>
      </c>
      <c r="B2637" t="inlineStr">
        <is>
          <t>undefined</t>
        </is>
      </c>
      <c r="C2637" t="inlineStr">
        <is>
          <t>adidas Team Speed Sock</t>
        </is>
      </c>
      <c r="D2637" t="inlineStr">
        <is>
          <t>adidas Team Speed 3 Soccer Socks (1 Pair)</t>
        </is>
      </c>
      <c r="E2637" s="2">
        <f>HYPERLINK("https://www.amazon.com/adidas-Team-Speed-Soccer-Socks/dp/B0B9CH3RJT/ref=sr_1_1?keywords=adidas+Team+Speed+Sock&amp;qid=1695171111&amp;sr=8-1", "https://www.amazon.com/adidas-Team-Speed-Soccer-Socks/dp/B0B9CH3RJT/ref=sr_1_1?keywords=adidas+Team+Speed+Sock&amp;qid=1695171111&amp;sr=8-1")</f>
        <v/>
      </c>
      <c r="F2637" t="inlineStr">
        <is>
          <t>B0B9CH3RJT</t>
        </is>
      </c>
      <c r="G2637">
        <f>_xludf.IMAGE("https://www.soccerplususa.com/prodimages/6560-DEFAULT-l.jpg")</f>
        <v/>
      </c>
      <c r="H2637">
        <f>_xludf.IMAGE("https://m.media-amazon.com/images/I/71Q0Lo4RtBL._AC_UL320_.jpg")</f>
        <v/>
      </c>
      <c r="K2637" t="inlineStr">
        <is>
          <t>8.0</t>
        </is>
      </c>
      <c r="L2637" t="n">
        <v>14</v>
      </c>
      <c r="M2637" s="1" t="inlineStr">
        <is>
          <t>75.00%</t>
        </is>
      </c>
      <c r="N2637" s="3" t="n">
        <v>75</v>
      </c>
      <c r="O2637" t="n">
        <v>4.2</v>
      </c>
      <c r="P2637" t="n">
        <v>6</v>
      </c>
      <c r="R2637" t="inlineStr">
        <is>
          <t>InStock</t>
        </is>
      </c>
      <c r="S2637" t="inlineStr">
        <is>
          <t>15.95</t>
        </is>
      </c>
      <c r="T2637" t="inlineStr">
        <is>
          <t>5130156</t>
        </is>
      </c>
    </row>
    <row r="2638" hidden="1" ht="15.75" customHeight="1">
      <c r="A2638" s="2">
        <f>HYPERLINK("https://www.soccerplususa.com/adidas/adidas-team-speed-sock-1888", "https://www.soccerplususa.com/adidas/adidas-team-speed-sock-1888")</f>
        <v/>
      </c>
      <c r="B2638" t="inlineStr">
        <is>
          <t>undefined</t>
        </is>
      </c>
      <c r="C2638" t="inlineStr">
        <is>
          <t>adidas Team Speed Sock</t>
        </is>
      </c>
      <c r="D2638" t="inlineStr">
        <is>
          <t>adidas Team Speed 3 Soccer Socks (1 Pair)</t>
        </is>
      </c>
      <c r="E2638" s="2">
        <f>HYPERLINK("https://www.amazon.com/adidas-Team-Speed-Soccer-Socks/dp/B0B9CH3RJT/ref=sr_1_1?keywords=adidas+Team+Speed+Sock&amp;qid=1695171114&amp;sr=8-1", "https://www.amazon.com/adidas-Team-Speed-Soccer-Socks/dp/B0B9CH3RJT/ref=sr_1_1?keywords=adidas+Team+Speed+Sock&amp;qid=1695171114&amp;sr=8-1")</f>
        <v/>
      </c>
      <c r="F2638" t="inlineStr">
        <is>
          <t>B0B9CH3RJT</t>
        </is>
      </c>
      <c r="G2638">
        <f>_xludf.IMAGE("https://www.soccerplususa.com/prodimages/2502-DEFAULT-l.jpg")</f>
        <v/>
      </c>
      <c r="H2638">
        <f>_xludf.IMAGE("https://m.media-amazon.com/images/I/71Q0Lo4RtBL._AC_UL320_.jpg")</f>
        <v/>
      </c>
      <c r="K2638" t="inlineStr">
        <is>
          <t>8.0</t>
        </is>
      </c>
      <c r="L2638" t="n">
        <v>14</v>
      </c>
      <c r="M2638" s="1" t="inlineStr">
        <is>
          <t>75.00%</t>
        </is>
      </c>
      <c r="N2638" s="3" t="n">
        <v>75</v>
      </c>
      <c r="O2638" t="n">
        <v>4.2</v>
      </c>
      <c r="P2638" t="n">
        <v>6</v>
      </c>
      <c r="R2638" t="inlineStr">
        <is>
          <t>InStock</t>
        </is>
      </c>
      <c r="S2638" t="inlineStr">
        <is>
          <t>15.95</t>
        </is>
      </c>
      <c r="T2638" t="inlineStr">
        <is>
          <t>5130045</t>
        </is>
      </c>
    </row>
    <row r="2639" ht="75" customHeight="1">
      <c r="A2639" s="2">
        <f>HYPERLINK("https://www.soccerplususa.com/nike/nike-classic-ii-otc-sock-27051", "https://www.soccerplususa.com/nike/nike-classic-ii-otc-sock-27051")</f>
        <v/>
      </c>
      <c r="B2639" t="inlineStr">
        <is>
          <t>undefined</t>
        </is>
      </c>
      <c r="C2639" t="inlineStr">
        <is>
          <t>Nike Classic II OTC Sock</t>
        </is>
      </c>
      <c r="D2639" t="inlineStr">
        <is>
          <t>Nike CLASSIC II SOCK [TM WHITE] (XS)</t>
        </is>
      </c>
      <c r="E2639" s="2">
        <f>HYPERLINK("https://www.amazon.com/Nike-CLASSIC-II-SOCK-WHITE/dp/B00JFHLHMO/ref=sr_1_8?keywords=Nike+Classic+II+OTC+Sock&amp;qid=1695171109&amp;sr=8-8", "https://www.amazon.com/Nike-CLASSIC-II-SOCK-WHITE/dp/B00JFHLHMO/ref=sr_1_8?keywords=Nike+Classic+II+OTC+Sock&amp;qid=1695171109&amp;sr=8-8")</f>
        <v/>
      </c>
      <c r="F2639" t="inlineStr">
        <is>
          <t>B00JFHLHMO</t>
        </is>
      </c>
      <c r="G2639">
        <f>_xlfn.IMAGE("https://www.soccerplususa.com/prodimages/4443-DEFAULT-l.jpg")</f>
        <v/>
      </c>
      <c r="H2639">
        <f>_xlfn.IMAGE("https://m.media-amazon.com/images/I/61lB1aUxpWL._AC_UL320_.jpg")</f>
        <v/>
      </c>
      <c r="K2639" t="inlineStr">
        <is>
          <t>11.95</t>
        </is>
      </c>
      <c r="L2639" t="n">
        <v>19.99</v>
      </c>
      <c r="M2639" s="1" t="inlineStr">
        <is>
          <t>67.28%</t>
        </is>
      </c>
      <c r="N2639" s="3" t="n">
        <v>67.28</v>
      </c>
      <c r="O2639" t="n">
        <v>4.5</v>
      </c>
      <c r="P2639" t="n">
        <v>7</v>
      </c>
      <c r="R2639" t="inlineStr">
        <is>
          <t>InStock</t>
        </is>
      </c>
      <c r="S2639" t="inlineStr">
        <is>
          <t>undefined</t>
        </is>
      </c>
      <c r="T2639" t="inlineStr">
        <is>
          <t>SX5728-100</t>
        </is>
      </c>
    </row>
    <row r="2640" ht="75" customHeight="1">
      <c r="A2640" s="2">
        <f>HYPERLINK("https://www.soccerplususa.com/nike/mens-nike-classic-iii-sock-19566", "https://www.soccerplususa.com/nike/mens-nike-classic-iii-sock-19566")</f>
        <v/>
      </c>
      <c r="B2640" t="inlineStr">
        <is>
          <t>undefined</t>
        </is>
      </c>
      <c r="C2640" t="inlineStr">
        <is>
          <t>Men's Nike Classic III Sock</t>
        </is>
      </c>
      <c r="D2640" t="inlineStr">
        <is>
          <t>Nike Adult Classic Iii Sport Socks Black/White size - M</t>
        </is>
      </c>
      <c r="E2640" s="2">
        <f>HYPERLINK("https://www.amazon.com/Adult-Classic-Sport-Socks%C3%82-Black/dp/B0085YW9SE/ref=sr_1_1?keywords=Mens+Nike+Classic+III+Sock&amp;qid=1695171101&amp;sr=8-1", "https://www.amazon.com/Adult-Classic-Sport-Socks%C3%82-Black/dp/B0085YW9SE/ref=sr_1_1?keywords=Mens+Nike+Classic+III+Sock&amp;qid=1695171101&amp;sr=8-1")</f>
        <v/>
      </c>
      <c r="F2640" t="inlineStr">
        <is>
          <t>B0085YW9SE</t>
        </is>
      </c>
      <c r="G2640">
        <f>_xlfn.IMAGE("https://www.soccerplususa.com/prodimages/8948-DEFAULT-l.jpg")</f>
        <v/>
      </c>
      <c r="H2640">
        <f>_xlfn.IMAGE("https://m.media-amazon.com/images/I/71qAu1lPfvL._AC_UL320_.jpg")</f>
        <v/>
      </c>
      <c r="K2640" t="inlineStr">
        <is>
          <t>11.95</t>
        </is>
      </c>
      <c r="L2640" t="n">
        <v>19.99</v>
      </c>
      <c r="M2640" s="1" t="inlineStr">
        <is>
          <t>67.28%</t>
        </is>
      </c>
      <c r="N2640" s="3" t="n">
        <v>67.28</v>
      </c>
      <c r="O2640" t="n">
        <v>4.6</v>
      </c>
      <c r="P2640" t="n">
        <v>42</v>
      </c>
      <c r="R2640" t="inlineStr">
        <is>
          <t>InStock</t>
        </is>
      </c>
      <c r="S2640" t="inlineStr">
        <is>
          <t>undefined</t>
        </is>
      </c>
      <c r="T2640" t="inlineStr">
        <is>
          <t>394386-677</t>
        </is>
      </c>
    </row>
    <row r="2641" ht="75" customHeight="1">
      <c r="A2641" s="2">
        <f>HYPERLINK("https://www.soccerplususa.com/nike/mens-nike-classic-iii-sock-19566", "https://www.soccerplususa.com/nike/mens-nike-classic-iii-sock-19566")</f>
        <v/>
      </c>
      <c r="B2641" t="inlineStr">
        <is>
          <t>undefined</t>
        </is>
      </c>
      <c r="C2641" t="inlineStr">
        <is>
          <t>Men's Nike Classic III Sock</t>
        </is>
      </c>
      <c r="D2641" t="inlineStr">
        <is>
          <t>Nike Adult Classic Iii Sport Socks</t>
        </is>
      </c>
      <c r="E2641" s="2">
        <f>HYPERLINK("https://www.amazon.com/Adult-Classic-Sport-Socks-Black/dp/B0085YW9YI/ref=sr_1_6?keywords=Mens+Nike+Classic+III+Sock&amp;qid=1695171101&amp;sr=8-6", "https://www.amazon.com/Adult-Classic-Sport-Socks-Black/dp/B0085YW9YI/ref=sr_1_6?keywords=Mens+Nike+Classic+III+Sock&amp;qid=1695171101&amp;sr=8-6")</f>
        <v/>
      </c>
      <c r="F2641" t="inlineStr">
        <is>
          <t>B0085YW9YI</t>
        </is>
      </c>
      <c r="G2641">
        <f>_xlfn.IMAGE("https://www.soccerplususa.com/prodimages/8948-DEFAULT-l.jpg")</f>
        <v/>
      </c>
      <c r="H2641">
        <f>_xlfn.IMAGE("https://m.media-amazon.com/images/I/71qAu1lPfvL._AC_UL320_.jpg")</f>
        <v/>
      </c>
      <c r="K2641" t="inlineStr">
        <is>
          <t>11.95</t>
        </is>
      </c>
      <c r="L2641" t="n">
        <v>19.99</v>
      </c>
      <c r="M2641" s="1" t="inlineStr">
        <is>
          <t>67.28%</t>
        </is>
      </c>
      <c r="N2641" s="3" t="n">
        <v>67.28</v>
      </c>
      <c r="O2641" t="n">
        <v>4.7</v>
      </c>
      <c r="P2641" t="n">
        <v>14</v>
      </c>
      <c r="R2641" t="inlineStr">
        <is>
          <t>InStock</t>
        </is>
      </c>
      <c r="S2641" t="inlineStr">
        <is>
          <t>undefined</t>
        </is>
      </c>
      <c r="T2641" t="inlineStr">
        <is>
          <t>394386-677</t>
        </is>
      </c>
    </row>
    <row r="2642" ht="75" customHeight="1">
      <c r="A2642" s="2">
        <f>HYPERLINK("https://www.soccerplususa.com/nike/nike-classic-ii-sock-35393", "https://www.soccerplususa.com/nike/nike-classic-ii-sock-35393")</f>
        <v/>
      </c>
      <c r="B2642" t="inlineStr">
        <is>
          <t>undefined</t>
        </is>
      </c>
      <c r="C2642" t="inlineStr">
        <is>
          <t>Nike Classic II Sock</t>
        </is>
      </c>
      <c r="D2642" t="inlineStr">
        <is>
          <t>Nike CLASSIC II SOCK [TM WHITE] (XS)</t>
        </is>
      </c>
      <c r="E2642" s="2">
        <f>HYPERLINK("https://www.amazon.com/Nike-CLASSIC-II-SOCK-WHITE/dp/B00JFHLHMO/ref=sr_1_9?keywords=Nike+Classic+II+Sock&amp;qid=1695171093&amp;sr=8-9", "https://www.amazon.com/Nike-CLASSIC-II-SOCK-WHITE/dp/B00JFHLHMO/ref=sr_1_9?keywords=Nike+Classic+II+Sock&amp;qid=1695171093&amp;sr=8-9")</f>
        <v/>
      </c>
      <c r="F2642" t="inlineStr">
        <is>
          <t>B00JFHLHMO</t>
        </is>
      </c>
      <c r="G2642">
        <f>_xlfn.IMAGE("https://www.soccerplususa.com/prodimages/10668-DEFAULT-l.jpg")</f>
        <v/>
      </c>
      <c r="H2642">
        <f>_xlfn.IMAGE("https://m.media-amazon.com/images/I/61lB1aUxpWL._AC_UL320_.jpg")</f>
        <v/>
      </c>
      <c r="K2642" t="inlineStr">
        <is>
          <t>11.95</t>
        </is>
      </c>
      <c r="L2642" t="n">
        <v>19.99</v>
      </c>
      <c r="M2642" s="1" t="inlineStr">
        <is>
          <t>67.28%</t>
        </is>
      </c>
      <c r="N2642" s="3" t="n">
        <v>67.28</v>
      </c>
      <c r="O2642" t="n">
        <v>4.5</v>
      </c>
      <c r="P2642" t="n">
        <v>7</v>
      </c>
      <c r="R2642" t="inlineStr">
        <is>
          <t>InStock</t>
        </is>
      </c>
      <c r="S2642" t="inlineStr">
        <is>
          <t>undefined</t>
        </is>
      </c>
      <c r="T2642" t="inlineStr">
        <is>
          <t>SX5728-677</t>
        </is>
      </c>
    </row>
    <row r="2643" ht="75" customHeight="1">
      <c r="A2643" s="2">
        <f>HYPERLINK("https://www.soccerplususa.com/nike/nike-classic-ii-otc-sock-27057", "https://www.soccerplususa.com/nike/nike-classic-ii-otc-sock-27057")</f>
        <v/>
      </c>
      <c r="B2643" t="inlineStr">
        <is>
          <t>undefined</t>
        </is>
      </c>
      <c r="C2643" t="inlineStr">
        <is>
          <t>Nike Classic II OTC Sock</t>
        </is>
      </c>
      <c r="D2643" t="inlineStr">
        <is>
          <t>Nike CLASSIC II SOCK [TM WHITE] (XS)</t>
        </is>
      </c>
      <c r="E2643" s="2">
        <f>HYPERLINK("https://www.amazon.com/Nike-CLASSIC-II-SOCK-WHITE/dp/B00JFHLHMO/ref=sr_1_8?keywords=Nike+Classic+II+OTC+Sock&amp;qid=1695171107&amp;sr=8-8", "https://www.amazon.com/Nike-CLASSIC-II-SOCK-WHITE/dp/B00JFHLHMO/ref=sr_1_8?keywords=Nike+Classic+II+OTC+Sock&amp;qid=1695171107&amp;sr=8-8")</f>
        <v/>
      </c>
      <c r="F2643" t="inlineStr">
        <is>
          <t>B00JFHLHMO</t>
        </is>
      </c>
      <c r="G2643">
        <f>_xlfn.IMAGE("https://www.soccerplususa.com/prodimages/4446-DEFAULT-l.jpg")</f>
        <v/>
      </c>
      <c r="H2643">
        <f>_xlfn.IMAGE("https://m.media-amazon.com/images/I/61lB1aUxpWL._AC_UL320_.jpg")</f>
        <v/>
      </c>
      <c r="K2643" t="inlineStr">
        <is>
          <t>11.95</t>
        </is>
      </c>
      <c r="L2643" t="n">
        <v>19.99</v>
      </c>
      <c r="M2643" s="1" t="inlineStr">
        <is>
          <t>67.28%</t>
        </is>
      </c>
      <c r="N2643" s="3" t="n">
        <v>67.28</v>
      </c>
      <c r="O2643" t="n">
        <v>4.5</v>
      </c>
      <c r="P2643" t="n">
        <v>7</v>
      </c>
      <c r="R2643" t="inlineStr">
        <is>
          <t>InStock</t>
        </is>
      </c>
      <c r="S2643" t="inlineStr">
        <is>
          <t>undefined</t>
        </is>
      </c>
      <c r="T2643" t="inlineStr">
        <is>
          <t>SX5728-616</t>
        </is>
      </c>
    </row>
    <row r="2644" ht="75" customHeight="1">
      <c r="A2644" s="2">
        <f>HYPERLINK("https://www.soccerplususa.com/nike/nike-classic-ii-otc-sock-37537", "https://www.soccerplususa.com/nike/nike-classic-ii-otc-sock-37537")</f>
        <v/>
      </c>
      <c r="B2644" t="inlineStr">
        <is>
          <t>undefined</t>
        </is>
      </c>
      <c r="C2644" t="inlineStr">
        <is>
          <t>Nike Classic II OTC Sock</t>
        </is>
      </c>
      <c r="D2644" t="inlineStr">
        <is>
          <t>Nike CLASSIC II SOCK [TM WHITE] (XS)</t>
        </is>
      </c>
      <c r="E2644" s="2">
        <f>HYPERLINK("https://www.amazon.com/Nike-CLASSIC-II-SOCK-WHITE/dp/B00JFHLHMO/ref=sr_1_8?keywords=Nike+Classic+II+OTC+Sock&amp;qid=1695171095&amp;sr=8-8", "https://www.amazon.com/Nike-CLASSIC-II-SOCK-WHITE/dp/B00JFHLHMO/ref=sr_1_8?keywords=Nike+Classic+II+OTC+Sock&amp;qid=1695171095&amp;sr=8-8")</f>
        <v/>
      </c>
      <c r="F2644" t="inlineStr">
        <is>
          <t>B00JFHLHMO</t>
        </is>
      </c>
      <c r="G2644">
        <f>_xlfn.IMAGE("https://www.soccerplususa.com/prodimages/10669-DEFAULT-l.jpg")</f>
        <v/>
      </c>
      <c r="H2644">
        <f>_xlfn.IMAGE("https://m.media-amazon.com/images/I/61lB1aUxpWL._AC_UL320_.jpg")</f>
        <v/>
      </c>
      <c r="K2644" t="inlineStr">
        <is>
          <t>11.95</t>
        </is>
      </c>
      <c r="L2644" t="n">
        <v>19.99</v>
      </c>
      <c r="M2644" s="1" t="inlineStr">
        <is>
          <t>67.28%</t>
        </is>
      </c>
      <c r="N2644" s="3" t="n">
        <v>67.28</v>
      </c>
      <c r="O2644" t="n">
        <v>4.5</v>
      </c>
      <c r="P2644" t="n">
        <v>7</v>
      </c>
      <c r="R2644" t="inlineStr">
        <is>
          <t>InStock</t>
        </is>
      </c>
      <c r="S2644" t="inlineStr">
        <is>
          <t>undefined</t>
        </is>
      </c>
      <c r="T2644" t="inlineStr">
        <is>
          <t>SX5728-816</t>
        </is>
      </c>
    </row>
    <row r="2645" ht="75" customHeight="1">
      <c r="A2645" s="2">
        <f>HYPERLINK("https://www.soccerplususa.com/nike/nike-classic-ii-otc-sock-27061", "https://www.soccerplususa.com/nike/nike-classic-ii-otc-sock-27061")</f>
        <v/>
      </c>
      <c r="B2645" t="inlineStr">
        <is>
          <t>undefined</t>
        </is>
      </c>
      <c r="C2645" t="inlineStr">
        <is>
          <t>Nike Classic II OTC Sock</t>
        </is>
      </c>
      <c r="D2645" t="inlineStr">
        <is>
          <t>Nike CLASSIC II SOCK [TM WHITE] (XS)</t>
        </is>
      </c>
      <c r="E2645" s="2">
        <f>HYPERLINK("https://www.amazon.com/Nike-CLASSIC-II-SOCK-WHITE/dp/B00JFHLHMO/ref=sr_1_8?keywords=Nike+Classic+II+OTC+Sock&amp;qid=1695171106&amp;sr=8-8", "https://www.amazon.com/Nike-CLASSIC-II-SOCK-WHITE/dp/B00JFHLHMO/ref=sr_1_8?keywords=Nike+Classic+II+OTC+Sock&amp;qid=1695171106&amp;sr=8-8")</f>
        <v/>
      </c>
      <c r="F2645" t="inlineStr">
        <is>
          <t>B00JFHLHMO</t>
        </is>
      </c>
      <c r="G2645">
        <f>_xlfn.IMAGE("https://www.soccerplususa.com/prodimages/6082-DEFAULT-l.jpg")</f>
        <v/>
      </c>
      <c r="H2645">
        <f>_xlfn.IMAGE("https://m.media-amazon.com/images/I/61lB1aUxpWL._AC_UL320_.jpg")</f>
        <v/>
      </c>
      <c r="K2645" t="inlineStr">
        <is>
          <t>11.95</t>
        </is>
      </c>
      <c r="L2645" t="n">
        <v>19.99</v>
      </c>
      <c r="M2645" s="1" t="inlineStr">
        <is>
          <t>67.28%</t>
        </is>
      </c>
      <c r="N2645" s="3" t="n">
        <v>67.28</v>
      </c>
      <c r="O2645" t="n">
        <v>4.5</v>
      </c>
      <c r="P2645" t="n">
        <v>7</v>
      </c>
      <c r="R2645" t="inlineStr">
        <is>
          <t>InStock</t>
        </is>
      </c>
      <c r="S2645" t="inlineStr">
        <is>
          <t>undefined</t>
        </is>
      </c>
      <c r="T2645" t="inlineStr">
        <is>
          <t>SX5728-739</t>
        </is>
      </c>
    </row>
    <row r="2646" ht="75" customHeight="1">
      <c r="A2646" s="2">
        <f>HYPERLINK("https://www.soccerplususa.com/nike/nike-classic-ii-otc-sock-27049", "https://www.soccerplususa.com/nike/nike-classic-ii-otc-sock-27049")</f>
        <v/>
      </c>
      <c r="B2646" t="inlineStr">
        <is>
          <t>undefined</t>
        </is>
      </c>
      <c r="C2646" t="inlineStr">
        <is>
          <t>Nike Classic II OTC Sock</t>
        </is>
      </c>
      <c r="D2646" t="inlineStr">
        <is>
          <t>Nike CLASSIC II SOCK [TM WHITE] (XS)</t>
        </is>
      </c>
      <c r="E2646" s="2">
        <f>HYPERLINK("https://www.amazon.com/Nike-CLASSIC-II-SOCK-WHITE/dp/B00JFHLHMO/ref=sr_1_8?keywords=Nike+Classic+II+OTC+Sock&amp;qid=1695171104&amp;sr=8-8", "https://www.amazon.com/Nike-CLASSIC-II-SOCK-WHITE/dp/B00JFHLHMO/ref=sr_1_8?keywords=Nike+Classic+II+OTC+Sock&amp;qid=1695171104&amp;sr=8-8")</f>
        <v/>
      </c>
      <c r="F2646" t="inlineStr">
        <is>
          <t>B00JFHLHMO</t>
        </is>
      </c>
      <c r="G2646">
        <f>_xlfn.IMAGE("https://www.soccerplususa.com/prodimages/4442-DEFAULT-l.jpg")</f>
        <v/>
      </c>
      <c r="H2646">
        <f>_xlfn.IMAGE("https://m.media-amazon.com/images/I/61lB1aUxpWL._AC_UL320_.jpg")</f>
        <v/>
      </c>
      <c r="K2646" t="inlineStr">
        <is>
          <t>11.95</t>
        </is>
      </c>
      <c r="L2646" t="n">
        <v>19.99</v>
      </c>
      <c r="M2646" s="1" t="inlineStr">
        <is>
          <t>67.28%</t>
        </is>
      </c>
      <c r="N2646" s="3" t="n">
        <v>67.28</v>
      </c>
      <c r="O2646" t="n">
        <v>4.5</v>
      </c>
      <c r="P2646" t="n">
        <v>7</v>
      </c>
      <c r="R2646" t="inlineStr">
        <is>
          <t>InStock</t>
        </is>
      </c>
      <c r="S2646" t="inlineStr">
        <is>
          <t>undefined</t>
        </is>
      </c>
      <c r="T2646" t="inlineStr">
        <is>
          <t>SX5728-010</t>
        </is>
      </c>
    </row>
    <row r="2647" ht="75" customHeight="1">
      <c r="A2647" s="2">
        <f>HYPERLINK("https://www.soccerplususa.com/nike/nike-academy-overthecalf-soccer-socks-40507", "https://www.soccerplususa.com/nike/nike-academy-overthecalf-soccer-socks-40507")</f>
        <v/>
      </c>
      <c r="B2647" t="inlineStr">
        <is>
          <t>undefined</t>
        </is>
      </c>
      <c r="C2647" t="inlineStr">
        <is>
          <t>Nike Academy Over-The-Calf Soccer Socks</t>
        </is>
      </c>
      <c r="D2647" t="inlineStr">
        <is>
          <t>Nike Academy Over-The-Calf Football Socks, Black/White, Small</t>
        </is>
      </c>
      <c r="E2647" s="2">
        <f>HYPERLINK("https://www.amazon.com/NIKE-Academy-Over-Calf-Football/dp/B072MGDH18/ref=sr_1_4?keywords=Nike+Academy+Over-The-Calf+Soccer+Socks&amp;qid=1695171096&amp;sr=8-4", "https://www.amazon.com/NIKE-Academy-Over-Calf-Football/dp/B072MGDH18/ref=sr_1_4?keywords=Nike+Academy+Over-The-Calf+Soccer+Socks&amp;qid=1695171096&amp;sr=8-4")</f>
        <v/>
      </c>
      <c r="F2647" t="inlineStr">
        <is>
          <t>B072MGDH18</t>
        </is>
      </c>
      <c r="G2647">
        <f>_xlfn.IMAGE("https://www.soccerplususa.com/prodimages/34332-DEFAULT-l.jpg")</f>
        <v/>
      </c>
      <c r="H2647">
        <f>_xlfn.IMAGE("https://m.media-amazon.com/images/I/5121KLwMIwL._AC_UL320_.jpg")</f>
        <v/>
      </c>
      <c r="K2647" t="inlineStr">
        <is>
          <t>11.95</t>
        </is>
      </c>
      <c r="L2647" t="n">
        <v>19.95</v>
      </c>
      <c r="M2647" s="1" t="inlineStr">
        <is>
          <t>66.95%</t>
        </is>
      </c>
      <c r="N2647" s="3" t="n">
        <v>66.95</v>
      </c>
      <c r="O2647" t="n">
        <v>4.5</v>
      </c>
      <c r="P2647" t="n">
        <v>3</v>
      </c>
      <c r="R2647" t="inlineStr">
        <is>
          <t>InStock</t>
        </is>
      </c>
      <c r="S2647" t="inlineStr">
        <is>
          <t>undefined</t>
        </is>
      </c>
      <c r="T2647" t="inlineStr">
        <is>
          <t>SX4120-671</t>
        </is>
      </c>
    </row>
    <row r="2648" ht="75" customHeight="1">
      <c r="A2648" s="2">
        <f>HYPERLINK("https://www.soccerplususa.com/nike/nike-academy-overthecalf-soccer-socks-40506", "https://www.soccerplususa.com/nike/nike-academy-overthecalf-soccer-socks-40506")</f>
        <v/>
      </c>
      <c r="B2648" t="inlineStr">
        <is>
          <t>undefined</t>
        </is>
      </c>
      <c r="C2648" t="inlineStr">
        <is>
          <t>Nike Academy Over-The-Calf Soccer Socks</t>
        </is>
      </c>
      <c r="D2648" t="inlineStr">
        <is>
          <t>Nike Academy Over-The-Calf Football Socks, Black/White, Small</t>
        </is>
      </c>
      <c r="E2648" s="2">
        <f>HYPERLINK("https://www.amazon.com/NIKE-Academy-Over-Calf-Football/dp/B072MGDH18/ref=sr_1_5?keywords=Nike+Academy+Over-The-Calf+Soccer+Socks&amp;qid=1695171083&amp;sr=8-5", "https://www.amazon.com/NIKE-Academy-Over-Calf-Football/dp/B072MGDH18/ref=sr_1_5?keywords=Nike+Academy+Over-The-Calf+Soccer+Socks&amp;qid=1695171083&amp;sr=8-5")</f>
        <v/>
      </c>
      <c r="F2648" t="inlineStr">
        <is>
          <t>B072MGDH18</t>
        </is>
      </c>
      <c r="G2648">
        <f>_xlfn.IMAGE("https://www.soccerplususa.com/prodimages/34331-DEFAULT-l.jpg")</f>
        <v/>
      </c>
      <c r="H2648">
        <f>_xlfn.IMAGE("https://m.media-amazon.com/images/I/5121KLwMIwL._AC_UL320_.jpg")</f>
        <v/>
      </c>
      <c r="K2648" t="inlineStr">
        <is>
          <t>11.95</t>
        </is>
      </c>
      <c r="L2648" t="n">
        <v>19.95</v>
      </c>
      <c r="M2648" s="1" t="inlineStr">
        <is>
          <t>66.95%</t>
        </is>
      </c>
      <c r="N2648" s="3" t="n">
        <v>66.95</v>
      </c>
      <c r="O2648" t="n">
        <v>4.5</v>
      </c>
      <c r="P2648" t="n">
        <v>3</v>
      </c>
      <c r="R2648" t="inlineStr">
        <is>
          <t>InStock</t>
        </is>
      </c>
      <c r="S2648" t="inlineStr">
        <is>
          <t>undefined</t>
        </is>
      </c>
      <c r="T2648" t="inlineStr">
        <is>
          <t>SX4120-617</t>
        </is>
      </c>
    </row>
    <row r="2649" ht="75" customHeight="1">
      <c r="A2649" s="2">
        <f>HYPERLINK("https://www.soccerplususa.com/sweat-x/sweat-x-sport-laundry-detergent-32390", "https://www.soccerplususa.com/sweat-x/sweat-x-sport-laundry-detergent-32390")</f>
        <v/>
      </c>
      <c r="B2649" t="inlineStr">
        <is>
          <t>undefined</t>
        </is>
      </c>
      <c r="C2649" t="inlineStr">
        <is>
          <t>Sweat X Sport Laundry Detergent</t>
        </is>
      </c>
      <c r="D2649" t="inlineStr">
        <is>
          <t>Sweat X Sport Original Activewear Laundry Detergent, High Performance Sports Wash for Activewear and Everyday Use, 90 loads (2-Pack of 45 Load Bottles)</t>
        </is>
      </c>
      <c r="E2649" s="2">
        <f>HYPERLINK("https://www.amazon.com/Original-Activewear-Detergent-Performance-Everyday/dp/B0BHZZPZM1/ref=sr_1_7?keywords=Sweat+X+Sport+Laundry+Detergent&amp;qid=1695171098&amp;sr=8-7", "https://www.amazon.com/Original-Activewear-Detergent-Performance-Everyday/dp/B0BHZZPZM1/ref=sr_1_7?keywords=Sweat+X+Sport+Laundry+Detergent&amp;qid=1695171098&amp;sr=8-7")</f>
        <v/>
      </c>
      <c r="F2649" t="inlineStr">
        <is>
          <t>B0BHZZPZM1</t>
        </is>
      </c>
      <c r="G2649">
        <f>_xlfn.IMAGE("https://www.soccerplususa.com/prodimages/6299-DEFAULT-l.jpg")</f>
        <v/>
      </c>
      <c r="H2649">
        <f>_xlfn.IMAGE("https://m.media-amazon.com/images/I/61J9hyxPX0L._AC_UL320_.jpg")</f>
        <v/>
      </c>
      <c r="K2649" t="inlineStr">
        <is>
          <t>23.95</t>
        </is>
      </c>
      <c r="L2649" t="n">
        <v>39.98</v>
      </c>
      <c r="M2649" s="1" t="inlineStr">
        <is>
          <t>66.93%</t>
        </is>
      </c>
      <c r="N2649" s="3" t="n">
        <v>66.93000000000001</v>
      </c>
      <c r="O2649" t="n">
        <v>5</v>
      </c>
      <c r="P2649" t="n">
        <v>3</v>
      </c>
      <c r="R2649" t="inlineStr">
        <is>
          <t>InStock</t>
        </is>
      </c>
      <c r="S2649" t="inlineStr">
        <is>
          <t>undefined</t>
        </is>
      </c>
      <c r="T2649" t="inlineStr">
        <is>
          <t>SWX4049</t>
        </is>
      </c>
    </row>
    <row r="2650" hidden="1" ht="15.75" customHeight="1">
      <c r="A2650" s="2">
        <f>HYPERLINK("https://www.soccerplususa.com/adidas/adidas-copa-zone-cushion-sock-1159", "https://www.soccerplususa.com/adidas/adidas-copa-zone-cushion-sock-1159")</f>
        <v/>
      </c>
      <c r="B2650" t="inlineStr">
        <is>
          <t>undefined</t>
        </is>
      </c>
      <c r="C2650" t="inlineStr">
        <is>
          <t>adidas Copa Zone Cushion Sock</t>
        </is>
      </c>
      <c r="D2650" t="inlineStr">
        <is>
          <t>adidas Copa Zone Cushion Sock</t>
        </is>
      </c>
      <c r="E2650" s="2">
        <f>HYPERLINK("https://www.amazon.com/adidas-Cushion-Cobalt-White-Small/dp/B001YIU9GC", "https://www.amazon.com/adidas-Cushion-Cobalt-White-Small/dp/B001YIU9GC")</f>
        <v/>
      </c>
      <c r="F2650" t="inlineStr">
        <is>
          <t>B001YIU9GC</t>
        </is>
      </c>
      <c r="G2650">
        <f>_xludf.IMAGE("https://www.soccerplususa.com/prodimages/32182-DEFAULT-l.jpg")</f>
        <v/>
      </c>
      <c r="H2650">
        <f>_xludf.IMAGE("https://m.media-amazon.com/images/I/8159WW1jbnL._AC_UL320_.jpg")</f>
        <v/>
      </c>
      <c r="K2650" t="inlineStr">
        <is>
          <t>8.99</t>
        </is>
      </c>
      <c r="L2650" t="n">
        <v>14.99</v>
      </c>
      <c r="M2650" s="1" t="inlineStr">
        <is>
          <t>66.74%</t>
        </is>
      </c>
      <c r="N2650" s="3" t="n">
        <v>66.73999999999999</v>
      </c>
      <c r="O2650" t="n">
        <v>3.7</v>
      </c>
      <c r="P2650" t="n">
        <v>31</v>
      </c>
      <c r="R2650" t="inlineStr">
        <is>
          <t>InStock</t>
        </is>
      </c>
      <c r="S2650" t="inlineStr">
        <is>
          <t>9.95</t>
        </is>
      </c>
      <c r="T2650" t="inlineStr">
        <is>
          <t>231013</t>
        </is>
      </c>
    </row>
    <row r="2651" ht="75" customHeight="1">
      <c r="A2651" s="2">
        <f>HYPERLINK("https://www.soccerplususa.com/nike/nike-team-matchfit-otc-sock-37540", "https://www.soccerplususa.com/nike/nike-team-matchfit-otc-sock-37540")</f>
        <v/>
      </c>
      <c r="B2651" t="inlineStr">
        <is>
          <t>undefined</t>
        </is>
      </c>
      <c r="C2651" t="inlineStr">
        <is>
          <t>Nike Team Matchfit OTC Sock</t>
        </is>
      </c>
      <c r="D2651" t="inlineStr">
        <is>
          <t>Nike Matchfit Over-the-Calf Team Socks</t>
        </is>
      </c>
      <c r="E2651" s="2">
        <f>HYPERLINK("https://www.amazon.com/NIKE-Matchfit-Over-The-Calf-Team-Socks/dp/B01GQN5GUS/ref=sr_1_2?keywords=Nike+Team+Matchfit+OTC+Sock&amp;qid=1695171090&amp;sr=8-2", "https://www.amazon.com/NIKE-Matchfit-Over-The-Calf-Team-Socks/dp/B01GQN5GUS/ref=sr_1_2?keywords=Nike+Team+Matchfit+OTC+Sock&amp;qid=1695171090&amp;sr=8-2")</f>
        <v/>
      </c>
      <c r="F2651" t="inlineStr">
        <is>
          <t>B01GQN5GUS</t>
        </is>
      </c>
      <c r="G2651">
        <f>_xlfn.IMAGE("https://www.soccerplususa.com/prodimages/32297-DEFAULT-l.jpg")</f>
        <v/>
      </c>
      <c r="H2651">
        <f>_xlfn.IMAGE("https://m.media-amazon.com/images/I/814aeaqsU5L._AC_UL320_.jpg")</f>
        <v/>
      </c>
      <c r="K2651" t="inlineStr">
        <is>
          <t>14.99</t>
        </is>
      </c>
      <c r="L2651" t="n">
        <v>24.99</v>
      </c>
      <c r="M2651" s="1" t="inlineStr">
        <is>
          <t>66.71%</t>
        </is>
      </c>
      <c r="N2651" s="3" t="n">
        <v>66.70999999999999</v>
      </c>
      <c r="O2651" t="n">
        <v>4.7</v>
      </c>
      <c r="P2651" t="n">
        <v>7</v>
      </c>
      <c r="R2651" t="inlineStr">
        <is>
          <t>InStock</t>
        </is>
      </c>
      <c r="S2651" t="inlineStr">
        <is>
          <t>19.95</t>
        </is>
      </c>
      <c r="T2651" t="inlineStr">
        <is>
          <t>SX6836-012</t>
        </is>
      </c>
    </row>
    <row r="2652" ht="75" customHeight="1">
      <c r="A2652" s="2">
        <f>HYPERLINK("https://www.soccerplususa.com/nike/nike-team-matchfit-otc-sock-35396", "https://www.soccerplususa.com/nike/nike-team-matchfit-otc-sock-35396")</f>
        <v/>
      </c>
      <c r="B2652" t="inlineStr">
        <is>
          <t>undefined</t>
        </is>
      </c>
      <c r="C2652" t="inlineStr">
        <is>
          <t>Nike Team Matchfit OTC Sock</t>
        </is>
      </c>
      <c r="D2652" t="inlineStr">
        <is>
          <t>Nike Matchfit Over-the-Calf Team Socks</t>
        </is>
      </c>
      <c r="E2652" s="2">
        <f>HYPERLINK("https://www.amazon.com/NIKE-Matchfit-Over-The-Calf-Team-Socks/dp/B01GQN5GUS/ref=sr_1_2?keywords=Nike+Team+Matchfit+OTC+Sock&amp;qid=1695171098&amp;sr=8-2", "https://www.amazon.com/NIKE-Matchfit-Over-The-Calf-Team-Socks/dp/B01GQN5GUS/ref=sr_1_2?keywords=Nike+Team+Matchfit+OTC+Sock&amp;qid=1695171098&amp;sr=8-2")</f>
        <v/>
      </c>
      <c r="F2652" t="inlineStr">
        <is>
          <t>B01GQN5GUS</t>
        </is>
      </c>
      <c r="G2652">
        <f>_xlfn.IMAGE("https://www.soccerplususa.com/prodimages/31502-DEFAULT-l.jpg")</f>
        <v/>
      </c>
      <c r="H2652">
        <f>_xlfn.IMAGE("https://m.media-amazon.com/images/I/814aeaqsU5L._AC_UL320_.jpg")</f>
        <v/>
      </c>
      <c r="K2652" t="inlineStr">
        <is>
          <t>14.99</t>
        </is>
      </c>
      <c r="L2652" t="n">
        <v>24.99</v>
      </c>
      <c r="M2652" s="1" t="inlineStr">
        <is>
          <t>66.71%</t>
        </is>
      </c>
      <c r="N2652" s="3" t="n">
        <v>66.70999999999999</v>
      </c>
      <c r="O2652" t="n">
        <v>4.7</v>
      </c>
      <c r="P2652" t="n">
        <v>7</v>
      </c>
      <c r="R2652" t="inlineStr">
        <is>
          <t>InStock</t>
        </is>
      </c>
      <c r="S2652" t="inlineStr">
        <is>
          <t>19.95</t>
        </is>
      </c>
      <c r="T2652" t="inlineStr">
        <is>
          <t>SX6836-719</t>
        </is>
      </c>
    </row>
    <row r="2653" ht="75" customHeight="1">
      <c r="A2653" s="2">
        <f>HYPERLINK("https://www.soccerplususa.com/nike/nike-team-matchfit-otc-sock-37541", "https://www.soccerplususa.com/nike/nike-team-matchfit-otc-sock-37541")</f>
        <v/>
      </c>
      <c r="B2653" t="inlineStr">
        <is>
          <t>undefined</t>
        </is>
      </c>
      <c r="C2653" t="inlineStr">
        <is>
          <t>Nike Team Matchfit OTC Sock</t>
        </is>
      </c>
      <c r="D2653" t="inlineStr">
        <is>
          <t>Nike Matchfit Over-the-Calf Team Socks</t>
        </is>
      </c>
      <c r="E2653" s="2">
        <f>HYPERLINK("https://www.amazon.com/NIKE-Matchfit-Over-The-Calf-Team-Socks/dp/B01GQN5GUS/ref=sr_1_1?keywords=Nike+Team+Matchfit+OTC+Sock&amp;qid=1695171089&amp;sr=8-1", "https://www.amazon.com/NIKE-Matchfit-Over-The-Calf-Team-Socks/dp/B01GQN5GUS/ref=sr_1_1?keywords=Nike+Team+Matchfit+OTC+Sock&amp;qid=1695171089&amp;sr=8-1")</f>
        <v/>
      </c>
      <c r="F2653" t="inlineStr">
        <is>
          <t>B01GQN5GUS</t>
        </is>
      </c>
      <c r="G2653">
        <f>_xlfn.IMAGE("https://www.soccerplususa.com/prodimages/32298-DEFAULT-l.jpg")</f>
        <v/>
      </c>
      <c r="H2653">
        <f>_xlfn.IMAGE("https://m.media-amazon.com/images/I/814aeaqsU5L._AC_UL320_.jpg")</f>
        <v/>
      </c>
      <c r="K2653" t="inlineStr">
        <is>
          <t>14.99</t>
        </is>
      </c>
      <c r="L2653" t="n">
        <v>24.99</v>
      </c>
      <c r="M2653" s="1" t="inlineStr">
        <is>
          <t>66.71%</t>
        </is>
      </c>
      <c r="N2653" s="3" t="n">
        <v>66.70999999999999</v>
      </c>
      <c r="O2653" t="n">
        <v>4.7</v>
      </c>
      <c r="P2653" t="n">
        <v>7</v>
      </c>
      <c r="R2653" t="inlineStr">
        <is>
          <t>InStock</t>
        </is>
      </c>
      <c r="S2653" t="inlineStr">
        <is>
          <t>19.95</t>
        </is>
      </c>
      <c r="T2653" t="inlineStr">
        <is>
          <t>SX6836-547</t>
        </is>
      </c>
    </row>
    <row r="2654" hidden="1" ht="15.75" customHeight="1">
      <c r="A2654" s="2">
        <f>HYPERLINK("https://www.soccerplususa.com/adidas/adidas-copa-zone-cushion-sock-1159", "https://www.soccerplususa.com/adidas/adidas-copa-zone-cushion-sock-1159")</f>
        <v/>
      </c>
      <c r="B2654" t="inlineStr">
        <is>
          <t>undefined</t>
        </is>
      </c>
      <c r="C2654" t="inlineStr">
        <is>
          <t>adidas Copa Zone Cushion Sock</t>
        </is>
      </c>
      <c r="D2654" t="inlineStr">
        <is>
          <t>adidas Copa Zone Cushion III Soccer Socks (1-Pair)</t>
        </is>
      </c>
      <c r="E2654" s="2">
        <f>HYPERLINK("https://www.amazon.com/adidas-Cushion-Soccer-Socks-1-Pack/dp/B076PP7B11", "https://www.amazon.com/adidas-Cushion-Soccer-Socks-1-Pack/dp/B076PP7B11")</f>
        <v/>
      </c>
      <c r="F2654" t="inlineStr">
        <is>
          <t>B076PP7B11</t>
        </is>
      </c>
      <c r="G2654">
        <f>_xludf.IMAGE("https://www.soccerplususa.com/prodimages/32182-DEFAULT-l.jpg")</f>
        <v/>
      </c>
      <c r="H2654">
        <f>_xludf.IMAGE("https://m.media-amazon.com/images/I/915Iy1VJzYL._AC_UL320_.jpg")</f>
        <v/>
      </c>
      <c r="K2654" t="inlineStr">
        <is>
          <t>8.99</t>
        </is>
      </c>
      <c r="L2654" t="n">
        <v>14.95</v>
      </c>
      <c r="M2654" s="1" t="inlineStr">
        <is>
          <t>66.30%</t>
        </is>
      </c>
      <c r="N2654" s="3" t="n">
        <v>66.3</v>
      </c>
      <c r="O2654" t="n">
        <v>4.5</v>
      </c>
      <c r="P2654" t="n">
        <v>26</v>
      </c>
      <c r="R2654" t="inlineStr">
        <is>
          <t>InStock</t>
        </is>
      </c>
      <c r="S2654" t="inlineStr">
        <is>
          <t>9.95</t>
        </is>
      </c>
      <c r="T2654" t="inlineStr">
        <is>
          <t>231013</t>
        </is>
      </c>
    </row>
    <row r="2655" hidden="1" ht="15.75" customHeight="1">
      <c r="A2655" s="2">
        <f>HYPERLINK("https://www.soccerplususa.com/adidas/adidas-team-speed-sock-1896", "https://www.soccerplususa.com/adidas/adidas-team-speed-sock-1896")</f>
        <v/>
      </c>
      <c r="B2655" t="inlineStr">
        <is>
          <t>undefined</t>
        </is>
      </c>
      <c r="C2655" t="inlineStr">
        <is>
          <t>adidas Team Speed Sock</t>
        </is>
      </c>
      <c r="D2655" t="inlineStr">
        <is>
          <t>adidas 5-Star Team Cushioned High Quarter Socks 2.0 (1-Pair)</t>
        </is>
      </c>
      <c r="E2655" s="2">
        <f>HYPERLINK("https://www.amazon.com/adidas-5-Star-Cushioned-Quarter-1-Pair/dp/B0B9CWSXKV/ref=sr_1_8?keywords=adidas+Team+Speed+Sock&amp;qid=1695171111&amp;sr=8-8", "https://www.amazon.com/adidas-5-Star-Cushioned-Quarter-1-Pair/dp/B0B9CWSXKV/ref=sr_1_8?keywords=adidas+Team+Speed+Sock&amp;qid=1695171111&amp;sr=8-8")</f>
        <v/>
      </c>
      <c r="F2655" t="inlineStr">
        <is>
          <t>B0B9CWSXKV</t>
        </is>
      </c>
      <c r="G2655">
        <f>_xludf.IMAGE("https://www.soccerplususa.com/prodimages/5438-DEFAULT-l.jpg")</f>
        <v/>
      </c>
      <c r="H2655">
        <f>_xludf.IMAGE("https://m.media-amazon.com/images/I/71I9Vd1SNqL._AC_UL320_.jpg")</f>
        <v/>
      </c>
      <c r="K2655" t="inlineStr">
        <is>
          <t>8.0</t>
        </is>
      </c>
      <c r="L2655" t="n">
        <v>13.29</v>
      </c>
      <c r="M2655" s="1" t="inlineStr">
        <is>
          <t>66.12%</t>
        </is>
      </c>
      <c r="N2655" s="3" t="n">
        <v>66.12</v>
      </c>
      <c r="O2655" t="n">
        <v>4.4</v>
      </c>
      <c r="P2655" t="n">
        <v>15</v>
      </c>
      <c r="R2655" t="inlineStr">
        <is>
          <t>InStock</t>
        </is>
      </c>
      <c r="S2655" t="inlineStr">
        <is>
          <t>15.95</t>
        </is>
      </c>
      <c r="T2655" t="inlineStr">
        <is>
          <t>5130084</t>
        </is>
      </c>
    </row>
    <row r="2656" hidden="1" ht="15.75" customHeight="1">
      <c r="A2656" s="2">
        <f>HYPERLINK("https://www.soccerplususa.com/adidas/adidas-team-speed-sock-1890", "https://www.soccerplususa.com/adidas/adidas-team-speed-sock-1890")</f>
        <v/>
      </c>
      <c r="B2656" t="inlineStr">
        <is>
          <t>undefined</t>
        </is>
      </c>
      <c r="C2656" t="inlineStr">
        <is>
          <t>adidas Team Speed Sock</t>
        </is>
      </c>
      <c r="D2656" t="inlineStr">
        <is>
          <t>adidas 5-Star Team Cushioned High Quarter Socks 2.0 (1-Pair)</t>
        </is>
      </c>
      <c r="E2656" s="2">
        <f>HYPERLINK("https://www.amazon.com/adidas-5-Star-Cushioned-Quarter-1-Pair/dp/B0B9CWSXKV/ref=sr_1_9?keywords=adidas+Team+Speed+Sock&amp;qid=1695171116&amp;sr=8-9", "https://www.amazon.com/adidas-5-Star-Cushioned-Quarter-1-Pair/dp/B0B9CWSXKV/ref=sr_1_9?keywords=adidas+Team+Speed+Sock&amp;qid=1695171116&amp;sr=8-9")</f>
        <v/>
      </c>
      <c r="F2656" t="inlineStr">
        <is>
          <t>B0B9CWSXKV</t>
        </is>
      </c>
      <c r="G2656">
        <f>_xludf.IMAGE("https://www.soccerplususa.com/prodimages/6561-DEFAULT-l.jpg")</f>
        <v/>
      </c>
      <c r="H2656">
        <f>_xludf.IMAGE("https://m.media-amazon.com/images/I/71I9Vd1SNqL._AC_UL320_.jpg")</f>
        <v/>
      </c>
      <c r="K2656" t="inlineStr">
        <is>
          <t>8.0</t>
        </is>
      </c>
      <c r="L2656" t="n">
        <v>13.29</v>
      </c>
      <c r="M2656" s="1" t="inlineStr">
        <is>
          <t>66.12%</t>
        </is>
      </c>
      <c r="N2656" s="3" t="n">
        <v>66.12</v>
      </c>
      <c r="O2656" t="n">
        <v>4.4</v>
      </c>
      <c r="P2656" t="n">
        <v>15</v>
      </c>
      <c r="R2656" t="inlineStr">
        <is>
          <t>InStock</t>
        </is>
      </c>
      <c r="S2656" t="inlineStr">
        <is>
          <t>15.95</t>
        </is>
      </c>
      <c r="T2656" t="inlineStr">
        <is>
          <t>5130065</t>
        </is>
      </c>
    </row>
    <row r="2657" ht="75" customHeight="1">
      <c r="A2657" s="2">
        <f>HYPERLINK("https://www.soccerplususa.com/nike/nike-classic-ii-otc-sock-27049", "https://www.soccerplususa.com/nike/nike-classic-ii-otc-sock-27049")</f>
        <v/>
      </c>
      <c r="B2657" t="inlineStr">
        <is>
          <t>undefined</t>
        </is>
      </c>
      <c r="C2657" t="inlineStr">
        <is>
          <t>Nike Classic II OTC Sock</t>
        </is>
      </c>
      <c r="D2657" t="inlineStr">
        <is>
          <t>Nike Unisex Classic II Cushion Over-the-Calf Socks nkSX5728 460 (Game Royal/White, X-Large)</t>
        </is>
      </c>
      <c r="E2657" s="2">
        <f>HYPERLINK("https://www.amazon.com/Unisex-Classic-Cushion-nkSX5728-X-Large/dp/B01GQMXC4Q/ref=sr_1_3?keywords=Nike+Classic+II+OTC+Sock&amp;qid=1695171104&amp;sr=8-3", "https://www.amazon.com/Unisex-Classic-Cushion-nkSX5728-X-Large/dp/B01GQMXC4Q/ref=sr_1_3?keywords=Nike+Classic+II+OTC+Sock&amp;qid=1695171104&amp;sr=8-3")</f>
        <v/>
      </c>
      <c r="F2657" t="inlineStr">
        <is>
          <t>B01GQMXC4Q</t>
        </is>
      </c>
      <c r="G2657">
        <f>_xlfn.IMAGE("https://www.soccerplususa.com/prodimages/4442-DEFAULT-l.jpg")</f>
        <v/>
      </c>
      <c r="H2657">
        <f>_xlfn.IMAGE("https://m.media-amazon.com/images/I/71rC9FhT01L._AC_UL320_.jpg")</f>
        <v/>
      </c>
      <c r="K2657" t="inlineStr">
        <is>
          <t>11.95</t>
        </is>
      </c>
      <c r="L2657" t="n">
        <v>19.4</v>
      </c>
      <c r="M2657" s="1" t="inlineStr">
        <is>
          <t>62.34%</t>
        </is>
      </c>
      <c r="N2657" s="3" t="n">
        <v>62.34</v>
      </c>
      <c r="O2657" t="n">
        <v>5</v>
      </c>
      <c r="P2657" t="n">
        <v>8</v>
      </c>
      <c r="R2657" t="inlineStr">
        <is>
          <t>InStock</t>
        </is>
      </c>
      <c r="S2657" t="inlineStr">
        <is>
          <t>undefined</t>
        </is>
      </c>
      <c r="T2657" t="inlineStr">
        <is>
          <t>SX5728-010</t>
        </is>
      </c>
    </row>
    <row r="2658" hidden="1" ht="15.75" customHeight="1">
      <c r="A2658" s="2">
        <f>HYPERLINK("https://www.soccerplususa.com/adidas/adidas-team-speed-sock-1890", "https://www.soccerplususa.com/adidas/adidas-team-speed-sock-1890")</f>
        <v/>
      </c>
      <c r="B2658" t="inlineStr">
        <is>
          <t>undefined</t>
        </is>
      </c>
      <c r="C2658" t="inlineStr">
        <is>
          <t>adidas Team Speed Sock</t>
        </is>
      </c>
      <c r="D2658" t="inlineStr">
        <is>
          <t>adidas Team Speed Soccer OTC Sock (1-Pair)</t>
        </is>
      </c>
      <c r="E2658" s="2">
        <f>HYPERLINK("https://www.amazon.com/adidas-Speed-Soccer-Socks-1-Pack/dp/B00DF0TZLM/ref=sr_1_4?keywords=adidas+Team+Speed+Sock&amp;qid=1695171116&amp;sr=8-4", "https://www.amazon.com/adidas-Speed-Soccer-Socks-1-Pack/dp/B00DF0TZLM/ref=sr_1_4?keywords=adidas+Team+Speed+Sock&amp;qid=1695171116&amp;sr=8-4")</f>
        <v/>
      </c>
      <c r="F2658" t="inlineStr">
        <is>
          <t>B00DF0TZLM</t>
        </is>
      </c>
      <c r="G2658">
        <f>_xludf.IMAGE("https://www.soccerplususa.com/prodimages/6561-DEFAULT-l.jpg")</f>
        <v/>
      </c>
      <c r="H2658">
        <f>_xludf.IMAGE("https://m.media-amazon.com/images/I/81Dcy9ZAugL._AC_UL320_.jpg")</f>
        <v/>
      </c>
      <c r="K2658" t="inlineStr">
        <is>
          <t>8.0</t>
        </is>
      </c>
      <c r="L2658" t="n">
        <v>12.95</v>
      </c>
      <c r="M2658" s="1" t="inlineStr">
        <is>
          <t>61.87%</t>
        </is>
      </c>
      <c r="N2658" s="3" t="n">
        <v>61.87</v>
      </c>
      <c r="O2658" t="n">
        <v>4.7</v>
      </c>
      <c r="P2658" t="n">
        <v>396</v>
      </c>
      <c r="R2658" t="inlineStr">
        <is>
          <t>InStock</t>
        </is>
      </c>
      <c r="S2658" t="inlineStr">
        <is>
          <t>15.95</t>
        </is>
      </c>
      <c r="T2658" t="inlineStr">
        <is>
          <t>5130065</t>
        </is>
      </c>
    </row>
    <row r="2659" hidden="1" ht="15.75" customHeight="1">
      <c r="A2659" s="2">
        <f>HYPERLINK("https://www.soccerplususa.com/adidas/adidas-team-speed-sock-1888", "https://www.soccerplususa.com/adidas/adidas-team-speed-sock-1888")</f>
        <v/>
      </c>
      <c r="B2659" t="inlineStr">
        <is>
          <t>undefined</t>
        </is>
      </c>
      <c r="C2659" t="inlineStr">
        <is>
          <t>adidas Team Speed Sock</t>
        </is>
      </c>
      <c r="D2659" t="inlineStr">
        <is>
          <t>adidas Team Speed Soccer OTC Sock (1-Pair)</t>
        </is>
      </c>
      <c r="E2659" s="2">
        <f>HYPERLINK("https://www.amazon.com/adidas-Speed-Soccer-Socks-1-Pack/dp/B00DF0TZLM/ref=sr_1_5?keywords=adidas+Team+Speed+Sock&amp;qid=1695171114&amp;sr=8-5", "https://www.amazon.com/adidas-Speed-Soccer-Socks-1-Pack/dp/B00DF0TZLM/ref=sr_1_5?keywords=adidas+Team+Speed+Sock&amp;qid=1695171114&amp;sr=8-5")</f>
        <v/>
      </c>
      <c r="F2659" t="inlineStr">
        <is>
          <t>B00DF0TZLM</t>
        </is>
      </c>
      <c r="G2659">
        <f>_xludf.IMAGE("https://www.soccerplususa.com/prodimages/2502-DEFAULT-l.jpg")</f>
        <v/>
      </c>
      <c r="H2659">
        <f>_xludf.IMAGE("https://m.media-amazon.com/images/I/81Dcy9ZAugL._AC_UL320_.jpg")</f>
        <v/>
      </c>
      <c r="K2659" t="inlineStr">
        <is>
          <t>8.0</t>
        </is>
      </c>
      <c r="L2659" t="n">
        <v>12.95</v>
      </c>
      <c r="M2659" s="1" t="inlineStr">
        <is>
          <t>61.87%</t>
        </is>
      </c>
      <c r="N2659" s="3" t="n">
        <v>61.87</v>
      </c>
      <c r="O2659" t="n">
        <v>4.7</v>
      </c>
      <c r="P2659" t="n">
        <v>396</v>
      </c>
      <c r="R2659" t="inlineStr">
        <is>
          <t>InStock</t>
        </is>
      </c>
      <c r="S2659" t="inlineStr">
        <is>
          <t>15.95</t>
        </is>
      </c>
      <c r="T2659" t="inlineStr">
        <is>
          <t>5130045</t>
        </is>
      </c>
    </row>
    <row r="2660" hidden="1" ht="15.75" customHeight="1">
      <c r="A2660" s="2">
        <f>HYPERLINK("https://www.soccerplususa.com/adidas/adidas-team-speed-sock-1897", "https://www.soccerplususa.com/adidas/adidas-team-speed-sock-1897")</f>
        <v/>
      </c>
      <c r="B2660" t="inlineStr">
        <is>
          <t>undefined</t>
        </is>
      </c>
      <c r="C2660" t="inlineStr">
        <is>
          <t>adidas Team Speed Sock</t>
        </is>
      </c>
      <c r="D2660" t="inlineStr">
        <is>
          <t>adidas Team Speed Soccer OTC Sock (1-Pair)</t>
        </is>
      </c>
      <c r="E2660" s="2">
        <f>HYPERLINK("https://www.amazon.com/adidas-Speed-Soccer-Socks-1-Pack/dp/B00DF0TZLM/ref=sr_1_4?keywords=adidas+Team+Speed+Sock&amp;qid=1695171122&amp;sr=8-4", "https://www.amazon.com/adidas-Speed-Soccer-Socks-1-Pack/dp/B00DF0TZLM/ref=sr_1_4?keywords=adidas+Team+Speed+Sock&amp;qid=1695171122&amp;sr=8-4")</f>
        <v/>
      </c>
      <c r="F2660" t="inlineStr">
        <is>
          <t>B00DF0TZLM</t>
        </is>
      </c>
      <c r="G2660">
        <f>_xludf.IMAGE("https://www.soccerplususa.com/prodimages/30895-DEFAULT-l.jpg")</f>
        <v/>
      </c>
      <c r="H2660">
        <f>_xludf.IMAGE("https://m.media-amazon.com/images/I/81Dcy9ZAugL._AC_UL320_.jpg")</f>
        <v/>
      </c>
      <c r="K2660" t="inlineStr">
        <is>
          <t>8.0</t>
        </is>
      </c>
      <c r="L2660" t="n">
        <v>12.95</v>
      </c>
      <c r="M2660" s="1" t="inlineStr">
        <is>
          <t>61.87%</t>
        </is>
      </c>
      <c r="N2660" s="3" t="n">
        <v>61.87</v>
      </c>
      <c r="O2660" t="n">
        <v>4.7</v>
      </c>
      <c r="P2660" t="n">
        <v>396</v>
      </c>
      <c r="R2660" t="inlineStr">
        <is>
          <t>InStock</t>
        </is>
      </c>
      <c r="S2660" t="inlineStr">
        <is>
          <t>15.95</t>
        </is>
      </c>
      <c r="T2660" t="inlineStr">
        <is>
          <t>5130088</t>
        </is>
      </c>
    </row>
    <row r="2661" hidden="1" ht="15.75" customHeight="1">
      <c r="A2661" s="2">
        <f>HYPERLINK("https://www.soccerplususa.com/adidas/adidas-team-speed-sock-1896", "https://www.soccerplususa.com/adidas/adidas-team-speed-sock-1896")</f>
        <v/>
      </c>
      <c r="B2661" t="inlineStr">
        <is>
          <t>undefined</t>
        </is>
      </c>
      <c r="C2661" t="inlineStr">
        <is>
          <t>adidas Team Speed Sock</t>
        </is>
      </c>
      <c r="D2661" t="inlineStr">
        <is>
          <t>adidas Team Speed Soccer OTC Sock (1-Pair)</t>
        </is>
      </c>
      <c r="E2661" s="2">
        <f>HYPERLINK("https://www.amazon.com/adidas-Speed-Soccer-Socks-1-Pack/dp/B00DF0TZLM/ref=sr_1_6?keywords=adidas+Team+Speed+Sock&amp;qid=1695171111&amp;sr=8-6", "https://www.amazon.com/adidas-Speed-Soccer-Socks-1-Pack/dp/B00DF0TZLM/ref=sr_1_6?keywords=adidas+Team+Speed+Sock&amp;qid=1695171111&amp;sr=8-6")</f>
        <v/>
      </c>
      <c r="F2661" t="inlineStr">
        <is>
          <t>B00DF0TZLM</t>
        </is>
      </c>
      <c r="G2661">
        <f>_xludf.IMAGE("https://www.soccerplususa.com/prodimages/5438-DEFAULT-l.jpg")</f>
        <v/>
      </c>
      <c r="H2661">
        <f>_xludf.IMAGE("https://m.media-amazon.com/images/I/81Dcy9ZAugL._AC_UL320_.jpg")</f>
        <v/>
      </c>
      <c r="K2661" t="inlineStr">
        <is>
          <t>8.0</t>
        </is>
      </c>
      <c r="L2661" t="n">
        <v>12.95</v>
      </c>
      <c r="M2661" s="1" t="inlineStr">
        <is>
          <t>61.87%</t>
        </is>
      </c>
      <c r="N2661" s="3" t="n">
        <v>61.87</v>
      </c>
      <c r="O2661" t="n">
        <v>4.7</v>
      </c>
      <c r="P2661" t="n">
        <v>396</v>
      </c>
      <c r="R2661" t="inlineStr">
        <is>
          <t>InStock</t>
        </is>
      </c>
      <c r="S2661" t="inlineStr">
        <is>
          <t>15.95</t>
        </is>
      </c>
      <c r="T2661" t="inlineStr">
        <is>
          <t>5130084</t>
        </is>
      </c>
    </row>
    <row r="2662" hidden="1" ht="15.75" customHeight="1">
      <c r="A2662" s="2">
        <f>HYPERLINK("https://www.soccerplususa.com/adidas/adidas-team-speed-sock-1923", "https://www.soccerplususa.com/adidas/adidas-team-speed-sock-1923")</f>
        <v/>
      </c>
      <c r="B2662" t="inlineStr">
        <is>
          <t>undefined</t>
        </is>
      </c>
      <c r="C2662" t="inlineStr">
        <is>
          <t>adidas Team Speed Sock</t>
        </is>
      </c>
      <c r="D2662" t="inlineStr">
        <is>
          <t>adidas Team Speed Soccer OTC Sock (1-Pair)</t>
        </is>
      </c>
      <c r="E2662" s="2">
        <f>HYPERLINK("https://www.amazon.com/adidas-Speed-Soccer-Socks-1-Pack/dp/B00DF0TZLM/ref=sr_1_4?keywords=adidas+Team+Speed+Sock&amp;qid=1695171111&amp;sr=8-4", "https://www.amazon.com/adidas-Speed-Soccer-Socks-1-Pack/dp/B00DF0TZLM/ref=sr_1_4?keywords=adidas+Team+Speed+Sock&amp;qid=1695171111&amp;sr=8-4")</f>
        <v/>
      </c>
      <c r="F2662" t="inlineStr">
        <is>
          <t>B00DF0TZLM</t>
        </is>
      </c>
      <c r="G2662">
        <f>_xludf.IMAGE("https://www.soccerplususa.com/prodimages/6560-DEFAULT-l.jpg")</f>
        <v/>
      </c>
      <c r="H2662">
        <f>_xludf.IMAGE("https://m.media-amazon.com/images/I/81Dcy9ZAugL._AC_UL320_.jpg")</f>
        <v/>
      </c>
      <c r="K2662" t="inlineStr">
        <is>
          <t>8.0</t>
        </is>
      </c>
      <c r="L2662" t="n">
        <v>12.95</v>
      </c>
      <c r="M2662" s="1" t="inlineStr">
        <is>
          <t>61.87%</t>
        </is>
      </c>
      <c r="N2662" s="3" t="n">
        <v>61.87</v>
      </c>
      <c r="O2662" t="n">
        <v>4.7</v>
      </c>
      <c r="P2662" t="n">
        <v>396</v>
      </c>
      <c r="R2662" t="inlineStr">
        <is>
          <t>InStock</t>
        </is>
      </c>
      <c r="S2662" t="inlineStr">
        <is>
          <t>15.95</t>
        </is>
      </c>
      <c r="T2662" t="inlineStr">
        <is>
          <t>5130156</t>
        </is>
      </c>
    </row>
    <row r="2663" hidden="1" ht="15.75" customHeight="1">
      <c r="A2663" s="2">
        <f>HYPERLINK("https://www.soccerplususa.com/adidas/adidas-team-speed-sock-1888", "https://www.soccerplususa.com/adidas/adidas-team-speed-sock-1888")</f>
        <v/>
      </c>
      <c r="B2663" t="inlineStr">
        <is>
          <t>undefined</t>
        </is>
      </c>
      <c r="C2663" t="inlineStr">
        <is>
          <t>adidas Team Speed Sock</t>
        </is>
      </c>
      <c r="D2663" t="inlineStr">
        <is>
          <t>adidas Team Speed 2 Soccer Socks for Boys, Girls, Men and Women (1-Pair), Light Grey/Black/Light Onix, Medium</t>
        </is>
      </c>
      <c r="E2663" s="2">
        <f>HYPERLINK("https://www.amazon.com/adidas-Speed-Soccer-Socks-1-Pack/dp/B077XMZRXP/ref=sr_1_4?keywords=adidas+Team+Speed+Sock&amp;qid=1695171114&amp;sr=8-4", "https://www.amazon.com/adidas-Speed-Soccer-Socks-1-Pack/dp/B077XMZRXP/ref=sr_1_4?keywords=adidas+Team+Speed+Sock&amp;qid=1695171114&amp;sr=8-4")</f>
        <v/>
      </c>
      <c r="F2663" t="inlineStr">
        <is>
          <t>B077XMZRXP</t>
        </is>
      </c>
      <c r="G2663">
        <f>_xludf.IMAGE("https://www.soccerplususa.com/prodimages/2502-DEFAULT-l.jpg")</f>
        <v/>
      </c>
      <c r="H2663">
        <f>_xludf.IMAGE("https://m.media-amazon.com/images/I/817s1xa6+gL._AC_UL320_.jpg")</f>
        <v/>
      </c>
      <c r="K2663" t="inlineStr">
        <is>
          <t>8.0</t>
        </is>
      </c>
      <c r="L2663" t="n">
        <v>12.94</v>
      </c>
      <c r="M2663" s="1" t="inlineStr">
        <is>
          <t>61.75%</t>
        </is>
      </c>
      <c r="N2663" s="3" t="n">
        <v>61.75</v>
      </c>
      <c r="O2663" t="n">
        <v>4.7</v>
      </c>
      <c r="P2663" t="n">
        <v>117</v>
      </c>
      <c r="R2663" t="inlineStr">
        <is>
          <t>InStock</t>
        </is>
      </c>
      <c r="S2663" t="inlineStr">
        <is>
          <t>15.95</t>
        </is>
      </c>
      <c r="T2663" t="inlineStr">
        <is>
          <t>5130045</t>
        </is>
      </c>
    </row>
    <row r="2664" hidden="1" ht="15.75" customHeight="1">
      <c r="A2664" s="2">
        <f>HYPERLINK("https://www.soccerplususa.com/adidas/adidas-team-speed-sock-1890", "https://www.soccerplususa.com/adidas/adidas-team-speed-sock-1890")</f>
        <v/>
      </c>
      <c r="B2664" t="inlineStr">
        <is>
          <t>undefined</t>
        </is>
      </c>
      <c r="C2664" t="inlineStr">
        <is>
          <t>adidas Team Speed Sock</t>
        </is>
      </c>
      <c r="D2664" t="inlineStr">
        <is>
          <t>adidas Team Speed 2 Soccer Socks for Boys, Girls, Men and Women (1-Pair), Light Grey/Black/Light Onix, Medium</t>
        </is>
      </c>
      <c r="E2664" s="2">
        <f>HYPERLINK("https://www.amazon.com/adidas-Speed-Soccer-Socks-1-Pack/dp/B077XMZRXP/ref=sr_1_3?keywords=adidas+Team+Speed+Sock&amp;qid=1695171116&amp;sr=8-3", "https://www.amazon.com/adidas-Speed-Soccer-Socks-1-Pack/dp/B077XMZRXP/ref=sr_1_3?keywords=adidas+Team+Speed+Sock&amp;qid=1695171116&amp;sr=8-3")</f>
        <v/>
      </c>
      <c r="F2664" t="inlineStr">
        <is>
          <t>B077XMZRXP</t>
        </is>
      </c>
      <c r="G2664">
        <f>_xludf.IMAGE("https://www.soccerplususa.com/prodimages/6561-DEFAULT-l.jpg")</f>
        <v/>
      </c>
      <c r="H2664">
        <f>_xludf.IMAGE("https://m.media-amazon.com/images/I/817s1xa6+gL._AC_UL320_.jpg")</f>
        <v/>
      </c>
      <c r="K2664" t="inlineStr">
        <is>
          <t>8.0</t>
        </is>
      </c>
      <c r="L2664" t="n">
        <v>12.94</v>
      </c>
      <c r="M2664" s="1" t="inlineStr">
        <is>
          <t>61.75%</t>
        </is>
      </c>
      <c r="N2664" s="3" t="n">
        <v>61.75</v>
      </c>
      <c r="O2664" t="n">
        <v>4.7</v>
      </c>
      <c r="P2664" t="n">
        <v>117</v>
      </c>
      <c r="R2664" t="inlineStr">
        <is>
          <t>InStock</t>
        </is>
      </c>
      <c r="S2664" t="inlineStr">
        <is>
          <t>15.95</t>
        </is>
      </c>
      <c r="T2664" t="inlineStr">
        <is>
          <t>5130065</t>
        </is>
      </c>
    </row>
    <row r="2665" hidden="1" ht="15.75" customHeight="1">
      <c r="A2665" s="2">
        <f>HYPERLINK("https://www.soccerplususa.com/adidas/adidas-team-speed-sock-1897", "https://www.soccerplususa.com/adidas/adidas-team-speed-sock-1897")</f>
        <v/>
      </c>
      <c r="B2665" t="inlineStr">
        <is>
          <t>undefined</t>
        </is>
      </c>
      <c r="C2665" t="inlineStr">
        <is>
          <t>adidas Team Speed Sock</t>
        </is>
      </c>
      <c r="D2665" t="inlineStr">
        <is>
          <t>adidas Team Speed 2 Soccer Socks for Boys, Girls, Men and Women (1-Pair), Light Grey/Black/Light Onix, Medium</t>
        </is>
      </c>
      <c r="E2665" s="2">
        <f>HYPERLINK("https://www.amazon.com/adidas-Speed-Soccer-Socks-1-Pack/dp/B077XMZRXP/ref=sr_1_3?keywords=adidas+Team+Speed+Sock&amp;qid=1695171122&amp;sr=8-3", "https://www.amazon.com/adidas-Speed-Soccer-Socks-1-Pack/dp/B077XMZRXP/ref=sr_1_3?keywords=adidas+Team+Speed+Sock&amp;qid=1695171122&amp;sr=8-3")</f>
        <v/>
      </c>
      <c r="F2665" t="inlineStr">
        <is>
          <t>B077XMZRXP</t>
        </is>
      </c>
      <c r="G2665">
        <f>_xludf.IMAGE("https://www.soccerplususa.com/prodimages/30895-DEFAULT-l.jpg")</f>
        <v/>
      </c>
      <c r="H2665">
        <f>_xludf.IMAGE("https://m.media-amazon.com/images/I/817s1xa6+gL._AC_UL320_.jpg")</f>
        <v/>
      </c>
      <c r="K2665" t="inlineStr">
        <is>
          <t>8.0</t>
        </is>
      </c>
      <c r="L2665" t="n">
        <v>12.94</v>
      </c>
      <c r="M2665" s="1" t="inlineStr">
        <is>
          <t>61.75%</t>
        </is>
      </c>
      <c r="N2665" s="3" t="n">
        <v>61.75</v>
      </c>
      <c r="O2665" t="n">
        <v>4.7</v>
      </c>
      <c r="P2665" t="n">
        <v>117</v>
      </c>
      <c r="R2665" t="inlineStr">
        <is>
          <t>InStock</t>
        </is>
      </c>
      <c r="S2665" t="inlineStr">
        <is>
          <t>15.95</t>
        </is>
      </c>
      <c r="T2665" t="inlineStr">
        <is>
          <t>5130088</t>
        </is>
      </c>
    </row>
    <row r="2666" hidden="1" ht="15.75" customHeight="1">
      <c r="A2666" s="2">
        <f>HYPERLINK("https://www.soccerplususa.com/adidas/adidas-team-speed-sock-1923", "https://www.soccerplususa.com/adidas/adidas-team-speed-sock-1923")</f>
        <v/>
      </c>
      <c r="B2666" t="inlineStr">
        <is>
          <t>undefined</t>
        </is>
      </c>
      <c r="C2666" t="inlineStr">
        <is>
          <t>adidas Team Speed Sock</t>
        </is>
      </c>
      <c r="D2666" t="inlineStr">
        <is>
          <t>adidas Team Speed 2 Soccer Socks for Boys, Girls, Men and Women (1-Pair), Light Grey/Black/Light Onix, Medium</t>
        </is>
      </c>
      <c r="E2666" s="2">
        <f>HYPERLINK("https://www.amazon.com/adidas-Speed-Soccer-Socks-1-Pack/dp/B077XMZRXP/ref=sr_1_3?keywords=adidas+Team+Speed+Sock&amp;qid=1695171111&amp;sr=8-3", "https://www.amazon.com/adidas-Speed-Soccer-Socks-1-Pack/dp/B077XMZRXP/ref=sr_1_3?keywords=adidas+Team+Speed+Sock&amp;qid=1695171111&amp;sr=8-3")</f>
        <v/>
      </c>
      <c r="F2666" t="inlineStr">
        <is>
          <t>B077XMZRXP</t>
        </is>
      </c>
      <c r="G2666">
        <f>_xludf.IMAGE("https://www.soccerplususa.com/prodimages/6560-DEFAULT-l.jpg")</f>
        <v/>
      </c>
      <c r="H2666">
        <f>_xludf.IMAGE("https://m.media-amazon.com/images/I/817s1xa6+gL._AC_UL320_.jpg")</f>
        <v/>
      </c>
      <c r="K2666" t="inlineStr">
        <is>
          <t>8.0</t>
        </is>
      </c>
      <c r="L2666" t="n">
        <v>12.94</v>
      </c>
      <c r="M2666" s="1" t="inlineStr">
        <is>
          <t>61.75%</t>
        </is>
      </c>
      <c r="N2666" s="3" t="n">
        <v>61.75</v>
      </c>
      <c r="O2666" t="n">
        <v>4.7</v>
      </c>
      <c r="P2666" t="n">
        <v>117</v>
      </c>
      <c r="R2666" t="inlineStr">
        <is>
          <t>InStock</t>
        </is>
      </c>
      <c r="S2666" t="inlineStr">
        <is>
          <t>15.95</t>
        </is>
      </c>
      <c r="T2666" t="inlineStr">
        <is>
          <t>5130156</t>
        </is>
      </c>
    </row>
    <row r="2667" hidden="1" ht="15.75" customHeight="1">
      <c r="A2667" s="2">
        <f>HYPERLINK("https://www.soccerplususa.com/adidas/adidas-team-speed-sock-1896", "https://www.soccerplususa.com/adidas/adidas-team-speed-sock-1896")</f>
        <v/>
      </c>
      <c r="B2667" t="inlineStr">
        <is>
          <t>undefined</t>
        </is>
      </c>
      <c r="C2667" t="inlineStr">
        <is>
          <t>adidas Team Speed Sock</t>
        </is>
      </c>
      <c r="D2667" t="inlineStr">
        <is>
          <t>adidas Team Speed 2 Soccer Socks for Boys, Girls, Men and Women (1-Pair), Light Grey/Black/Light Onix, Medium</t>
        </is>
      </c>
      <c r="E2667" s="2">
        <f>HYPERLINK("https://www.amazon.com/adidas-Speed-Soccer-Socks-1-Pack/dp/B077XMZRXP/ref=sr_1_3?keywords=adidas+Team+Speed+Sock&amp;qid=1695171111&amp;sr=8-3", "https://www.amazon.com/adidas-Speed-Soccer-Socks-1-Pack/dp/B077XMZRXP/ref=sr_1_3?keywords=adidas+Team+Speed+Sock&amp;qid=1695171111&amp;sr=8-3")</f>
        <v/>
      </c>
      <c r="F2667" t="inlineStr">
        <is>
          <t>B077XMZRXP</t>
        </is>
      </c>
      <c r="G2667">
        <f>_xludf.IMAGE("https://www.soccerplususa.com/prodimages/5438-DEFAULT-l.jpg")</f>
        <v/>
      </c>
      <c r="H2667">
        <f>_xludf.IMAGE("https://m.media-amazon.com/images/I/817s1xa6+gL._AC_UL320_.jpg")</f>
        <v/>
      </c>
      <c r="K2667" t="inlineStr">
        <is>
          <t>8.0</t>
        </is>
      </c>
      <c r="L2667" t="n">
        <v>12.94</v>
      </c>
      <c r="M2667" s="1" t="inlineStr">
        <is>
          <t>61.75%</t>
        </is>
      </c>
      <c r="N2667" s="3" t="n">
        <v>61.75</v>
      </c>
      <c r="O2667" t="n">
        <v>4.7</v>
      </c>
      <c r="P2667" t="n">
        <v>117</v>
      </c>
      <c r="R2667" t="inlineStr">
        <is>
          <t>InStock</t>
        </is>
      </c>
      <c r="S2667" t="inlineStr">
        <is>
          <t>15.95</t>
        </is>
      </c>
      <c r="T2667" t="inlineStr">
        <is>
          <t>5130084</t>
        </is>
      </c>
    </row>
    <row r="2668" ht="75" customHeight="1">
      <c r="A2668" s="2">
        <f>HYPERLINK("https://www.soccerplususa.com/adidas/adidas-alphaskin-tie-headband-43153", "https://www.soccerplususa.com/adidas/adidas-alphaskin-tie-headband-43153")</f>
        <v/>
      </c>
      <c r="B2668" t="inlineStr">
        <is>
          <t>undefined</t>
        </is>
      </c>
      <c r="C2668" t="inlineStr">
        <is>
          <t>adidas Alphaskin Tie Headband</t>
        </is>
      </c>
      <c r="D2668" t="inlineStr">
        <is>
          <t>adidas Womens Alphaskin Elastic Headband</t>
        </is>
      </c>
      <c r="E2668" s="2">
        <f>HYPERLINK("https://www.amazon.com/adidas-Alphaskin-Elastic-Headband-Black/dp/B0BFC2DCT1/ref=sr_1_6?keywords=adidas+Alphaskin+Tie+Headband&amp;qid=1695171084&amp;sr=8-6", "https://www.amazon.com/adidas-Alphaskin-Elastic-Headband-Black/dp/B0BFC2DCT1/ref=sr_1_6?keywords=adidas+Alphaskin+Tie+Headband&amp;qid=1695171084&amp;sr=8-6")</f>
        <v/>
      </c>
      <c r="F2668" t="inlineStr">
        <is>
          <t>B0BFC2DCT1</t>
        </is>
      </c>
      <c r="G2668">
        <f>_xlfn.IMAGE("https://www.soccerplususa.com/prodimages//36805-ROYALWHITE-M.jpg")</f>
        <v/>
      </c>
      <c r="H2668">
        <f>_xlfn.IMAGE("https://m.media-amazon.com/images/I/81h+q9zB3FL._AC_UL320_.jpg")</f>
        <v/>
      </c>
      <c r="K2668" t="inlineStr">
        <is>
          <t>9.95</t>
        </is>
      </c>
      <c r="L2668" t="n">
        <v>16</v>
      </c>
      <c r="M2668" s="1" t="inlineStr">
        <is>
          <t>60.80%</t>
        </is>
      </c>
      <c r="N2668" s="3" t="n">
        <v>60.8</v>
      </c>
      <c r="O2668" t="n">
        <v>5</v>
      </c>
      <c r="P2668" t="n">
        <v>1</v>
      </c>
      <c r="R2668" t="inlineStr">
        <is>
          <t>InStock</t>
        </is>
      </c>
      <c r="S2668" t="inlineStr">
        <is>
          <t>undefined</t>
        </is>
      </c>
      <c r="T2668" t="inlineStr">
        <is>
          <t>5147678</t>
        </is>
      </c>
    </row>
    <row r="2669" ht="75" customHeight="1">
      <c r="A2669" s="2">
        <f>HYPERLINK("https://www.soccerplususa.com/adidas/adidas-alphaskin-tie-headband-43150", "https://www.soccerplususa.com/adidas/adidas-alphaskin-tie-headband-43150")</f>
        <v/>
      </c>
      <c r="B2669" t="inlineStr">
        <is>
          <t>undefined</t>
        </is>
      </c>
      <c r="C2669" t="inlineStr">
        <is>
          <t>adidas Alphaskin Tie Headband</t>
        </is>
      </c>
      <c r="D2669" t="inlineStr">
        <is>
          <t>adidas Womens Alphaskin Elastic Headband</t>
        </is>
      </c>
      <c r="E2669" s="2">
        <f>HYPERLINK("https://www.amazon.com/adidas-Alphaskin-Elastic-Headband-Black/dp/B0BFC2DCT1/ref=sr_1_6?keywords=adidas+Alphaskin+Tie+Headband&amp;qid=1695171083&amp;sr=8-6", "https://www.amazon.com/adidas-Alphaskin-Elastic-Headband-Black/dp/B0BFC2DCT1/ref=sr_1_6?keywords=adidas+Alphaskin+Tie+Headband&amp;qid=1695171083&amp;sr=8-6")</f>
        <v/>
      </c>
      <c r="F2669" t="inlineStr">
        <is>
          <t>B0BFC2DCT1</t>
        </is>
      </c>
      <c r="G2669">
        <f>_xlfn.IMAGE("https://www.soccerplususa.com/prodimages//36807-BLACKWHITE-M.jpg")</f>
        <v/>
      </c>
      <c r="H2669">
        <f>_xlfn.IMAGE("https://m.media-amazon.com/images/I/81h+q9zB3FL._AC_UL320_.jpg")</f>
        <v/>
      </c>
      <c r="K2669" t="inlineStr">
        <is>
          <t>9.95</t>
        </is>
      </c>
      <c r="L2669" t="n">
        <v>16</v>
      </c>
      <c r="M2669" s="1" t="inlineStr">
        <is>
          <t>60.80%</t>
        </is>
      </c>
      <c r="N2669" s="3" t="n">
        <v>60.8</v>
      </c>
      <c r="O2669" t="n">
        <v>5</v>
      </c>
      <c r="P2669" t="n">
        <v>1</v>
      </c>
      <c r="R2669" t="inlineStr">
        <is>
          <t>InStock</t>
        </is>
      </c>
      <c r="S2669" t="inlineStr">
        <is>
          <t>undefined</t>
        </is>
      </c>
      <c r="T2669" t="inlineStr">
        <is>
          <t>5147633</t>
        </is>
      </c>
    </row>
    <row r="2670" ht="75" customHeight="1">
      <c r="A2670" s="2">
        <f>HYPERLINK("https://www.soccerplususa.com/premier-sock-tape/pro-crew-sock-37590", "https://www.soccerplususa.com/premier-sock-tape/pro-crew-sock-37590")</f>
        <v/>
      </c>
      <c r="B2670" t="inlineStr">
        <is>
          <t>undefined</t>
        </is>
      </c>
      <c r="C2670" t="inlineStr">
        <is>
          <t>Pro Crew Sock</t>
        </is>
      </c>
      <c r="D2670" t="inlineStr">
        <is>
          <t>Wigwam Men's Cool-lite Pro Crew Socks</t>
        </is>
      </c>
      <c r="E2670" s="2">
        <f>HYPERLINK("https://www.amazon.com/Wigwam-Mens-Cool-Lite-Socks-black/dp/B0006U04O6/ref=sr_1_6?keywords=Pro+Crew+Sock&amp;qid=1695171090&amp;sr=8-6", "https://www.amazon.com/Wigwam-Mens-Cool-Lite-Socks-black/dp/B0006U04O6/ref=sr_1_6?keywords=Pro+Crew+Sock&amp;qid=1695171090&amp;sr=8-6")</f>
        <v/>
      </c>
      <c r="F2670" t="inlineStr">
        <is>
          <t>B0006U04O6</t>
        </is>
      </c>
      <c r="G2670">
        <f>_xlfn.IMAGE("https://www.soccerplususa.com/prodimages/10571-DEFAULT-l.jpg")</f>
        <v/>
      </c>
      <c r="H2670">
        <f>_xlfn.IMAGE("https://m.media-amazon.com/images/I/81mOSQhPWqL._AC_UL320_.jpg")</f>
        <v/>
      </c>
      <c r="K2670" t="inlineStr">
        <is>
          <t>9.95</t>
        </is>
      </c>
      <c r="L2670" t="n">
        <v>16</v>
      </c>
      <c r="M2670" s="1" t="inlineStr">
        <is>
          <t>60.80%</t>
        </is>
      </c>
      <c r="N2670" s="3" t="n">
        <v>60.8</v>
      </c>
      <c r="O2670" t="n">
        <v>3.8</v>
      </c>
      <c r="P2670" t="n">
        <v>106</v>
      </c>
      <c r="R2670" t="inlineStr">
        <is>
          <t>InStock</t>
        </is>
      </c>
      <c r="S2670" t="inlineStr">
        <is>
          <t>undefined</t>
        </is>
      </c>
      <c r="T2670" t="inlineStr">
        <is>
          <t>PCSOCK</t>
        </is>
      </c>
    </row>
    <row r="2671" ht="75" customHeight="1">
      <c r="A2671" s="2">
        <f>HYPERLINK("https://www.soccerplususa.com/nike/nike-classic-ii-otc-sock-37537", "https://www.soccerplususa.com/nike/nike-classic-ii-otc-sock-37537")</f>
        <v/>
      </c>
      <c r="B2671" t="inlineStr">
        <is>
          <t>undefined</t>
        </is>
      </c>
      <c r="C2671" t="inlineStr">
        <is>
          <t>Nike Classic II OTC Sock</t>
        </is>
      </c>
      <c r="D2671" t="inlineStr">
        <is>
          <t>Nike Classic II Cushion Over-the-Calf Socks College Navy/White Knee High Socks Shoes</t>
        </is>
      </c>
      <c r="E2671" s="2">
        <f>HYPERLINK("https://www.amazon.com/Classic-Cushion-Over-Calf-College/dp/B01IOE9OKK/ref=sr_1_4?keywords=Nike+Classic+II+OTC+Sock&amp;qid=1695171095&amp;sr=8-4", "https://www.amazon.com/Classic-Cushion-Over-Calf-College/dp/B01IOE9OKK/ref=sr_1_4?keywords=Nike+Classic+II+OTC+Sock&amp;qid=1695171095&amp;sr=8-4")</f>
        <v/>
      </c>
      <c r="F2671" t="inlineStr">
        <is>
          <t>B01IOE9OKK</t>
        </is>
      </c>
      <c r="G2671">
        <f>_xlfn.IMAGE("https://www.soccerplususa.com/prodimages/10669-DEFAULT-l.jpg")</f>
        <v/>
      </c>
      <c r="H2671">
        <f>_xlfn.IMAGE("https://m.media-amazon.com/images/I/71zXQuWViPL._AC_UL320_.jpg")</f>
        <v/>
      </c>
      <c r="K2671" t="inlineStr">
        <is>
          <t>11.95</t>
        </is>
      </c>
      <c r="L2671" t="n">
        <v>19.14</v>
      </c>
      <c r="M2671" s="1" t="inlineStr">
        <is>
          <t>60.17%</t>
        </is>
      </c>
      <c r="N2671" s="3" t="n">
        <v>60.17</v>
      </c>
      <c r="O2671" t="n">
        <v>5</v>
      </c>
      <c r="P2671" t="n">
        <v>3</v>
      </c>
      <c r="R2671" t="inlineStr">
        <is>
          <t>InStock</t>
        </is>
      </c>
      <c r="S2671" t="inlineStr">
        <is>
          <t>undefined</t>
        </is>
      </c>
      <c r="T2671" t="inlineStr">
        <is>
          <t>SX5728-816</t>
        </is>
      </c>
    </row>
    <row r="2672" ht="75" customHeight="1">
      <c r="A2672" s="2">
        <f>HYPERLINK("https://www.soccerplususa.com/nike/nike-classic-ii-otc-sock-27051", "https://www.soccerplususa.com/nike/nike-classic-ii-otc-sock-27051")</f>
        <v/>
      </c>
      <c r="B2672" t="inlineStr">
        <is>
          <t>undefined</t>
        </is>
      </c>
      <c r="C2672" t="inlineStr">
        <is>
          <t>Nike Classic II OTC Sock</t>
        </is>
      </c>
      <c r="D2672" t="inlineStr">
        <is>
          <t>Nike Classic II Cushion Over-the-Calf Socks College Navy/White Knee High Socks Shoes</t>
        </is>
      </c>
      <c r="E2672" s="2">
        <f>HYPERLINK("https://www.amazon.com/Classic-Cushion-Over-Calf-College/dp/B01IOE9OKK/ref=sr_1_4?keywords=Nike+Classic+II+OTC+Sock&amp;qid=1695171109&amp;sr=8-4", "https://www.amazon.com/Classic-Cushion-Over-Calf-College/dp/B01IOE9OKK/ref=sr_1_4?keywords=Nike+Classic+II+OTC+Sock&amp;qid=1695171109&amp;sr=8-4")</f>
        <v/>
      </c>
      <c r="F2672" t="inlineStr">
        <is>
          <t>B01IOE9OKK</t>
        </is>
      </c>
      <c r="G2672">
        <f>_xlfn.IMAGE("https://www.soccerplususa.com/prodimages/4443-DEFAULT-l.jpg")</f>
        <v/>
      </c>
      <c r="H2672">
        <f>_xlfn.IMAGE("https://m.media-amazon.com/images/I/71zXQuWViPL._AC_UL320_.jpg")</f>
        <v/>
      </c>
      <c r="K2672" t="inlineStr">
        <is>
          <t>11.95</t>
        </is>
      </c>
      <c r="L2672" t="n">
        <v>19.14</v>
      </c>
      <c r="M2672" s="1" t="inlineStr">
        <is>
          <t>60.17%</t>
        </is>
      </c>
      <c r="N2672" s="3" t="n">
        <v>60.17</v>
      </c>
      <c r="O2672" t="n">
        <v>5</v>
      </c>
      <c r="P2672" t="n">
        <v>3</v>
      </c>
      <c r="R2672" t="inlineStr">
        <is>
          <t>InStock</t>
        </is>
      </c>
      <c r="S2672" t="inlineStr">
        <is>
          <t>undefined</t>
        </is>
      </c>
      <c r="T2672" t="inlineStr">
        <is>
          <t>SX5728-100</t>
        </is>
      </c>
    </row>
    <row r="2673" ht="75" customHeight="1">
      <c r="A2673" s="2">
        <f>HYPERLINK("https://www.soccerplususa.com/nike/nike-classic-ii-otc-sock-27057", "https://www.soccerplususa.com/nike/nike-classic-ii-otc-sock-27057")</f>
        <v/>
      </c>
      <c r="B2673" t="inlineStr">
        <is>
          <t>undefined</t>
        </is>
      </c>
      <c r="C2673" t="inlineStr">
        <is>
          <t>Nike Classic II OTC Sock</t>
        </is>
      </c>
      <c r="D2673" t="inlineStr">
        <is>
          <t>Nike Classic II Cushion Over-the-Calf Socks College Navy/White Knee High Socks Shoes</t>
        </is>
      </c>
      <c r="E2673" s="2">
        <f>HYPERLINK("https://www.amazon.com/Classic-Cushion-Over-Calf-College/dp/B01IOE9OKK/ref=sr_1_4?keywords=Nike+Classic+II+OTC+Sock&amp;qid=1695171107&amp;sr=8-4", "https://www.amazon.com/Classic-Cushion-Over-Calf-College/dp/B01IOE9OKK/ref=sr_1_4?keywords=Nike+Classic+II+OTC+Sock&amp;qid=1695171107&amp;sr=8-4")</f>
        <v/>
      </c>
      <c r="F2673" t="inlineStr">
        <is>
          <t>B01IOE9OKK</t>
        </is>
      </c>
      <c r="G2673">
        <f>_xlfn.IMAGE("https://www.soccerplususa.com/prodimages/4446-DEFAULT-l.jpg")</f>
        <v/>
      </c>
      <c r="H2673">
        <f>_xlfn.IMAGE("https://m.media-amazon.com/images/I/71zXQuWViPL._AC_UL320_.jpg")</f>
        <v/>
      </c>
      <c r="K2673" t="inlineStr">
        <is>
          <t>11.95</t>
        </is>
      </c>
      <c r="L2673" t="n">
        <v>19.14</v>
      </c>
      <c r="M2673" s="1" t="inlineStr">
        <is>
          <t>60.17%</t>
        </is>
      </c>
      <c r="N2673" s="3" t="n">
        <v>60.17</v>
      </c>
      <c r="O2673" t="n">
        <v>5</v>
      </c>
      <c r="P2673" t="n">
        <v>3</v>
      </c>
      <c r="R2673" t="inlineStr">
        <is>
          <t>InStock</t>
        </is>
      </c>
      <c r="S2673" t="inlineStr">
        <is>
          <t>undefined</t>
        </is>
      </c>
      <c r="T2673" t="inlineStr">
        <is>
          <t>SX5728-616</t>
        </is>
      </c>
    </row>
    <row r="2674" ht="75" customHeight="1">
      <c r="A2674" s="2">
        <f>HYPERLINK("https://www.soccerplususa.com/nike/nike-classic-ii-otc-sock-27061", "https://www.soccerplususa.com/nike/nike-classic-ii-otc-sock-27061")</f>
        <v/>
      </c>
      <c r="B2674" t="inlineStr">
        <is>
          <t>undefined</t>
        </is>
      </c>
      <c r="C2674" t="inlineStr">
        <is>
          <t>Nike Classic II OTC Sock</t>
        </is>
      </c>
      <c r="D2674" t="inlineStr">
        <is>
          <t>Nike Classic II Cushion Over-the-Calf Socks College Navy/White Knee High Socks Shoes</t>
        </is>
      </c>
      <c r="E2674" s="2">
        <f>HYPERLINK("https://www.amazon.com/Classic-Cushion-Over-Calf-College/dp/B01IOE9OKK/ref=sr_1_4?keywords=Nike+Classic+II+OTC+Sock&amp;qid=1695171106&amp;sr=8-4", "https://www.amazon.com/Classic-Cushion-Over-Calf-College/dp/B01IOE9OKK/ref=sr_1_4?keywords=Nike+Classic+II+OTC+Sock&amp;qid=1695171106&amp;sr=8-4")</f>
        <v/>
      </c>
      <c r="F2674" t="inlineStr">
        <is>
          <t>B01IOE9OKK</t>
        </is>
      </c>
      <c r="G2674">
        <f>_xlfn.IMAGE("https://www.soccerplususa.com/prodimages/6082-DEFAULT-l.jpg")</f>
        <v/>
      </c>
      <c r="H2674">
        <f>_xlfn.IMAGE("https://m.media-amazon.com/images/I/71zXQuWViPL._AC_UL320_.jpg")</f>
        <v/>
      </c>
      <c r="K2674" t="inlineStr">
        <is>
          <t>11.95</t>
        </is>
      </c>
      <c r="L2674" t="n">
        <v>19.14</v>
      </c>
      <c r="M2674" s="1" t="inlineStr">
        <is>
          <t>60.17%</t>
        </is>
      </c>
      <c r="N2674" s="3" t="n">
        <v>60.17</v>
      </c>
      <c r="O2674" t="n">
        <v>5</v>
      </c>
      <c r="P2674" t="n">
        <v>3</v>
      </c>
      <c r="R2674" t="inlineStr">
        <is>
          <t>InStock</t>
        </is>
      </c>
      <c r="S2674" t="inlineStr">
        <is>
          <t>undefined</t>
        </is>
      </c>
      <c r="T2674" t="inlineStr">
        <is>
          <t>SX5728-739</t>
        </is>
      </c>
    </row>
    <row r="2675" ht="75" customHeight="1">
      <c r="A2675" s="2">
        <f>HYPERLINK("https://www.soccerplususa.com/nike/nike-classic-ii-otc-sock-27049", "https://www.soccerplususa.com/nike/nike-classic-ii-otc-sock-27049")</f>
        <v/>
      </c>
      <c r="B2675" t="inlineStr">
        <is>
          <t>undefined</t>
        </is>
      </c>
      <c r="C2675" t="inlineStr">
        <is>
          <t>Nike Classic II OTC Sock</t>
        </is>
      </c>
      <c r="D2675" t="inlineStr">
        <is>
          <t>Nike Classic II Cushion Over-the-Calf Socks College Navy/White Knee High Socks Shoes</t>
        </is>
      </c>
      <c r="E2675" s="2">
        <f>HYPERLINK("https://www.amazon.com/Classic-Cushion-Over-Calf-College/dp/B01IOE9OKK/ref=sr_1_4?keywords=Nike+Classic+II+OTC+Sock&amp;qid=1695171104&amp;sr=8-4", "https://www.amazon.com/Classic-Cushion-Over-Calf-College/dp/B01IOE9OKK/ref=sr_1_4?keywords=Nike+Classic+II+OTC+Sock&amp;qid=1695171104&amp;sr=8-4")</f>
        <v/>
      </c>
      <c r="F2675" t="inlineStr">
        <is>
          <t>B01IOE9OKK</t>
        </is>
      </c>
      <c r="G2675">
        <f>_xlfn.IMAGE("https://www.soccerplususa.com/prodimages/4442-DEFAULT-l.jpg")</f>
        <v/>
      </c>
      <c r="H2675">
        <f>_xlfn.IMAGE("https://m.media-amazon.com/images/I/71zXQuWViPL._AC_UL320_.jpg")</f>
        <v/>
      </c>
      <c r="K2675" t="inlineStr">
        <is>
          <t>11.95</t>
        </is>
      </c>
      <c r="L2675" t="n">
        <v>19.13</v>
      </c>
      <c r="M2675" s="1" t="inlineStr">
        <is>
          <t>60.08%</t>
        </is>
      </c>
      <c r="N2675" s="3" t="n">
        <v>60.08</v>
      </c>
      <c r="O2675" t="n">
        <v>5</v>
      </c>
      <c r="P2675" t="n">
        <v>3</v>
      </c>
      <c r="R2675" t="inlineStr">
        <is>
          <t>InStock</t>
        </is>
      </c>
      <c r="S2675" t="inlineStr">
        <is>
          <t>undefined</t>
        </is>
      </c>
      <c r="T2675" t="inlineStr">
        <is>
          <t>SX5728-010</t>
        </is>
      </c>
    </row>
    <row r="2676" hidden="1" ht="15.75" customHeight="1">
      <c r="A2676" s="2">
        <f>HYPERLINK("https://www.soccerplususa.com/nike/nike-classic-ii-otc-sock-37537", "https://www.soccerplususa.com/nike/nike-classic-ii-otc-sock-37537")</f>
        <v/>
      </c>
      <c r="B2676" t="inlineStr">
        <is>
          <t>undefined</t>
        </is>
      </c>
      <c r="C2676" t="inlineStr">
        <is>
          <t>Nike Classic II OTC Sock</t>
        </is>
      </c>
      <c r="D2676" t="inlineStr">
        <is>
          <t>Unisex Nike Classic II Cushion Over-the-Calf Football Sock, White, Men Size 6-8, Womens Size 6-10</t>
        </is>
      </c>
      <c r="E2676" s="2">
        <f>HYPERLINK("https://www.amazon.com/Unisex-Classic-Cushion-Football-Womens/dp/B072113Q96/ref=sr_1_6?keywords=Nike+Classic+II+OTC+Sock&amp;qid=1695171095&amp;sr=8-6", "https://www.amazon.com/Unisex-Classic-Cushion-Football-Womens/dp/B072113Q96/ref=sr_1_6?keywords=Nike+Classic+II+OTC+Sock&amp;qid=1695171095&amp;sr=8-6")</f>
        <v/>
      </c>
      <c r="F2676" t="inlineStr">
        <is>
          <t>B072113Q96</t>
        </is>
      </c>
      <c r="G2676">
        <f>_xludf.IMAGE("https://www.soccerplususa.com/prodimages/10669-DEFAULT-l.jpg")</f>
        <v/>
      </c>
      <c r="H2676">
        <f>_xludf.IMAGE("https://m.media-amazon.com/images/I/51KFSviJnxL._AC_UL320_.jpg")</f>
        <v/>
      </c>
      <c r="K2676" t="inlineStr">
        <is>
          <t>11.95</t>
        </is>
      </c>
      <c r="L2676" t="n">
        <v>18.95</v>
      </c>
      <c r="M2676" s="1" t="inlineStr">
        <is>
          <t>58.58%</t>
        </is>
      </c>
      <c r="N2676" s="3" t="n">
        <v>58.58</v>
      </c>
      <c r="O2676" t="n">
        <v>4.5</v>
      </c>
      <c r="P2676" t="n">
        <v>74</v>
      </c>
      <c r="R2676" t="inlineStr">
        <is>
          <t>InStock</t>
        </is>
      </c>
      <c r="S2676" t="inlineStr">
        <is>
          <t>undefined</t>
        </is>
      </c>
      <c r="T2676" t="inlineStr">
        <is>
          <t>SX5728-816</t>
        </is>
      </c>
    </row>
    <row r="2677" hidden="1" ht="15.75" customHeight="1">
      <c r="A2677" s="2">
        <f>HYPERLINK("https://www.soccerplususa.com/nike/nike-classic-ii-otc-sock-27057", "https://www.soccerplususa.com/nike/nike-classic-ii-otc-sock-27057")</f>
        <v/>
      </c>
      <c r="B2677" t="inlineStr">
        <is>
          <t>undefined</t>
        </is>
      </c>
      <c r="C2677" t="inlineStr">
        <is>
          <t>Nike Classic II OTC Sock</t>
        </is>
      </c>
      <c r="D2677" t="inlineStr">
        <is>
          <t>Unisex Nike Classic II Cushion Over-the-Calf Football Sock, White, Men Size 6-8, Womens Size 6-10</t>
        </is>
      </c>
      <c r="E2677" s="2">
        <f>HYPERLINK("https://www.amazon.com/Unisex-Classic-Cushion-Football-Womens/dp/B072113Q96/ref=sr_1_6?keywords=Nike+Classic+II+OTC+Sock&amp;qid=1695171107&amp;sr=8-6", "https://www.amazon.com/Unisex-Classic-Cushion-Football-Womens/dp/B072113Q96/ref=sr_1_6?keywords=Nike+Classic+II+OTC+Sock&amp;qid=1695171107&amp;sr=8-6")</f>
        <v/>
      </c>
      <c r="F2677" t="inlineStr">
        <is>
          <t>B072113Q96</t>
        </is>
      </c>
      <c r="G2677">
        <f>_xludf.IMAGE("https://www.soccerplususa.com/prodimages/4446-DEFAULT-l.jpg")</f>
        <v/>
      </c>
      <c r="H2677">
        <f>_xludf.IMAGE("https://m.media-amazon.com/images/I/51KFSviJnxL._AC_UL320_.jpg")</f>
        <v/>
      </c>
      <c r="K2677" t="inlineStr">
        <is>
          <t>11.95</t>
        </is>
      </c>
      <c r="L2677" t="n">
        <v>18.95</v>
      </c>
      <c r="M2677" s="1" t="inlineStr">
        <is>
          <t>58.58%</t>
        </is>
      </c>
      <c r="N2677" s="3" t="n">
        <v>58.58</v>
      </c>
      <c r="O2677" t="n">
        <v>4.5</v>
      </c>
      <c r="P2677" t="n">
        <v>74</v>
      </c>
      <c r="R2677" t="inlineStr">
        <is>
          <t>InStock</t>
        </is>
      </c>
      <c r="S2677" t="inlineStr">
        <is>
          <t>undefined</t>
        </is>
      </c>
      <c r="T2677" t="inlineStr">
        <is>
          <t>SX5728-616</t>
        </is>
      </c>
    </row>
    <row r="2678" hidden="1" ht="15.75" customHeight="1">
      <c r="A2678" s="2">
        <f>HYPERLINK("https://www.soccerplususa.com/nike/nike-classic-ii-otc-sock-27061", "https://www.soccerplususa.com/nike/nike-classic-ii-otc-sock-27061")</f>
        <v/>
      </c>
      <c r="B2678" t="inlineStr">
        <is>
          <t>undefined</t>
        </is>
      </c>
      <c r="C2678" t="inlineStr">
        <is>
          <t>Nike Classic II OTC Sock</t>
        </is>
      </c>
      <c r="D2678" t="inlineStr">
        <is>
          <t>Unisex Nike Classic II Cushion Over-the-Calf Football Sock, White, Men Size 6-8, Womens Size 6-10</t>
        </is>
      </c>
      <c r="E2678" s="2">
        <f>HYPERLINK("https://www.amazon.com/Unisex-Classic-Cushion-Football-Womens/dp/B072113Q96/ref=sr_1_6?keywords=Nike+Classic+II+OTC+Sock&amp;qid=1695171106&amp;sr=8-6", "https://www.amazon.com/Unisex-Classic-Cushion-Football-Womens/dp/B072113Q96/ref=sr_1_6?keywords=Nike+Classic+II+OTC+Sock&amp;qid=1695171106&amp;sr=8-6")</f>
        <v/>
      </c>
      <c r="F2678" t="inlineStr">
        <is>
          <t>B072113Q96</t>
        </is>
      </c>
      <c r="G2678">
        <f>_xludf.IMAGE("https://www.soccerplususa.com/prodimages/6082-DEFAULT-l.jpg")</f>
        <v/>
      </c>
      <c r="H2678">
        <f>_xludf.IMAGE("https://m.media-amazon.com/images/I/51KFSviJnxL._AC_UL320_.jpg")</f>
        <v/>
      </c>
      <c r="K2678" t="inlineStr">
        <is>
          <t>11.95</t>
        </is>
      </c>
      <c r="L2678" t="n">
        <v>18.95</v>
      </c>
      <c r="M2678" s="1" t="inlineStr">
        <is>
          <t>58.58%</t>
        </is>
      </c>
      <c r="N2678" s="3" t="n">
        <v>58.58</v>
      </c>
      <c r="O2678" t="n">
        <v>4.5</v>
      </c>
      <c r="P2678" t="n">
        <v>74</v>
      </c>
      <c r="R2678" t="inlineStr">
        <is>
          <t>InStock</t>
        </is>
      </c>
      <c r="S2678" t="inlineStr">
        <is>
          <t>undefined</t>
        </is>
      </c>
      <c r="T2678" t="inlineStr">
        <is>
          <t>SX5728-739</t>
        </is>
      </c>
    </row>
    <row r="2679" hidden="1" ht="15.75" customHeight="1">
      <c r="A2679" s="2">
        <f>HYPERLINK("https://www.soccerplususa.com/nike/nike-classic-ii-otc-sock-27049", "https://www.soccerplususa.com/nike/nike-classic-ii-otc-sock-27049")</f>
        <v/>
      </c>
      <c r="B2679" t="inlineStr">
        <is>
          <t>undefined</t>
        </is>
      </c>
      <c r="C2679" t="inlineStr">
        <is>
          <t>Nike Classic II OTC Sock</t>
        </is>
      </c>
      <c r="D2679" t="inlineStr">
        <is>
          <t>Unisex Nike Classic II Cushion Over-the-Calf Football Sock, White, Men Size 6-8, Womens Size 6-10</t>
        </is>
      </c>
      <c r="E2679" s="2">
        <f>HYPERLINK("https://www.amazon.com/Unisex-Classic-Cushion-Football-Womens/dp/B072113Q96/ref=sr_1_6?keywords=Nike+Classic+II+OTC+Sock&amp;qid=1695171104&amp;sr=8-6", "https://www.amazon.com/Unisex-Classic-Cushion-Football-Womens/dp/B072113Q96/ref=sr_1_6?keywords=Nike+Classic+II+OTC+Sock&amp;qid=1695171104&amp;sr=8-6")</f>
        <v/>
      </c>
      <c r="F2679" t="inlineStr">
        <is>
          <t>B072113Q96</t>
        </is>
      </c>
      <c r="G2679">
        <f>_xludf.IMAGE("https://www.soccerplususa.com/prodimages/4442-DEFAULT-l.jpg")</f>
        <v/>
      </c>
      <c r="H2679">
        <f>_xludf.IMAGE("https://m.media-amazon.com/images/I/51KFSviJnxL._AC_UL320_.jpg")</f>
        <v/>
      </c>
      <c r="K2679" t="inlineStr">
        <is>
          <t>11.95</t>
        </is>
      </c>
      <c r="L2679" t="n">
        <v>18.95</v>
      </c>
      <c r="M2679" s="1" t="inlineStr">
        <is>
          <t>58.58%</t>
        </is>
      </c>
      <c r="N2679" s="3" t="n">
        <v>58.58</v>
      </c>
      <c r="O2679" t="n">
        <v>4.5</v>
      </c>
      <c r="P2679" t="n">
        <v>74</v>
      </c>
      <c r="R2679" t="inlineStr">
        <is>
          <t>InStock</t>
        </is>
      </c>
      <c r="S2679" t="inlineStr">
        <is>
          <t>undefined</t>
        </is>
      </c>
      <c r="T2679" t="inlineStr">
        <is>
          <t>SX5728-010</t>
        </is>
      </c>
    </row>
    <row r="2680" hidden="1" ht="15.75" customHeight="1">
      <c r="A2680" s="2">
        <f>HYPERLINK("https://www.soccerplususa.com/nike/nike-classic-ii-sock-35393", "https://www.soccerplususa.com/nike/nike-classic-ii-sock-35393")</f>
        <v/>
      </c>
      <c r="B2680" t="inlineStr">
        <is>
          <t>undefined</t>
        </is>
      </c>
      <c r="C2680" t="inlineStr">
        <is>
          <t>Nike Classic II Sock</t>
        </is>
      </c>
      <c r="D2680" t="inlineStr">
        <is>
          <t>Unisex Nike Classic II Cushion Over-the-Calf Football Sock, White, Men Size 6-8, Womens Size 6-10</t>
        </is>
      </c>
      <c r="E2680" s="2">
        <f>HYPERLINK("https://www.amazon.com/Unisex-Classic-Cushion-Football-Womens/dp/B072113Q96/ref=sr_1_5?keywords=Nike+Classic+II+Sock&amp;qid=1695171093&amp;sr=8-5", "https://www.amazon.com/Unisex-Classic-Cushion-Football-Womens/dp/B072113Q96/ref=sr_1_5?keywords=Nike+Classic+II+Sock&amp;qid=1695171093&amp;sr=8-5")</f>
        <v/>
      </c>
      <c r="F2680" t="inlineStr">
        <is>
          <t>B072113Q96</t>
        </is>
      </c>
      <c r="G2680">
        <f>_xludf.IMAGE("https://www.soccerplususa.com/prodimages/10668-DEFAULT-l.jpg")</f>
        <v/>
      </c>
      <c r="H2680">
        <f>_xludf.IMAGE("https://m.media-amazon.com/images/I/51KFSviJnxL._AC_UL320_.jpg")</f>
        <v/>
      </c>
      <c r="K2680" t="inlineStr">
        <is>
          <t>11.95</t>
        </is>
      </c>
      <c r="L2680" t="n">
        <v>18.95</v>
      </c>
      <c r="M2680" s="1" t="inlineStr">
        <is>
          <t>58.58%</t>
        </is>
      </c>
      <c r="N2680" s="3" t="n">
        <v>58.58</v>
      </c>
      <c r="O2680" t="n">
        <v>4.5</v>
      </c>
      <c r="P2680" t="n">
        <v>74</v>
      </c>
      <c r="R2680" t="inlineStr">
        <is>
          <t>InStock</t>
        </is>
      </c>
      <c r="S2680" t="inlineStr">
        <is>
          <t>undefined</t>
        </is>
      </c>
      <c r="T2680" t="inlineStr">
        <is>
          <t>SX5728-677</t>
        </is>
      </c>
    </row>
    <row r="2681" hidden="1" ht="15.75" customHeight="1">
      <c r="A2681" s="2">
        <f>HYPERLINK("https://www.soccerplususa.com/nike/nike-classic-ii-otc-sock-27051", "https://www.soccerplususa.com/nike/nike-classic-ii-otc-sock-27051")</f>
        <v/>
      </c>
      <c r="B2681" t="inlineStr">
        <is>
          <t>undefined</t>
        </is>
      </c>
      <c r="C2681" t="inlineStr">
        <is>
          <t>Nike Classic II OTC Sock</t>
        </is>
      </c>
      <c r="D2681" t="inlineStr">
        <is>
          <t>Unisex Nike Classic II Cushion Over-the-Calf Football Sock, White, Men Size 6-8, Womens Size 6-10</t>
        </is>
      </c>
      <c r="E2681" s="2">
        <f>HYPERLINK("https://www.amazon.com/Unisex-Classic-Cushion-Football-Womens/dp/B072113Q96/ref=sr_1_6?keywords=Nike+Classic+II+OTC+Sock&amp;qid=1695171109&amp;sr=8-6", "https://www.amazon.com/Unisex-Classic-Cushion-Football-Womens/dp/B072113Q96/ref=sr_1_6?keywords=Nike+Classic+II+OTC+Sock&amp;qid=1695171109&amp;sr=8-6")</f>
        <v/>
      </c>
      <c r="F2681" t="inlineStr">
        <is>
          <t>B072113Q96</t>
        </is>
      </c>
      <c r="G2681">
        <f>_xludf.IMAGE("https://www.soccerplususa.com/prodimages/4443-DEFAULT-l.jpg")</f>
        <v/>
      </c>
      <c r="H2681">
        <f>_xludf.IMAGE("https://m.media-amazon.com/images/I/51KFSviJnxL._AC_UL320_.jpg")</f>
        <v/>
      </c>
      <c r="K2681" t="inlineStr">
        <is>
          <t>11.95</t>
        </is>
      </c>
      <c r="L2681" t="n">
        <v>18.95</v>
      </c>
      <c r="M2681" s="1" t="inlineStr">
        <is>
          <t>58.58%</t>
        </is>
      </c>
      <c r="N2681" s="3" t="n">
        <v>58.58</v>
      </c>
      <c r="O2681" t="n">
        <v>4.5</v>
      </c>
      <c r="P2681" t="n">
        <v>74</v>
      </c>
      <c r="R2681" t="inlineStr">
        <is>
          <t>InStock</t>
        </is>
      </c>
      <c r="S2681" t="inlineStr">
        <is>
          <t>undefined</t>
        </is>
      </c>
      <c r="T2681" t="inlineStr">
        <is>
          <t>SX5728-100</t>
        </is>
      </c>
    </row>
    <row r="2682" hidden="1" ht="15.75" customHeight="1">
      <c r="A2682" s="2">
        <f>HYPERLINK("https://www.soccerplususa.com/nike/nike-academy-overthecalf-soccer-socks-40507", "https://www.soccerplususa.com/nike/nike-academy-overthecalf-soccer-socks-40507")</f>
        <v/>
      </c>
      <c r="B2682" t="inlineStr">
        <is>
          <t>undefined</t>
        </is>
      </c>
      <c r="C2682" t="inlineStr">
        <is>
          <t>Nike Academy Over-The-Calf Soccer Socks</t>
        </is>
      </c>
      <c r="D2682" t="inlineStr">
        <is>
          <t>Nike Squad Over The Calf Socks White M</t>
        </is>
      </c>
      <c r="E2682" s="2">
        <f>HYPERLINK("https://www.amazon.com/Nike-Squad-Over-Socks-White/dp/B00KMHRK3Q/ref=sr_1_3?keywords=Nike+Academy+Over-The-Calf+Soccer+Socks&amp;qid=1695171096&amp;sr=8-3", "https://www.amazon.com/Nike-Squad-Over-Socks-White/dp/B00KMHRK3Q/ref=sr_1_3?keywords=Nike+Academy+Over-The-Calf+Soccer+Socks&amp;qid=1695171096&amp;sr=8-3")</f>
        <v/>
      </c>
      <c r="F2682" t="inlineStr">
        <is>
          <t>B00KMHRK3Q</t>
        </is>
      </c>
      <c r="G2682">
        <f>_xludf.IMAGE("https://www.soccerplususa.com/prodimages/34332-DEFAULT-l.jpg")</f>
        <v/>
      </c>
      <c r="H2682">
        <f>_xludf.IMAGE("https://m.media-amazon.com/images/I/516a2Hf3rwL._AC_UL320_.jpg")</f>
        <v/>
      </c>
      <c r="K2682" t="inlineStr">
        <is>
          <t>11.95</t>
        </is>
      </c>
      <c r="L2682" t="n">
        <v>18.7</v>
      </c>
      <c r="M2682" s="1" t="inlineStr">
        <is>
          <t>56.49%</t>
        </is>
      </c>
      <c r="N2682" s="3" t="n">
        <v>56.49</v>
      </c>
      <c r="O2682" t="n">
        <v>4.8</v>
      </c>
      <c r="P2682" t="n">
        <v>14</v>
      </c>
      <c r="R2682" t="inlineStr">
        <is>
          <t>InStock</t>
        </is>
      </c>
      <c r="S2682" t="inlineStr">
        <is>
          <t>undefined</t>
        </is>
      </c>
      <c r="T2682" t="inlineStr">
        <is>
          <t>SX4120-671</t>
        </is>
      </c>
    </row>
    <row r="2683" hidden="1" ht="15.75" customHeight="1">
      <c r="A2683" s="2">
        <f>HYPERLINK("https://www.soccerplususa.com/nike/nike-academy-overthecalf-soccer-socks-40506", "https://www.soccerplususa.com/nike/nike-academy-overthecalf-soccer-socks-40506")</f>
        <v/>
      </c>
      <c r="B2683" t="inlineStr">
        <is>
          <t>undefined</t>
        </is>
      </c>
      <c r="C2683" t="inlineStr">
        <is>
          <t>Nike Academy Over-The-Calf Soccer Socks</t>
        </is>
      </c>
      <c r="D2683" t="inlineStr">
        <is>
          <t>Nike Squad Over The Calf Socks White M</t>
        </is>
      </c>
      <c r="E2683" s="2">
        <f>HYPERLINK("https://www.amazon.com/Nike-Squad-Over-Socks-White/dp/B00KMHRK3Q/ref=sr_1_4?keywords=Nike+Academy+Over-The-Calf+Soccer+Socks&amp;qid=1695171083&amp;sr=8-4", "https://www.amazon.com/Nike-Squad-Over-Socks-White/dp/B00KMHRK3Q/ref=sr_1_4?keywords=Nike+Academy+Over-The-Calf+Soccer+Socks&amp;qid=1695171083&amp;sr=8-4")</f>
        <v/>
      </c>
      <c r="F2683" t="inlineStr">
        <is>
          <t>B00KMHRK3Q</t>
        </is>
      </c>
      <c r="G2683">
        <f>_xludf.IMAGE("https://www.soccerplususa.com/prodimages/34331-DEFAULT-l.jpg")</f>
        <v/>
      </c>
      <c r="H2683">
        <f>_xludf.IMAGE("https://m.media-amazon.com/images/I/516a2Hf3rwL._AC_UL320_.jpg")</f>
        <v/>
      </c>
      <c r="K2683" t="inlineStr">
        <is>
          <t>11.95</t>
        </is>
      </c>
      <c r="L2683" t="n">
        <v>18.7</v>
      </c>
      <c r="M2683" s="1" t="inlineStr">
        <is>
          <t>56.49%</t>
        </is>
      </c>
      <c r="N2683" s="3" t="n">
        <v>56.49</v>
      </c>
      <c r="O2683" t="n">
        <v>4.8</v>
      </c>
      <c r="P2683" t="n">
        <v>14</v>
      </c>
      <c r="R2683" t="inlineStr">
        <is>
          <t>InStock</t>
        </is>
      </c>
      <c r="S2683" t="inlineStr">
        <is>
          <t>undefined</t>
        </is>
      </c>
      <c r="T2683" t="inlineStr">
        <is>
          <t>SX4120-617</t>
        </is>
      </c>
    </row>
    <row r="2684" hidden="1" ht="15.75" customHeight="1">
      <c r="A2684" s="2">
        <f>HYPERLINK("https://www.soccerplususa.com/adidas/adidas-alphaskin-20-headband-42960", "https://www.soccerplususa.com/adidas/adidas-alphaskin-20-headband-42960")</f>
        <v/>
      </c>
      <c r="B2684" t="inlineStr">
        <is>
          <t>undefined</t>
        </is>
      </c>
      <c r="C2684" t="inlineStr">
        <is>
          <t>adidas Alphaskin 2.0 Headband</t>
        </is>
      </c>
      <c r="D2684" t="inlineStr">
        <is>
          <t>adidas unisex-adult Alphaskin Headband</t>
        </is>
      </c>
      <c r="E2684" s="2">
        <f>HYPERLINK("https://www.amazon.com/adidas-Alphaskin-Headband-Silver-Reflective/dp/B08SJFJHMP/ref=sr_1_9?keywords=adidas+Alphaskin+2.0+Headband&amp;qid=1695171082&amp;sr=8-9", "https://www.amazon.com/adidas-Alphaskin-Headband-Silver-Reflective/dp/B08SJFJHMP/ref=sr_1_9?keywords=adidas+Alphaskin+2.0+Headband&amp;qid=1695171082&amp;sr=8-9")</f>
        <v/>
      </c>
      <c r="F2684" t="inlineStr">
        <is>
          <t>B08SJFJHMP</t>
        </is>
      </c>
      <c r="G2684">
        <f>_xludf.IMAGE("https://www.soccerplususa.com/prodimages//35442-ROYALBLACK-M.jpg")</f>
        <v/>
      </c>
      <c r="H2684">
        <f>_xludf.IMAGE("https://m.media-amazon.com/images/I/715KVtACaaS._AC_UL320_.jpg")</f>
        <v/>
      </c>
      <c r="K2684" t="inlineStr">
        <is>
          <t>14.95</t>
        </is>
      </c>
      <c r="L2684" t="n">
        <v>23.19</v>
      </c>
      <c r="M2684" s="1" t="inlineStr">
        <is>
          <t>55.12%</t>
        </is>
      </c>
      <c r="N2684" s="3" t="n">
        <v>55.12</v>
      </c>
      <c r="O2684" t="n">
        <v>4.6</v>
      </c>
      <c r="P2684" t="n">
        <v>159</v>
      </c>
      <c r="R2684" t="inlineStr">
        <is>
          <t>InStock</t>
        </is>
      </c>
      <c r="S2684" t="inlineStr">
        <is>
          <t>undefined</t>
        </is>
      </c>
      <c r="T2684" t="inlineStr">
        <is>
          <t>5152501</t>
        </is>
      </c>
    </row>
    <row r="2685" hidden="1" ht="15.75" customHeight="1">
      <c r="A2685" s="2">
        <f>HYPERLINK("https://www.soccerplususa.com/adidas/adidas-alphaskin-20-headband-42959", "https://www.soccerplususa.com/adidas/adidas-alphaskin-20-headband-42959")</f>
        <v/>
      </c>
      <c r="B2685" t="inlineStr">
        <is>
          <t>undefined</t>
        </is>
      </c>
      <c r="C2685" t="inlineStr">
        <is>
          <t>adidas Alphaskin 2.0 Headband</t>
        </is>
      </c>
      <c r="D2685" t="inlineStr">
        <is>
          <t>adidas unisex-adult Alphaskin Headband</t>
        </is>
      </c>
      <c r="E2685" s="2">
        <f>HYPERLINK("https://www.amazon.com/adidas-Alphaskin-Headband-Silver-Reflective/dp/B08SJFJHMP/ref=sr_1_9?keywords=adidas+Alphaskin+2.0+Headband&amp;qid=1695171083&amp;sr=8-9", "https://www.amazon.com/adidas-Alphaskin-Headband-Silver-Reflective/dp/B08SJFJHMP/ref=sr_1_9?keywords=adidas+Alphaskin+2.0+Headband&amp;qid=1695171083&amp;sr=8-9")</f>
        <v/>
      </c>
      <c r="F2685" t="inlineStr">
        <is>
          <t>B08SJFJHMP</t>
        </is>
      </c>
      <c r="G2685">
        <f>_xludf.IMAGE("https://www.soccerplususa.com/prodimages//35443-BLACKWHITE-M.jpg")</f>
        <v/>
      </c>
      <c r="H2685">
        <f>_xludf.IMAGE("https://m.media-amazon.com/images/I/715KVtACaaS._AC_UL320_.jpg")</f>
        <v/>
      </c>
      <c r="K2685" t="inlineStr">
        <is>
          <t>14.95</t>
        </is>
      </c>
      <c r="L2685" t="n">
        <v>23.19</v>
      </c>
      <c r="M2685" s="1" t="inlineStr">
        <is>
          <t>55.12%</t>
        </is>
      </c>
      <c r="N2685" s="3" t="n">
        <v>55.12</v>
      </c>
      <c r="O2685" t="n">
        <v>4.6</v>
      </c>
      <c r="P2685" t="n">
        <v>159</v>
      </c>
      <c r="R2685" t="inlineStr">
        <is>
          <t>InStock</t>
        </is>
      </c>
      <c r="S2685" t="inlineStr">
        <is>
          <t>undefined</t>
        </is>
      </c>
      <c r="T2685" t="inlineStr">
        <is>
          <t>5152498</t>
        </is>
      </c>
    </row>
    <row r="2686" hidden="1" ht="15.75" customHeight="1">
      <c r="A2686" s="2">
        <f>HYPERLINK("https://www.soccerplususa.com/adidas/adidas-alphaskin-20-headband-42961", "https://www.soccerplususa.com/adidas/adidas-alphaskin-20-headband-42961")</f>
        <v/>
      </c>
      <c r="B2686" t="inlineStr">
        <is>
          <t>undefined</t>
        </is>
      </c>
      <c r="C2686" t="inlineStr">
        <is>
          <t>adidas Alphaskin 2.0 Headband</t>
        </is>
      </c>
      <c r="D2686" t="inlineStr">
        <is>
          <t>adidas unisex-adult Alphaskin Headband</t>
        </is>
      </c>
      <c r="E2686" s="2">
        <f>HYPERLINK("https://www.amazon.com/adidas-Alphaskin-Headband-Silver-Reflective/dp/B08SJFJHMP/ref=sr_1_9?keywords=adidas+Alphaskin+2.0+Headband&amp;qid=1695171083&amp;sr=8-9", "https://www.amazon.com/adidas-Alphaskin-Headband-Silver-Reflective/dp/B08SJFJHMP/ref=sr_1_9?keywords=adidas+Alphaskin+2.0+Headband&amp;qid=1695171083&amp;sr=8-9")</f>
        <v/>
      </c>
      <c r="F2686" t="inlineStr">
        <is>
          <t>B08SJFJHMP</t>
        </is>
      </c>
      <c r="G2686">
        <f>_xludf.IMAGE("https://www.soccerplususa.com/prodimages//35444-REDBLACK-M.jpg")</f>
        <v/>
      </c>
      <c r="H2686">
        <f>_xludf.IMAGE("https://m.media-amazon.com/images/I/715KVtACaaS._AC_UL320_.jpg")</f>
        <v/>
      </c>
      <c r="K2686" t="inlineStr">
        <is>
          <t>14.95</t>
        </is>
      </c>
      <c r="L2686" t="n">
        <v>23.19</v>
      </c>
      <c r="M2686" s="1" t="inlineStr">
        <is>
          <t>55.12%</t>
        </is>
      </c>
      <c r="N2686" s="3" t="n">
        <v>55.12</v>
      </c>
      <c r="O2686" t="n">
        <v>4.6</v>
      </c>
      <c r="P2686" t="n">
        <v>159</v>
      </c>
      <c r="R2686" t="inlineStr">
        <is>
          <t>InStock</t>
        </is>
      </c>
      <c r="S2686" t="inlineStr">
        <is>
          <t>undefined</t>
        </is>
      </c>
      <c r="T2686" t="inlineStr">
        <is>
          <t>5152500</t>
        </is>
      </c>
    </row>
    <row r="2687" hidden="1" ht="15.75" customHeight="1">
      <c r="A2687" s="2">
        <f>HYPERLINK("https://www.soccerplususa.com/puma/puma-team-soccer-sock-29694", "https://www.soccerplususa.com/puma/puma-team-soccer-sock-29694")</f>
        <v/>
      </c>
      <c r="B2687" t="inlineStr">
        <is>
          <t>undefined</t>
        </is>
      </c>
      <c r="C2687" t="inlineStr">
        <is>
          <t>Puma Team Soccer Sock</t>
        </is>
      </c>
      <c r="D2687" t="inlineStr">
        <is>
          <t>PUMA Men's Team Liga Socks</t>
        </is>
      </c>
      <c r="E2687" s="2">
        <f>HYPERLINK("https://www.amazon.com/PUMA-Socks-Blackpuma-White-3-5-6/dp/B07KX4BLQJ/ref=sr_1_1?keywords=Puma+Team+Soccer+Sock&amp;qid=1695171097&amp;sr=8-1", "https://www.amazon.com/PUMA-Socks-Blackpuma-White-3-5-6/dp/B07KX4BLQJ/ref=sr_1_1?keywords=Puma+Team+Soccer+Sock&amp;qid=1695171097&amp;sr=8-1")</f>
        <v/>
      </c>
      <c r="F2687" t="inlineStr">
        <is>
          <t>B07KX4BLQJ</t>
        </is>
      </c>
      <c r="G2687">
        <f>_xludf.IMAGE("https://www.soccerplususa.com/prodimages/2609-DEFAULT-l.jpg")</f>
        <v/>
      </c>
      <c r="H2687">
        <f>_xludf.IMAGE("https://m.media-amazon.com/images/I/71-WWG5q4nL._AC_UL320_.jpg")</f>
        <v/>
      </c>
      <c r="K2687" t="inlineStr">
        <is>
          <t>7.95</t>
        </is>
      </c>
      <c r="L2687" t="n">
        <v>12</v>
      </c>
      <c r="M2687" s="1" t="inlineStr">
        <is>
          <t>50.94%</t>
        </is>
      </c>
      <c r="N2687" s="3" t="n">
        <v>50.94</v>
      </c>
      <c r="O2687" t="n">
        <v>4.5</v>
      </c>
      <c r="P2687" t="n">
        <v>711</v>
      </c>
      <c r="R2687" t="inlineStr">
        <is>
          <t>InStock</t>
        </is>
      </c>
      <c r="S2687" t="inlineStr">
        <is>
          <t>undefined</t>
        </is>
      </c>
      <c r="T2687" t="inlineStr">
        <is>
          <t>890420-08</t>
        </is>
      </c>
    </row>
    <row r="2688" hidden="1" ht="15.75" customHeight="1">
      <c r="A2688" s="2">
        <f>HYPERLINK("https://www.soccerplususa.com/adidas/adidas-alphaskin-tie-headband-43150", "https://www.soccerplususa.com/adidas/adidas-alphaskin-tie-headband-43150")</f>
        <v/>
      </c>
      <c r="B2688" t="inlineStr">
        <is>
          <t>undefined</t>
        </is>
      </c>
      <c r="C2688" t="inlineStr">
        <is>
          <t>adidas Alphaskin Tie Headband</t>
        </is>
      </c>
      <c r="D2688" t="inlineStr">
        <is>
          <t>adidas Alphaskin 2.0 Elastic Headband, Stone Wash Grey/White, One Size</t>
        </is>
      </c>
      <c r="E2688" s="2">
        <f>HYPERLINK("https://www.amazon.com/adidas-Alphaskin-Elastic-Headband-Stone/dp/B09FR7DSJ6/ref=sr_1_2?keywords=adidas+Alphaskin+Tie+Headband&amp;qid=1695171083&amp;sr=8-2", "https://www.amazon.com/adidas-Alphaskin-Elastic-Headband-Stone/dp/B09FR7DSJ6/ref=sr_1_2?keywords=adidas+Alphaskin+Tie+Headband&amp;qid=1695171083&amp;sr=8-2")</f>
        <v/>
      </c>
      <c r="F2688" t="inlineStr">
        <is>
          <t>B09FR7DSJ6</t>
        </is>
      </c>
      <c r="G2688">
        <f>_xludf.IMAGE("https://www.soccerplususa.com/prodimages//36807-BLACKWHITE-M.jpg")</f>
        <v/>
      </c>
      <c r="H2688">
        <f>_xludf.IMAGE("https://m.media-amazon.com/images/I/71BLH+CsSuL._AC_UL320_.jpg")</f>
        <v/>
      </c>
      <c r="K2688" t="inlineStr">
        <is>
          <t>9.95</t>
        </is>
      </c>
      <c r="L2688" t="n">
        <v>15</v>
      </c>
      <c r="M2688" s="1" t="inlineStr">
        <is>
          <t>50.75%</t>
        </is>
      </c>
      <c r="N2688" s="3" t="n">
        <v>50.75</v>
      </c>
      <c r="O2688" t="n">
        <v>4.5</v>
      </c>
      <c r="P2688" t="n">
        <v>23</v>
      </c>
      <c r="R2688" t="inlineStr">
        <is>
          <t>InStock</t>
        </is>
      </c>
      <c r="S2688" t="inlineStr">
        <is>
          <t>undefined</t>
        </is>
      </c>
      <c r="T2688" t="inlineStr">
        <is>
          <t>5147633</t>
        </is>
      </c>
    </row>
    <row r="2689" hidden="1" ht="15.75" customHeight="1">
      <c r="A2689" s="2">
        <f>HYPERLINK("https://www.soccerplususa.com/premier-sock-tape/pro-crew-sock-37590", "https://www.soccerplususa.com/premier-sock-tape/pro-crew-sock-37590")</f>
        <v/>
      </c>
      <c r="B2689" t="inlineStr">
        <is>
          <t>undefined</t>
        </is>
      </c>
      <c r="C2689" t="inlineStr">
        <is>
          <t>Pro Crew Sock</t>
        </is>
      </c>
      <c r="D2689" t="inlineStr">
        <is>
          <t>Pro Feet Performance Colored Crews Socks, Black, Medium</t>
        </is>
      </c>
      <c r="E2689" s="2">
        <f>HYPERLINK("https://www.amazon.com/Pro-Feet-Performance-Colored-Medium/dp/B071X93ZKM/ref=sr_1_4?keywords=Pro+Crew+Sock&amp;qid=1695171090&amp;sr=8-4", "https://www.amazon.com/Pro-Feet-Performance-Colored-Medium/dp/B071X93ZKM/ref=sr_1_4?keywords=Pro+Crew+Sock&amp;qid=1695171090&amp;sr=8-4")</f>
        <v/>
      </c>
      <c r="F2689" t="inlineStr">
        <is>
          <t>B071X93ZKM</t>
        </is>
      </c>
      <c r="G2689">
        <f>_xludf.IMAGE("https://www.soccerplususa.com/prodimages/10571-DEFAULT-l.jpg")</f>
        <v/>
      </c>
      <c r="H2689">
        <f>_xludf.IMAGE("https://m.media-amazon.com/images/I/91yMdnHWbdL._AC_UL320_.jpg")</f>
        <v/>
      </c>
      <c r="K2689" t="inlineStr">
        <is>
          <t>9.95</t>
        </is>
      </c>
      <c r="L2689" t="n">
        <v>15</v>
      </c>
      <c r="M2689" s="1" t="inlineStr">
        <is>
          <t>50.75%</t>
        </is>
      </c>
      <c r="N2689" s="3" t="n">
        <v>50.75</v>
      </c>
      <c r="O2689" t="n">
        <v>3.1</v>
      </c>
      <c r="P2689" t="n">
        <v>2</v>
      </c>
      <c r="R2689" t="inlineStr">
        <is>
          <t>InStock</t>
        </is>
      </c>
      <c r="S2689" t="inlineStr">
        <is>
          <t>undefined</t>
        </is>
      </c>
      <c r="T2689" t="inlineStr">
        <is>
          <t>PCSOCK</t>
        </is>
      </c>
    </row>
    <row r="2690" hidden="1" ht="15.75" customHeight="1">
      <c r="A2690" s="2">
        <f>HYPERLINK("https://www.soccerplususa.com/adidas/adidas-alphaskin-tie-headband-43153", "https://www.soccerplususa.com/adidas/adidas-alphaskin-tie-headband-43153")</f>
        <v/>
      </c>
      <c r="B2690" t="inlineStr">
        <is>
          <t>undefined</t>
        </is>
      </c>
      <c r="C2690" t="inlineStr">
        <is>
          <t>adidas Alphaskin Tie Headband</t>
        </is>
      </c>
      <c r="D2690" t="inlineStr">
        <is>
          <t>adidas Alphaskin 2.0 Elastic Headband, Stone Wash Grey/White, One Size</t>
        </is>
      </c>
      <c r="E2690" s="2">
        <f>HYPERLINK("https://www.amazon.com/adidas-Alphaskin-Elastic-Headband-Stone/dp/B09FR7DSJ6/ref=sr_1_2?keywords=adidas+Alphaskin+Tie+Headband&amp;qid=1695171084&amp;sr=8-2", "https://www.amazon.com/adidas-Alphaskin-Elastic-Headband-Stone/dp/B09FR7DSJ6/ref=sr_1_2?keywords=adidas+Alphaskin+Tie+Headband&amp;qid=1695171084&amp;sr=8-2")</f>
        <v/>
      </c>
      <c r="F2690" t="inlineStr">
        <is>
          <t>B09FR7DSJ6</t>
        </is>
      </c>
      <c r="G2690">
        <f>_xludf.IMAGE("https://www.soccerplususa.com/prodimages//36805-ROYALWHITE-M.jpg")</f>
        <v/>
      </c>
      <c r="H2690">
        <f>_xludf.IMAGE("https://m.media-amazon.com/images/I/71BLH+CsSuL._AC_UL320_.jpg")</f>
        <v/>
      </c>
      <c r="K2690" t="inlineStr">
        <is>
          <t>9.95</t>
        </is>
      </c>
      <c r="L2690" t="n">
        <v>15</v>
      </c>
      <c r="M2690" s="1" t="inlineStr">
        <is>
          <t>50.75%</t>
        </is>
      </c>
      <c r="N2690" s="3" t="n">
        <v>50.75</v>
      </c>
      <c r="O2690" t="n">
        <v>4.5</v>
      </c>
      <c r="P2690" t="n">
        <v>23</v>
      </c>
      <c r="R2690" t="inlineStr">
        <is>
          <t>InStock</t>
        </is>
      </c>
      <c r="S2690" t="inlineStr">
        <is>
          <t>undefined</t>
        </is>
      </c>
      <c r="T2690" t="inlineStr">
        <is>
          <t>5147678</t>
        </is>
      </c>
    </row>
    <row r="2691" hidden="1" ht="15.75" customHeight="1">
      <c r="A2691" s="2">
        <f>HYPERLINK("https://www.soccerplususa.com/nike/nike-classic-ii-otc-sock-27051", "https://www.soccerplususa.com/nike/nike-classic-ii-otc-sock-27051")</f>
        <v/>
      </c>
      <c r="B2691" t="inlineStr">
        <is>
          <t>undefined</t>
        </is>
      </c>
      <c r="C2691" t="inlineStr">
        <is>
          <t>Nike Classic II OTC Sock</t>
        </is>
      </c>
      <c r="D2691" t="inlineStr">
        <is>
          <t>Nike Unisex Classic II Cushion Over-the-Calf Socks nkSX5728 460 (Game Royal/White, X-Large)</t>
        </is>
      </c>
      <c r="E2691" s="2">
        <f>HYPERLINK("https://www.amazon.com/Unisex-Classic-Cushion-nkSX5728-X-Large/dp/B01GQMXC4Q/ref=sr_1_3?keywords=Nike+Classic+II+OTC+Sock&amp;qid=1695171109&amp;sr=8-3", "https://www.amazon.com/Unisex-Classic-Cushion-nkSX5728-X-Large/dp/B01GQMXC4Q/ref=sr_1_3?keywords=Nike+Classic+II+OTC+Sock&amp;qid=1695171109&amp;sr=8-3")</f>
        <v/>
      </c>
      <c r="F2691" t="inlineStr">
        <is>
          <t>B01GQMXC4Q</t>
        </is>
      </c>
      <c r="G2691">
        <f>_xludf.IMAGE("https://www.soccerplususa.com/prodimages/4443-DEFAULT-l.jpg")</f>
        <v/>
      </c>
      <c r="H2691">
        <f>_xludf.IMAGE("https://m.media-amazon.com/images/I/71rC9FhT01L._AC_UL320_.jpg")</f>
        <v/>
      </c>
      <c r="K2691" t="inlineStr">
        <is>
          <t>11.95</t>
        </is>
      </c>
      <c r="L2691" t="n">
        <v>18</v>
      </c>
      <c r="M2691" s="1" t="inlineStr">
        <is>
          <t>50.63%</t>
        </is>
      </c>
      <c r="N2691" s="3" t="n">
        <v>50.63</v>
      </c>
      <c r="O2691" t="n">
        <v>5</v>
      </c>
      <c r="P2691" t="n">
        <v>8</v>
      </c>
      <c r="R2691" t="inlineStr">
        <is>
          <t>InStock</t>
        </is>
      </c>
      <c r="S2691" t="inlineStr">
        <is>
          <t>undefined</t>
        </is>
      </c>
      <c r="T2691" t="inlineStr">
        <is>
          <t>SX5728-100</t>
        </is>
      </c>
    </row>
    <row r="2692" hidden="1" ht="15.75" customHeight="1">
      <c r="A2692" s="2">
        <f>HYPERLINK("https://www.soccerplususa.com/nike/nike-classic-ii-otc-sock-37537", "https://www.soccerplususa.com/nike/nike-classic-ii-otc-sock-37537")</f>
        <v/>
      </c>
      <c r="B2692" t="inlineStr">
        <is>
          <t>undefined</t>
        </is>
      </c>
      <c r="C2692" t="inlineStr">
        <is>
          <t>Nike Classic II OTC Sock</t>
        </is>
      </c>
      <c r="D2692" t="inlineStr">
        <is>
          <t>Nike Unisex Classic II Cushion Over-the-Calf Socks nkSX5728 460 (Game Royal/White, X-Large)</t>
        </is>
      </c>
      <c r="E2692" s="2">
        <f>HYPERLINK("https://www.amazon.com/Unisex-Classic-Cushion-nkSX5728-X-Large/dp/B01GQMXC4Q/ref=sr_1_3?keywords=Nike+Classic+II+OTC+Sock&amp;qid=1695171095&amp;sr=8-3", "https://www.amazon.com/Unisex-Classic-Cushion-nkSX5728-X-Large/dp/B01GQMXC4Q/ref=sr_1_3?keywords=Nike+Classic+II+OTC+Sock&amp;qid=1695171095&amp;sr=8-3")</f>
        <v/>
      </c>
      <c r="F2692" t="inlineStr">
        <is>
          <t>B01GQMXC4Q</t>
        </is>
      </c>
      <c r="G2692">
        <f>_xludf.IMAGE("https://www.soccerplususa.com/prodimages/10669-DEFAULT-l.jpg")</f>
        <v/>
      </c>
      <c r="H2692">
        <f>_xludf.IMAGE("https://m.media-amazon.com/images/I/71rC9FhT01L._AC_UL320_.jpg")</f>
        <v/>
      </c>
      <c r="K2692" t="inlineStr">
        <is>
          <t>11.95</t>
        </is>
      </c>
      <c r="L2692" t="n">
        <v>18</v>
      </c>
      <c r="M2692" s="1" t="inlineStr">
        <is>
          <t>50.63%</t>
        </is>
      </c>
      <c r="N2692" s="3" t="n">
        <v>50.63</v>
      </c>
      <c r="O2692" t="n">
        <v>5</v>
      </c>
      <c r="P2692" t="n">
        <v>8</v>
      </c>
      <c r="R2692" t="inlineStr">
        <is>
          <t>InStock</t>
        </is>
      </c>
      <c r="S2692" t="inlineStr">
        <is>
          <t>undefined</t>
        </is>
      </c>
      <c r="T2692" t="inlineStr">
        <is>
          <t>SX5728-816</t>
        </is>
      </c>
    </row>
    <row r="2693" hidden="1" ht="15.75" customHeight="1">
      <c r="A2693" s="2">
        <f>HYPERLINK("https://www.soccerplususa.com/nike/nike-classic-ii-otc-sock-27061", "https://www.soccerplususa.com/nike/nike-classic-ii-otc-sock-27061")</f>
        <v/>
      </c>
      <c r="B2693" t="inlineStr">
        <is>
          <t>undefined</t>
        </is>
      </c>
      <c r="C2693" t="inlineStr">
        <is>
          <t>Nike Classic II OTC Sock</t>
        </is>
      </c>
      <c r="D2693" t="inlineStr">
        <is>
          <t>Nike Unisex Classic II Cushion Over-the-Calf Socks nkSX5728 460 (Game Royal/White, X-Large)</t>
        </is>
      </c>
      <c r="E2693" s="2">
        <f>HYPERLINK("https://www.amazon.com/Unisex-Classic-Cushion-nkSX5728-X-Large/dp/B01GQMXC4Q/ref=sr_1_3?keywords=Nike+Classic+II+OTC+Sock&amp;qid=1695171106&amp;sr=8-3", "https://www.amazon.com/Unisex-Classic-Cushion-nkSX5728-X-Large/dp/B01GQMXC4Q/ref=sr_1_3?keywords=Nike+Classic+II+OTC+Sock&amp;qid=1695171106&amp;sr=8-3")</f>
        <v/>
      </c>
      <c r="F2693" t="inlineStr">
        <is>
          <t>B01GQMXC4Q</t>
        </is>
      </c>
      <c r="G2693">
        <f>_xludf.IMAGE("https://www.soccerplususa.com/prodimages/6082-DEFAULT-l.jpg")</f>
        <v/>
      </c>
      <c r="H2693">
        <f>_xludf.IMAGE("https://m.media-amazon.com/images/I/71rC9FhT01L._AC_UL320_.jpg")</f>
        <v/>
      </c>
      <c r="K2693" t="inlineStr">
        <is>
          <t>11.95</t>
        </is>
      </c>
      <c r="L2693" t="n">
        <v>18</v>
      </c>
      <c r="M2693" s="1" t="inlineStr">
        <is>
          <t>50.63%</t>
        </is>
      </c>
      <c r="N2693" s="3" t="n">
        <v>50.63</v>
      </c>
      <c r="O2693" t="n">
        <v>5</v>
      </c>
      <c r="P2693" t="n">
        <v>8</v>
      </c>
      <c r="R2693" t="inlineStr">
        <is>
          <t>InStock</t>
        </is>
      </c>
      <c r="S2693" t="inlineStr">
        <is>
          <t>undefined</t>
        </is>
      </c>
      <c r="T2693" t="inlineStr">
        <is>
          <t>SX5728-739</t>
        </is>
      </c>
    </row>
    <row r="2694" hidden="1" ht="15.75" customHeight="1">
      <c r="A2694" s="2">
        <f>HYPERLINK("https://www.soccerplususa.com/nike/nike-academy-otc-soccer-sock-26954", "https://www.soccerplususa.com/nike/nike-academy-otc-soccer-sock-26954")</f>
        <v/>
      </c>
      <c r="B2694" t="inlineStr">
        <is>
          <t>undefined</t>
        </is>
      </c>
      <c r="C2694" t="inlineStr">
        <is>
          <t>Nike Academy OTC Soccer Sock</t>
        </is>
      </c>
      <c r="D2694" t="inlineStr">
        <is>
          <t>Nike Academy Over the Calf Soccer Socks (Medium, Team Red/White)</t>
        </is>
      </c>
      <c r="E2694" s="2">
        <f>HYPERLINK("https://www.amazon.com/Nike-Academy-Soccer-Socks-Medium/dp/B01A76B6M2/ref=sr_1_5?keywords=Nike+Academy+OTC+Soccer+Sock&amp;qid=1695171124&amp;sr=8-5", "https://www.amazon.com/Nike-Academy-Soccer-Socks-Medium/dp/B01A76B6M2/ref=sr_1_5?keywords=Nike+Academy+OTC+Soccer+Sock&amp;qid=1695171124&amp;sr=8-5")</f>
        <v/>
      </c>
      <c r="F2694" t="inlineStr">
        <is>
          <t>B01A76B6M2</t>
        </is>
      </c>
      <c r="G2694">
        <f>_xludf.IMAGE("https://www.soccerplususa.com/prodimages/3368-DEFAULT-l.jpg")</f>
        <v/>
      </c>
      <c r="H2694">
        <f>_xludf.IMAGE("https://m.media-amazon.com/images/I/81H74OJv8GL._AC_UL320_.jpg")</f>
        <v/>
      </c>
      <c r="K2694" t="inlineStr">
        <is>
          <t>11.95</t>
        </is>
      </c>
      <c r="L2694" t="n">
        <v>18</v>
      </c>
      <c r="M2694" s="1" t="inlineStr">
        <is>
          <t>50.63%</t>
        </is>
      </c>
      <c r="N2694" s="3" t="n">
        <v>50.63</v>
      </c>
      <c r="O2694" t="n">
        <v>4.5</v>
      </c>
      <c r="P2694" t="n">
        <v>12</v>
      </c>
      <c r="R2694" t="inlineStr">
        <is>
          <t>InStock</t>
        </is>
      </c>
      <c r="S2694" t="inlineStr">
        <is>
          <t>undefined</t>
        </is>
      </c>
      <c r="T2694" t="inlineStr">
        <is>
          <t>SX4120-001</t>
        </is>
      </c>
    </row>
    <row r="2695" hidden="1" ht="15.75" customHeight="1">
      <c r="A2695" s="2">
        <f>HYPERLINK("https://www.soccerplususa.com/nike/nike-classic-ii-otc-sock-27057", "https://www.soccerplususa.com/nike/nike-classic-ii-otc-sock-27057")</f>
        <v/>
      </c>
      <c r="B2695" t="inlineStr">
        <is>
          <t>undefined</t>
        </is>
      </c>
      <c r="C2695" t="inlineStr">
        <is>
          <t>Nike Classic II OTC Sock</t>
        </is>
      </c>
      <c r="D2695" t="inlineStr">
        <is>
          <t>Nike Unisex Classic II Cushion Over-the-Calf Socks nkSX5728 460 (Game Royal/White, X-Large)</t>
        </is>
      </c>
      <c r="E2695" s="2">
        <f>HYPERLINK("https://www.amazon.com/Unisex-Classic-Cushion-nkSX5728-X-Large/dp/B01GQMXC4Q/ref=sr_1_3?keywords=Nike+Classic+II+OTC+Sock&amp;qid=1695171107&amp;sr=8-3", "https://www.amazon.com/Unisex-Classic-Cushion-nkSX5728-X-Large/dp/B01GQMXC4Q/ref=sr_1_3?keywords=Nike+Classic+II+OTC+Sock&amp;qid=1695171107&amp;sr=8-3")</f>
        <v/>
      </c>
      <c r="F2695" t="inlineStr">
        <is>
          <t>B01GQMXC4Q</t>
        </is>
      </c>
      <c r="G2695">
        <f>_xludf.IMAGE("https://www.soccerplususa.com/prodimages/4446-DEFAULT-l.jpg")</f>
        <v/>
      </c>
      <c r="H2695">
        <f>_xludf.IMAGE("https://m.media-amazon.com/images/I/71rC9FhT01L._AC_UL320_.jpg")</f>
        <v/>
      </c>
      <c r="K2695" t="inlineStr">
        <is>
          <t>11.95</t>
        </is>
      </c>
      <c r="L2695" t="n">
        <v>18</v>
      </c>
      <c r="M2695" s="1" t="inlineStr">
        <is>
          <t>50.63%</t>
        </is>
      </c>
      <c r="N2695" s="3" t="n">
        <v>50.63</v>
      </c>
      <c r="O2695" t="n">
        <v>5</v>
      </c>
      <c r="P2695" t="n">
        <v>8</v>
      </c>
      <c r="R2695" t="inlineStr">
        <is>
          <t>InStock</t>
        </is>
      </c>
      <c r="S2695" t="inlineStr">
        <is>
          <t>undefined</t>
        </is>
      </c>
      <c r="T2695" t="inlineStr">
        <is>
          <t>SX5728-616</t>
        </is>
      </c>
    </row>
    <row r="2696" hidden="1" ht="15.75" customHeight="1">
      <c r="A2696" s="2">
        <f>HYPERLINK("https://www.soccerplususa.com/nike/nike-academy-overthecalf-soccer-socks-40506", "https://www.soccerplususa.com/nike/nike-academy-overthecalf-soccer-socks-40506")</f>
        <v/>
      </c>
      <c r="B2696" t="inlineStr">
        <is>
          <t>undefined</t>
        </is>
      </c>
      <c r="C2696" t="inlineStr">
        <is>
          <t>Nike Academy Over-The-Calf Soccer Socks</t>
        </is>
      </c>
      <c r="D2696" t="inlineStr">
        <is>
          <t>Nike Academy Over the Calf Soccer Socks (Medium, Team Red/White)</t>
        </is>
      </c>
      <c r="E2696" s="2">
        <f>HYPERLINK("https://www.amazon.com/Nike-Academy-Soccer-Socks-Medium/dp/B01A76B6M2/ref=sr_1_3?keywords=Nike+Academy+Over-The-Calf+Soccer+Socks&amp;qid=1695171083&amp;sr=8-3", "https://www.amazon.com/Nike-Academy-Soccer-Socks-Medium/dp/B01A76B6M2/ref=sr_1_3?keywords=Nike+Academy+Over-The-Calf+Soccer+Socks&amp;qid=1695171083&amp;sr=8-3")</f>
        <v/>
      </c>
      <c r="F2696" t="inlineStr">
        <is>
          <t>B01A76B6M2</t>
        </is>
      </c>
      <c r="G2696">
        <f>_xludf.IMAGE("https://www.soccerplususa.com/prodimages/34331-DEFAULT-l.jpg")</f>
        <v/>
      </c>
      <c r="H2696">
        <f>_xludf.IMAGE("https://m.media-amazon.com/images/I/81H74OJv8GL._AC_UL320_.jpg")</f>
        <v/>
      </c>
      <c r="K2696" t="inlineStr">
        <is>
          <t>11.95</t>
        </is>
      </c>
      <c r="L2696" t="n">
        <v>18</v>
      </c>
      <c r="M2696" s="1" t="inlineStr">
        <is>
          <t>50.63%</t>
        </is>
      </c>
      <c r="N2696" s="3" t="n">
        <v>50.63</v>
      </c>
      <c r="O2696" t="n">
        <v>4.5</v>
      </c>
      <c r="P2696" t="n">
        <v>12</v>
      </c>
      <c r="R2696" t="inlineStr">
        <is>
          <t>InStock</t>
        </is>
      </c>
      <c r="S2696" t="inlineStr">
        <is>
          <t>undefined</t>
        </is>
      </c>
      <c r="T2696" t="inlineStr">
        <is>
          <t>SX4120-617</t>
        </is>
      </c>
    </row>
    <row r="2697" hidden="1" ht="15.75" customHeight="1">
      <c r="A2697" s="2">
        <f>HYPERLINK("https://www.soccerplususa.com/nike/nike-classic-ii-otc-sock-27061", "https://www.soccerplususa.com/nike/nike-classic-ii-otc-sock-27061")</f>
        <v/>
      </c>
      <c r="B2697" t="inlineStr">
        <is>
          <t>undefined</t>
        </is>
      </c>
      <c r="C2697" t="inlineStr">
        <is>
          <t>Nike Classic II OTC Sock</t>
        </is>
      </c>
      <c r="D2697" t="inlineStr">
        <is>
          <t>Nike Classic II Sock [TM White]</t>
        </is>
      </c>
      <c r="E2697" s="2">
        <f>HYPERLINK("https://www.amazon.com/NIKE-Classic-II-Sock-White/dp/B00TKU488Q/ref=sr_1_5?keywords=Nike+Classic+II+OTC+Sock&amp;qid=1695171106&amp;sr=8-5", "https://www.amazon.com/NIKE-Classic-II-Sock-White/dp/B00TKU488Q/ref=sr_1_5?keywords=Nike+Classic+II+OTC+Sock&amp;qid=1695171106&amp;sr=8-5")</f>
        <v/>
      </c>
      <c r="F2697" t="inlineStr">
        <is>
          <t>B00TKU488Q</t>
        </is>
      </c>
      <c r="G2697">
        <f>_xludf.IMAGE("https://www.soccerplususa.com/prodimages/6082-DEFAULT-l.jpg")</f>
        <v/>
      </c>
      <c r="H2697">
        <f>_xludf.IMAGE("https://m.media-amazon.com/images/I/61lB1aUxpWL._AC_UL320_.jpg")</f>
        <v/>
      </c>
      <c r="K2697" t="inlineStr">
        <is>
          <t>11.95</t>
        </is>
      </c>
      <c r="L2697" t="n">
        <v>17.99</v>
      </c>
      <c r="M2697" s="1" t="inlineStr">
        <is>
          <t>50.54%</t>
        </is>
      </c>
      <c r="N2697" s="3" t="n">
        <v>50.54</v>
      </c>
      <c r="O2697" t="n">
        <v>4.6</v>
      </c>
      <c r="P2697" t="n">
        <v>130</v>
      </c>
      <c r="R2697" t="inlineStr">
        <is>
          <t>InStock</t>
        </is>
      </c>
      <c r="S2697" t="inlineStr">
        <is>
          <t>undefined</t>
        </is>
      </c>
      <c r="T2697" t="inlineStr">
        <is>
          <t>SX5728-739</t>
        </is>
      </c>
    </row>
    <row r="2698" hidden="1" ht="15.75" customHeight="1">
      <c r="A2698" s="2">
        <f>HYPERLINK("https://www.soccerplususa.com/nike/nike-classic-ii-otc-sock-27057", "https://www.soccerplususa.com/nike/nike-classic-ii-otc-sock-27057")</f>
        <v/>
      </c>
      <c r="B2698" t="inlineStr">
        <is>
          <t>undefined</t>
        </is>
      </c>
      <c r="C2698" t="inlineStr">
        <is>
          <t>Nike Classic II OTC Sock</t>
        </is>
      </c>
      <c r="D2698" t="inlineStr">
        <is>
          <t>Nike Classic II Sock [TM White]</t>
        </is>
      </c>
      <c r="E2698" s="2">
        <f>HYPERLINK("https://www.amazon.com/NIKE-Classic-II-Sock-White/dp/B00TKU488Q/ref=sr_1_5?keywords=Nike+Classic+II+OTC+Sock&amp;qid=1695171107&amp;sr=8-5", "https://www.amazon.com/NIKE-Classic-II-Sock-White/dp/B00TKU488Q/ref=sr_1_5?keywords=Nike+Classic+II+OTC+Sock&amp;qid=1695171107&amp;sr=8-5")</f>
        <v/>
      </c>
      <c r="F2698" t="inlineStr">
        <is>
          <t>B00TKU488Q</t>
        </is>
      </c>
      <c r="G2698">
        <f>_xludf.IMAGE("https://www.soccerplususa.com/prodimages/4446-DEFAULT-l.jpg")</f>
        <v/>
      </c>
      <c r="H2698">
        <f>_xludf.IMAGE("https://m.media-amazon.com/images/I/61lB1aUxpWL._AC_UL320_.jpg")</f>
        <v/>
      </c>
      <c r="K2698" t="inlineStr">
        <is>
          <t>11.95</t>
        </is>
      </c>
      <c r="L2698" t="n">
        <v>17.99</v>
      </c>
      <c r="M2698" s="1" t="inlineStr">
        <is>
          <t>50.54%</t>
        </is>
      </c>
      <c r="N2698" s="3" t="n">
        <v>50.54</v>
      </c>
      <c r="O2698" t="n">
        <v>4.6</v>
      </c>
      <c r="P2698" t="n">
        <v>130</v>
      </c>
      <c r="R2698" t="inlineStr">
        <is>
          <t>InStock</t>
        </is>
      </c>
      <c r="S2698" t="inlineStr">
        <is>
          <t>undefined</t>
        </is>
      </c>
      <c r="T2698" t="inlineStr">
        <is>
          <t>SX5728-616</t>
        </is>
      </c>
    </row>
    <row r="2699" hidden="1" ht="15.75" customHeight="1">
      <c r="A2699" s="2">
        <f>HYPERLINK("https://www.soccerplususa.com/nike/nike-classic-ii-otc-sock-27049", "https://www.soccerplususa.com/nike/nike-classic-ii-otc-sock-27049")</f>
        <v/>
      </c>
      <c r="B2699" t="inlineStr">
        <is>
          <t>undefined</t>
        </is>
      </c>
      <c r="C2699" t="inlineStr">
        <is>
          <t>Nike Classic II OTC Sock</t>
        </is>
      </c>
      <c r="D2699" t="inlineStr">
        <is>
          <t>Nike Classic II Sock [TM White]</t>
        </is>
      </c>
      <c r="E2699" s="2">
        <f>HYPERLINK("https://www.amazon.com/NIKE-Classic-II-Sock-White/dp/B00TKU488Q/ref=sr_1_5?keywords=Nike+Classic+II+OTC+Sock&amp;qid=1695171104&amp;sr=8-5", "https://www.amazon.com/NIKE-Classic-II-Sock-White/dp/B00TKU488Q/ref=sr_1_5?keywords=Nike+Classic+II+OTC+Sock&amp;qid=1695171104&amp;sr=8-5")</f>
        <v/>
      </c>
      <c r="F2699" t="inlineStr">
        <is>
          <t>B00TKU488Q</t>
        </is>
      </c>
      <c r="G2699">
        <f>_xludf.IMAGE("https://www.soccerplususa.com/prodimages/4442-DEFAULT-l.jpg")</f>
        <v/>
      </c>
      <c r="H2699">
        <f>_xludf.IMAGE("https://m.media-amazon.com/images/I/61lB1aUxpWL._AC_UL320_.jpg")</f>
        <v/>
      </c>
      <c r="K2699" t="inlineStr">
        <is>
          <t>11.95</t>
        </is>
      </c>
      <c r="L2699" t="n">
        <v>17.99</v>
      </c>
      <c r="M2699" s="1" t="inlineStr">
        <is>
          <t>50.54%</t>
        </is>
      </c>
      <c r="N2699" s="3" t="n">
        <v>50.54</v>
      </c>
      <c r="O2699" t="n">
        <v>4.6</v>
      </c>
      <c r="P2699" t="n">
        <v>130</v>
      </c>
      <c r="R2699" t="inlineStr">
        <is>
          <t>InStock</t>
        </is>
      </c>
      <c r="S2699" t="inlineStr">
        <is>
          <t>undefined</t>
        </is>
      </c>
      <c r="T2699" t="inlineStr">
        <is>
          <t>SX5728-010</t>
        </is>
      </c>
    </row>
    <row r="2700" hidden="1" ht="15.75" customHeight="1">
      <c r="A2700" s="2">
        <f>HYPERLINK("https://www.soccerplususa.com/nike/nike-classic-ii-otc-sock-37537", "https://www.soccerplususa.com/nike/nike-classic-ii-otc-sock-37537")</f>
        <v/>
      </c>
      <c r="B2700" t="inlineStr">
        <is>
          <t>undefined</t>
        </is>
      </c>
      <c r="C2700" t="inlineStr">
        <is>
          <t>Nike Classic II OTC Sock</t>
        </is>
      </c>
      <c r="D2700" t="inlineStr">
        <is>
          <t>Nike Classic II Sock [TM White]</t>
        </is>
      </c>
      <c r="E2700" s="2">
        <f>HYPERLINK("https://www.amazon.com/NIKE-Classic-II-Sock-White/dp/B00TKU488Q/ref=sr_1_5?keywords=Nike+Classic+II+OTC+Sock&amp;qid=1695171095&amp;sr=8-5", "https://www.amazon.com/NIKE-Classic-II-Sock-White/dp/B00TKU488Q/ref=sr_1_5?keywords=Nike+Classic+II+OTC+Sock&amp;qid=1695171095&amp;sr=8-5")</f>
        <v/>
      </c>
      <c r="F2700" t="inlineStr">
        <is>
          <t>B00TKU488Q</t>
        </is>
      </c>
      <c r="G2700">
        <f>_xludf.IMAGE("https://www.soccerplususa.com/prodimages/10669-DEFAULT-l.jpg")</f>
        <v/>
      </c>
      <c r="H2700">
        <f>_xludf.IMAGE("https://m.media-amazon.com/images/I/61lB1aUxpWL._AC_UL320_.jpg")</f>
        <v/>
      </c>
      <c r="K2700" t="inlineStr">
        <is>
          <t>11.95</t>
        </is>
      </c>
      <c r="L2700" t="n">
        <v>17.99</v>
      </c>
      <c r="M2700" s="1" t="inlineStr">
        <is>
          <t>50.54%</t>
        </is>
      </c>
      <c r="N2700" s="3" t="n">
        <v>50.54</v>
      </c>
      <c r="O2700" t="n">
        <v>4.6</v>
      </c>
      <c r="P2700" t="n">
        <v>130</v>
      </c>
      <c r="R2700" t="inlineStr">
        <is>
          <t>InStock</t>
        </is>
      </c>
      <c r="S2700" t="inlineStr">
        <is>
          <t>undefined</t>
        </is>
      </c>
      <c r="T2700" t="inlineStr">
        <is>
          <t>SX5728-816</t>
        </is>
      </c>
    </row>
    <row r="2701" hidden="1" ht="15.75" customHeight="1">
      <c r="A2701" s="2">
        <f>HYPERLINK("https://www.soccerplususa.com/nike/nike-classic-ii-sock-35393", "https://www.soccerplususa.com/nike/nike-classic-ii-sock-35393")</f>
        <v/>
      </c>
      <c r="B2701" t="inlineStr">
        <is>
          <t>undefined</t>
        </is>
      </c>
      <c r="C2701" t="inlineStr">
        <is>
          <t>Nike Classic II Sock</t>
        </is>
      </c>
      <c r="D2701" t="inlineStr">
        <is>
          <t>Nike Classic II Sock [TM White]</t>
        </is>
      </c>
      <c r="E2701" s="2">
        <f>HYPERLINK("https://www.amazon.com/NIKE-Classic-II-Sock-White/dp/B00TKU488Q/ref=sr_1_2?keywords=Nike+Classic+II+Sock&amp;qid=1695171093&amp;sr=8-2", "https://www.amazon.com/NIKE-Classic-II-Sock-White/dp/B00TKU488Q/ref=sr_1_2?keywords=Nike+Classic+II+Sock&amp;qid=1695171093&amp;sr=8-2")</f>
        <v/>
      </c>
      <c r="F2701" t="inlineStr">
        <is>
          <t>B00TKU488Q</t>
        </is>
      </c>
      <c r="G2701">
        <f>_xludf.IMAGE("https://www.soccerplususa.com/prodimages/10668-DEFAULT-l.jpg")</f>
        <v/>
      </c>
      <c r="H2701">
        <f>_xludf.IMAGE("https://m.media-amazon.com/images/I/61lB1aUxpWL._AC_UL320_.jpg")</f>
        <v/>
      </c>
      <c r="K2701" t="inlineStr">
        <is>
          <t>11.95</t>
        </is>
      </c>
      <c r="L2701" t="n">
        <v>17.99</v>
      </c>
      <c r="M2701" s="1" t="inlineStr">
        <is>
          <t>50.54%</t>
        </is>
      </c>
      <c r="N2701" s="3" t="n">
        <v>50.54</v>
      </c>
      <c r="O2701" t="n">
        <v>4.6</v>
      </c>
      <c r="P2701" t="n">
        <v>130</v>
      </c>
      <c r="R2701" t="inlineStr">
        <is>
          <t>InStock</t>
        </is>
      </c>
      <c r="S2701" t="inlineStr">
        <is>
          <t>undefined</t>
        </is>
      </c>
      <c r="T2701" t="inlineStr">
        <is>
          <t>SX5728-677</t>
        </is>
      </c>
    </row>
    <row r="2702" hidden="1" ht="15.75" customHeight="1">
      <c r="A2702" s="2">
        <f>HYPERLINK("https://www.soccerplususa.com/nike/nike-classic-ii-otc-sock-27051", "https://www.soccerplususa.com/nike/nike-classic-ii-otc-sock-27051")</f>
        <v/>
      </c>
      <c r="B2702" t="inlineStr">
        <is>
          <t>undefined</t>
        </is>
      </c>
      <c r="C2702" t="inlineStr">
        <is>
          <t>Nike Classic II OTC Sock</t>
        </is>
      </c>
      <c r="D2702" t="inlineStr">
        <is>
          <t>Nike Classic II Sock [TM White]</t>
        </is>
      </c>
      <c r="E2702" s="2">
        <f>HYPERLINK("https://www.amazon.com/NIKE-Classic-II-Sock-White/dp/B00TKU488Q/ref=sr_1_5?keywords=Nike+Classic+II+OTC+Sock&amp;qid=1695171109&amp;sr=8-5", "https://www.amazon.com/NIKE-Classic-II-Sock-White/dp/B00TKU488Q/ref=sr_1_5?keywords=Nike+Classic+II+OTC+Sock&amp;qid=1695171109&amp;sr=8-5")</f>
        <v/>
      </c>
      <c r="F2702" t="inlineStr">
        <is>
          <t>B00TKU488Q</t>
        </is>
      </c>
      <c r="G2702">
        <f>_xludf.IMAGE("https://www.soccerplususa.com/prodimages/4443-DEFAULT-l.jpg")</f>
        <v/>
      </c>
      <c r="H2702">
        <f>_xludf.IMAGE("https://m.media-amazon.com/images/I/61lB1aUxpWL._AC_UL320_.jpg")</f>
        <v/>
      </c>
      <c r="K2702" t="inlineStr">
        <is>
          <t>11.95</t>
        </is>
      </c>
      <c r="L2702" t="n">
        <v>17.99</v>
      </c>
      <c r="M2702" s="1" t="inlineStr">
        <is>
          <t>50.54%</t>
        </is>
      </c>
      <c r="N2702" s="3" t="n">
        <v>50.54</v>
      </c>
      <c r="O2702" t="n">
        <v>4.6</v>
      </c>
      <c r="P2702" t="n">
        <v>130</v>
      </c>
      <c r="R2702" t="inlineStr">
        <is>
          <t>InStock</t>
        </is>
      </c>
      <c r="S2702" t="inlineStr">
        <is>
          <t>undefined</t>
        </is>
      </c>
      <c r="T2702" t="inlineStr">
        <is>
          <t>SX5728-100</t>
        </is>
      </c>
    </row>
    <row r="2703" hidden="1" ht="15.75" customHeight="1">
      <c r="A2703" s="2">
        <f>HYPERLINK("https://www.soccerplususa.com/puma/puma-team-soccer-sock-29688", "https://www.soccerplususa.com/puma/puma-team-soccer-sock-29688")</f>
        <v/>
      </c>
      <c r="B2703" t="inlineStr">
        <is>
          <t>undefined</t>
        </is>
      </c>
      <c r="C2703" t="inlineStr">
        <is>
          <t>Puma Team Soccer Sock</t>
        </is>
      </c>
      <c r="D2703" t="inlineStr">
        <is>
          <t>Soccer Sock stoppers Thin-Puma Black-One Size</t>
        </is>
      </c>
      <c r="E2703" s="2">
        <f>HYPERLINK("https://www.amazon.com/PUMA-05063702-Sock-stoppers-Thin/dp/B07NX7JZL2/ref=sr_1_4?keywords=Puma+Team+Soccer+Sock&amp;qid=1695171098&amp;sr=8-4", "https://www.amazon.com/PUMA-05063702-Sock-stoppers-Thin/dp/B07NX7JZL2/ref=sr_1_4?keywords=Puma+Team+Soccer+Sock&amp;qid=1695171098&amp;sr=8-4")</f>
        <v/>
      </c>
      <c r="F2703" t="inlineStr">
        <is>
          <t>B07NX7JZL2</t>
        </is>
      </c>
      <c r="G2703">
        <f>_xludf.IMAGE("https://www.soccerplususa.com/prodimages/3776-DEFAULT-l.jpg")</f>
        <v/>
      </c>
      <c r="H2703">
        <f>_xludf.IMAGE("https://m.media-amazon.com/images/I/71Xje4V5gpL._AC_UL320_.jpg")</f>
        <v/>
      </c>
      <c r="K2703" t="inlineStr">
        <is>
          <t>6.0</t>
        </is>
      </c>
      <c r="L2703" t="n">
        <v>9.029999999999999</v>
      </c>
      <c r="M2703" s="1" t="inlineStr">
        <is>
          <t>50.50%</t>
        </is>
      </c>
      <c r="N2703" s="3" t="n">
        <v>50.5</v>
      </c>
      <c r="O2703" t="n">
        <v>3.7</v>
      </c>
      <c r="P2703" t="n">
        <v>21</v>
      </c>
      <c r="R2703" t="inlineStr">
        <is>
          <t>InStock</t>
        </is>
      </c>
      <c r="S2703" t="inlineStr">
        <is>
          <t>undefined</t>
        </is>
      </c>
      <c r="T2703" t="inlineStr">
        <is>
          <t>890420-01</t>
        </is>
      </c>
    </row>
    <row r="2704" hidden="1" ht="15.75" customHeight="1">
      <c r="A2704" s="2">
        <f>HYPERLINK("https://www.soccerplususa.com/nike/nike-drifit-winter-warrior-neck-warmer-42237", "https://www.soccerplususa.com/nike/nike-drifit-winter-warrior-neck-warmer-42237")</f>
        <v/>
      </c>
      <c r="B2704" t="inlineStr">
        <is>
          <t>undefined</t>
        </is>
      </c>
      <c r="C2704" t="inlineStr">
        <is>
          <t>Nike Dri-FIT Winter Warrior Neck Warmer</t>
        </is>
      </c>
      <c r="D2704" t="inlineStr">
        <is>
          <t>Nike Therma Neck Warmer Dri-Fit Technology - Neck Gaiter (Black/White) Unisex</t>
        </is>
      </c>
      <c r="E2704" s="2">
        <f>HYPERLINK("https://www.amazon.com/Nike-Therma-Warmer-Dri-Fit-Technology/dp/B093TJDLS8/ref=sr_1_6?keywords=Nike+Dri-FIT+Winter+Warrior+Neck+Warmer&amp;qid=1695171084&amp;sr=8-6", "https://www.amazon.com/Nike-Therma-Warmer-Dri-Fit-Technology/dp/B093TJDLS8/ref=sr_1_6?keywords=Nike+Dri-FIT+Winter+Warrior+Neck+Warmer&amp;qid=1695171084&amp;sr=8-6")</f>
        <v/>
      </c>
      <c r="F2704" t="inlineStr">
        <is>
          <t>B093TJDLS8</t>
        </is>
      </c>
      <c r="G2704">
        <f>_xludf.IMAGE("https://www.soccerplususa.com/prodimages//34703-BLACK-M.jpg")</f>
        <v/>
      </c>
      <c r="H2704">
        <f>_xludf.IMAGE("https://m.media-amazon.com/images/I/61eKj5eM+kS._AC_UL320_.jpg")</f>
        <v/>
      </c>
      <c r="K2704" t="inlineStr">
        <is>
          <t>19.95</t>
        </is>
      </c>
      <c r="L2704" t="n">
        <v>29.95</v>
      </c>
      <c r="M2704" s="1" t="inlineStr">
        <is>
          <t>50.13%</t>
        </is>
      </c>
      <c r="N2704" s="3" t="n">
        <v>50.13</v>
      </c>
      <c r="O2704" t="n">
        <v>4.2</v>
      </c>
      <c r="P2704" t="n">
        <v>18</v>
      </c>
      <c r="R2704" t="inlineStr">
        <is>
          <t>InStock</t>
        </is>
      </c>
      <c r="S2704" t="inlineStr">
        <is>
          <t>undefined</t>
        </is>
      </c>
      <c r="T2704" t="inlineStr">
        <is>
          <t>DC9161-010</t>
        </is>
      </c>
    </row>
    <row r="2705" hidden="1" ht="15.75" customHeight="1">
      <c r="A2705" s="2">
        <f>HYPERLINK("https://www.soccerplususa.com/nike/nike-academy-otc-soccer-sock-26958", "https://www.soccerplususa.com/nike/nike-academy-otc-soccer-sock-26958")</f>
        <v/>
      </c>
      <c r="B2705" t="inlineStr">
        <is>
          <t>undefined</t>
        </is>
      </c>
      <c r="C2705" t="inlineStr">
        <is>
          <t>Nike Academy OTC Soccer Sock</t>
        </is>
      </c>
      <c r="D2705" t="inlineStr">
        <is>
          <t>Nike Academy Over the Calf Soccer Socks (Medium, Team Red/White)</t>
        </is>
      </c>
      <c r="E2705" s="2">
        <f>HYPERLINK("https://www.amazon.com/Nike-Academy-Soccer-Socks-Medium/dp/B01A76B6M2/ref=sr_1_5?keywords=Nike+Academy+OTC+Soccer+Sock&amp;qid=1695171102&amp;sr=8-5", "https://www.amazon.com/Nike-Academy-Soccer-Socks-Medium/dp/B01A76B6M2/ref=sr_1_5?keywords=Nike+Academy+OTC+Soccer+Sock&amp;qid=1695171102&amp;sr=8-5")</f>
        <v/>
      </c>
      <c r="F2705" t="inlineStr">
        <is>
          <t>B01A76B6M2</t>
        </is>
      </c>
      <c r="G2705">
        <f>_xludf.IMAGE("https://www.soccerplususa.com/prodimages/3370-DEFAULT-l.jpg")</f>
        <v/>
      </c>
      <c r="H2705">
        <f>_xludf.IMAGE("https://m.media-amazon.com/images/I/81H74OJv8GL._AC_UL320_.jpg")</f>
        <v/>
      </c>
      <c r="K2705" t="inlineStr">
        <is>
          <t>12.0</t>
        </is>
      </c>
      <c r="L2705" t="n">
        <v>18</v>
      </c>
      <c r="M2705" s="1" t="inlineStr">
        <is>
          <t>50.00%</t>
        </is>
      </c>
      <c r="N2705" s="3" t="n">
        <v>50</v>
      </c>
      <c r="O2705" t="n">
        <v>4.5</v>
      </c>
      <c r="P2705" t="n">
        <v>12</v>
      </c>
      <c r="R2705" t="inlineStr">
        <is>
          <t>InStock</t>
        </is>
      </c>
      <c r="S2705" t="inlineStr">
        <is>
          <t>undefined</t>
        </is>
      </c>
      <c r="T2705" t="inlineStr">
        <is>
          <t>SX4120-601</t>
        </is>
      </c>
    </row>
    <row r="2706" hidden="1" ht="15.75" customHeight="1">
      <c r="A2706" s="2">
        <f>HYPERLINK("https://www.soccerplususa.com/nike/nike-academy-otc-soccer-sock-26955", "https://www.soccerplususa.com/nike/nike-academy-otc-soccer-sock-26955")</f>
        <v/>
      </c>
      <c r="B2706" t="inlineStr">
        <is>
          <t>undefined</t>
        </is>
      </c>
      <c r="C2706" t="inlineStr">
        <is>
          <t>Nike Academy OTC Soccer Sock</t>
        </is>
      </c>
      <c r="D2706" t="inlineStr">
        <is>
          <t>Nike Academy Over the Calf Soccer Socks (Medium, Team Red/White)</t>
        </is>
      </c>
      <c r="E2706" s="2">
        <f>HYPERLINK("https://www.amazon.com/Nike-Academy-Soccer-Socks-Medium/dp/B01A76B6M2/ref=sr_1_5?keywords=Nike+Academy+OTC+Soccer+Sock&amp;qid=1695171108&amp;sr=8-5", "https://www.amazon.com/Nike-Academy-Soccer-Socks-Medium/dp/B01A76B6M2/ref=sr_1_5?keywords=Nike+Academy+OTC+Soccer+Sock&amp;qid=1695171108&amp;sr=8-5")</f>
        <v/>
      </c>
      <c r="F2706" t="inlineStr">
        <is>
          <t>B01A76B6M2</t>
        </is>
      </c>
      <c r="G2706">
        <f>_xludf.IMAGE("https://www.soccerplususa.com/prodimages/3263-DEFAULT-l.jpg")</f>
        <v/>
      </c>
      <c r="H2706">
        <f>_xludf.IMAGE("https://m.media-amazon.com/images/I/81H74OJv8GL._AC_UL320_.jpg")</f>
        <v/>
      </c>
      <c r="K2706" t="inlineStr">
        <is>
          <t>12.0</t>
        </is>
      </c>
      <c r="L2706" t="n">
        <v>18</v>
      </c>
      <c r="M2706" s="1" t="inlineStr">
        <is>
          <t>50.00%</t>
        </is>
      </c>
      <c r="N2706" s="3" t="n">
        <v>50</v>
      </c>
      <c r="O2706" t="n">
        <v>4.5</v>
      </c>
      <c r="P2706" t="n">
        <v>12</v>
      </c>
      <c r="R2706" t="inlineStr">
        <is>
          <t>InStock</t>
        </is>
      </c>
      <c r="S2706" t="inlineStr">
        <is>
          <t>undefined</t>
        </is>
      </c>
      <c r="T2706" t="inlineStr">
        <is>
          <t>SX4120-101</t>
        </is>
      </c>
    </row>
    <row r="2707" hidden="1" ht="15.75" customHeight="1">
      <c r="A2707" s="2">
        <f>HYPERLINK("https://www.soccerplususa.com/nike/nike-academy-otc-soccer-sock-26956", "https://www.soccerplususa.com/nike/nike-academy-otc-soccer-sock-26956")</f>
        <v/>
      </c>
      <c r="B2707" t="inlineStr">
        <is>
          <t>undefined</t>
        </is>
      </c>
      <c r="C2707" t="inlineStr">
        <is>
          <t>Nike Academy OTC Soccer Sock</t>
        </is>
      </c>
      <c r="D2707" t="inlineStr">
        <is>
          <t>Nike Academy Over the Calf Soccer Socks (Medium, Team Red/White)</t>
        </is>
      </c>
      <c r="E2707" s="2">
        <f>HYPERLINK("https://www.amazon.com/Nike-Academy-Soccer-Socks-Medium/dp/B01A76B6M2/ref=sr_1_5?keywords=Nike+Academy+OTC+Soccer+Sock&amp;qid=1695171097&amp;sr=8-5", "https://www.amazon.com/Nike-Academy-Soccer-Socks-Medium/dp/B01A76B6M2/ref=sr_1_5?keywords=Nike+Academy+OTC+Soccer+Sock&amp;qid=1695171097&amp;sr=8-5")</f>
        <v/>
      </c>
      <c r="F2707" t="inlineStr">
        <is>
          <t>B01A76B6M2</t>
        </is>
      </c>
      <c r="G2707">
        <f>_xludf.IMAGE("https://www.soccerplususa.com/prodimages/3369-DEFAULT-l.jpg")</f>
        <v/>
      </c>
      <c r="H2707">
        <f>_xludf.IMAGE("https://m.media-amazon.com/images/I/81H74OJv8GL._AC_UL320_.jpg")</f>
        <v/>
      </c>
      <c r="K2707" t="inlineStr">
        <is>
          <t>12.0</t>
        </is>
      </c>
      <c r="L2707" t="n">
        <v>18</v>
      </c>
      <c r="M2707" s="1" t="inlineStr">
        <is>
          <t>50.00%</t>
        </is>
      </c>
      <c r="N2707" s="3" t="n">
        <v>50</v>
      </c>
      <c r="O2707" t="n">
        <v>4.5</v>
      </c>
      <c r="P2707" t="n">
        <v>12</v>
      </c>
      <c r="R2707" t="inlineStr">
        <is>
          <t>InStock</t>
        </is>
      </c>
      <c r="S2707" t="inlineStr">
        <is>
          <t>undefined</t>
        </is>
      </c>
      <c r="T2707" t="inlineStr">
        <is>
          <t>SX4120-401</t>
        </is>
      </c>
    </row>
    <row r="2708" hidden="1" ht="15.75" customHeight="1">
      <c r="A2708" s="2">
        <f>HYPERLINK("https://www.soccerplususa.com/puma/puma-team-soccer-sock-29688", "https://www.soccerplususa.com/puma/puma-team-soccer-sock-29688")</f>
        <v/>
      </c>
      <c r="B2708" t="inlineStr">
        <is>
          <t>undefined</t>
        </is>
      </c>
      <c r="C2708" t="inlineStr">
        <is>
          <t>Puma Team Soccer Sock</t>
        </is>
      </c>
      <c r="D2708" t="inlineStr">
        <is>
          <t>PUMA Men's Team Socks</t>
        </is>
      </c>
      <c r="E2708" s="2">
        <f>HYPERLINK("https://www.amazon.com/Puma-Mens-Team-Socks-Burgundy/dp/B00783LIA8/ref=sr_1_7?keywords=Puma+Team+Soccer+Sock&amp;qid=1695171098&amp;sr=8-7", "https://www.amazon.com/Puma-Mens-Team-Socks-Burgundy/dp/B00783LIA8/ref=sr_1_7?keywords=Puma+Team+Soccer+Sock&amp;qid=1695171098&amp;sr=8-7")</f>
        <v/>
      </c>
      <c r="F2708" t="inlineStr">
        <is>
          <t>B00783LIA8</t>
        </is>
      </c>
      <c r="G2708">
        <f>_xludf.IMAGE("https://www.soccerplususa.com/prodimages/3776-DEFAULT-l.jpg")</f>
        <v/>
      </c>
      <c r="H2708">
        <f>_xludf.IMAGE("https://m.media-amazon.com/images/I/41ZowO-pk3S._AC_UL320_.jpg")</f>
        <v/>
      </c>
      <c r="K2708" t="inlineStr">
        <is>
          <t>6.0</t>
        </is>
      </c>
      <c r="L2708" t="n">
        <v>8.99</v>
      </c>
      <c r="M2708" s="1" t="inlineStr">
        <is>
          <t>49.83%</t>
        </is>
      </c>
      <c r="N2708" s="3" t="n">
        <v>49.83</v>
      </c>
      <c r="O2708" t="n">
        <v>4.2</v>
      </c>
      <c r="P2708" t="n">
        <v>14</v>
      </c>
      <c r="R2708" t="inlineStr">
        <is>
          <t>InStock</t>
        </is>
      </c>
      <c r="S2708" t="inlineStr">
        <is>
          <t>undefined</t>
        </is>
      </c>
      <c r="T2708" t="inlineStr">
        <is>
          <t>890420-01</t>
        </is>
      </c>
    </row>
    <row r="2709" hidden="1" ht="15.75" customHeight="1">
      <c r="A2709" s="2">
        <f>HYPERLINK("https://www.soccerplususa.com/adidas/formotion-elite-sock-1129", "https://www.soccerplususa.com/adidas/formotion-elite-sock-1129")</f>
        <v/>
      </c>
      <c r="B2709" t="inlineStr">
        <is>
          <t>undefined</t>
        </is>
      </c>
      <c r="C2709" t="inlineStr">
        <is>
          <t>Formotion Elite Sock</t>
        </is>
      </c>
      <c r="D2709" t="inlineStr">
        <is>
          <t>adidas Formotion Elite Sock</t>
        </is>
      </c>
      <c r="E2709" s="2">
        <f>HYPERLINK("https://www.amazon.com/adidas-Formotion-Elite-Cobalt-White/dp/B001T6GVDO/ref=sr_1_2?keywords=Formotion+Elite+Sock&amp;qid=1695171116&amp;sr=8-2", "https://www.amazon.com/adidas-Formotion-Elite-Cobalt-White/dp/B001T6GVDO/ref=sr_1_2?keywords=Formotion+Elite+Sock&amp;qid=1695171116&amp;sr=8-2")</f>
        <v/>
      </c>
      <c r="F2709" t="inlineStr">
        <is>
          <t>B001T6GVDO</t>
        </is>
      </c>
      <c r="G2709">
        <f>_xludf.IMAGE("https://www.soccerplususa.com/prodimages/704-DEFAULT-l.jpg")</f>
        <v/>
      </c>
      <c r="H2709">
        <f>_xludf.IMAGE("https://m.media-amazon.com/images/I/817HxlJCtIL._AC_UL320_.jpg")</f>
        <v/>
      </c>
      <c r="K2709" t="inlineStr">
        <is>
          <t>10.0</t>
        </is>
      </c>
      <c r="L2709" t="n">
        <v>14.95</v>
      </c>
      <c r="M2709" s="1" t="inlineStr">
        <is>
          <t>49.50%</t>
        </is>
      </c>
      <c r="N2709" s="3" t="n">
        <v>49.5</v>
      </c>
      <c r="O2709" t="n">
        <v>4.3</v>
      </c>
      <c r="P2709" t="n">
        <v>11</v>
      </c>
      <c r="R2709" t="inlineStr">
        <is>
          <t>InStock</t>
        </is>
      </c>
      <c r="S2709" t="inlineStr">
        <is>
          <t>14.95</t>
        </is>
      </c>
      <c r="T2709" t="inlineStr">
        <is>
          <t>229627</t>
        </is>
      </c>
    </row>
    <row r="2710" hidden="1" ht="15.75" customHeight="1">
      <c r="A2710" s="2">
        <f>HYPERLINK("https://www.soccerplususa.com/nike/nike-academy-overthecalf-soccer-socks-40507", "https://www.soccerplususa.com/nike/nike-academy-overthecalf-soccer-socks-40507")</f>
        <v/>
      </c>
      <c r="B2710" t="inlineStr">
        <is>
          <t>undefined</t>
        </is>
      </c>
      <c r="C2710" t="inlineStr">
        <is>
          <t>Nike Academy Over-The-Calf Soccer Socks</t>
        </is>
      </c>
      <c r="D2710" t="inlineStr">
        <is>
          <t>Nike Academy Over the Calf Soccer Socks (Medium, Team Red/White)</t>
        </is>
      </c>
      <c r="E2710" s="2">
        <f>HYPERLINK("https://www.amazon.com/Nike-Academy-Soccer-Socks-Medium/dp/B01A76B6M2/ref=sr_1_2?keywords=Nike+Academy+Over-The-Calf+Soccer+Socks&amp;qid=1695171096&amp;sr=8-2", "https://www.amazon.com/Nike-Academy-Soccer-Socks-Medium/dp/B01A76B6M2/ref=sr_1_2?keywords=Nike+Academy+Over-The-Calf+Soccer+Socks&amp;qid=1695171096&amp;sr=8-2")</f>
        <v/>
      </c>
      <c r="F2710" t="inlineStr">
        <is>
          <t>B01A76B6M2</t>
        </is>
      </c>
      <c r="G2710">
        <f>_xludf.IMAGE("https://www.soccerplususa.com/prodimages/34332-DEFAULT-l.jpg")</f>
        <v/>
      </c>
      <c r="H2710">
        <f>_xludf.IMAGE("https://m.media-amazon.com/images/I/81H74OJv8GL._AC_UL320_.jpg")</f>
        <v/>
      </c>
      <c r="K2710" t="inlineStr">
        <is>
          <t>11.95</t>
        </is>
      </c>
      <c r="L2710" t="n">
        <v>17.69</v>
      </c>
      <c r="M2710" s="1" t="inlineStr">
        <is>
          <t>48.03%</t>
        </is>
      </c>
      <c r="N2710" s="3" t="n">
        <v>48.03</v>
      </c>
      <c r="O2710" t="n">
        <v>4.5</v>
      </c>
      <c r="P2710" t="n">
        <v>12</v>
      </c>
      <c r="R2710" t="inlineStr">
        <is>
          <t>InStock</t>
        </is>
      </c>
      <c r="S2710" t="inlineStr">
        <is>
          <t>undefined</t>
        </is>
      </c>
      <c r="T2710" t="inlineStr">
        <is>
          <t>SX4120-671</t>
        </is>
      </c>
    </row>
    <row r="2711" hidden="1" ht="15.75" customHeight="1">
      <c r="A2711" s="2">
        <f>HYPERLINK("https://www.soccerplususa.com/nike/nike-academy-otc-soccer-sock-26957", "https://www.soccerplususa.com/nike/nike-academy-otc-soccer-sock-26957")</f>
        <v/>
      </c>
      <c r="B2711" t="inlineStr">
        <is>
          <t>undefined</t>
        </is>
      </c>
      <c r="C2711" t="inlineStr">
        <is>
          <t>Nike Academy OTC Soccer Sock</t>
        </is>
      </c>
      <c r="D2711" t="inlineStr">
        <is>
          <t>Nike Academy Over the Calf Soccer Socks (Medium, Team Red/White)</t>
        </is>
      </c>
      <c r="E2711" s="2">
        <f>HYPERLINK("https://www.amazon.com/Nike-Academy-Soccer-Socks-Medium/dp/B01A76B6M2/ref=sr_1_5?keywords=Nike+Academy+OTC+Soccer+Sock&amp;qid=1695171111&amp;sr=8-5", "https://www.amazon.com/Nike-Academy-Soccer-Socks-Medium/dp/B01A76B6M2/ref=sr_1_5?keywords=Nike+Academy+OTC+Soccer+Sock&amp;qid=1695171111&amp;sr=8-5")</f>
        <v/>
      </c>
      <c r="F2711" t="inlineStr">
        <is>
          <t>B01A76B6M2</t>
        </is>
      </c>
      <c r="G2711">
        <f>_xludf.IMAGE("https://www.soccerplususa.com/prodimages/7019-DEFAULT-l.jpg")</f>
        <v/>
      </c>
      <c r="H2711">
        <f>_xludf.IMAGE("https://m.media-amazon.com/images/I/81H74OJv8GL._AC_UL320_.jpg")</f>
        <v/>
      </c>
      <c r="K2711" t="inlineStr">
        <is>
          <t>11.95</t>
        </is>
      </c>
      <c r="L2711" t="n">
        <v>17.69</v>
      </c>
      <c r="M2711" s="1" t="inlineStr">
        <is>
          <t>48.03%</t>
        </is>
      </c>
      <c r="N2711" s="3" t="n">
        <v>48.03</v>
      </c>
      <c r="O2711" t="n">
        <v>4.5</v>
      </c>
      <c r="P2711" t="n">
        <v>12</v>
      </c>
      <c r="R2711" t="inlineStr">
        <is>
          <t>InStock</t>
        </is>
      </c>
      <c r="S2711" t="inlineStr">
        <is>
          <t>12.0</t>
        </is>
      </c>
      <c r="T2711" t="inlineStr">
        <is>
          <t>SX4120-402</t>
        </is>
      </c>
    </row>
    <row r="2712" hidden="1" ht="15.75" customHeight="1">
      <c r="A2712" s="2">
        <f>HYPERLINK("https://www.soccerplususa.com/puma/puma-hoop-soccer-sock-37931", "https://www.soccerplususa.com/puma/puma-hoop-soccer-sock-37931")</f>
        <v/>
      </c>
      <c r="B2712" t="inlineStr">
        <is>
          <t>undefined</t>
        </is>
      </c>
      <c r="C2712" t="inlineStr">
        <is>
          <t>Puma Hoop Soccer Sock</t>
        </is>
      </c>
      <c r="D2712" t="inlineStr">
        <is>
          <t>adidas 3-Stripe Hoop Soccer Socks for Boys, Girls, Men and Women (1-Pair)</t>
        </is>
      </c>
      <c r="E2712" s="2">
        <f>HYPERLINK("https://www.amazon.com/adidas-3-Stripe-Soccer-Socks-1-Pair/dp/B081R2P5WD/ref=sr_1_6?keywords=Puma+Hoop+Soccer+Sock&amp;qid=1695171086&amp;sr=8-6", "https://www.amazon.com/adidas-3-Stripe-Soccer-Socks-1-Pair/dp/B081R2P5WD/ref=sr_1_6?keywords=Puma+Hoop+Soccer+Sock&amp;qid=1695171086&amp;sr=8-6")</f>
        <v/>
      </c>
      <c r="F2712" t="inlineStr">
        <is>
          <t>B081R2P5WD</t>
        </is>
      </c>
      <c r="G2712">
        <f>_xludf.IMAGE("https://www.soccerplususa.com/prodimages//36782-REDWHITE-M.jpg")</f>
        <v/>
      </c>
      <c r="H2712">
        <f>_xludf.IMAGE("https://m.media-amazon.com/images/I/71LRvjZEtMS._AC_UL320_.jpg")</f>
        <v/>
      </c>
      <c r="K2712" t="inlineStr">
        <is>
          <t>8.99</t>
        </is>
      </c>
      <c r="L2712" t="n">
        <v>12.98</v>
      </c>
      <c r="M2712" s="1" t="inlineStr">
        <is>
          <t>44.38%</t>
        </is>
      </c>
      <c r="N2712" s="3" t="n">
        <v>44.38</v>
      </c>
      <c r="O2712" t="n">
        <v>4.6</v>
      </c>
      <c r="P2712" t="n">
        <v>18</v>
      </c>
      <c r="R2712" t="inlineStr">
        <is>
          <t>InStock</t>
        </is>
      </c>
      <c r="S2712" t="inlineStr">
        <is>
          <t>9.95</t>
        </is>
      </c>
      <c r="T2712" t="inlineStr">
        <is>
          <t>895854-01</t>
        </is>
      </c>
    </row>
    <row r="2713" hidden="1" ht="15.75" customHeight="1">
      <c r="A2713" s="2">
        <f>HYPERLINK("https://www.soccerplususa.com/adidas/adidas-team-speed-sock-1890", "https://www.soccerplususa.com/adidas/adidas-team-speed-sock-1890")</f>
        <v/>
      </c>
      <c r="B2713" t="inlineStr">
        <is>
          <t>undefined</t>
        </is>
      </c>
      <c r="C2713" t="inlineStr">
        <is>
          <t>adidas Team Speed Sock</t>
        </is>
      </c>
      <c r="D2713" t="inlineStr">
        <is>
          <t>adidas 5-Star Team Cushioned Crew Socks (1-Pair)</t>
        </is>
      </c>
      <c r="E2713" s="2">
        <f>HYPERLINK("https://www.amazon.com/adidas-unisex-adult-5-Star-Cushioned-1-Pair/dp/B08L43ZZX1/ref=sr_1_6?keywords=adidas+Team+Speed+Sock&amp;qid=1695171116&amp;sr=8-6", "https://www.amazon.com/adidas-unisex-adult-5-Star-Cushioned-1-Pair/dp/B08L43ZZX1/ref=sr_1_6?keywords=adidas+Team+Speed+Sock&amp;qid=1695171116&amp;sr=8-6")</f>
        <v/>
      </c>
      <c r="F2713" t="inlineStr">
        <is>
          <t>B08L43ZZX1</t>
        </is>
      </c>
      <c r="G2713">
        <f>_xludf.IMAGE("https://www.soccerplususa.com/prodimages/6561-DEFAULT-l.jpg")</f>
        <v/>
      </c>
      <c r="H2713">
        <f>_xludf.IMAGE("https://m.media-amazon.com/images/I/71r79AAotIS._AC_UL320_.jpg")</f>
        <v/>
      </c>
      <c r="K2713" t="inlineStr">
        <is>
          <t>8.0</t>
        </is>
      </c>
      <c r="L2713" t="n">
        <v>11.5</v>
      </c>
      <c r="M2713" s="1" t="inlineStr">
        <is>
          <t>43.75%</t>
        </is>
      </c>
      <c r="N2713" s="3" t="n">
        <v>43.75</v>
      </c>
      <c r="O2713" t="n">
        <v>4.6</v>
      </c>
      <c r="P2713" t="n">
        <v>251</v>
      </c>
      <c r="R2713" t="inlineStr">
        <is>
          <t>InStock</t>
        </is>
      </c>
      <c r="S2713" t="inlineStr">
        <is>
          <t>15.95</t>
        </is>
      </c>
      <c r="T2713" t="inlineStr">
        <is>
          <t>5130065</t>
        </is>
      </c>
    </row>
    <row r="2714" hidden="1" ht="15.75" customHeight="1">
      <c r="A2714" s="2">
        <f>HYPERLINK("https://www.soccerplususa.com/adidas/adidas-team-speed-sock-1896", "https://www.soccerplususa.com/adidas/adidas-team-speed-sock-1896")</f>
        <v/>
      </c>
      <c r="B2714" t="inlineStr">
        <is>
          <t>undefined</t>
        </is>
      </c>
      <c r="C2714" t="inlineStr">
        <is>
          <t>adidas Team Speed Sock</t>
        </is>
      </c>
      <c r="D2714" t="inlineStr">
        <is>
          <t>adidas 5-Star Team Cushioned Crew Socks (1-Pair)</t>
        </is>
      </c>
      <c r="E2714" s="2">
        <f>HYPERLINK("https://www.amazon.com/adidas-unisex-adult-5-Star-Cushioned-1-Pair/dp/B08L43ZZX1/ref=sr_1_5?keywords=adidas+Team+Speed+Sock&amp;qid=1695171111&amp;sr=8-5", "https://www.amazon.com/adidas-unisex-adult-5-Star-Cushioned-1-Pair/dp/B08L43ZZX1/ref=sr_1_5?keywords=adidas+Team+Speed+Sock&amp;qid=1695171111&amp;sr=8-5")</f>
        <v/>
      </c>
      <c r="F2714" t="inlineStr">
        <is>
          <t>B08L43ZZX1</t>
        </is>
      </c>
      <c r="G2714">
        <f>_xludf.IMAGE("https://www.soccerplususa.com/prodimages/5438-DEFAULT-l.jpg")</f>
        <v/>
      </c>
      <c r="H2714">
        <f>_xludf.IMAGE("https://m.media-amazon.com/images/I/71r79AAotIS._AC_UL320_.jpg")</f>
        <v/>
      </c>
      <c r="K2714" t="inlineStr">
        <is>
          <t>8.0</t>
        </is>
      </c>
      <c r="L2714" t="n">
        <v>11.5</v>
      </c>
      <c r="M2714" s="1" t="inlineStr">
        <is>
          <t>43.75%</t>
        </is>
      </c>
      <c r="N2714" s="3" t="n">
        <v>43.75</v>
      </c>
      <c r="O2714" t="n">
        <v>4.6</v>
      </c>
      <c r="P2714" t="n">
        <v>251</v>
      </c>
      <c r="R2714" t="inlineStr">
        <is>
          <t>InStock</t>
        </is>
      </c>
      <c r="S2714" t="inlineStr">
        <is>
          <t>15.95</t>
        </is>
      </c>
      <c r="T2714" t="inlineStr">
        <is>
          <t>5130084</t>
        </is>
      </c>
    </row>
    <row r="2715" hidden="1" ht="15.75" customHeight="1">
      <c r="A2715" s="2">
        <f>HYPERLINK("https://www.soccerplususa.com/adidas/adidas-team-speed-sock-1923", "https://www.soccerplususa.com/adidas/adidas-team-speed-sock-1923")</f>
        <v/>
      </c>
      <c r="B2715" t="inlineStr">
        <is>
          <t>undefined</t>
        </is>
      </c>
      <c r="C2715" t="inlineStr">
        <is>
          <t>adidas Team Speed Sock</t>
        </is>
      </c>
      <c r="D2715" t="inlineStr">
        <is>
          <t>adidas 5-Star Team Cushioned Crew Socks (1-Pair)</t>
        </is>
      </c>
      <c r="E2715" s="2">
        <f>HYPERLINK("https://www.amazon.com/adidas-unisex-adult-5-Star-Cushioned-1-Pair/dp/B08L43ZZX1/ref=sr_1_10?keywords=adidas+Team+Speed+Sock&amp;qid=1695171111&amp;sr=8-10", "https://www.amazon.com/adidas-unisex-adult-5-Star-Cushioned-1-Pair/dp/B08L43ZZX1/ref=sr_1_10?keywords=adidas+Team+Speed+Sock&amp;qid=1695171111&amp;sr=8-10")</f>
        <v/>
      </c>
      <c r="F2715" t="inlineStr">
        <is>
          <t>B08L43ZZX1</t>
        </is>
      </c>
      <c r="G2715">
        <f>_xludf.IMAGE("https://www.soccerplususa.com/prodimages/6560-DEFAULT-l.jpg")</f>
        <v/>
      </c>
      <c r="H2715">
        <f>_xludf.IMAGE("https://m.media-amazon.com/images/I/71r79AAotIS._AC_UL320_.jpg")</f>
        <v/>
      </c>
      <c r="K2715" t="inlineStr">
        <is>
          <t>8.0</t>
        </is>
      </c>
      <c r="L2715" t="n">
        <v>11.5</v>
      </c>
      <c r="M2715" s="1" t="inlineStr">
        <is>
          <t>43.75%</t>
        </is>
      </c>
      <c r="N2715" s="3" t="n">
        <v>43.75</v>
      </c>
      <c r="O2715" t="n">
        <v>4.6</v>
      </c>
      <c r="P2715" t="n">
        <v>251</v>
      </c>
      <c r="R2715" t="inlineStr">
        <is>
          <t>InStock</t>
        </is>
      </c>
      <c r="S2715" t="inlineStr">
        <is>
          <t>15.95</t>
        </is>
      </c>
      <c r="T2715" t="inlineStr">
        <is>
          <t>5130156</t>
        </is>
      </c>
    </row>
    <row r="2716" hidden="1" ht="15.75" customHeight="1">
      <c r="A2716" s="2">
        <f>HYPERLINK("https://www.soccerplususa.com/adidas-2/adidas-copa-zone-cushion-iv-sock-36242", "https://www.soccerplususa.com/adidas-2/adidas-copa-zone-cushion-iv-sock-36242")</f>
        <v/>
      </c>
      <c r="B2716" t="inlineStr">
        <is>
          <t>undefined</t>
        </is>
      </c>
      <c r="C2716" t="inlineStr">
        <is>
          <t>adidas Copa Zone Cushion IV Sock</t>
        </is>
      </c>
      <c r="D2716" t="inlineStr">
        <is>
          <t>adidas Copa Zone Cushion 4 Soccer Socks for Boys, Girls, Men and Women (1-Pair)</t>
        </is>
      </c>
      <c r="E2716" s="2">
        <f>HYPERLINK("https://www.amazon.com/adidas-Cushion-Soccer-1-Pack-Argentina/dp/B07D9HN6LZ/ref=sr_1_3?keywords=adidas+Copa+Zone+Cushion+IV+Sock&amp;qid=1695171095&amp;sr=8-3", "https://www.amazon.com/adidas-Cushion-Soccer-1-Pack-Argentina/dp/B07D9HN6LZ/ref=sr_1_3?keywords=adidas+Copa+Zone+Cushion+IV+Sock&amp;qid=1695171095&amp;sr=8-3")</f>
        <v/>
      </c>
      <c r="F2716" t="inlineStr">
        <is>
          <t>B07D9HN6LZ</t>
        </is>
      </c>
      <c r="G2716">
        <f>_xludf.IMAGE("https://www.soccerplususa.com/prodimages/17551-DEFAULT-l.jpg")</f>
        <v/>
      </c>
      <c r="H2716">
        <f>_xludf.IMAGE("https://m.media-amazon.com/images/I/81XA0Mz5E5L._AC_UL320_.jpg")</f>
        <v/>
      </c>
      <c r="K2716" t="inlineStr">
        <is>
          <t>11.95</t>
        </is>
      </c>
      <c r="L2716" t="n">
        <v>16.95</v>
      </c>
      <c r="M2716" s="1" t="inlineStr">
        <is>
          <t>41.84%</t>
        </is>
      </c>
      <c r="N2716" s="3" t="n">
        <v>41.84</v>
      </c>
      <c r="O2716" t="n">
        <v>4.7</v>
      </c>
      <c r="P2716" t="n">
        <v>699</v>
      </c>
      <c r="R2716" t="inlineStr">
        <is>
          <t>InStock</t>
        </is>
      </c>
      <c r="S2716" t="inlineStr">
        <is>
          <t>undefined</t>
        </is>
      </c>
      <c r="T2716" t="inlineStr">
        <is>
          <t>5147304</t>
        </is>
      </c>
    </row>
    <row r="2717" hidden="1" ht="15.75" customHeight="1">
      <c r="A2717" s="2">
        <f>HYPERLINK("https://www.soccerplususa.com/adidas-2/adidas-copa-zone-cushion-iv-sock-36236", "https://www.soccerplususa.com/adidas-2/adidas-copa-zone-cushion-iv-sock-36236")</f>
        <v/>
      </c>
      <c r="B2717" t="inlineStr">
        <is>
          <t>undefined</t>
        </is>
      </c>
      <c r="C2717" t="inlineStr">
        <is>
          <t>adidas Copa Zone Cushion IV Sock</t>
        </is>
      </c>
      <c r="D2717" t="inlineStr">
        <is>
          <t>adidas Copa Zone Cushion 4 Soccer Socks for Boys, Girls, Men and Women (1-Pair)</t>
        </is>
      </c>
      <c r="E2717" s="2">
        <f>HYPERLINK("https://www.amazon.com/adidas-Cushion-Soccer-1-Pack-Argentina/dp/B07D9HN6LZ/ref=sr_1_3?keywords=adidas+Copa+Zone+Cushion+IV+Sock&amp;qid=1695171089&amp;sr=8-3", "https://www.amazon.com/adidas-Cushion-Soccer-1-Pack-Argentina/dp/B07D9HN6LZ/ref=sr_1_3?keywords=adidas+Copa+Zone+Cushion+IV+Sock&amp;qid=1695171089&amp;sr=8-3")</f>
        <v/>
      </c>
      <c r="F2717" t="inlineStr">
        <is>
          <t>B07D9HN6LZ</t>
        </is>
      </c>
      <c r="G2717">
        <f>_xludf.IMAGE("https://www.soccerplususa.com/prodimages/17545-DEFAULT-l.jpg")</f>
        <v/>
      </c>
      <c r="H2717">
        <f>_xludf.IMAGE("https://m.media-amazon.com/images/I/81XA0Mz5E5L._AC_UL320_.jpg")</f>
        <v/>
      </c>
      <c r="K2717" t="inlineStr">
        <is>
          <t>11.95</t>
        </is>
      </c>
      <c r="L2717" t="n">
        <v>16.95</v>
      </c>
      <c r="M2717" s="1" t="inlineStr">
        <is>
          <t>41.84%</t>
        </is>
      </c>
      <c r="N2717" s="3" t="n">
        <v>41.84</v>
      </c>
      <c r="O2717" t="n">
        <v>4.7</v>
      </c>
      <c r="P2717" t="n">
        <v>699</v>
      </c>
      <c r="R2717" t="inlineStr">
        <is>
          <t>InStock</t>
        </is>
      </c>
      <c r="S2717" t="inlineStr">
        <is>
          <t>undefined</t>
        </is>
      </c>
      <c r="T2717" t="inlineStr">
        <is>
          <t>5147292</t>
        </is>
      </c>
    </row>
    <row r="2718" hidden="1" ht="15.75" customHeight="1">
      <c r="A2718" s="2">
        <f>HYPERLINK("https://www.soccerplususa.com/adidas-2/adidas-copa-zone-cushion-iv-sock-36237", "https://www.soccerplususa.com/adidas-2/adidas-copa-zone-cushion-iv-sock-36237")</f>
        <v/>
      </c>
      <c r="B2718" t="inlineStr">
        <is>
          <t>undefined</t>
        </is>
      </c>
      <c r="C2718" t="inlineStr">
        <is>
          <t>adidas Copa Zone Cushion IV Sock</t>
        </is>
      </c>
      <c r="D2718" t="inlineStr">
        <is>
          <t>adidas Copa Zone Cushion 4 Soccer Socks for Boys, Girls, Men and Women (1-Pair)</t>
        </is>
      </c>
      <c r="E2718" s="2">
        <f>HYPERLINK("https://www.amazon.com/adidas-Cushion-Soccer-1-Pack-Argentina/dp/B07D9HN6LZ/ref=sr_1_3?keywords=adidas+Copa+Zone+Cushion+IV+Sock&amp;qid=1695171091&amp;sr=8-3", "https://www.amazon.com/adidas-Cushion-Soccer-1-Pack-Argentina/dp/B07D9HN6LZ/ref=sr_1_3?keywords=adidas+Copa+Zone+Cushion+IV+Sock&amp;qid=1695171091&amp;sr=8-3")</f>
        <v/>
      </c>
      <c r="F2718" t="inlineStr">
        <is>
          <t>B07D9HN6LZ</t>
        </is>
      </c>
      <c r="G2718">
        <f>_xludf.IMAGE("https://www.soccerplususa.com/prodimages/17546-DEFAULT-l.jpg")</f>
        <v/>
      </c>
      <c r="H2718">
        <f>_xludf.IMAGE("https://m.media-amazon.com/images/I/81XA0Mz5E5L._AC_UL320_.jpg")</f>
        <v/>
      </c>
      <c r="K2718" t="inlineStr">
        <is>
          <t>11.95</t>
        </is>
      </c>
      <c r="L2718" t="n">
        <v>16.95</v>
      </c>
      <c r="M2718" s="1" t="inlineStr">
        <is>
          <t>41.84%</t>
        </is>
      </c>
      <c r="N2718" s="3" t="n">
        <v>41.84</v>
      </c>
      <c r="O2718" t="n">
        <v>4.7</v>
      </c>
      <c r="P2718" t="n">
        <v>699</v>
      </c>
      <c r="R2718" t="inlineStr">
        <is>
          <t>InStock</t>
        </is>
      </c>
      <c r="S2718" t="inlineStr">
        <is>
          <t>undefined</t>
        </is>
      </c>
      <c r="T2718" t="inlineStr">
        <is>
          <t>5147293</t>
        </is>
      </c>
    </row>
    <row r="2719" hidden="1" ht="15.75" customHeight="1">
      <c r="A2719" s="2">
        <f>HYPERLINK("https://www.soccerplususa.com/adidas-2/adidas-copa-zone-cushion-iv-sock-36239", "https://www.soccerplususa.com/adidas-2/adidas-copa-zone-cushion-iv-sock-36239")</f>
        <v/>
      </c>
      <c r="B2719" t="inlineStr">
        <is>
          <t>undefined</t>
        </is>
      </c>
      <c r="C2719" t="inlineStr">
        <is>
          <t>adidas Copa Zone Cushion IV Sock</t>
        </is>
      </c>
      <c r="D2719" t="inlineStr">
        <is>
          <t>adidas Copa Zone Cushion 4 Soccer Socks for Boys, Girls, Men and Women (1-Pair)</t>
        </is>
      </c>
      <c r="E2719" s="2">
        <f>HYPERLINK("https://www.amazon.com/adidas-Cushion-Soccer-1-Pack-Argentina/dp/B07D9HN6LZ/ref=sr_1_3?keywords=adidas+Copa+Zone+Cushion+IV+Sock&amp;qid=1695171093&amp;sr=8-3", "https://www.amazon.com/adidas-Cushion-Soccer-1-Pack-Argentina/dp/B07D9HN6LZ/ref=sr_1_3?keywords=adidas+Copa+Zone+Cushion+IV+Sock&amp;qid=1695171093&amp;sr=8-3")</f>
        <v/>
      </c>
      <c r="F2719" t="inlineStr">
        <is>
          <t>B07D9HN6LZ</t>
        </is>
      </c>
      <c r="G2719">
        <f>_xludf.IMAGE("https://www.soccerplususa.com/prodimages/17548-DEFAULT-l.jpg")</f>
        <v/>
      </c>
      <c r="H2719">
        <f>_xludf.IMAGE("https://m.media-amazon.com/images/I/81XA0Mz5E5L._AC_UL320_.jpg")</f>
        <v/>
      </c>
      <c r="K2719" t="inlineStr">
        <is>
          <t>11.95</t>
        </is>
      </c>
      <c r="L2719" t="n">
        <v>16.95</v>
      </c>
      <c r="M2719" s="1" t="inlineStr">
        <is>
          <t>41.84%</t>
        </is>
      </c>
      <c r="N2719" s="3" t="n">
        <v>41.84</v>
      </c>
      <c r="O2719" t="n">
        <v>4.7</v>
      </c>
      <c r="P2719" t="n">
        <v>699</v>
      </c>
      <c r="R2719" t="inlineStr">
        <is>
          <t>InStock</t>
        </is>
      </c>
      <c r="S2719" t="inlineStr">
        <is>
          <t>undefined</t>
        </is>
      </c>
      <c r="T2719" t="inlineStr">
        <is>
          <t>5147295</t>
        </is>
      </c>
    </row>
    <row r="2720" hidden="1" ht="15.75" customHeight="1">
      <c r="A2720" s="2">
        <f>HYPERLINK("https://www.soccerplususa.com/adidas-2/adidas-copa-zone-cushion-iv-sock-36245", "https://www.soccerplususa.com/adidas-2/adidas-copa-zone-cushion-iv-sock-36245")</f>
        <v/>
      </c>
      <c r="B2720" t="inlineStr">
        <is>
          <t>undefined</t>
        </is>
      </c>
      <c r="C2720" t="inlineStr">
        <is>
          <t>adidas Copa Zone Cushion IV Sock</t>
        </is>
      </c>
      <c r="D2720" t="inlineStr">
        <is>
          <t>adidas Copa Zone Cushion 4 Soccer Socks for Boys, Girls, Men and Women (1-Pair)</t>
        </is>
      </c>
      <c r="E2720" s="2">
        <f>HYPERLINK("https://www.amazon.com/adidas-Cushion-Soccer-1-Pack-Argentina/dp/B07D9HN6LZ/ref=sr_1_3?keywords=adidas+Copa+Zone+Cushion+IV+Sock&amp;qid=1695171092&amp;sr=8-3", "https://www.amazon.com/adidas-Cushion-Soccer-1-Pack-Argentina/dp/B07D9HN6LZ/ref=sr_1_3?keywords=adidas+Copa+Zone+Cushion+IV+Sock&amp;qid=1695171092&amp;sr=8-3")</f>
        <v/>
      </c>
      <c r="F2720" t="inlineStr">
        <is>
          <t>B07D9HN6LZ</t>
        </is>
      </c>
      <c r="G2720">
        <f>_xludf.IMAGE("https://www.soccerplususa.com/prodimages/17553-DEFAULT-l.jpg")</f>
        <v/>
      </c>
      <c r="H2720">
        <f>_xludf.IMAGE("https://m.media-amazon.com/images/I/81XA0Mz5E5L._AC_UL320_.jpg")</f>
        <v/>
      </c>
      <c r="K2720" t="inlineStr">
        <is>
          <t>11.95</t>
        </is>
      </c>
      <c r="L2720" t="n">
        <v>16.95</v>
      </c>
      <c r="M2720" s="1" t="inlineStr">
        <is>
          <t>41.84%</t>
        </is>
      </c>
      <c r="N2720" s="3" t="n">
        <v>41.84</v>
      </c>
      <c r="O2720" t="n">
        <v>4.7</v>
      </c>
      <c r="P2720" t="n">
        <v>699</v>
      </c>
      <c r="R2720" t="inlineStr">
        <is>
          <t>InStock</t>
        </is>
      </c>
      <c r="S2720" t="inlineStr">
        <is>
          <t>undefined</t>
        </is>
      </c>
      <c r="T2720" t="inlineStr">
        <is>
          <t>5147310</t>
        </is>
      </c>
    </row>
    <row r="2721" hidden="1" ht="15.75" customHeight="1">
      <c r="A2721" s="2">
        <f>HYPERLINK("https://www.soccerplususa.com/adidas-2/adidas-copa-zone-cushion-iv-sock-36235", "https://www.soccerplususa.com/adidas-2/adidas-copa-zone-cushion-iv-sock-36235")</f>
        <v/>
      </c>
      <c r="B2721" t="inlineStr">
        <is>
          <t>undefined</t>
        </is>
      </c>
      <c r="C2721" t="inlineStr">
        <is>
          <t>adidas Copa Zone Cushion IV Sock</t>
        </is>
      </c>
      <c r="D2721" t="inlineStr">
        <is>
          <t>adidas Copa Zone Cushion 4 Soccer Socks for Boys, Girls, Men and Women (1-Pair)</t>
        </is>
      </c>
      <c r="E2721" s="2">
        <f>HYPERLINK("https://www.amazon.com/adidas-Cushion-Soccer-1-Pack-Argentina/dp/B07D9HN6LZ/ref=sr_1_3?keywords=adidas+Copa+Zone+Cushion+IV+Sock&amp;qid=1695171093&amp;sr=8-3", "https://www.amazon.com/adidas-Cushion-Soccer-1-Pack-Argentina/dp/B07D9HN6LZ/ref=sr_1_3?keywords=adidas+Copa+Zone+Cushion+IV+Sock&amp;qid=1695171093&amp;sr=8-3")</f>
        <v/>
      </c>
      <c r="F2721" t="inlineStr">
        <is>
          <t>B07D9HN6LZ</t>
        </is>
      </c>
      <c r="G2721">
        <f>_xludf.IMAGE("https://www.soccerplususa.com/prodimages/17544-DEFAULT-l.jpg")</f>
        <v/>
      </c>
      <c r="H2721">
        <f>_xludf.IMAGE("https://m.media-amazon.com/images/I/81XA0Mz5E5L._AC_UL320_.jpg")</f>
        <v/>
      </c>
      <c r="K2721" t="inlineStr">
        <is>
          <t>11.95</t>
        </is>
      </c>
      <c r="L2721" t="n">
        <v>16.95</v>
      </c>
      <c r="M2721" s="1" t="inlineStr">
        <is>
          <t>41.84%</t>
        </is>
      </c>
      <c r="N2721" s="3" t="n">
        <v>41.84</v>
      </c>
      <c r="O2721" t="n">
        <v>4.7</v>
      </c>
      <c r="P2721" t="n">
        <v>699</v>
      </c>
      <c r="R2721" t="inlineStr">
        <is>
          <t>InStock</t>
        </is>
      </c>
      <c r="S2721" t="inlineStr">
        <is>
          <t>undefined</t>
        </is>
      </c>
      <c r="T2721" t="inlineStr">
        <is>
          <t>5147291</t>
        </is>
      </c>
    </row>
    <row r="2722" hidden="1" ht="15.75" customHeight="1">
      <c r="A2722" s="2">
        <f>HYPERLINK("https://www.soccerplususa.com/adidas-2/adidas-copa-zone-cushion-iv-sock-36238", "https://www.soccerplususa.com/adidas-2/adidas-copa-zone-cushion-iv-sock-36238")</f>
        <v/>
      </c>
      <c r="B2722" t="inlineStr">
        <is>
          <t>undefined</t>
        </is>
      </c>
      <c r="C2722" t="inlineStr">
        <is>
          <t>adidas Copa Zone Cushion IV Sock</t>
        </is>
      </c>
      <c r="D2722" t="inlineStr">
        <is>
          <t>adidas Copa Zone Cushion 4 Soccer Socks for Boys, Girls, Men and Women (1-Pair)</t>
        </is>
      </c>
      <c r="E2722" s="2">
        <f>HYPERLINK("https://www.amazon.com/adidas-Cushion-Soccer-1-Pack-Argentina/dp/B07D9HN6LZ/ref=sr_1_3?keywords=adidas+Copa+Zone+Cushion+IV+Sock&amp;qid=1695171098&amp;sr=8-3", "https://www.amazon.com/adidas-Cushion-Soccer-1-Pack-Argentina/dp/B07D9HN6LZ/ref=sr_1_3?keywords=adidas+Copa+Zone+Cushion+IV+Sock&amp;qid=1695171098&amp;sr=8-3")</f>
        <v/>
      </c>
      <c r="F2722" t="inlineStr">
        <is>
          <t>B07D9HN6LZ</t>
        </is>
      </c>
      <c r="G2722">
        <f>_xludf.IMAGE("https://www.soccerplususa.com/prodimages/17547-DEFAULT-l.jpg")</f>
        <v/>
      </c>
      <c r="H2722">
        <f>_xludf.IMAGE("https://m.media-amazon.com/images/I/81XA0Mz5E5L._AC_UL320_.jpg")</f>
        <v/>
      </c>
      <c r="K2722" t="inlineStr">
        <is>
          <t>11.95</t>
        </is>
      </c>
      <c r="L2722" t="n">
        <v>16.95</v>
      </c>
      <c r="M2722" s="1" t="inlineStr">
        <is>
          <t>41.84%</t>
        </is>
      </c>
      <c r="N2722" s="3" t="n">
        <v>41.84</v>
      </c>
      <c r="O2722" t="n">
        <v>4.7</v>
      </c>
      <c r="P2722" t="n">
        <v>699</v>
      </c>
      <c r="R2722" t="inlineStr">
        <is>
          <t>InStock</t>
        </is>
      </c>
      <c r="S2722" t="inlineStr">
        <is>
          <t>undefined</t>
        </is>
      </c>
      <c r="T2722" t="inlineStr">
        <is>
          <t>5147294</t>
        </is>
      </c>
    </row>
    <row r="2723" hidden="1" ht="15.75" customHeight="1">
      <c r="A2723" s="2">
        <f>HYPERLINK("https://www.soccerplususa.com/adidas-2/adidas-copa-zone-cushion-iv-sock-36241", "https://www.soccerplususa.com/adidas-2/adidas-copa-zone-cushion-iv-sock-36241")</f>
        <v/>
      </c>
      <c r="B2723" t="inlineStr">
        <is>
          <t>undefined</t>
        </is>
      </c>
      <c r="C2723" t="inlineStr">
        <is>
          <t>adidas Copa Zone Cushion IV Sock</t>
        </is>
      </c>
      <c r="D2723" t="inlineStr">
        <is>
          <t>adidas Copa Zone Cushion 4 Soccer Socks for Boys, Girls, Men and Women (1-Pair)</t>
        </is>
      </c>
      <c r="E2723" s="2">
        <f>HYPERLINK("https://www.amazon.com/adidas-Cushion-Soccer-1-Pack-Argentina/dp/B07D9HN6LZ/ref=sr_1_3?keywords=adidas+Copa+Zone+Cushion+IV+Sock&amp;qid=1695171090&amp;sr=8-3", "https://www.amazon.com/adidas-Cushion-Soccer-1-Pack-Argentina/dp/B07D9HN6LZ/ref=sr_1_3?keywords=adidas+Copa+Zone+Cushion+IV+Sock&amp;qid=1695171090&amp;sr=8-3")</f>
        <v/>
      </c>
      <c r="F2723" t="inlineStr">
        <is>
          <t>B07D9HN6LZ</t>
        </is>
      </c>
      <c r="G2723">
        <f>_xludf.IMAGE("https://www.soccerplususa.com/prodimages/17550-DEFAULT-l.jpg")</f>
        <v/>
      </c>
      <c r="H2723">
        <f>_xludf.IMAGE("https://m.media-amazon.com/images/I/81XA0Mz5E5L._AC_UL320_.jpg")</f>
        <v/>
      </c>
      <c r="K2723" t="inlineStr">
        <is>
          <t>11.95</t>
        </is>
      </c>
      <c r="L2723" t="n">
        <v>16.95</v>
      </c>
      <c r="M2723" s="1" t="inlineStr">
        <is>
          <t>41.84%</t>
        </is>
      </c>
      <c r="N2723" s="3" t="n">
        <v>41.84</v>
      </c>
      <c r="O2723" t="n">
        <v>4.7</v>
      </c>
      <c r="P2723" t="n">
        <v>699</v>
      </c>
      <c r="R2723" t="inlineStr">
        <is>
          <t>InStock</t>
        </is>
      </c>
      <c r="S2723" t="inlineStr">
        <is>
          <t>undefined</t>
        </is>
      </c>
      <c r="T2723" t="inlineStr">
        <is>
          <t>5147303</t>
        </is>
      </c>
    </row>
    <row r="2724" hidden="1" ht="15.75" customHeight="1">
      <c r="A2724" s="2">
        <f>HYPERLINK("https://www.soccerplususa.com/adidas-2/adidas-copa-zone-cushion-iv-sock-36240", "https://www.soccerplususa.com/adidas-2/adidas-copa-zone-cushion-iv-sock-36240")</f>
        <v/>
      </c>
      <c r="B2724" t="inlineStr">
        <is>
          <t>undefined</t>
        </is>
      </c>
      <c r="C2724" t="inlineStr">
        <is>
          <t>adidas Copa Zone Cushion IV Sock</t>
        </is>
      </c>
      <c r="D2724" t="inlineStr">
        <is>
          <t>adidas Copa Zone Cushion 4 Soccer Socks for Boys, Girls, Men and Women (1-Pair)</t>
        </is>
      </c>
      <c r="E2724" s="2">
        <f>HYPERLINK("https://www.amazon.com/adidas-Cushion-Soccer-1-Pack-Argentina/dp/B07D9HN6LZ/ref=sr_1_3?keywords=adidas+Copa+Zone+Cushion+IV+Sock&amp;qid=1695171087&amp;sr=8-3", "https://www.amazon.com/adidas-Cushion-Soccer-1-Pack-Argentina/dp/B07D9HN6LZ/ref=sr_1_3?keywords=adidas+Copa+Zone+Cushion+IV+Sock&amp;qid=1695171087&amp;sr=8-3")</f>
        <v/>
      </c>
      <c r="F2724" t="inlineStr">
        <is>
          <t>B07D9HN6LZ</t>
        </is>
      </c>
      <c r="G2724">
        <f>_xludf.IMAGE("https://www.soccerplususa.com/prodimages/17549-DEFAULT-l.jpg")</f>
        <v/>
      </c>
      <c r="H2724">
        <f>_xludf.IMAGE("https://m.media-amazon.com/images/I/81XA0Mz5E5L._AC_UL320_.jpg")</f>
        <v/>
      </c>
      <c r="K2724" t="inlineStr">
        <is>
          <t>11.95</t>
        </is>
      </c>
      <c r="L2724" t="n">
        <v>16.95</v>
      </c>
      <c r="M2724" s="1" t="inlineStr">
        <is>
          <t>41.84%</t>
        </is>
      </c>
      <c r="N2724" s="3" t="n">
        <v>41.84</v>
      </c>
      <c r="O2724" t="n">
        <v>4.7</v>
      </c>
      <c r="P2724" t="n">
        <v>699</v>
      </c>
      <c r="R2724" t="inlineStr">
        <is>
          <t>InStock</t>
        </is>
      </c>
      <c r="S2724" t="inlineStr">
        <is>
          <t>undefined</t>
        </is>
      </c>
      <c r="T2724" t="inlineStr">
        <is>
          <t>5147301</t>
        </is>
      </c>
    </row>
    <row r="2725" hidden="1" ht="15.75" customHeight="1">
      <c r="A2725" s="2">
        <f>HYPERLINK("https://www.soccerplususa.com/adidas-2/adidas-copa-zone-cushion-iv-sock-36233", "https://www.soccerplususa.com/adidas-2/adidas-copa-zone-cushion-iv-sock-36233")</f>
        <v/>
      </c>
      <c r="B2725" t="inlineStr">
        <is>
          <t>undefined</t>
        </is>
      </c>
      <c r="C2725" t="inlineStr">
        <is>
          <t>adidas Copa Zone Cushion IV Sock</t>
        </is>
      </c>
      <c r="D2725" t="inlineStr">
        <is>
          <t>adidas Copa Zone Cushion 4 Soccer Socks for Boys, Girls, Men and Women (1-Pair)</t>
        </is>
      </c>
      <c r="E2725" s="2">
        <f>HYPERLINK("https://www.amazon.com/adidas-Cushion-Soccer-1-Pack-Argentina/dp/B07D9HN6LZ/ref=sr_1_3?keywords=adidas+Copa+Zone+Cushion+IV+Sock&amp;qid=1695171094&amp;sr=8-3", "https://www.amazon.com/adidas-Cushion-Soccer-1-Pack-Argentina/dp/B07D9HN6LZ/ref=sr_1_3?keywords=adidas+Copa+Zone+Cushion+IV+Sock&amp;qid=1695171094&amp;sr=8-3")</f>
        <v/>
      </c>
      <c r="F2725" t="inlineStr">
        <is>
          <t>B07D9HN6LZ</t>
        </is>
      </c>
      <c r="G2725">
        <f>_xludf.IMAGE("https://www.soccerplususa.com/prodimages/17542-DEFAULT-l.jpg")</f>
        <v/>
      </c>
      <c r="H2725">
        <f>_xludf.IMAGE("https://m.media-amazon.com/images/I/81XA0Mz5E5L._AC_UL320_.jpg")</f>
        <v/>
      </c>
      <c r="K2725" t="inlineStr">
        <is>
          <t>11.95</t>
        </is>
      </c>
      <c r="L2725" t="n">
        <v>16.95</v>
      </c>
      <c r="M2725" s="1" t="inlineStr">
        <is>
          <t>41.84%</t>
        </is>
      </c>
      <c r="N2725" s="3" t="n">
        <v>41.84</v>
      </c>
      <c r="O2725" t="n">
        <v>4.7</v>
      </c>
      <c r="P2725" t="n">
        <v>699</v>
      </c>
      <c r="R2725" t="inlineStr">
        <is>
          <t>InStock</t>
        </is>
      </c>
      <c r="S2725" t="inlineStr">
        <is>
          <t>undefined</t>
        </is>
      </c>
      <c r="T2725" t="inlineStr">
        <is>
          <t>5147287</t>
        </is>
      </c>
    </row>
    <row r="2726" hidden="1" ht="15.75" customHeight="1">
      <c r="A2726" s="2">
        <f>HYPERLINK("https://www.soccerplususa.com/adidas-2/adidas-copa-zone-cushion-iv-sock-36244", "https://www.soccerplususa.com/adidas-2/adidas-copa-zone-cushion-iv-sock-36244")</f>
        <v/>
      </c>
      <c r="B2726" t="inlineStr">
        <is>
          <t>undefined</t>
        </is>
      </c>
      <c r="C2726" t="inlineStr">
        <is>
          <t>adidas Copa Zone Cushion IV Sock</t>
        </is>
      </c>
      <c r="D2726" t="inlineStr">
        <is>
          <t>adidas Copa Zone Cushion 4 Soccer Socks for Boys, Girls, Men and Women (1-Pair)</t>
        </is>
      </c>
      <c r="E2726" s="2">
        <f>HYPERLINK("https://www.amazon.com/adidas-Cushion-Soccer-1-Pack-Argentina/dp/B07D9HN6LZ/ref=sr_1_3?keywords=adidas+Copa+Zone+Cushion+IV+Sock&amp;qid=1695171094&amp;sr=8-3", "https://www.amazon.com/adidas-Cushion-Soccer-1-Pack-Argentina/dp/B07D9HN6LZ/ref=sr_1_3?keywords=adidas+Copa+Zone+Cushion+IV+Sock&amp;qid=1695171094&amp;sr=8-3")</f>
        <v/>
      </c>
      <c r="F2726" t="inlineStr">
        <is>
          <t>B07D9HN6LZ</t>
        </is>
      </c>
      <c r="G2726">
        <f>_xludf.IMAGE("https://www.soccerplususa.com/prodimages/17552-DEFAULT-l.jpg")</f>
        <v/>
      </c>
      <c r="H2726">
        <f>_xludf.IMAGE("https://m.media-amazon.com/images/I/81XA0Mz5E5L._AC_UL320_.jpg")</f>
        <v/>
      </c>
      <c r="K2726" t="inlineStr">
        <is>
          <t>11.95</t>
        </is>
      </c>
      <c r="L2726" t="n">
        <v>16.95</v>
      </c>
      <c r="M2726" s="1" t="inlineStr">
        <is>
          <t>41.84%</t>
        </is>
      </c>
      <c r="N2726" s="3" t="n">
        <v>41.84</v>
      </c>
      <c r="O2726" t="n">
        <v>4.7</v>
      </c>
      <c r="P2726" t="n">
        <v>699</v>
      </c>
      <c r="R2726" t="inlineStr">
        <is>
          <t>InStock</t>
        </is>
      </c>
      <c r="S2726" t="inlineStr">
        <is>
          <t>undefined</t>
        </is>
      </c>
      <c r="T2726" t="inlineStr">
        <is>
          <t>5147309</t>
        </is>
      </c>
    </row>
    <row r="2727" hidden="1" ht="15.75" customHeight="1">
      <c r="A2727" s="2">
        <f>HYPERLINK("https://www.soccerplususa.com/adidas/adidas-copa-zone-cushion-iv-sock-33729", "https://www.soccerplususa.com/adidas/adidas-copa-zone-cushion-iv-sock-33729")</f>
        <v/>
      </c>
      <c r="B2727" t="inlineStr">
        <is>
          <t>undefined</t>
        </is>
      </c>
      <c r="C2727" t="inlineStr">
        <is>
          <t>adidas Copa Zone Cushion IV Sock</t>
        </is>
      </c>
      <c r="D2727" t="inlineStr">
        <is>
          <t>adidas Copa Zone Cushion 4 Soccer Socks for Boys, Girls, Men and Women (1-Pair)</t>
        </is>
      </c>
      <c r="E2727" s="2">
        <f>HYPERLINK("https://www.amazon.com/adidas-Cushion-Soccer-1-Pack-Argentina/dp/B07D9HN6LZ/ref=sr_1_3?keywords=adidas+Copa+Zone+Cushion+IV+Sock&amp;qid=1695171091&amp;sr=8-3", "https://www.amazon.com/adidas-Cushion-Soccer-1-Pack-Argentina/dp/B07D9HN6LZ/ref=sr_1_3?keywords=adidas+Copa+Zone+Cushion+IV+Sock&amp;qid=1695171091&amp;sr=8-3")</f>
        <v/>
      </c>
      <c r="F2727" t="inlineStr">
        <is>
          <t>B07D9HN6LZ</t>
        </is>
      </c>
      <c r="G2727">
        <f>_xludf.IMAGE("https://www.soccerplususa.com/prodimages/8983-DEFAULT-l.jpg")</f>
        <v/>
      </c>
      <c r="H2727">
        <f>_xludf.IMAGE("https://m.media-amazon.com/images/I/81XA0Mz5E5L._AC_UL320_.jpg")</f>
        <v/>
      </c>
      <c r="K2727" t="inlineStr">
        <is>
          <t>11.99</t>
        </is>
      </c>
      <c r="L2727" t="n">
        <v>16.95</v>
      </c>
      <c r="M2727" s="1" t="inlineStr">
        <is>
          <t>41.37%</t>
        </is>
      </c>
      <c r="N2727" s="3" t="n">
        <v>41.37</v>
      </c>
      <c r="O2727" t="n">
        <v>4.7</v>
      </c>
      <c r="P2727" t="n">
        <v>699</v>
      </c>
      <c r="R2727" t="inlineStr">
        <is>
          <t>InStock</t>
        </is>
      </c>
      <c r="S2727" t="inlineStr">
        <is>
          <t>undefined</t>
        </is>
      </c>
      <c r="T2727" t="inlineStr">
        <is>
          <t>5147296</t>
        </is>
      </c>
    </row>
    <row r="2728" hidden="1" ht="15.75" customHeight="1">
      <c r="A2728" s="2">
        <f>HYPERLINK("https://www.soccerplususa.com/adidas-2/adidas-copa-zone-cushion-iv-sock-36243", "https://www.soccerplususa.com/adidas-2/adidas-copa-zone-cushion-iv-sock-36243")</f>
        <v/>
      </c>
      <c r="B2728" t="inlineStr">
        <is>
          <t>undefined</t>
        </is>
      </c>
      <c r="C2728" t="inlineStr">
        <is>
          <t>adidas Copa Zone Cushion IV Sock</t>
        </is>
      </c>
      <c r="D2728" t="inlineStr">
        <is>
          <t>adidas Copa Zone Cushion 4 Soccer Socks for Boys, Girls, Men and Women (1-Pair)</t>
        </is>
      </c>
      <c r="E2728" s="2">
        <f>HYPERLINK("https://www.amazon.com/adidas-Cushion-Soccer-1-Pack-Argentina/dp/B07D9HN6LZ/ref=sr_1_3?keywords=adidas+Copa+Zone+Cushion+IV+Sock&amp;qid=1695171093&amp;sr=8-3", "https://www.amazon.com/adidas-Cushion-Soccer-1-Pack-Argentina/dp/B07D9HN6LZ/ref=sr_1_3?keywords=adidas+Copa+Zone+Cushion+IV+Sock&amp;qid=1695171093&amp;sr=8-3")</f>
        <v/>
      </c>
      <c r="F2728" t="inlineStr">
        <is>
          <t>B07D9HN6LZ</t>
        </is>
      </c>
      <c r="G2728">
        <f>_xludf.IMAGE("https://www.soccerplususa.com/prodimages/32190-DEFAULT-l.jpg")</f>
        <v/>
      </c>
      <c r="H2728">
        <f>_xludf.IMAGE("https://m.media-amazon.com/images/I/81XA0Mz5E5L._AC_UL320_.jpg")</f>
        <v/>
      </c>
      <c r="K2728" t="inlineStr">
        <is>
          <t>11.99</t>
        </is>
      </c>
      <c r="L2728" t="n">
        <v>16.95</v>
      </c>
      <c r="M2728" s="1" t="inlineStr">
        <is>
          <t>41.37%</t>
        </is>
      </c>
      <c r="N2728" s="3" t="n">
        <v>41.37</v>
      </c>
      <c r="O2728" t="n">
        <v>4.7</v>
      </c>
      <c r="P2728" t="n">
        <v>699</v>
      </c>
      <c r="R2728" t="inlineStr">
        <is>
          <t>InStock</t>
        </is>
      </c>
      <c r="S2728" t="inlineStr">
        <is>
          <t>undefined</t>
        </is>
      </c>
      <c r="T2728" t="inlineStr">
        <is>
          <t>5147305</t>
        </is>
      </c>
    </row>
    <row r="2729" hidden="1" ht="15.75" customHeight="1">
      <c r="A2729" s="2">
        <f>HYPERLINK("https://www.soccerplususa.com/adidas/adidas-team-leverage-beanie-2074", "https://www.soccerplususa.com/adidas/adidas-team-leverage-beanie-2074")</f>
        <v/>
      </c>
      <c r="B2729" t="inlineStr">
        <is>
          <t>undefined</t>
        </is>
      </c>
      <c r="C2729" t="inlineStr">
        <is>
          <t>adidas Team Leverage Beanie</t>
        </is>
      </c>
      <c r="D2729" t="inlineStr">
        <is>
          <t>adidas Brooklyn Nets Mens Womens Cuffed Knit with Pom Stretch Fit Gray Team Color Logo Beanie</t>
        </is>
      </c>
      <c r="E2729" s="2">
        <f>HYPERLINK("https://www.amazon.com/Adidas-Cuffed-Knit-Beanie-Brooklyn/dp/B00FHPV2GE/ref=sr_1_3?keywords=adidas+Team+Leverage+Beanie&amp;qid=1695171116&amp;sr=8-3", "https://www.amazon.com/Adidas-Cuffed-Knit-Beanie-Brooklyn/dp/B00FHPV2GE/ref=sr_1_3?keywords=adidas+Team+Leverage+Beanie&amp;qid=1695171116&amp;sr=8-3")</f>
        <v/>
      </c>
      <c r="F2729" t="inlineStr">
        <is>
          <t>B00FHPV2GE</t>
        </is>
      </c>
      <c r="G2729">
        <f>_xludf.IMAGE("https://www.soccerplususa.com/prodimages/7304-DEFAULT-l.jpg")</f>
        <v/>
      </c>
      <c r="H2729">
        <f>_xludf.IMAGE("https://m.media-amazon.com/images/I/81hDLAqDhXL._AC_UL320_.jpg")</f>
        <v/>
      </c>
      <c r="K2729" t="inlineStr">
        <is>
          <t>19.95</t>
        </is>
      </c>
      <c r="L2729" t="n">
        <v>27.99</v>
      </c>
      <c r="M2729" s="1" t="inlineStr">
        <is>
          <t>40.30%</t>
        </is>
      </c>
      <c r="N2729" s="3" t="n">
        <v>40.3</v>
      </c>
      <c r="O2729" t="n">
        <v>5</v>
      </c>
      <c r="P2729" t="n">
        <v>2</v>
      </c>
      <c r="R2729" t="inlineStr">
        <is>
          <t>InStock</t>
        </is>
      </c>
      <c r="S2729" t="inlineStr">
        <is>
          <t>undefined</t>
        </is>
      </c>
      <c r="T2729" t="inlineStr">
        <is>
          <t>5143707</t>
        </is>
      </c>
    </row>
    <row r="2730" hidden="1" ht="15.75" customHeight="1">
      <c r="A2730" s="2">
        <f>HYPERLINK("https://www.soccerplususa.com/adidas/adidas-team-leverage-beanie-2075", "https://www.soccerplususa.com/adidas/adidas-team-leverage-beanie-2075")</f>
        <v/>
      </c>
      <c r="B2730" t="inlineStr">
        <is>
          <t>undefined</t>
        </is>
      </c>
      <c r="C2730" t="inlineStr">
        <is>
          <t>adidas Team Leverage Beanie</t>
        </is>
      </c>
      <c r="D2730" t="inlineStr">
        <is>
          <t>adidas Brooklyn Nets Mens Womens Cuffed Knit with Pom Stretch Fit Gray Team Color Logo Beanie</t>
        </is>
      </c>
      <c r="E2730" s="2">
        <f>HYPERLINK("https://www.amazon.com/Adidas-Cuffed-Knit-Beanie-Brooklyn/dp/B00FHPV2GE/ref=sr_1_3?keywords=adidas+Team+Leverage+Beanie&amp;qid=1695171115&amp;sr=8-3", "https://www.amazon.com/Adidas-Cuffed-Knit-Beanie-Brooklyn/dp/B00FHPV2GE/ref=sr_1_3?keywords=adidas+Team+Leverage+Beanie&amp;qid=1695171115&amp;sr=8-3")</f>
        <v/>
      </c>
      <c r="F2730" t="inlineStr">
        <is>
          <t>B00FHPV2GE</t>
        </is>
      </c>
      <c r="G2730">
        <f>_xludf.IMAGE("https://www.soccerplususa.com/prodimages/7307-DEFAULT-l.jpg")</f>
        <v/>
      </c>
      <c r="H2730">
        <f>_xludf.IMAGE("https://m.media-amazon.com/images/I/81hDLAqDhXL._AC_UL320_.jpg")</f>
        <v/>
      </c>
      <c r="K2730" t="inlineStr">
        <is>
          <t>19.95</t>
        </is>
      </c>
      <c r="L2730" t="n">
        <v>27.99</v>
      </c>
      <c r="M2730" s="1" t="inlineStr">
        <is>
          <t>40.30%</t>
        </is>
      </c>
      <c r="N2730" s="3" t="n">
        <v>40.3</v>
      </c>
      <c r="O2730" t="n">
        <v>5</v>
      </c>
      <c r="P2730" t="n">
        <v>2</v>
      </c>
      <c r="R2730" t="inlineStr">
        <is>
          <t>InStock</t>
        </is>
      </c>
      <c r="S2730" t="inlineStr">
        <is>
          <t>undefined</t>
        </is>
      </c>
      <c r="T2730" t="inlineStr">
        <is>
          <t>5143708</t>
        </is>
      </c>
    </row>
    <row r="2731" hidden="1" ht="15.75" customHeight="1">
      <c r="A2731" s="2">
        <f>HYPERLINK("https://www.soccerplususa.com/nike/nike-drifit-strike-winter-warrior-snood-41004", "https://www.soccerplususa.com/nike/nike-drifit-strike-winter-warrior-snood-41004")</f>
        <v/>
      </c>
      <c r="B2731" t="inlineStr">
        <is>
          <t>undefined</t>
        </is>
      </c>
      <c r="C2731" t="inlineStr">
        <is>
          <t>Nike Dri-FIT Strike Winter Warrior Snood</t>
        </is>
      </c>
      <c r="D2731" t="inlineStr">
        <is>
          <t>Nike Adult Dri-FIT Strike Winter Warrior Snood (B(DC9165-011)/O, Small/Medium)</t>
        </is>
      </c>
      <c r="E2731" s="2">
        <f>HYPERLINK("https://www.amazon.com/Nike-Dri-FIT-Strike-Warrior-DC9165-011/dp/B09S17T5MJ/ref=sr_1_1?keywords=Nike+Dri-FIT+Strike+Winter+Warrior+Snood&amp;qid=1695171083&amp;sr=8-1", "https://www.amazon.com/Nike-Dri-FIT-Strike-Warrior-DC9165-011/dp/B09S17T5MJ/ref=sr_1_1?keywords=Nike+Dri-FIT+Strike+Winter+Warrior+Snood&amp;qid=1695171083&amp;sr=8-1")</f>
        <v/>
      </c>
      <c r="F2731" t="inlineStr">
        <is>
          <t>B09S17T5MJ</t>
        </is>
      </c>
      <c r="G2731">
        <f>_xludf.IMAGE("https://www.soccerplususa.com/prodimages//34491-BLACKWHITE-M.jpg")</f>
        <v/>
      </c>
      <c r="H2731">
        <f>_xludf.IMAGE("https://m.media-amazon.com/images/I/61MVcWrqgsL._AC_UL320_.jpg")</f>
        <v/>
      </c>
      <c r="K2731" t="inlineStr">
        <is>
          <t>19.95</t>
        </is>
      </c>
      <c r="L2731" t="n">
        <v>27.95</v>
      </c>
      <c r="M2731" s="1" t="inlineStr">
        <is>
          <t>40.10%</t>
        </is>
      </c>
      <c r="N2731" s="3" t="n">
        <v>40.1</v>
      </c>
      <c r="O2731" t="n">
        <v>4.5</v>
      </c>
      <c r="P2731" t="n">
        <v>5</v>
      </c>
      <c r="R2731" t="inlineStr">
        <is>
          <t>InStock</t>
        </is>
      </c>
      <c r="S2731" t="inlineStr">
        <is>
          <t>undefined</t>
        </is>
      </c>
      <c r="T2731" t="inlineStr">
        <is>
          <t>DC9165-010</t>
        </is>
      </c>
    </row>
    <row r="2732" hidden="1" ht="15.75" customHeight="1">
      <c r="A2732" s="2">
        <f>HYPERLINK("https://www.soccerplususa.com/adidas/adidas-copa-zone-cushion-sock-1159", "https://www.soccerplususa.com/adidas/adidas-copa-zone-cushion-sock-1159")</f>
        <v/>
      </c>
      <c r="B2732" t="inlineStr">
        <is>
          <t>undefined</t>
        </is>
      </c>
      <c r="C2732" t="inlineStr">
        <is>
          <t>adidas Copa Zone Cushion Sock</t>
        </is>
      </c>
      <c r="D2732" t="inlineStr">
        <is>
          <t>adidas Copa Zone Cushion II Soccer Sock (1-Pair)</t>
        </is>
      </c>
      <c r="E2732" s="2">
        <f>HYPERLINK("https://www.amazon.com/adidas-Cushion-Light-Maroon-Medium/dp/B00DF0RRL2", "https://www.amazon.com/adidas-Cushion-Light-Maroon-Medium/dp/B00DF0RRL2")</f>
        <v/>
      </c>
      <c r="F2732" t="inlineStr">
        <is>
          <t>B00DF0RRL2</t>
        </is>
      </c>
      <c r="G2732">
        <f>_xludf.IMAGE("https://www.soccerplususa.com/prodimages/32182-DEFAULT-l.jpg")</f>
        <v/>
      </c>
      <c r="H2732">
        <f>_xludf.IMAGE("https://m.media-amazon.com/images/I/91uVZ109eZL._AC_UL320_.jpg")</f>
        <v/>
      </c>
      <c r="K2732" t="inlineStr">
        <is>
          <t>8.99</t>
        </is>
      </c>
      <c r="L2732" t="n">
        <v>12.45</v>
      </c>
      <c r="M2732" s="1" t="inlineStr">
        <is>
          <t>38.49%</t>
        </is>
      </c>
      <c r="N2732" s="3" t="n">
        <v>38.49</v>
      </c>
      <c r="O2732" t="n">
        <v>4.6</v>
      </c>
      <c r="P2732" t="n">
        <v>1211</v>
      </c>
      <c r="R2732" t="inlineStr">
        <is>
          <t>InStock</t>
        </is>
      </c>
      <c r="S2732" t="inlineStr">
        <is>
          <t>9.95</t>
        </is>
      </c>
      <c r="T2732" t="inlineStr">
        <is>
          <t>231013</t>
        </is>
      </c>
    </row>
    <row r="2733" hidden="1" ht="15.75" customHeight="1">
      <c r="A2733" s="2">
        <f>HYPERLINK("https://www.soccerplususa.com/adidas/adidas-copa-zone-cushion-iii-sock-2067", "https://www.soccerplususa.com/adidas/adidas-copa-zone-cushion-iii-sock-2067")</f>
        <v/>
      </c>
      <c r="B2733" t="inlineStr">
        <is>
          <t>undefined</t>
        </is>
      </c>
      <c r="C2733" t="inlineStr">
        <is>
          <t>adidas Copa Zone Cushion III Sock</t>
        </is>
      </c>
      <c r="D2733" t="inlineStr">
        <is>
          <t>adidas Copa Zone Cushion II Soccer Sock (1-Pair)</t>
        </is>
      </c>
      <c r="E2733" s="2">
        <f>HYPERLINK("https://www.amazon.com/adidas-Cushion-Light-Maroon-Medium/dp/B00DF0RRL2/ref=sr_1_2?keywords=adidas+Copa+Zone+Cushion+III+Sock&amp;qid=1695171107&amp;sr=8-2", "https://www.amazon.com/adidas-Cushion-Light-Maroon-Medium/dp/B00DF0RRL2/ref=sr_1_2?keywords=adidas+Copa+Zone+Cushion+III+Sock&amp;qid=1695171107&amp;sr=8-2")</f>
        <v/>
      </c>
      <c r="F2733" t="inlineStr">
        <is>
          <t>B00DF0RRL2</t>
        </is>
      </c>
      <c r="G2733">
        <f>_xludf.IMAGE("https://www.soccerplususa.com/prodimages/6071-DEFAULT-l.jpg")</f>
        <v/>
      </c>
      <c r="H2733">
        <f>_xludf.IMAGE("https://m.media-amazon.com/images/I/91uVZ109eZL._AC_UL320_.jpg")</f>
        <v/>
      </c>
      <c r="K2733" t="inlineStr">
        <is>
          <t>8.99</t>
        </is>
      </c>
      <c r="L2733" t="n">
        <v>12.45</v>
      </c>
      <c r="M2733" s="1" t="inlineStr">
        <is>
          <t>38.49%</t>
        </is>
      </c>
      <c r="N2733" s="3" t="n">
        <v>38.49</v>
      </c>
      <c r="O2733" t="n">
        <v>4.6</v>
      </c>
      <c r="P2733" t="n">
        <v>1211</v>
      </c>
      <c r="R2733" t="inlineStr">
        <is>
          <t>InStock</t>
        </is>
      </c>
      <c r="S2733" t="inlineStr">
        <is>
          <t>11.95</t>
        </is>
      </c>
      <c r="T2733" t="inlineStr">
        <is>
          <t>5143276</t>
        </is>
      </c>
    </row>
    <row r="2734" hidden="1" ht="15.75" customHeight="1">
      <c r="A2734" s="2">
        <f>HYPERLINK("https://www.soccerplususa.com/adidas/adidas-alphaskin-tie-headband-43153", "https://www.soccerplususa.com/adidas/adidas-alphaskin-tie-headband-43153")</f>
        <v/>
      </c>
      <c r="B2734" t="inlineStr">
        <is>
          <t>undefined</t>
        </is>
      </c>
      <c r="C2734" t="inlineStr">
        <is>
          <t>adidas Alphaskin Tie Headband</t>
        </is>
      </c>
      <c r="D2734" t="inlineStr">
        <is>
          <t>adidas Alphaskin Wide Fit Sports Headband</t>
        </is>
      </c>
      <c r="E2734" s="2">
        <f>HYPERLINK("https://www.amazon.com/adidas-Alphaskin-Sports-Headband-Black/dp/B09Y1JT9GF/ref=sr_1_8?keywords=adidas+Alphaskin+Tie+Headband&amp;qid=1695171084&amp;sr=8-8", "https://www.amazon.com/adidas-Alphaskin-Sports-Headband-Black/dp/B09Y1JT9GF/ref=sr_1_8?keywords=adidas+Alphaskin+Tie+Headband&amp;qid=1695171084&amp;sr=8-8")</f>
        <v/>
      </c>
      <c r="F2734" t="inlineStr">
        <is>
          <t>B09Y1JT9GF</t>
        </is>
      </c>
      <c r="G2734">
        <f>_xludf.IMAGE("https://www.soccerplususa.com/prodimages//36805-ROYALWHITE-M.jpg")</f>
        <v/>
      </c>
      <c r="H2734">
        <f>_xludf.IMAGE("https://m.media-amazon.com/images/I/81ziQQTcRIL._AC_UL320_.jpg")</f>
        <v/>
      </c>
      <c r="K2734" t="inlineStr">
        <is>
          <t>9.95</t>
        </is>
      </c>
      <c r="L2734" t="n">
        <v>13.5</v>
      </c>
      <c r="M2734" s="1" t="inlineStr">
        <is>
          <t>35.68%</t>
        </is>
      </c>
      <c r="N2734" s="3" t="n">
        <v>35.68</v>
      </c>
      <c r="O2734" t="n">
        <v>4.5</v>
      </c>
      <c r="P2734" t="n">
        <v>48</v>
      </c>
      <c r="R2734" t="inlineStr">
        <is>
          <t>InStock</t>
        </is>
      </c>
      <c r="S2734" t="inlineStr">
        <is>
          <t>undefined</t>
        </is>
      </c>
      <c r="T2734" t="inlineStr">
        <is>
          <t>5147678</t>
        </is>
      </c>
    </row>
    <row r="2735" hidden="1" ht="15.75" customHeight="1">
      <c r="A2735" s="2">
        <f>HYPERLINK("https://www.soccerplususa.com/adidas/adidas-alphaskin-tie-headband-43150", "https://www.soccerplususa.com/adidas/adidas-alphaskin-tie-headband-43150")</f>
        <v/>
      </c>
      <c r="B2735" t="inlineStr">
        <is>
          <t>undefined</t>
        </is>
      </c>
      <c r="C2735" t="inlineStr">
        <is>
          <t>adidas Alphaskin Tie Headband</t>
        </is>
      </c>
      <c r="D2735" t="inlineStr">
        <is>
          <t>adidas Alphaskin Wide Fit Sports Headband</t>
        </is>
      </c>
      <c r="E2735" s="2">
        <f>HYPERLINK("https://www.amazon.com/adidas-Alphaskin-Sports-Headband-Black/dp/B09Y1JT9GF/ref=sr_1_8?keywords=adidas+Alphaskin+Tie+Headband&amp;qid=1695171083&amp;sr=8-8", "https://www.amazon.com/adidas-Alphaskin-Sports-Headband-Black/dp/B09Y1JT9GF/ref=sr_1_8?keywords=adidas+Alphaskin+Tie+Headband&amp;qid=1695171083&amp;sr=8-8")</f>
        <v/>
      </c>
      <c r="F2735" t="inlineStr">
        <is>
          <t>B09Y1JT9GF</t>
        </is>
      </c>
      <c r="G2735">
        <f>_xludf.IMAGE("https://www.soccerplususa.com/prodimages//36807-BLACKWHITE-M.jpg")</f>
        <v/>
      </c>
      <c r="H2735">
        <f>_xludf.IMAGE("https://m.media-amazon.com/images/I/81ziQQTcRIL._AC_UL320_.jpg")</f>
        <v/>
      </c>
      <c r="K2735" t="inlineStr">
        <is>
          <t>9.95</t>
        </is>
      </c>
      <c r="L2735" t="n">
        <v>13.5</v>
      </c>
      <c r="M2735" s="1" t="inlineStr">
        <is>
          <t>35.68%</t>
        </is>
      </c>
      <c r="N2735" s="3" t="n">
        <v>35.68</v>
      </c>
      <c r="O2735" t="n">
        <v>4.5</v>
      </c>
      <c r="P2735" t="n">
        <v>48</v>
      </c>
      <c r="R2735" t="inlineStr">
        <is>
          <t>InStock</t>
        </is>
      </c>
      <c r="S2735" t="inlineStr">
        <is>
          <t>undefined</t>
        </is>
      </c>
      <c r="T2735" t="inlineStr">
        <is>
          <t>5147633</t>
        </is>
      </c>
    </row>
    <row r="2736" hidden="1" ht="15.75" customHeight="1">
      <c r="A2736" s="2">
        <f>HYPERLINK("https://www.soccerplususa.com/sweat-x/sweat-x-odor-eliminator-spray-32391", "https://www.soccerplususa.com/sweat-x/sweat-x-odor-eliminator-spray-32391")</f>
        <v/>
      </c>
      <c r="B2736" t="inlineStr">
        <is>
          <t>undefined</t>
        </is>
      </c>
      <c r="C2736" t="inlineStr">
        <is>
          <t>Sweat X Odor Eliminator Spray</t>
        </is>
      </c>
      <c r="D2736" t="inlineStr">
        <is>
          <t>Sweat X Sport Essentials Kit - Trial Size Laundry Detergent, Odor Eliminator and Stain Remover Spray</t>
        </is>
      </c>
      <c r="E2736" s="2">
        <f>HYPERLINK("https://www.amazon.com/Sweat-Sport-Essentials-Kit-Eliminator/dp/B085RDJYQD/ref=sr_1_4?keywords=Sweat+X+Odor+Eliminator+Spray&amp;qid=1695171102&amp;sr=8-4", "https://www.amazon.com/Sweat-Sport-Essentials-Kit-Eliminator/dp/B085RDJYQD/ref=sr_1_4?keywords=Sweat+X+Odor+Eliminator+Spray&amp;qid=1695171102&amp;sr=8-4")</f>
        <v/>
      </c>
      <c r="F2736" t="inlineStr">
        <is>
          <t>B085RDJYQD</t>
        </is>
      </c>
      <c r="G2736">
        <f>_xludf.IMAGE("https://www.soccerplususa.com/prodimages/6257-DEFAULT-l.jpg")</f>
        <v/>
      </c>
      <c r="H2736">
        <f>_xludf.IMAGE("https://m.media-amazon.com/images/I/61+7lrPWXTL._AC_UL320_.jpg")</f>
        <v/>
      </c>
      <c r="K2736" t="inlineStr">
        <is>
          <t>14.95</t>
        </is>
      </c>
      <c r="L2736" t="n">
        <v>20</v>
      </c>
      <c r="M2736" s="1" t="inlineStr">
        <is>
          <t>33.78%</t>
        </is>
      </c>
      <c r="N2736" s="3" t="n">
        <v>33.78</v>
      </c>
      <c r="O2736" t="n">
        <v>4.2</v>
      </c>
      <c r="P2736" t="n">
        <v>24</v>
      </c>
      <c r="R2736" t="inlineStr">
        <is>
          <t>InStock</t>
        </is>
      </c>
      <c r="S2736" t="inlineStr">
        <is>
          <t>undefined</t>
        </is>
      </c>
      <c r="T2736" t="inlineStr">
        <is>
          <t>SWX4070</t>
        </is>
      </c>
    </row>
    <row r="2737" hidden="1" ht="15.75" customHeight="1">
      <c r="A2737" s="2">
        <f>HYPERLINK("https://www.soccerplususa.com/sweat-x/sweat-x-odor-eliminator-spray-32391", "https://www.soccerplususa.com/sweat-x/sweat-x-odor-eliminator-spray-32391")</f>
        <v/>
      </c>
      <c r="B2737" t="inlineStr">
        <is>
          <t>undefined</t>
        </is>
      </c>
      <c r="C2737" t="inlineStr">
        <is>
          <t>Sweat X Odor Eliminator Spray</t>
        </is>
      </c>
      <c r="D2737" t="inlineStr">
        <is>
          <t>Sweat X Sport Extreme Odor Spray, Multipurpose Deodorizer for Stinky Shoes, Sports Equipment and All Odors, 16 ounce concentrated formula, No Washing Required</t>
        </is>
      </c>
      <c r="E2737" s="2">
        <f>HYPERLINK("https://www.amazon.com/Sweat-Eliminator-Multipurpose-Deodorizer-concentrated/dp/B07J1N1582/ref=sr_1_1?keywords=Sweat+X+Odor+Eliminator+Spray&amp;qid=1695171102&amp;sr=8-1", "https://www.amazon.com/Sweat-Eliminator-Multipurpose-Deodorizer-concentrated/dp/B07J1N1582/ref=sr_1_1?keywords=Sweat+X+Odor+Eliminator+Spray&amp;qid=1695171102&amp;sr=8-1")</f>
        <v/>
      </c>
      <c r="F2737" t="inlineStr">
        <is>
          <t>B07J1N1582</t>
        </is>
      </c>
      <c r="G2737">
        <f>_xludf.IMAGE("https://www.soccerplususa.com/prodimages/6257-DEFAULT-l.jpg")</f>
        <v/>
      </c>
      <c r="H2737">
        <f>_xludf.IMAGE("https://m.media-amazon.com/images/I/61dT0ov9t5L._AC_UL320_.jpg")</f>
        <v/>
      </c>
      <c r="K2737" t="inlineStr">
        <is>
          <t>14.95</t>
        </is>
      </c>
      <c r="L2737" t="n">
        <v>19.99</v>
      </c>
      <c r="M2737" s="1" t="inlineStr">
        <is>
          <t>33.71%</t>
        </is>
      </c>
      <c r="N2737" s="3" t="n">
        <v>33.71</v>
      </c>
      <c r="O2737" t="n">
        <v>4.2</v>
      </c>
      <c r="P2737" t="n">
        <v>1477</v>
      </c>
      <c r="R2737" t="inlineStr">
        <is>
          <t>InStock</t>
        </is>
      </c>
      <c r="S2737" t="inlineStr">
        <is>
          <t>undefined</t>
        </is>
      </c>
      <c r="T2737" t="inlineStr">
        <is>
          <t>SWX4070</t>
        </is>
      </c>
    </row>
    <row r="2738" hidden="1" ht="15.75" customHeight="1">
      <c r="A2738" s="2">
        <f>HYPERLINK("https://www.soccerplususa.com/adidas/adidas-copa-zone-cushion-iii-sock-2067", "https://www.soccerplususa.com/adidas/adidas-copa-zone-cushion-iii-sock-2067")</f>
        <v/>
      </c>
      <c r="B2738" t="inlineStr">
        <is>
          <t>undefined</t>
        </is>
      </c>
      <c r="C2738" t="inlineStr">
        <is>
          <t>adidas Copa Zone Cushion III Sock</t>
        </is>
      </c>
      <c r="D2738" t="inlineStr">
        <is>
          <t>adidas Copa Zone Cushion III Soccer Socks (1-Pair)</t>
        </is>
      </c>
      <c r="E2738" s="2">
        <f>HYPERLINK("https://www.amazon.com/adidas-Cushion-Soccer-Socks-1-Pack/dp/B076P8F8FS/ref=sr_1_4?keywords=adidas+Copa+Zone+Cushion+III+Sock&amp;qid=1695171107&amp;sr=8-4", "https://www.amazon.com/adidas-Cushion-Soccer-Socks-1-Pack/dp/B076P8F8FS/ref=sr_1_4?keywords=adidas+Copa+Zone+Cushion+III+Sock&amp;qid=1695171107&amp;sr=8-4")</f>
        <v/>
      </c>
      <c r="F2738" t="inlineStr">
        <is>
          <t>B076P8F8FS</t>
        </is>
      </c>
      <c r="G2738">
        <f>_xludf.IMAGE("https://www.soccerplususa.com/prodimages/6071-DEFAULT-l.jpg")</f>
        <v/>
      </c>
      <c r="H2738">
        <f>_xludf.IMAGE("https://m.media-amazon.com/images/I/91T8E1cfwlL._AC_UL320_.jpg")</f>
        <v/>
      </c>
      <c r="K2738" t="inlineStr">
        <is>
          <t>8.99</t>
        </is>
      </c>
      <c r="L2738" t="n">
        <v>12</v>
      </c>
      <c r="M2738" s="1" t="inlineStr">
        <is>
          <t>33.48%</t>
        </is>
      </c>
      <c r="N2738" s="3" t="n">
        <v>33.48</v>
      </c>
      <c r="O2738" t="n">
        <v>4.6</v>
      </c>
      <c r="P2738" t="n">
        <v>15</v>
      </c>
      <c r="R2738" t="inlineStr">
        <is>
          <t>InStock</t>
        </is>
      </c>
      <c r="S2738" t="inlineStr">
        <is>
          <t>11.95</t>
        </is>
      </c>
      <c r="T2738" t="inlineStr">
        <is>
          <t>5143276</t>
        </is>
      </c>
    </row>
    <row r="2739" hidden="1" ht="15.75" customHeight="1">
      <c r="A2739" s="2">
        <f>HYPERLINK("https://www.soccerplususa.com/adidas/adidas-copa-zone-cushion-sock-1159", "https://www.soccerplususa.com/adidas/adidas-copa-zone-cushion-sock-1159")</f>
        <v/>
      </c>
      <c r="B2739" t="inlineStr">
        <is>
          <t>undefined</t>
        </is>
      </c>
      <c r="C2739" t="inlineStr">
        <is>
          <t>adidas Copa Zone Cushion Sock</t>
        </is>
      </c>
      <c r="D2739" t="inlineStr">
        <is>
          <t>adidas Copa Zone Cushion II Large Socks</t>
        </is>
      </c>
      <c r="E2739" s="2">
        <f>HYPERLINK("https://www.amazon.com/Adidas-Cushion-Soccer-Large-White/dp/B00E34KJ9Q", "https://www.amazon.com/Adidas-Cushion-Soccer-Large-White/dp/B00E34KJ9Q")</f>
        <v/>
      </c>
      <c r="F2739" t="inlineStr">
        <is>
          <t>B00E34KJ9Q</t>
        </is>
      </c>
      <c r="G2739">
        <f>_xludf.IMAGE("https://www.soccerplususa.com/prodimages/32182-DEFAULT-l.jpg")</f>
        <v/>
      </c>
      <c r="H2739">
        <f>_xludf.IMAGE("https://m.media-amazon.com/images/I/61+-OqZA3OL._AC_UL320_.jpg")</f>
        <v/>
      </c>
      <c r="K2739" t="inlineStr">
        <is>
          <t>8.99</t>
        </is>
      </c>
      <c r="L2739" t="n">
        <v>11.9</v>
      </c>
      <c r="M2739" s="1" t="inlineStr">
        <is>
          <t>32.37%</t>
        </is>
      </c>
      <c r="N2739" s="3" t="n">
        <v>32.37</v>
      </c>
      <c r="O2739" t="n">
        <v>4.5</v>
      </c>
      <c r="P2739" t="n">
        <v>2</v>
      </c>
      <c r="R2739" t="inlineStr">
        <is>
          <t>InStock</t>
        </is>
      </c>
      <c r="S2739" t="inlineStr">
        <is>
          <t>9.95</t>
        </is>
      </c>
      <c r="T2739" t="inlineStr">
        <is>
          <t>231013</t>
        </is>
      </c>
    </row>
    <row r="2740" hidden="1" ht="15.75" customHeight="1">
      <c r="A2740" s="2">
        <f>HYPERLINK("https://www.soccerplususa.com/adidas/adidas-team-speed-sock-1923", "https://www.soccerplususa.com/adidas/adidas-team-speed-sock-1923")</f>
        <v/>
      </c>
      <c r="B2740" t="inlineStr">
        <is>
          <t>undefined</t>
        </is>
      </c>
      <c r="C2740" t="inlineStr">
        <is>
          <t>adidas Team Speed Sock</t>
        </is>
      </c>
      <c r="D2740" t="inlineStr">
        <is>
          <t>adidas Unisex Rivalry Soccer (2-pair) OTC Sock Team, White/Black, X-Small US</t>
        </is>
      </c>
      <c r="E2740" s="2">
        <f>HYPERLINK("https://www.amazon.com/adidas-Rivalry-Soccer-2-Pack-X-Small/dp/B00EE4AC88/ref=sr_1_6?keywords=adidas+Team+Speed+Sock&amp;qid=1695171111&amp;sr=8-6", "https://www.amazon.com/adidas-Rivalry-Soccer-2-Pack-X-Small/dp/B00EE4AC88/ref=sr_1_6?keywords=adidas+Team+Speed+Sock&amp;qid=1695171111&amp;sr=8-6")</f>
        <v/>
      </c>
      <c r="F2740" t="inlineStr">
        <is>
          <t>B00EE4AC88</t>
        </is>
      </c>
      <c r="G2740">
        <f>_xludf.IMAGE("https://www.soccerplususa.com/prodimages/6560-DEFAULT-l.jpg")</f>
        <v/>
      </c>
      <c r="H2740">
        <f>_xludf.IMAGE("https://m.media-amazon.com/images/I/71f32lFjeYL._AC_UL320_.jpg")</f>
        <v/>
      </c>
      <c r="K2740" t="inlineStr">
        <is>
          <t>8.0</t>
        </is>
      </c>
      <c r="L2740" t="n">
        <v>10.35</v>
      </c>
      <c r="M2740" s="1" t="inlineStr">
        <is>
          <t>29.37%</t>
        </is>
      </c>
      <c r="N2740" s="3" t="n">
        <v>29.37</v>
      </c>
      <c r="O2740" t="n">
        <v>4.7</v>
      </c>
      <c r="P2740" t="n">
        <v>238</v>
      </c>
      <c r="R2740" t="inlineStr">
        <is>
          <t>InStock</t>
        </is>
      </c>
      <c r="S2740" t="inlineStr">
        <is>
          <t>15.95</t>
        </is>
      </c>
      <c r="T2740" t="inlineStr">
        <is>
          <t>5130156</t>
        </is>
      </c>
    </row>
    <row r="2741" hidden="1" ht="15.75" customHeight="1">
      <c r="A2741" s="2">
        <f>HYPERLINK("https://www.soccerplususa.com/adidas/adidas-team-speed-sock-1897", "https://www.soccerplususa.com/adidas/adidas-team-speed-sock-1897")</f>
        <v/>
      </c>
      <c r="B2741" t="inlineStr">
        <is>
          <t>undefined</t>
        </is>
      </c>
      <c r="C2741" t="inlineStr">
        <is>
          <t>adidas Team Speed Sock</t>
        </is>
      </c>
      <c r="D2741" t="inlineStr">
        <is>
          <t>adidas Unisex Rivalry Soccer (2-pair) OTC Sock Team, White/Black, X-Small US</t>
        </is>
      </c>
      <c r="E2741" s="2">
        <f>HYPERLINK("https://www.amazon.com/adidas-Rivalry-Soccer-2-Pack-X-Small/dp/B00EE4AC88/ref=sr_1_6?keywords=adidas+Team+Speed+Sock&amp;qid=1695171122&amp;sr=8-6", "https://www.amazon.com/adidas-Rivalry-Soccer-2-Pack-X-Small/dp/B00EE4AC88/ref=sr_1_6?keywords=adidas+Team+Speed+Sock&amp;qid=1695171122&amp;sr=8-6")</f>
        <v/>
      </c>
      <c r="F2741" t="inlineStr">
        <is>
          <t>B00EE4AC88</t>
        </is>
      </c>
      <c r="G2741">
        <f>_xludf.IMAGE("https://www.soccerplususa.com/prodimages/30895-DEFAULT-l.jpg")</f>
        <v/>
      </c>
      <c r="H2741">
        <f>_xludf.IMAGE("https://m.media-amazon.com/images/I/71f32lFjeYL._AC_UL320_.jpg")</f>
        <v/>
      </c>
      <c r="K2741" t="inlineStr">
        <is>
          <t>8.0</t>
        </is>
      </c>
      <c r="L2741" t="n">
        <v>10.35</v>
      </c>
      <c r="M2741" s="1" t="inlineStr">
        <is>
          <t>29.37%</t>
        </is>
      </c>
      <c r="N2741" s="3" t="n">
        <v>29.37</v>
      </c>
      <c r="O2741" t="n">
        <v>4.7</v>
      </c>
      <c r="P2741" t="n">
        <v>238</v>
      </c>
      <c r="R2741" t="inlineStr">
        <is>
          <t>InStock</t>
        </is>
      </c>
      <c r="S2741" t="inlineStr">
        <is>
          <t>15.95</t>
        </is>
      </c>
      <c r="T2741" t="inlineStr">
        <is>
          <t>5130088</t>
        </is>
      </c>
    </row>
    <row r="2742" hidden="1" ht="15.75" customHeight="1">
      <c r="A2742" s="2">
        <f>HYPERLINK("https://www.soccerplususa.com/adidas/adidas-team-speed-sock-1890", "https://www.soccerplususa.com/adidas/adidas-team-speed-sock-1890")</f>
        <v/>
      </c>
      <c r="B2742" t="inlineStr">
        <is>
          <t>undefined</t>
        </is>
      </c>
      <c r="C2742" t="inlineStr">
        <is>
          <t>adidas Team Speed Sock</t>
        </is>
      </c>
      <c r="D2742" t="inlineStr">
        <is>
          <t>adidas Unisex Rivalry Soccer (2-pair) OTC Sock Team, White/Black, X-Small US</t>
        </is>
      </c>
      <c r="E2742" s="2">
        <f>HYPERLINK("https://www.amazon.com/adidas-Rivalry-Soccer-2-Pack-X-Small/dp/B00EE4AC88/ref=sr_1_7?keywords=adidas+Team+Speed+Sock&amp;qid=1695171116&amp;sr=8-7", "https://www.amazon.com/adidas-Rivalry-Soccer-2-Pack-X-Small/dp/B00EE4AC88/ref=sr_1_7?keywords=adidas+Team+Speed+Sock&amp;qid=1695171116&amp;sr=8-7")</f>
        <v/>
      </c>
      <c r="F2742" t="inlineStr">
        <is>
          <t>B00EE4AC88</t>
        </is>
      </c>
      <c r="G2742">
        <f>_xludf.IMAGE("https://www.soccerplususa.com/prodimages/6561-DEFAULT-l.jpg")</f>
        <v/>
      </c>
      <c r="H2742">
        <f>_xludf.IMAGE("https://m.media-amazon.com/images/I/71f32lFjeYL._AC_UL320_.jpg")</f>
        <v/>
      </c>
      <c r="K2742" t="inlineStr">
        <is>
          <t>8.0</t>
        </is>
      </c>
      <c r="L2742" t="n">
        <v>10.35</v>
      </c>
      <c r="M2742" s="1" t="inlineStr">
        <is>
          <t>29.37%</t>
        </is>
      </c>
      <c r="N2742" s="3" t="n">
        <v>29.37</v>
      </c>
      <c r="O2742" t="n">
        <v>4.7</v>
      </c>
      <c r="P2742" t="n">
        <v>238</v>
      </c>
      <c r="R2742" t="inlineStr">
        <is>
          <t>InStock</t>
        </is>
      </c>
      <c r="S2742" t="inlineStr">
        <is>
          <t>15.95</t>
        </is>
      </c>
      <c r="T2742" t="inlineStr">
        <is>
          <t>5130065</t>
        </is>
      </c>
    </row>
    <row r="2743" hidden="1" ht="15.75" customHeight="1">
      <c r="A2743" s="2">
        <f>HYPERLINK("https://www.soccerplususa.com/adidas/adidas-copa-zone-cushion-sock-1159", "https://www.soccerplususa.com/adidas/adidas-copa-zone-cushion-sock-1159")</f>
        <v/>
      </c>
      <c r="B2743" t="inlineStr">
        <is>
          <t>undefined</t>
        </is>
      </c>
      <c r="C2743" t="inlineStr">
        <is>
          <t>adidas Copa Zone Cushion Sock</t>
        </is>
      </c>
      <c r="D2743" t="inlineStr">
        <is>
          <t>adidas Copa Zone Cushion 4 Soccer Socks (1-Pair) -Irregular</t>
        </is>
      </c>
      <c r="E2743" s="2">
        <f>HYPERLINK("https://www.amazon.com/adidas-Cushion-Irregular-Sock-Team-X-Small/dp/B08ZXZ8LQL", "https://www.amazon.com/adidas-Cushion-Irregular-Sock-Team-X-Small/dp/B08ZXZ8LQL")</f>
        <v/>
      </c>
      <c r="F2743" t="inlineStr">
        <is>
          <t>B08ZXZ8LQL</t>
        </is>
      </c>
      <c r="G2743">
        <f>_xludf.IMAGE("https://www.soccerplususa.com/prodimages/32182-DEFAULT-l.jpg")</f>
        <v/>
      </c>
      <c r="H2743">
        <f>_xludf.IMAGE("https://m.media-amazon.com/images/I/81z9VJEVGjL._AC_UL320_.jpg")</f>
        <v/>
      </c>
      <c r="K2743" t="inlineStr">
        <is>
          <t>8.99</t>
        </is>
      </c>
      <c r="L2743" t="n">
        <v>11.44</v>
      </c>
      <c r="M2743" s="1" t="inlineStr">
        <is>
          <t>27.25%</t>
        </is>
      </c>
      <c r="N2743" s="3" t="n">
        <v>27.25</v>
      </c>
      <c r="O2743" t="n">
        <v>4</v>
      </c>
      <c r="P2743" t="n">
        <v>15</v>
      </c>
      <c r="R2743" t="inlineStr">
        <is>
          <t>InStock</t>
        </is>
      </c>
      <c r="S2743" t="inlineStr">
        <is>
          <t>9.95</t>
        </is>
      </c>
      <c r="T2743" t="inlineStr">
        <is>
          <t>231013</t>
        </is>
      </c>
    </row>
    <row r="2744" hidden="1" ht="15.75" customHeight="1">
      <c r="A2744" s="2">
        <f>HYPERLINK("https://www.soccerplususa.com/adidas-2/adidas-team-speed-pro-otc-36227", "https://www.soccerplususa.com/adidas-2/adidas-team-speed-pro-otc-36227")</f>
        <v/>
      </c>
      <c r="B2744" t="inlineStr">
        <is>
          <t>undefined</t>
        </is>
      </c>
      <c r="C2744" t="inlineStr">
        <is>
          <t>adidas Team Speed Pro OTC</t>
        </is>
      </c>
      <c r="D2744" t="inlineStr">
        <is>
          <t>adidas Team Speed Pro OTC Soccer Socks Large SZ 9-13 White</t>
        </is>
      </c>
      <c r="E2744" s="2">
        <f>HYPERLINK("https://www.amazon.com/Adidas-Speed-Soccer-Socks-Large/dp/B07K2Q1PB2/ref=sr_1_5?keywords=adidas+Team+Speed+Pro+OTC&amp;qid=1695171099&amp;sr=8-5", "https://www.amazon.com/Adidas-Speed-Soccer-Socks-Large/dp/B07K2Q1PB2/ref=sr_1_5?keywords=adidas+Team+Speed+Pro+OTC&amp;qid=1695171099&amp;sr=8-5")</f>
        <v/>
      </c>
      <c r="F2744" t="inlineStr">
        <is>
          <t>B07K2Q1PB2</t>
        </is>
      </c>
      <c r="G2744">
        <f>_xludf.IMAGE("https://www.soccerplususa.com/prodimages/17526-DEFAULT-l.jpg")</f>
        <v/>
      </c>
      <c r="H2744">
        <f>_xludf.IMAGE("https://m.media-amazon.com/images/I/31pz4fJx6pL._AC_UL320_.jpg")</f>
        <v/>
      </c>
      <c r="K2744" t="inlineStr">
        <is>
          <t>17.95</t>
        </is>
      </c>
      <c r="L2744" t="n">
        <v>22.79</v>
      </c>
      <c r="M2744" s="1" t="inlineStr">
        <is>
          <t>26.96%</t>
        </is>
      </c>
      <c r="N2744" s="3" t="n">
        <v>26.96</v>
      </c>
      <c r="O2744" t="n">
        <v>5</v>
      </c>
      <c r="P2744" t="n">
        <v>1</v>
      </c>
      <c r="R2744" t="inlineStr">
        <is>
          <t>InStock</t>
        </is>
      </c>
      <c r="S2744" t="inlineStr">
        <is>
          <t>undefined</t>
        </is>
      </c>
      <c r="T2744" t="inlineStr">
        <is>
          <t>5145701</t>
        </is>
      </c>
    </row>
    <row r="2745" hidden="1" ht="15.75" customHeight="1">
      <c r="A2745" s="2">
        <f>HYPERLINK("https://www.soccerplususa.com/adidas/adidas-team-speed-pro-otc-33727", "https://www.soccerplususa.com/adidas/adidas-team-speed-pro-otc-33727")</f>
        <v/>
      </c>
      <c r="B2745" t="inlineStr">
        <is>
          <t>undefined</t>
        </is>
      </c>
      <c r="C2745" t="inlineStr">
        <is>
          <t>adidas Team Speed Pro OTC</t>
        </is>
      </c>
      <c r="D2745" t="inlineStr">
        <is>
          <t>adidas Team Speed Pro OTC Soccer Socks Large SZ 9-13 White</t>
        </is>
      </c>
      <c r="E2745" s="2">
        <f>HYPERLINK("https://www.amazon.com/Adidas-Speed-Soccer-Socks-Large/dp/B07K2Q1PB2/ref=sr_1_5?keywords=adidas+Team+Speed+Pro+OTC&amp;qid=1695171096&amp;sr=8-5", "https://www.amazon.com/Adidas-Speed-Soccer-Socks-Large/dp/B07K2Q1PB2/ref=sr_1_5?keywords=adidas+Team+Speed+Pro+OTC&amp;qid=1695171096&amp;sr=8-5")</f>
        <v/>
      </c>
      <c r="F2745" t="inlineStr">
        <is>
          <t>B07K2Q1PB2</t>
        </is>
      </c>
      <c r="G2745">
        <f>_xludf.IMAGE("https://www.soccerplususa.com/prodimages/30902-DEFAULT-l.jpg")</f>
        <v/>
      </c>
      <c r="H2745">
        <f>_xludf.IMAGE("https://m.media-amazon.com/images/I/31pz4fJx6pL._AC_UL320_.jpg")</f>
        <v/>
      </c>
      <c r="K2745" t="inlineStr">
        <is>
          <t>17.95</t>
        </is>
      </c>
      <c r="L2745" t="n">
        <v>22.79</v>
      </c>
      <c r="M2745" s="1" t="inlineStr">
        <is>
          <t>26.96%</t>
        </is>
      </c>
      <c r="N2745" s="3" t="n">
        <v>26.96</v>
      </c>
      <c r="O2745" t="n">
        <v>5</v>
      </c>
      <c r="P2745" t="n">
        <v>1</v>
      </c>
      <c r="R2745" t="inlineStr">
        <is>
          <t>InStock</t>
        </is>
      </c>
      <c r="S2745" t="inlineStr">
        <is>
          <t>undefined</t>
        </is>
      </c>
      <c r="T2745" t="inlineStr">
        <is>
          <t>5145736</t>
        </is>
      </c>
    </row>
    <row r="2746" hidden="1" ht="15.75" customHeight="1">
      <c r="A2746" s="2">
        <f>HYPERLINK("https://www.soccerplususa.com/adidas-2/adidas-team-speed-pro-otc-36231", "https://www.soccerplususa.com/adidas-2/adidas-team-speed-pro-otc-36231")</f>
        <v/>
      </c>
      <c r="B2746" t="inlineStr">
        <is>
          <t>undefined</t>
        </is>
      </c>
      <c r="C2746" t="inlineStr">
        <is>
          <t>adidas Team Speed Pro OTC</t>
        </is>
      </c>
      <c r="D2746" t="inlineStr">
        <is>
          <t>adidas Team Speed Pro OTC Soccer Socks Large SZ 9-13 White</t>
        </is>
      </c>
      <c r="E2746" s="2">
        <f>HYPERLINK("https://www.amazon.com/Adidas-Speed-Soccer-Socks-Large/dp/B07K2Q1PB2/ref=sr_1_5?keywords=adidas+Team+Speed+Pro+OTC&amp;qid=1695171096&amp;sr=8-5", "https://www.amazon.com/Adidas-Speed-Soccer-Socks-Large/dp/B07K2Q1PB2/ref=sr_1_5?keywords=adidas+Team+Speed+Pro+OTC&amp;qid=1695171096&amp;sr=8-5")</f>
        <v/>
      </c>
      <c r="F2746" t="inlineStr">
        <is>
          <t>B07K2Q1PB2</t>
        </is>
      </c>
      <c r="G2746">
        <f>_xludf.IMAGE("https://www.soccerplususa.com/prodimages/17541-DEFAULT-l.jpg")</f>
        <v/>
      </c>
      <c r="H2746">
        <f>_xludf.IMAGE("https://m.media-amazon.com/images/I/31pz4fJx6pL._AC_UL320_.jpg")</f>
        <v/>
      </c>
      <c r="K2746" t="inlineStr">
        <is>
          <t>17.95</t>
        </is>
      </c>
      <c r="L2746" t="n">
        <v>22.79</v>
      </c>
      <c r="M2746" s="1" t="inlineStr">
        <is>
          <t>26.96%</t>
        </is>
      </c>
      <c r="N2746" s="3" t="n">
        <v>26.96</v>
      </c>
      <c r="O2746" t="n">
        <v>5</v>
      </c>
      <c r="P2746" t="n">
        <v>1</v>
      </c>
      <c r="R2746" t="inlineStr">
        <is>
          <t>InStock</t>
        </is>
      </c>
      <c r="S2746" t="inlineStr">
        <is>
          <t>undefined</t>
        </is>
      </c>
      <c r="T2746" t="inlineStr">
        <is>
          <t>5145741</t>
        </is>
      </c>
    </row>
    <row r="2747" hidden="1" ht="15.75" customHeight="1">
      <c r="A2747" s="2">
        <f>HYPERLINK("https://www.soccerplususa.com/adidas/adidas-team-speed-pro-otc-33722", "https://www.soccerplususa.com/adidas/adidas-team-speed-pro-otc-33722")</f>
        <v/>
      </c>
      <c r="B2747" t="inlineStr">
        <is>
          <t>undefined</t>
        </is>
      </c>
      <c r="C2747" t="inlineStr">
        <is>
          <t>adidas Team Speed Pro OTC</t>
        </is>
      </c>
      <c r="D2747" t="inlineStr">
        <is>
          <t>adidas Team Speed Pro OTC Soccer Socks Large SZ 9-13 White</t>
        </is>
      </c>
      <c r="E2747" s="2">
        <f>HYPERLINK("https://www.amazon.com/Adidas-Speed-Soccer-Socks-Large/dp/B07K2Q1PB2/ref=sr_1_5?keywords=adidas+Team+Speed+Pro+OTC&amp;qid=1695171099&amp;sr=8-5", "https://www.amazon.com/Adidas-Speed-Soccer-Socks-Large/dp/B07K2Q1PB2/ref=sr_1_5?keywords=adidas+Team+Speed+Pro+OTC&amp;qid=1695171099&amp;sr=8-5")</f>
        <v/>
      </c>
      <c r="F2747" t="inlineStr">
        <is>
          <t>B07K2Q1PB2</t>
        </is>
      </c>
      <c r="G2747">
        <f>_xludf.IMAGE("https://www.soccerplususa.com/prodimages/30898-DEFAULT-l.jpg")</f>
        <v/>
      </c>
      <c r="H2747">
        <f>_xludf.IMAGE("https://m.media-amazon.com/images/I/31pz4fJx6pL._AC_UL320_.jpg")</f>
        <v/>
      </c>
      <c r="K2747" t="inlineStr">
        <is>
          <t>17.99</t>
        </is>
      </c>
      <c r="L2747" t="n">
        <v>22.79</v>
      </c>
      <c r="M2747" s="1" t="inlineStr">
        <is>
          <t>26.68%</t>
        </is>
      </c>
      <c r="N2747" s="3" t="n">
        <v>26.68</v>
      </c>
      <c r="O2747" t="n">
        <v>5</v>
      </c>
      <c r="P2747" t="n">
        <v>1</v>
      </c>
      <c r="R2747" t="inlineStr">
        <is>
          <t>InStock</t>
        </is>
      </c>
      <c r="S2747" t="inlineStr">
        <is>
          <t>undefined</t>
        </is>
      </c>
      <c r="T2747" t="inlineStr">
        <is>
          <t>5145696</t>
        </is>
      </c>
    </row>
    <row r="2748" hidden="1" ht="15.75" customHeight="1">
      <c r="A2748" s="2">
        <f>HYPERLINK("https://www.soccerplususa.com/adidas/adidas-tiro-league-fieldplayer-gloves-45447", "https://www.soccerplususa.com/adidas/adidas-tiro-league-fieldplayer-gloves-45447")</f>
        <v/>
      </c>
      <c r="B2748" t="inlineStr">
        <is>
          <t>undefined</t>
        </is>
      </c>
      <c r="C2748" t="inlineStr">
        <is>
          <t>adidas Tiro League Fieldplayer Gloves</t>
        </is>
      </c>
      <c r="D2748" t="inlineStr">
        <is>
          <t>adidas Unisex-Adult Tiro League Goalkeeper Gloves</t>
        </is>
      </c>
      <c r="E2748" s="2">
        <f>HYPERLINK("https://www.amazon.com/adidas-Unisex-Adult-League-Goalkeeper-Metallic/dp/B09XN5XJZ4/ref=sr_1_3?keywords=adidas+Tiro+League+Fieldplayer+Gloves&amp;qid=1695171092&amp;sr=8-3", "https://www.amazon.com/adidas-Unisex-Adult-League-Goalkeeper-Metallic/dp/B09XN5XJZ4/ref=sr_1_3?keywords=adidas+Tiro+League+Fieldplayer+Gloves&amp;qid=1695171092&amp;sr=8-3")</f>
        <v/>
      </c>
      <c r="F2748" t="inlineStr">
        <is>
          <t>B09XN5XJZ4</t>
        </is>
      </c>
      <c r="G2748">
        <f>_xludf.IMAGE("https://www.soccerplususa.com/prodimages//37466-BLACKWHITE-M.jpg")</f>
        <v/>
      </c>
      <c r="H2748">
        <f>_xludf.IMAGE("https://m.media-amazon.com/images/I/81OfoDjU3JL._AC_UL320_.jpg")</f>
        <v/>
      </c>
      <c r="K2748" t="inlineStr">
        <is>
          <t>34.95</t>
        </is>
      </c>
      <c r="L2748" t="n">
        <v>43.94</v>
      </c>
      <c r="M2748" s="1" t="inlineStr">
        <is>
          <t>25.72%</t>
        </is>
      </c>
      <c r="N2748" s="3" t="n">
        <v>25.72</v>
      </c>
      <c r="O2748" t="n">
        <v>4</v>
      </c>
      <c r="P2748" t="n">
        <v>13</v>
      </c>
      <c r="R2748" t="inlineStr">
        <is>
          <t>InStock</t>
        </is>
      </c>
      <c r="S2748" t="inlineStr">
        <is>
          <t>undefined</t>
        </is>
      </c>
      <c r="T2748" t="inlineStr">
        <is>
          <t>HN5609</t>
        </is>
      </c>
    </row>
    <row r="2749" hidden="1" ht="15.75" customHeight="1">
      <c r="A2749" s="2">
        <f>HYPERLINK("https://www.soccerplususa.com/sweat-x/sweat-x-sport-laundry-detergent-32390", "https://www.soccerplususa.com/sweat-x/sweat-x-sport-laundry-detergent-32390")</f>
        <v/>
      </c>
      <c r="B2749" t="inlineStr">
        <is>
          <t>undefined</t>
        </is>
      </c>
      <c r="C2749" t="inlineStr">
        <is>
          <t>Sweat X Sport Laundry Detergent</t>
        </is>
      </c>
      <c r="D2749" t="inlineStr">
        <is>
          <t>Sweat X Sport Mini Bundle - Sweat X Sport Laundry Detergent | Sweat X Sport Odor Eliminator Spray</t>
        </is>
      </c>
      <c r="E2749" s="2">
        <f>HYPERLINK("https://www.amazon.com/Sweat-Sport-Mini-Bundle-Eliminator/dp/B06XYB125K/ref=sr_1_5?keywords=Sweat+X+Sport+Laundry+Detergent&amp;qid=1695171098&amp;sr=8-5", "https://www.amazon.com/Sweat-Sport-Mini-Bundle-Eliminator/dp/B06XYB125K/ref=sr_1_5?keywords=Sweat+X+Sport+Laundry+Detergent&amp;qid=1695171098&amp;sr=8-5")</f>
        <v/>
      </c>
      <c r="F2749" t="inlineStr">
        <is>
          <t>B06XYB125K</t>
        </is>
      </c>
      <c r="G2749">
        <f>_xludf.IMAGE("https://www.soccerplususa.com/prodimages/6299-DEFAULT-l.jpg")</f>
        <v/>
      </c>
      <c r="H2749">
        <f>_xludf.IMAGE("https://m.media-amazon.com/images/I/612SsYjfmnL._AC_UL320_.jpg")</f>
        <v/>
      </c>
      <c r="K2749" t="inlineStr">
        <is>
          <t>23.95</t>
        </is>
      </c>
      <c r="L2749" t="n">
        <v>30</v>
      </c>
      <c r="M2749" s="1" t="inlineStr">
        <is>
          <t>25.26%</t>
        </is>
      </c>
      <c r="N2749" s="3" t="n">
        <v>25.26</v>
      </c>
      <c r="O2749" t="n">
        <v>4.3</v>
      </c>
      <c r="P2749" t="n">
        <v>90</v>
      </c>
      <c r="R2749" t="inlineStr">
        <is>
          <t>InStock</t>
        </is>
      </c>
      <c r="S2749" t="inlineStr">
        <is>
          <t>undefined</t>
        </is>
      </c>
      <c r="T2749" t="inlineStr">
        <is>
          <t>SWX4049</t>
        </is>
      </c>
    </row>
    <row r="2750" hidden="1" ht="15.75" customHeight="1">
      <c r="A2750" s="2">
        <f>HYPERLINK("https://www.soccerplususa.com/adidas/adidas-alphaskin-20-headband-42962", "https://www.soccerplususa.com/adidas/adidas-alphaskin-20-headband-42962")</f>
        <v/>
      </c>
      <c r="B2750" t="inlineStr">
        <is>
          <t>undefined</t>
        </is>
      </c>
      <c r="C2750" t="inlineStr">
        <is>
          <t>adidas Alphaskin 2.0 Headband</t>
        </is>
      </c>
      <c r="D2750" t="inlineStr">
        <is>
          <t>adidas Womens Alphaskin Elastic Headband</t>
        </is>
      </c>
      <c r="E2750" s="2">
        <f>HYPERLINK("https://www.amazon.com/adidas-Alphaskin-Elastic-Headband-Black/dp/B0BFC2DCT1/ref=sr_1_4?keywords=adidas+Alphaskin+2.0+Headband&amp;qid=1695171091&amp;sr=8-4", "https://www.amazon.com/adidas-Alphaskin-Elastic-Headband-Black/dp/B0BFC2DCT1/ref=sr_1_4?keywords=adidas+Alphaskin+2.0+Headband&amp;qid=1695171091&amp;sr=8-4")</f>
        <v/>
      </c>
      <c r="F2750" t="inlineStr">
        <is>
          <t>B0BFC2DCT1</t>
        </is>
      </c>
      <c r="G2750">
        <f>_xludf.IMAGE("https://www.soccerplususa.com/prodimages//35445-WHITEBLACK-M.jpg")</f>
        <v/>
      </c>
      <c r="H2750">
        <f>_xludf.IMAGE("https://m.media-amazon.com/images/I/81h+q9zB3FL._AC_UL320_.jpg")</f>
        <v/>
      </c>
      <c r="K2750" t="inlineStr">
        <is>
          <t>14.95</t>
        </is>
      </c>
      <c r="L2750" t="n">
        <v>18.7</v>
      </c>
      <c r="M2750" s="1" t="inlineStr">
        <is>
          <t>25.08%</t>
        </is>
      </c>
      <c r="N2750" s="3" t="n">
        <v>25.08</v>
      </c>
      <c r="O2750" t="n">
        <v>5</v>
      </c>
      <c r="P2750" t="n">
        <v>1</v>
      </c>
      <c r="R2750" t="inlineStr">
        <is>
          <t>InStock</t>
        </is>
      </c>
      <c r="S2750" t="inlineStr">
        <is>
          <t>undefined</t>
        </is>
      </c>
      <c r="T2750" t="inlineStr">
        <is>
          <t>5152499</t>
        </is>
      </c>
    </row>
    <row r="2751" hidden="1" ht="15.75" customHeight="1">
      <c r="A2751" s="2">
        <f>HYPERLINK("https://www.soccerplususa.com/adidas/adidas-copa-zone-cushion-sock-1159", "https://www.soccerplususa.com/adidas/adidas-copa-zone-cushion-sock-1159")</f>
        <v/>
      </c>
      <c r="B2751" t="inlineStr">
        <is>
          <t>undefined</t>
        </is>
      </c>
      <c r="C2751" t="inlineStr">
        <is>
          <t>adidas Copa Zone Cushion Sock</t>
        </is>
      </c>
      <c r="D2751" t="inlineStr">
        <is>
          <t>adidas Copa Zone Cushion 4 Soccer Socks (1-Pair) for Men, Women, Boys and Girls</t>
        </is>
      </c>
      <c r="E2751" s="2">
        <f>HYPERLINK("https://www.amazon.com/adidas-Cushion-Soccer-Socks-1-Pack/dp/B07D9DQX8Q", "https://www.amazon.com/adidas-Cushion-Soccer-Socks-1-Pack/dp/B07D9DQX8Q")</f>
        <v/>
      </c>
      <c r="F2751" t="inlineStr">
        <is>
          <t>B07D9DQX8Q</t>
        </is>
      </c>
      <c r="G2751">
        <f>_xludf.IMAGE("https://www.soccerplususa.com/prodimages/32182-DEFAULT-l.jpg")</f>
        <v/>
      </c>
      <c r="H2751">
        <f>_xludf.IMAGE("https://m.media-amazon.com/images/I/71A6w4+ocTL._AC_UL320_.jpg")</f>
        <v/>
      </c>
      <c r="K2751" t="inlineStr">
        <is>
          <t>8.99</t>
        </is>
      </c>
      <c r="L2751" t="n">
        <v>11</v>
      </c>
      <c r="M2751" s="1" t="inlineStr">
        <is>
          <t>22.36%</t>
        </is>
      </c>
      <c r="N2751" s="3" t="n">
        <v>22.36</v>
      </c>
      <c r="O2751" t="n">
        <v>4.7</v>
      </c>
      <c r="P2751" t="n">
        <v>6297</v>
      </c>
      <c r="R2751" t="inlineStr">
        <is>
          <t>InStock</t>
        </is>
      </c>
      <c r="S2751" t="inlineStr">
        <is>
          <t>9.95</t>
        </is>
      </c>
      <c r="T2751" t="inlineStr">
        <is>
          <t>231013</t>
        </is>
      </c>
    </row>
    <row r="2752" hidden="1" ht="15.75" customHeight="1">
      <c r="A2752" s="2">
        <f>HYPERLINK("https://www.soccerplususa.com/adidas/adidas-alphaskin-tie-headband-43150", "https://www.soccerplususa.com/adidas/adidas-alphaskin-tie-headband-43150")</f>
        <v/>
      </c>
      <c r="B2752" t="inlineStr">
        <is>
          <t>undefined</t>
        </is>
      </c>
      <c r="C2752" t="inlineStr">
        <is>
          <t>adidas Alphaskin Tie Headband</t>
        </is>
      </c>
      <c r="D2752" t="inlineStr">
        <is>
          <t>adidas Unisex-Adult Alphaskin Elastic Headband – Discontinued</t>
        </is>
      </c>
      <c r="E2752" s="2">
        <f>HYPERLINK("https://www.amazon.com/adidas-Alphaskin-Elastic-Headband-White/dp/B087MC1RR4/ref=sr_1_5?keywords=adidas+Alphaskin+Tie+Headband&amp;qid=1695171083&amp;sr=8-5", "https://www.amazon.com/adidas-Alphaskin-Elastic-Headband-White/dp/B087MC1RR4/ref=sr_1_5?keywords=adidas+Alphaskin+Tie+Headband&amp;qid=1695171083&amp;sr=8-5")</f>
        <v/>
      </c>
      <c r="F2752" t="inlineStr">
        <is>
          <t>B087MC1RR4</t>
        </is>
      </c>
      <c r="G2752">
        <f>_xludf.IMAGE("https://www.soccerplususa.com/prodimages//36807-BLACKWHITE-M.jpg")</f>
        <v/>
      </c>
      <c r="H2752">
        <f>_xludf.IMAGE("https://m.media-amazon.com/images/I/71n1fJJj1TL._AC_UL320_.jpg")</f>
        <v/>
      </c>
      <c r="K2752" t="inlineStr">
        <is>
          <t>9.95</t>
        </is>
      </c>
      <c r="L2752" t="n">
        <v>11.77</v>
      </c>
      <c r="M2752" s="1" t="inlineStr">
        <is>
          <t>18.29%</t>
        </is>
      </c>
      <c r="N2752" s="3" t="n">
        <v>18.29</v>
      </c>
      <c r="O2752" t="n">
        <v>4.1</v>
      </c>
      <c r="P2752" t="n">
        <v>296</v>
      </c>
      <c r="R2752" t="inlineStr">
        <is>
          <t>InStock</t>
        </is>
      </c>
      <c r="S2752" t="inlineStr">
        <is>
          <t>undefined</t>
        </is>
      </c>
      <c r="T2752" t="inlineStr">
        <is>
          <t>5147633</t>
        </is>
      </c>
    </row>
    <row r="2753" hidden="1" ht="15.75" customHeight="1">
      <c r="A2753" s="2">
        <f>HYPERLINK("https://www.soccerplususa.com/adidas/adidas-alphaskin-tie-headband-43153", "https://www.soccerplususa.com/adidas/adidas-alphaskin-tie-headband-43153")</f>
        <v/>
      </c>
      <c r="B2753" t="inlineStr">
        <is>
          <t>undefined</t>
        </is>
      </c>
      <c r="C2753" t="inlineStr">
        <is>
          <t>adidas Alphaskin Tie Headband</t>
        </is>
      </c>
      <c r="D2753" t="inlineStr">
        <is>
          <t>adidas Unisex-Adult Alphaskin Elastic Headband – Discontinued</t>
        </is>
      </c>
      <c r="E2753" s="2">
        <f>HYPERLINK("https://www.amazon.com/adidas-Alphaskin-Elastic-Headband-White/dp/B087MC1RR4/ref=sr_1_5?keywords=adidas+Alphaskin+Tie+Headband&amp;qid=1695171084&amp;sr=8-5", "https://www.amazon.com/adidas-Alphaskin-Elastic-Headband-White/dp/B087MC1RR4/ref=sr_1_5?keywords=adidas+Alphaskin+Tie+Headband&amp;qid=1695171084&amp;sr=8-5")</f>
        <v/>
      </c>
      <c r="F2753" t="inlineStr">
        <is>
          <t>B087MC1RR4</t>
        </is>
      </c>
      <c r="G2753">
        <f>_xludf.IMAGE("https://www.soccerplususa.com/prodimages//36805-ROYALWHITE-M.jpg")</f>
        <v/>
      </c>
      <c r="H2753">
        <f>_xludf.IMAGE("https://m.media-amazon.com/images/I/71n1fJJj1TL._AC_UL320_.jpg")</f>
        <v/>
      </c>
      <c r="K2753" t="inlineStr">
        <is>
          <t>9.95</t>
        </is>
      </c>
      <c r="L2753" t="n">
        <v>11.77</v>
      </c>
      <c r="M2753" s="1" t="inlineStr">
        <is>
          <t>18.29%</t>
        </is>
      </c>
      <c r="N2753" s="3" t="n">
        <v>18.29</v>
      </c>
      <c r="O2753" t="n">
        <v>4.1</v>
      </c>
      <c r="P2753" t="n">
        <v>296</v>
      </c>
      <c r="R2753" t="inlineStr">
        <is>
          <t>InStock</t>
        </is>
      </c>
      <c r="S2753" t="inlineStr">
        <is>
          <t>undefined</t>
        </is>
      </c>
      <c r="T2753" t="inlineStr">
        <is>
          <t>5147678</t>
        </is>
      </c>
    </row>
    <row r="2754" hidden="1" ht="15.75" customHeight="1">
      <c r="A2754" s="2">
        <f>HYPERLINK("https://www.soccerplususa.com/adidas/adidas-copa-zone-cushion-iii-sock-2067", "https://www.soccerplususa.com/adidas/adidas-copa-zone-cushion-iii-sock-2067")</f>
        <v/>
      </c>
      <c r="B2754" t="inlineStr">
        <is>
          <t>undefined</t>
        </is>
      </c>
      <c r="C2754" t="inlineStr">
        <is>
          <t>adidas Copa Zone Cushion III Sock</t>
        </is>
      </c>
      <c r="D2754" t="inlineStr">
        <is>
          <t>adidas Copa Zone Cushion 4 Soccer Socks (1-Pair) for Men, Women, Boys and Girls</t>
        </is>
      </c>
      <c r="E2754" s="2">
        <f>HYPERLINK("https://www.amazon.com/adidas-Cushion-Soccer-Socks-1-Pair/dp/B0886G6VTQ/ref=sr_1_1?keywords=adidas+Copa+Zone+Cushion+III+Sock&amp;qid=1695171107&amp;sr=8-1", "https://www.amazon.com/adidas-Cushion-Soccer-Socks-1-Pair/dp/B0886G6VTQ/ref=sr_1_1?keywords=adidas+Copa+Zone+Cushion+III+Sock&amp;qid=1695171107&amp;sr=8-1")</f>
        <v/>
      </c>
      <c r="F2754" t="inlineStr">
        <is>
          <t>B0886G6VTQ</t>
        </is>
      </c>
      <c r="G2754">
        <f>_xludf.IMAGE("https://www.soccerplususa.com/prodimages/6071-DEFAULT-l.jpg")</f>
        <v/>
      </c>
      <c r="H2754">
        <f>_xludf.IMAGE("https://m.media-amazon.com/images/I/71kHYJ2uNIL._AC_UL320_.jpg")</f>
        <v/>
      </c>
      <c r="K2754" t="inlineStr">
        <is>
          <t>8.99</t>
        </is>
      </c>
      <c r="L2754" t="n">
        <v>10.59</v>
      </c>
      <c r="M2754" s="1" t="inlineStr">
        <is>
          <t>17.80%</t>
        </is>
      </c>
      <c r="N2754" s="3" t="n">
        <v>17.8</v>
      </c>
      <c r="O2754" t="n">
        <v>4.7</v>
      </c>
      <c r="P2754" t="n">
        <v>6297</v>
      </c>
      <c r="R2754" t="inlineStr">
        <is>
          <t>InStock</t>
        </is>
      </c>
      <c r="S2754" t="inlineStr">
        <is>
          <t>11.95</t>
        </is>
      </c>
      <c r="T2754" t="inlineStr">
        <is>
          <t>5143276</t>
        </is>
      </c>
    </row>
    <row r="2755" hidden="1" ht="15.75" customHeight="1">
      <c r="A2755" s="2">
        <f>HYPERLINK("https://www.soccerplususa.com/adidas/adidas-alphaskin-tie-headband-43153", "https://www.soccerplususa.com/adidas/adidas-alphaskin-tie-headband-43153")</f>
        <v/>
      </c>
      <c r="B2755" t="inlineStr">
        <is>
          <t>undefined</t>
        </is>
      </c>
      <c r="C2755" t="inlineStr">
        <is>
          <t>adidas Alphaskin Tie Headband</t>
        </is>
      </c>
      <c r="D2755" t="inlineStr">
        <is>
          <t>adidas Womens Alphaskin 2.0 Elastic Headband</t>
        </is>
      </c>
      <c r="E2755" s="2">
        <f>HYPERLINK("https://www.amazon.com/adidas-Alphaskin-Elastic-Headband-Black/dp/B087MBT1ZG/ref=sr_1_7?keywords=adidas+Alphaskin+Tie+Headband&amp;qid=1695171084&amp;sr=8-7", "https://www.amazon.com/adidas-Alphaskin-Elastic-Headband-Black/dp/B087MBT1ZG/ref=sr_1_7?keywords=adidas+Alphaskin+Tie+Headband&amp;qid=1695171084&amp;sr=8-7")</f>
        <v/>
      </c>
      <c r="F2755" t="inlineStr">
        <is>
          <t>B087MBT1ZG</t>
        </is>
      </c>
      <c r="G2755">
        <f>_xludf.IMAGE("https://www.soccerplususa.com/prodimages//36805-ROYALWHITE-M.jpg")</f>
        <v/>
      </c>
      <c r="H2755">
        <f>_xludf.IMAGE("https://m.media-amazon.com/images/I/71KDsIs6RMS._AC_UL320_.jpg")</f>
        <v/>
      </c>
      <c r="K2755" t="inlineStr">
        <is>
          <t>9.95</t>
        </is>
      </c>
      <c r="L2755" t="n">
        <v>11.6</v>
      </c>
      <c r="M2755" s="1" t="inlineStr">
        <is>
          <t>16.58%</t>
        </is>
      </c>
      <c r="N2755" s="3" t="n">
        <v>16.58</v>
      </c>
      <c r="O2755" t="n">
        <v>4.6</v>
      </c>
      <c r="P2755" t="n">
        <v>861</v>
      </c>
      <c r="R2755" t="inlineStr">
        <is>
          <t>InStock</t>
        </is>
      </c>
      <c r="S2755" t="inlineStr">
        <is>
          <t>undefined</t>
        </is>
      </c>
      <c r="T2755" t="inlineStr">
        <is>
          <t>5147678</t>
        </is>
      </c>
    </row>
    <row r="2756" hidden="1" ht="15.75" customHeight="1">
      <c r="A2756" s="2">
        <f>HYPERLINK("https://www.soccerplususa.com/adidas/adidas-alphaskin-tie-headband-43150", "https://www.soccerplususa.com/adidas/adidas-alphaskin-tie-headband-43150")</f>
        <v/>
      </c>
      <c r="B2756" t="inlineStr">
        <is>
          <t>undefined</t>
        </is>
      </c>
      <c r="C2756" t="inlineStr">
        <is>
          <t>adidas Alphaskin Tie Headband</t>
        </is>
      </c>
      <c r="D2756" t="inlineStr">
        <is>
          <t>adidas Womens Alphaskin 2.0 Elastic Headband</t>
        </is>
      </c>
      <c r="E2756" s="2">
        <f>HYPERLINK("https://www.amazon.com/adidas-Alphaskin-Elastic-Headband-Black/dp/B087MBT1ZG/ref=sr_1_7?keywords=adidas+Alphaskin+Tie+Headband&amp;qid=1695171083&amp;sr=8-7", "https://www.amazon.com/adidas-Alphaskin-Elastic-Headband-Black/dp/B087MBT1ZG/ref=sr_1_7?keywords=adidas+Alphaskin+Tie+Headband&amp;qid=1695171083&amp;sr=8-7")</f>
        <v/>
      </c>
      <c r="F2756" t="inlineStr">
        <is>
          <t>B087MBT1ZG</t>
        </is>
      </c>
      <c r="G2756">
        <f>_xludf.IMAGE("https://www.soccerplususa.com/prodimages//36807-BLACKWHITE-M.jpg")</f>
        <v/>
      </c>
      <c r="H2756">
        <f>_xludf.IMAGE("https://m.media-amazon.com/images/I/71KDsIs6RMS._AC_UL320_.jpg")</f>
        <v/>
      </c>
      <c r="K2756" t="inlineStr">
        <is>
          <t>9.95</t>
        </is>
      </c>
      <c r="L2756" t="n">
        <v>11.6</v>
      </c>
      <c r="M2756" s="1" t="inlineStr">
        <is>
          <t>16.58%</t>
        </is>
      </c>
      <c r="N2756" s="3" t="n">
        <v>16.58</v>
      </c>
      <c r="O2756" t="n">
        <v>4.6</v>
      </c>
      <c r="P2756" t="n">
        <v>861</v>
      </c>
      <c r="R2756" t="inlineStr">
        <is>
          <t>InStock</t>
        </is>
      </c>
      <c r="S2756" t="inlineStr">
        <is>
          <t>undefined</t>
        </is>
      </c>
      <c r="T2756" t="inlineStr">
        <is>
          <t>5147633</t>
        </is>
      </c>
    </row>
    <row r="2757" hidden="1" ht="15.75" customHeight="1">
      <c r="A2757" s="2">
        <f>HYPERLINK("https://www.soccerplususa.com/puma/puma-team-soccer-sock-29688", "https://www.soccerplususa.com/puma/puma-team-soccer-sock-29688")</f>
        <v/>
      </c>
      <c r="B2757" t="inlineStr">
        <is>
          <t>undefined</t>
        </is>
      </c>
      <c r="C2757" t="inlineStr">
        <is>
          <t>Puma Team Soccer Sock</t>
        </is>
      </c>
      <c r="D2757" t="inlineStr">
        <is>
          <t>PUMA Kids Boys Power Tech Knee High Socks Soccer Cleats - White</t>
        </is>
      </c>
      <c r="E2757" s="2">
        <f>HYPERLINK("https://www.amazon.com/Power-Socks-White-Black-3-5-6/dp/B006XEA7L4/ref=sr_1_6?keywords=Puma+Team+Soccer+Sock&amp;qid=1695171098&amp;sr=8-6", "https://www.amazon.com/Power-Socks-White-Black-3-5-6/dp/B006XEA7L4/ref=sr_1_6?keywords=Puma+Team+Soccer+Sock&amp;qid=1695171098&amp;sr=8-6")</f>
        <v/>
      </c>
      <c r="F2757" t="inlineStr">
        <is>
          <t>B006XEA7L4</t>
        </is>
      </c>
      <c r="G2757">
        <f>_xludf.IMAGE("https://www.soccerplususa.com/prodimages/3776-DEFAULT-l.jpg")</f>
        <v/>
      </c>
      <c r="H2757">
        <f>_xludf.IMAGE("https://m.media-amazon.com/images/I/416A9J3aMaS._AC_UL320_.jpg")</f>
        <v/>
      </c>
      <c r="K2757" t="inlineStr">
        <is>
          <t>6.0</t>
        </is>
      </c>
      <c r="L2757" t="n">
        <v>6.95</v>
      </c>
      <c r="M2757" s="1" t="inlineStr">
        <is>
          <t>15.83%</t>
        </is>
      </c>
      <c r="N2757" s="3" t="n">
        <v>15.83</v>
      </c>
      <c r="O2757" t="n">
        <v>3.4</v>
      </c>
      <c r="P2757" t="n">
        <v>5</v>
      </c>
      <c r="R2757" t="inlineStr">
        <is>
          <t>InStock</t>
        </is>
      </c>
      <c r="S2757" t="inlineStr">
        <is>
          <t>undefined</t>
        </is>
      </c>
      <c r="T2757" t="inlineStr">
        <is>
          <t>890420-01</t>
        </is>
      </c>
    </row>
    <row r="2758" hidden="1" ht="15.75" customHeight="1">
      <c r="A2758" s="2">
        <f>HYPERLINK("https://www.soccerplususa.com/nike/nike-classic-ii-otc-sock-27061", "https://www.soccerplususa.com/nike/nike-classic-ii-otc-sock-27061")</f>
        <v/>
      </c>
      <c r="B2758" t="inlineStr">
        <is>
          <t>undefined</t>
        </is>
      </c>
      <c r="C2758" t="inlineStr">
        <is>
          <t>Nike Classic II OTC Sock</t>
        </is>
      </c>
      <c r="D2758" t="inlineStr">
        <is>
          <t>Nike Unisex Classic II Cushion Over-The-Calf Football Sock (X-Small, Black/White)</t>
        </is>
      </c>
      <c r="E2758" s="2">
        <f>HYPERLINK("https://www.amazon.com/Unisex-Classic-Cushion-Football-X-Small/dp/B01GQMZ528/ref=sr_1_9?keywords=Nike+Classic+II+OTC+Sock&amp;qid=1695171106&amp;sr=8-9", "https://www.amazon.com/Unisex-Classic-Cushion-Football-X-Small/dp/B01GQMZ528/ref=sr_1_9?keywords=Nike+Classic+II+OTC+Sock&amp;qid=1695171106&amp;sr=8-9")</f>
        <v/>
      </c>
      <c r="F2758" t="inlineStr">
        <is>
          <t>B01GQMZ528</t>
        </is>
      </c>
      <c r="G2758">
        <f>_xludf.IMAGE("https://www.soccerplususa.com/prodimages/6082-DEFAULT-l.jpg")</f>
        <v/>
      </c>
      <c r="H2758">
        <f>_xludf.IMAGE("https://m.media-amazon.com/images/I/81qEEW7hx1S._AC_UL320_.jpg")</f>
        <v/>
      </c>
      <c r="K2758" t="inlineStr">
        <is>
          <t>11.95</t>
        </is>
      </c>
      <c r="L2758" t="n">
        <v>13.77</v>
      </c>
      <c r="M2758" s="1" t="inlineStr">
        <is>
          <t>15.23%</t>
        </is>
      </c>
      <c r="N2758" s="3" t="n">
        <v>15.23</v>
      </c>
      <c r="O2758" t="n">
        <v>4.4</v>
      </c>
      <c r="P2758" t="n">
        <v>60</v>
      </c>
      <c r="R2758" t="inlineStr">
        <is>
          <t>InStock</t>
        </is>
      </c>
      <c r="S2758" t="inlineStr">
        <is>
          <t>undefined</t>
        </is>
      </c>
      <c r="T2758" t="inlineStr">
        <is>
          <t>SX5728-739</t>
        </is>
      </c>
    </row>
    <row r="2759" hidden="1" ht="15.75" customHeight="1">
      <c r="A2759" s="2">
        <f>HYPERLINK("https://www.soccerplususa.com/nike/nike-classic-ii-sock-35393", "https://www.soccerplususa.com/nike/nike-classic-ii-sock-35393")</f>
        <v/>
      </c>
      <c r="B2759" t="inlineStr">
        <is>
          <t>undefined</t>
        </is>
      </c>
      <c r="C2759" t="inlineStr">
        <is>
          <t>Nike Classic II Sock</t>
        </is>
      </c>
      <c r="D2759" t="inlineStr">
        <is>
          <t>Nike Unisex Classic II Cushion Over-The-Calf Football Sock (X-Small, Black/White)</t>
        </is>
      </c>
      <c r="E2759" s="2">
        <f>HYPERLINK("https://www.amazon.com/Unisex-Classic-Cushion-Football-X-Small/dp/B01GQMZ528/ref=sr_1_4?keywords=Nike+Classic+II+Sock&amp;qid=1695171093&amp;sr=8-4", "https://www.amazon.com/Unisex-Classic-Cushion-Football-X-Small/dp/B01GQMZ528/ref=sr_1_4?keywords=Nike+Classic+II+Sock&amp;qid=1695171093&amp;sr=8-4")</f>
        <v/>
      </c>
      <c r="F2759" t="inlineStr">
        <is>
          <t>B01GQMZ528</t>
        </is>
      </c>
      <c r="G2759">
        <f>_xludf.IMAGE("https://www.soccerplususa.com/prodimages/10668-DEFAULT-l.jpg")</f>
        <v/>
      </c>
      <c r="H2759">
        <f>_xludf.IMAGE("https://m.media-amazon.com/images/I/81qEEW7hx1S._AC_UL320_.jpg")</f>
        <v/>
      </c>
      <c r="K2759" t="inlineStr">
        <is>
          <t>11.95</t>
        </is>
      </c>
      <c r="L2759" t="n">
        <v>13.77</v>
      </c>
      <c r="M2759" s="1" t="inlineStr">
        <is>
          <t>15.23%</t>
        </is>
      </c>
      <c r="N2759" s="3" t="n">
        <v>15.23</v>
      </c>
      <c r="O2759" t="n">
        <v>4.4</v>
      </c>
      <c r="P2759" t="n">
        <v>60</v>
      </c>
      <c r="R2759" t="inlineStr">
        <is>
          <t>InStock</t>
        </is>
      </c>
      <c r="S2759" t="inlineStr">
        <is>
          <t>undefined</t>
        </is>
      </c>
      <c r="T2759" t="inlineStr">
        <is>
          <t>SX5728-677</t>
        </is>
      </c>
    </row>
    <row r="2760" hidden="1" ht="15.75" customHeight="1">
      <c r="A2760" s="2">
        <f>HYPERLINK("https://www.soccerplususa.com/nike/nike-classic-ii-otc-sock-27057", "https://www.soccerplususa.com/nike/nike-classic-ii-otc-sock-27057")</f>
        <v/>
      </c>
      <c r="B2760" t="inlineStr">
        <is>
          <t>undefined</t>
        </is>
      </c>
      <c r="C2760" t="inlineStr">
        <is>
          <t>Nike Classic II OTC Sock</t>
        </is>
      </c>
      <c r="D2760" t="inlineStr">
        <is>
          <t>Nike Unisex Classic II Cushion Over-The-Calf Football Sock (X-Small, Black/White)</t>
        </is>
      </c>
      <c r="E2760" s="2">
        <f>HYPERLINK("https://www.amazon.com/Unisex-Classic-Cushion-Football-X-Small/dp/B01GQMZ528/ref=sr_1_9?keywords=Nike+Classic+II+OTC+Sock&amp;qid=1695171107&amp;sr=8-9", "https://www.amazon.com/Unisex-Classic-Cushion-Football-X-Small/dp/B01GQMZ528/ref=sr_1_9?keywords=Nike+Classic+II+OTC+Sock&amp;qid=1695171107&amp;sr=8-9")</f>
        <v/>
      </c>
      <c r="F2760" t="inlineStr">
        <is>
          <t>B01GQMZ528</t>
        </is>
      </c>
      <c r="G2760">
        <f>_xludf.IMAGE("https://www.soccerplususa.com/prodimages/4446-DEFAULT-l.jpg")</f>
        <v/>
      </c>
      <c r="H2760">
        <f>_xludf.IMAGE("https://m.media-amazon.com/images/I/81qEEW7hx1S._AC_UL320_.jpg")</f>
        <v/>
      </c>
      <c r="K2760" t="inlineStr">
        <is>
          <t>11.95</t>
        </is>
      </c>
      <c r="L2760" t="n">
        <v>13.77</v>
      </c>
      <c r="M2760" s="1" t="inlineStr">
        <is>
          <t>15.23%</t>
        </is>
      </c>
      <c r="N2760" s="3" t="n">
        <v>15.23</v>
      </c>
      <c r="O2760" t="n">
        <v>4.4</v>
      </c>
      <c r="P2760" t="n">
        <v>60</v>
      </c>
      <c r="R2760" t="inlineStr">
        <is>
          <t>InStock</t>
        </is>
      </c>
      <c r="S2760" t="inlineStr">
        <is>
          <t>undefined</t>
        </is>
      </c>
      <c r="T2760" t="inlineStr">
        <is>
          <t>SX5728-616</t>
        </is>
      </c>
    </row>
    <row r="2761" hidden="1" ht="15.75" customHeight="1">
      <c r="A2761" s="2">
        <f>HYPERLINK("https://www.soccerplususa.com/nike/nike-classic-ii-otc-sock-27049", "https://www.soccerplususa.com/nike/nike-classic-ii-otc-sock-27049")</f>
        <v/>
      </c>
      <c r="B2761" t="inlineStr">
        <is>
          <t>undefined</t>
        </is>
      </c>
      <c r="C2761" t="inlineStr">
        <is>
          <t>Nike Classic II OTC Sock</t>
        </is>
      </c>
      <c r="D2761" t="inlineStr">
        <is>
          <t>Nike Unisex Classic II Cushion Over-The-Calf Football Sock (X-Small, Black/White)</t>
        </is>
      </c>
      <c r="E2761" s="2">
        <f>HYPERLINK("https://www.amazon.com/Unisex-Classic-Cushion-Football-X-Small/dp/B01GQMZ528/ref=sr_1_9?keywords=Nike+Classic+II+OTC+Sock&amp;qid=1695171104&amp;sr=8-9", "https://www.amazon.com/Unisex-Classic-Cushion-Football-X-Small/dp/B01GQMZ528/ref=sr_1_9?keywords=Nike+Classic+II+OTC+Sock&amp;qid=1695171104&amp;sr=8-9")</f>
        <v/>
      </c>
      <c r="F2761" t="inlineStr">
        <is>
          <t>B01GQMZ528</t>
        </is>
      </c>
      <c r="G2761">
        <f>_xludf.IMAGE("https://www.soccerplususa.com/prodimages/4442-DEFAULT-l.jpg")</f>
        <v/>
      </c>
      <c r="H2761">
        <f>_xludf.IMAGE("https://m.media-amazon.com/images/I/81qEEW7hx1S._AC_UL320_.jpg")</f>
        <v/>
      </c>
      <c r="K2761" t="inlineStr">
        <is>
          <t>11.95</t>
        </is>
      </c>
      <c r="L2761" t="n">
        <v>13.77</v>
      </c>
      <c r="M2761" s="1" t="inlineStr">
        <is>
          <t>15.23%</t>
        </is>
      </c>
      <c r="N2761" s="3" t="n">
        <v>15.23</v>
      </c>
      <c r="O2761" t="n">
        <v>4.4</v>
      </c>
      <c r="P2761" t="n">
        <v>60</v>
      </c>
      <c r="R2761" t="inlineStr">
        <is>
          <t>InStock</t>
        </is>
      </c>
      <c r="S2761" t="inlineStr">
        <is>
          <t>undefined</t>
        </is>
      </c>
      <c r="T2761" t="inlineStr">
        <is>
          <t>SX5728-010</t>
        </is>
      </c>
    </row>
    <row r="2762" hidden="1" ht="15.75" customHeight="1">
      <c r="A2762" s="2">
        <f>HYPERLINK("https://www.soccerplususa.com/nike/nike-classic-ii-otc-sock-37537", "https://www.soccerplususa.com/nike/nike-classic-ii-otc-sock-37537")</f>
        <v/>
      </c>
      <c r="B2762" t="inlineStr">
        <is>
          <t>undefined</t>
        </is>
      </c>
      <c r="C2762" t="inlineStr">
        <is>
          <t>Nike Classic II OTC Sock</t>
        </is>
      </c>
      <c r="D2762" t="inlineStr">
        <is>
          <t>Nike Unisex Classic II Cushion Over-The-Calf Football Sock (X-Small, Black/White)</t>
        </is>
      </c>
      <c r="E2762" s="2">
        <f>HYPERLINK("https://www.amazon.com/Unisex-Classic-Cushion-Football-X-Small/dp/B01GQMZ528/ref=sr_1_9?keywords=Nike+Classic+II+OTC+Sock&amp;qid=1695171095&amp;sr=8-9", "https://www.amazon.com/Unisex-Classic-Cushion-Football-X-Small/dp/B01GQMZ528/ref=sr_1_9?keywords=Nike+Classic+II+OTC+Sock&amp;qid=1695171095&amp;sr=8-9")</f>
        <v/>
      </c>
      <c r="F2762" t="inlineStr">
        <is>
          <t>B01GQMZ528</t>
        </is>
      </c>
      <c r="G2762">
        <f>_xludf.IMAGE("https://www.soccerplususa.com/prodimages/10669-DEFAULT-l.jpg")</f>
        <v/>
      </c>
      <c r="H2762">
        <f>_xludf.IMAGE("https://m.media-amazon.com/images/I/81qEEW7hx1S._AC_UL320_.jpg")</f>
        <v/>
      </c>
      <c r="K2762" t="inlineStr">
        <is>
          <t>11.95</t>
        </is>
      </c>
      <c r="L2762" t="n">
        <v>13.77</v>
      </c>
      <c r="M2762" s="1" t="inlineStr">
        <is>
          <t>15.23%</t>
        </is>
      </c>
      <c r="N2762" s="3" t="n">
        <v>15.23</v>
      </c>
      <c r="O2762" t="n">
        <v>4.4</v>
      </c>
      <c r="P2762" t="n">
        <v>60</v>
      </c>
      <c r="R2762" t="inlineStr">
        <is>
          <t>InStock</t>
        </is>
      </c>
      <c r="S2762" t="inlineStr">
        <is>
          <t>undefined</t>
        </is>
      </c>
      <c r="T2762" t="inlineStr">
        <is>
          <t>SX5728-816</t>
        </is>
      </c>
    </row>
    <row r="2763" hidden="1" ht="15.75" customHeight="1">
      <c r="A2763" s="2">
        <f>HYPERLINK("https://www.soccerplususa.com/nike/nike-classic-ii-otc-sock-27051", "https://www.soccerplususa.com/nike/nike-classic-ii-otc-sock-27051")</f>
        <v/>
      </c>
      <c r="B2763" t="inlineStr">
        <is>
          <t>undefined</t>
        </is>
      </c>
      <c r="C2763" t="inlineStr">
        <is>
          <t>Nike Classic II OTC Sock</t>
        </is>
      </c>
      <c r="D2763" t="inlineStr">
        <is>
          <t>Nike Unisex Classic II Cushion Over-The-Calf Football Sock (X-Small, Black/White)</t>
        </is>
      </c>
      <c r="E2763" s="2">
        <f>HYPERLINK("https://www.amazon.com/Unisex-Classic-Cushion-Football-X-Small/dp/B01GQMZ528/ref=sr_1_9?keywords=Nike+Classic+II+OTC+Sock&amp;qid=1695171109&amp;sr=8-9", "https://www.amazon.com/Unisex-Classic-Cushion-Football-X-Small/dp/B01GQMZ528/ref=sr_1_9?keywords=Nike+Classic+II+OTC+Sock&amp;qid=1695171109&amp;sr=8-9")</f>
        <v/>
      </c>
      <c r="F2763" t="inlineStr">
        <is>
          <t>B01GQMZ528</t>
        </is>
      </c>
      <c r="G2763">
        <f>_xludf.IMAGE("https://www.soccerplususa.com/prodimages/4443-DEFAULT-l.jpg")</f>
        <v/>
      </c>
      <c r="H2763">
        <f>_xludf.IMAGE("https://m.media-amazon.com/images/I/81qEEW7hx1S._AC_UL320_.jpg")</f>
        <v/>
      </c>
      <c r="K2763" t="inlineStr">
        <is>
          <t>11.95</t>
        </is>
      </c>
      <c r="L2763" t="n">
        <v>13.77</v>
      </c>
      <c r="M2763" s="1" t="inlineStr">
        <is>
          <t>15.23%</t>
        </is>
      </c>
      <c r="N2763" s="3" t="n">
        <v>15.23</v>
      </c>
      <c r="O2763" t="n">
        <v>4.4</v>
      </c>
      <c r="P2763" t="n">
        <v>60</v>
      </c>
      <c r="R2763" t="inlineStr">
        <is>
          <t>InStock</t>
        </is>
      </c>
      <c r="S2763" t="inlineStr">
        <is>
          <t>undefined</t>
        </is>
      </c>
      <c r="T2763" t="inlineStr">
        <is>
          <t>SX5728-100</t>
        </is>
      </c>
    </row>
    <row r="2764" hidden="1" ht="15.75" customHeight="1">
      <c r="A2764" s="2">
        <f>HYPERLINK("https://www.soccerplususa.com/premier-sock-tape/premier-sock-tape-pro-es-27466", "https://www.soccerplususa.com/premier-sock-tape/premier-sock-tape-pro-es-27466")</f>
        <v/>
      </c>
      <c r="B2764" t="inlineStr">
        <is>
          <t>undefined</t>
        </is>
      </c>
      <c r="C2764" t="inlineStr">
        <is>
          <t>Premier Sock Tape Pro ES</t>
        </is>
      </c>
      <c r="D2764" t="inlineStr">
        <is>
          <t>Premier Sock Tape Pro ES</t>
        </is>
      </c>
      <c r="E2764" s="2">
        <f>HYPERLINK("https://www.amazon.com/Premier-Sock-Tape-Pro-ES/dp/B00ETLUD4E/ref=sr_1_1?keywords=Premier+Sock+Tape+Pro+ES&amp;qid=1695171098&amp;sr=8-1", "https://www.amazon.com/Premier-Sock-Tape-Pro-ES/dp/B00ETLUD4E/ref=sr_1_1?keywords=Premier+Sock+Tape+Pro+ES&amp;qid=1695171098&amp;sr=8-1")</f>
        <v/>
      </c>
      <c r="F2764" t="inlineStr">
        <is>
          <t>B00ETLUD4E</t>
        </is>
      </c>
      <c r="G2764">
        <f>_xludf.IMAGE("https://www.soccerplususa.com/prodimages/2586-DEFAULT-l.jpg")</f>
        <v/>
      </c>
      <c r="H2764">
        <f>_xludf.IMAGE("https://m.media-amazon.com/images/I/612yndcZQSL._AC_UL320_.jpg")</f>
        <v/>
      </c>
      <c r="K2764" t="inlineStr">
        <is>
          <t>6.99</t>
        </is>
      </c>
      <c r="L2764" t="n">
        <v>7.99</v>
      </c>
      <c r="M2764" s="1" t="inlineStr">
        <is>
          <t>14.31%</t>
        </is>
      </c>
      <c r="N2764" s="3" t="n">
        <v>14.31</v>
      </c>
      <c r="O2764" t="n">
        <v>5</v>
      </c>
      <c r="P2764" t="n">
        <v>5</v>
      </c>
      <c r="R2764" t="inlineStr">
        <is>
          <t>InStock</t>
        </is>
      </c>
      <c r="S2764" t="inlineStr">
        <is>
          <t>undefined</t>
        </is>
      </c>
      <c r="T2764" t="inlineStr">
        <is>
          <t>PST</t>
        </is>
      </c>
    </row>
    <row r="2765" hidden="1" ht="15.75" customHeight="1">
      <c r="A2765" s="2">
        <f>HYPERLINK("https://www.soccerplususa.com/adidas/adidas-team-leverage-beanie-2075", "https://www.soccerplususa.com/adidas/adidas-team-leverage-beanie-2075")</f>
        <v/>
      </c>
      <c r="B2765" t="inlineStr">
        <is>
          <t>undefined</t>
        </is>
      </c>
      <c r="C2765" t="inlineStr">
        <is>
          <t>adidas Team Leverage Beanie</t>
        </is>
      </c>
      <c r="D2765" t="inlineStr">
        <is>
          <t>adidas Team Leverage Beanie</t>
        </is>
      </c>
      <c r="E2765" s="2">
        <f>HYPERLINK("https://www.amazon.com/adidas-Team-Leverage-Beanie-Black/dp/B087NT9MZW/ref=sr_1_1?keywords=adidas+Team+Leverage+Beanie&amp;qid=1695171115&amp;sr=8-1", "https://www.amazon.com/adidas-Team-Leverage-Beanie-Black/dp/B087NT9MZW/ref=sr_1_1?keywords=adidas+Team+Leverage+Beanie&amp;qid=1695171115&amp;sr=8-1")</f>
        <v/>
      </c>
      <c r="F2765" t="inlineStr">
        <is>
          <t>B087NT9MZW</t>
        </is>
      </c>
      <c r="G2765">
        <f>_xludf.IMAGE("https://www.soccerplususa.com/prodimages/7307-DEFAULT-l.jpg")</f>
        <v/>
      </c>
      <c r="H2765">
        <f>_xludf.IMAGE("https://m.media-amazon.com/images/I/81BGC2j+z7L._AC_UL320_.jpg")</f>
        <v/>
      </c>
      <c r="K2765" t="inlineStr">
        <is>
          <t>19.95</t>
        </is>
      </c>
      <c r="L2765" t="n">
        <v>22.77</v>
      </c>
      <c r="M2765" s="1" t="inlineStr">
        <is>
          <t>14.14%</t>
        </is>
      </c>
      <c r="N2765" s="3" t="n">
        <v>14.14</v>
      </c>
      <c r="O2765" t="n">
        <v>4.4</v>
      </c>
      <c r="P2765" t="n">
        <v>49</v>
      </c>
      <c r="R2765" t="inlineStr">
        <is>
          <t>InStock</t>
        </is>
      </c>
      <c r="S2765" t="inlineStr">
        <is>
          <t>undefined</t>
        </is>
      </c>
      <c r="T2765" t="inlineStr">
        <is>
          <t>5143708</t>
        </is>
      </c>
    </row>
    <row r="2766" hidden="1" ht="15.75" customHeight="1">
      <c r="A2766" s="2">
        <f>HYPERLINK("https://www.soccerplususa.com/adidas/adidas-team-leverage-beanie-2074", "https://www.soccerplususa.com/adidas/adidas-team-leverage-beanie-2074")</f>
        <v/>
      </c>
      <c r="B2766" t="inlineStr">
        <is>
          <t>undefined</t>
        </is>
      </c>
      <c r="C2766" t="inlineStr">
        <is>
          <t>adidas Team Leverage Beanie</t>
        </is>
      </c>
      <c r="D2766" t="inlineStr">
        <is>
          <t>adidas Team Leverage Beanie</t>
        </is>
      </c>
      <c r="E2766" s="2">
        <f>HYPERLINK("https://www.amazon.com/adidas-Team-Leverage-Beanie-Black/dp/B087NT9MZW/ref=sr_1_1?keywords=adidas+Team+Leverage+Beanie&amp;qid=1695171116&amp;sr=8-1", "https://www.amazon.com/adidas-Team-Leverage-Beanie-Black/dp/B087NT9MZW/ref=sr_1_1?keywords=adidas+Team+Leverage+Beanie&amp;qid=1695171116&amp;sr=8-1")</f>
        <v/>
      </c>
      <c r="F2766" t="inlineStr">
        <is>
          <t>B087NT9MZW</t>
        </is>
      </c>
      <c r="G2766">
        <f>_xludf.IMAGE("https://www.soccerplususa.com/prodimages/7304-DEFAULT-l.jpg")</f>
        <v/>
      </c>
      <c r="H2766">
        <f>_xludf.IMAGE("https://m.media-amazon.com/images/I/81BGC2j+z7L._AC_UL320_.jpg")</f>
        <v/>
      </c>
      <c r="K2766" t="inlineStr">
        <is>
          <t>19.95</t>
        </is>
      </c>
      <c r="L2766" t="n">
        <v>22.77</v>
      </c>
      <c r="M2766" s="1" t="inlineStr">
        <is>
          <t>14.14%</t>
        </is>
      </c>
      <c r="N2766" s="3" t="n">
        <v>14.14</v>
      </c>
      <c r="O2766" t="n">
        <v>4.4</v>
      </c>
      <c r="P2766" t="n">
        <v>49</v>
      </c>
      <c r="R2766" t="inlineStr">
        <is>
          <t>InStock</t>
        </is>
      </c>
      <c r="S2766" t="inlineStr">
        <is>
          <t>undefined</t>
        </is>
      </c>
      <c r="T2766" t="inlineStr">
        <is>
          <t>5143707</t>
        </is>
      </c>
    </row>
    <row r="2767" hidden="1" ht="15.75" customHeight="1">
      <c r="A2767" s="2">
        <f>HYPERLINK("https://www.soccerplususa.com/puma/puma-team-soccer-sock-29694", "https://www.soccerplususa.com/puma/puma-team-soccer-sock-29694")</f>
        <v/>
      </c>
      <c r="B2767" t="inlineStr">
        <is>
          <t>undefined</t>
        </is>
      </c>
      <c r="C2767" t="inlineStr">
        <is>
          <t>Puma Team Soccer Sock</t>
        </is>
      </c>
      <c r="D2767" t="inlineStr">
        <is>
          <t>Soccer Sock stoppers Thin-Puma Black-One Size</t>
        </is>
      </c>
      <c r="E2767" s="2">
        <f>HYPERLINK("https://www.amazon.com/PUMA-05063702-Sock-stoppers-Thin/dp/B07NX7JZL2/ref=sr_1_4?keywords=Puma+Team+Soccer+Sock&amp;qid=1695171097&amp;sr=8-4", "https://www.amazon.com/PUMA-05063702-Sock-stoppers-Thin/dp/B07NX7JZL2/ref=sr_1_4?keywords=Puma+Team+Soccer+Sock&amp;qid=1695171097&amp;sr=8-4")</f>
        <v/>
      </c>
      <c r="F2767" t="inlineStr">
        <is>
          <t>B07NX7JZL2</t>
        </is>
      </c>
      <c r="G2767">
        <f>_xludf.IMAGE("https://www.soccerplususa.com/prodimages/2609-DEFAULT-l.jpg")</f>
        <v/>
      </c>
      <c r="H2767">
        <f>_xludf.IMAGE("https://m.media-amazon.com/images/I/71Xje4V5gpL._AC_UL320_.jpg")</f>
        <v/>
      </c>
      <c r="K2767" t="inlineStr">
        <is>
          <t>7.95</t>
        </is>
      </c>
      <c r="L2767" t="n">
        <v>9.029999999999999</v>
      </c>
      <c r="M2767" s="1" t="inlineStr">
        <is>
          <t>13.58%</t>
        </is>
      </c>
      <c r="N2767" s="3" t="n">
        <v>13.58</v>
      </c>
      <c r="O2767" t="n">
        <v>3.7</v>
      </c>
      <c r="P2767" t="n">
        <v>21</v>
      </c>
      <c r="R2767" t="inlineStr">
        <is>
          <t>InStock</t>
        </is>
      </c>
      <c r="S2767" t="inlineStr">
        <is>
          <t>undefined</t>
        </is>
      </c>
      <c r="T2767" t="inlineStr">
        <is>
          <t>890420-08</t>
        </is>
      </c>
    </row>
    <row r="2768" hidden="1" ht="15.75" customHeight="1">
      <c r="A2768" s="2">
        <f>HYPERLINK("https://www.soccerplususa.com/pure-grip-socks/pure-grip-socks-40738", "https://www.soccerplususa.com/pure-grip-socks/pure-grip-socks-40738")</f>
        <v/>
      </c>
      <c r="B2768" t="inlineStr">
        <is>
          <t>undefined</t>
        </is>
      </c>
      <c r="C2768" t="inlineStr">
        <is>
          <t>Pure Grip Socks</t>
        </is>
      </c>
      <c r="D2768" t="inlineStr">
        <is>
          <t>Ozaiic Non Slip Grip Socks for Yoga Home Workout Pure Barre, Pilates, Hospital, Ideal Cushion Socks for Men and Women</t>
        </is>
      </c>
      <c r="E2768" s="2" t="n"/>
      <c r="F2768" t="inlineStr">
        <is>
          <t>B07KY969RN</t>
        </is>
      </c>
      <c r="G2768">
        <f>_xludf.IMAGE("https://www.soccerplususa.com/prodimages/33497-DEFAULT-l.jpg")</f>
        <v/>
      </c>
      <c r="H2768">
        <f>_xludf.IMAGE("https://m.media-amazon.com/images/I/81Ol1YEUUOL._AC_UL320_.jpg")</f>
        <v/>
      </c>
      <c r="K2768" t="inlineStr">
        <is>
          <t>14.99</t>
        </is>
      </c>
      <c r="L2768" t="n">
        <v>16.99</v>
      </c>
      <c r="M2768" s="1" t="inlineStr">
        <is>
          <t>13.34%</t>
        </is>
      </c>
      <c r="N2768" s="3" t="n">
        <v>13.34</v>
      </c>
      <c r="O2768" t="n">
        <v>4.6</v>
      </c>
      <c r="P2768" t="n">
        <v>4498</v>
      </c>
      <c r="R2768" t="inlineStr">
        <is>
          <t>InStock</t>
        </is>
      </c>
      <c r="S2768" t="inlineStr">
        <is>
          <t>undefined</t>
        </is>
      </c>
      <c r="T2768" t="inlineStr">
        <is>
          <t>PGS</t>
        </is>
      </c>
    </row>
    <row r="2769" hidden="1" ht="15.75" customHeight="1">
      <c r="A2769" s="2">
        <f>HYPERLINK("https://www.soccerplususa.com/puma/puma-team-soccer-sock-29694", "https://www.soccerplususa.com/puma/puma-team-soccer-sock-29694")</f>
        <v/>
      </c>
      <c r="B2769" t="inlineStr">
        <is>
          <t>undefined</t>
        </is>
      </c>
      <c r="C2769" t="inlineStr">
        <is>
          <t>Puma Team Soccer Sock</t>
        </is>
      </c>
      <c r="D2769" t="inlineStr">
        <is>
          <t>PUMA Men's Team Socks</t>
        </is>
      </c>
      <c r="E2769" s="2">
        <f>HYPERLINK("https://www.amazon.com/Puma-Mens-Team-Socks-Burgundy/dp/B00783LIA8/ref=sr_1_7?keywords=Puma+Team+Soccer+Sock&amp;qid=1695171097&amp;sr=8-7", "https://www.amazon.com/Puma-Mens-Team-Socks-Burgundy/dp/B00783LIA8/ref=sr_1_7?keywords=Puma+Team+Soccer+Sock&amp;qid=1695171097&amp;sr=8-7")</f>
        <v/>
      </c>
      <c r="F2769" t="inlineStr">
        <is>
          <t>B00783LIA8</t>
        </is>
      </c>
      <c r="G2769">
        <f>_xludf.IMAGE("https://www.soccerplususa.com/prodimages/2609-DEFAULT-l.jpg")</f>
        <v/>
      </c>
      <c r="H2769">
        <f>_xludf.IMAGE("https://m.media-amazon.com/images/I/41ZowO-pk3S._AC_UL320_.jpg")</f>
        <v/>
      </c>
      <c r="K2769" t="inlineStr">
        <is>
          <t>7.95</t>
        </is>
      </c>
      <c r="L2769" t="n">
        <v>8.99</v>
      </c>
      <c r="M2769" s="1" t="inlineStr">
        <is>
          <t>13.08%</t>
        </is>
      </c>
      <c r="N2769" s="3" t="n">
        <v>13.08</v>
      </c>
      <c r="O2769" t="n">
        <v>4.2</v>
      </c>
      <c r="P2769" t="n">
        <v>14</v>
      </c>
      <c r="R2769" t="inlineStr">
        <is>
          <t>InStock</t>
        </is>
      </c>
      <c r="S2769" t="inlineStr">
        <is>
          <t>undefined</t>
        </is>
      </c>
      <c r="T2769" t="inlineStr">
        <is>
          <t>890420-08</t>
        </is>
      </c>
    </row>
    <row r="2770" hidden="1" ht="15.75" customHeight="1">
      <c r="A2770" s="2">
        <f>HYPERLINK("https://www.soccerplususa.com/adidas/adidas-alphaskin-tie-headband-43153", "https://www.soccerplususa.com/adidas/adidas-alphaskin-tie-headband-43153")</f>
        <v/>
      </c>
      <c r="B2770" t="inlineStr">
        <is>
          <t>undefined</t>
        </is>
      </c>
      <c r="C2770" t="inlineStr">
        <is>
          <t>adidas Alphaskin Tie Headband</t>
        </is>
      </c>
      <c r="D2770" t="inlineStr">
        <is>
          <t>adidas Unisex-Adult Alphaskin 2.0 Elastic Headband – Discontinued</t>
        </is>
      </c>
      <c r="E2770" s="2">
        <f>HYPERLINK("https://www.amazon.com/adidas-Alphaskin-Elastic-Headband-Pulse/dp/B091DBXL31/ref=sr_1_3?keywords=adidas+Alphaskin+Tie+Headband&amp;qid=1695171084&amp;sr=8-3", "https://www.amazon.com/adidas-Alphaskin-Elastic-Headband-Pulse/dp/B091DBXL31/ref=sr_1_3?keywords=adidas+Alphaskin+Tie+Headband&amp;qid=1695171084&amp;sr=8-3")</f>
        <v/>
      </c>
      <c r="F2770" t="inlineStr">
        <is>
          <t>B091DBXL31</t>
        </is>
      </c>
      <c r="G2770">
        <f>_xludf.IMAGE("https://www.soccerplususa.com/prodimages//36805-ROYALWHITE-M.jpg")</f>
        <v/>
      </c>
      <c r="H2770">
        <f>_xludf.IMAGE("https://m.media-amazon.com/images/I/51wd20vHN8L._AC_UL320_.jpg")</f>
        <v/>
      </c>
      <c r="K2770" t="inlineStr">
        <is>
          <t>9.95</t>
        </is>
      </c>
      <c r="L2770" t="n">
        <v>11.24</v>
      </c>
      <c r="M2770" s="1" t="inlineStr">
        <is>
          <t>12.96%</t>
        </is>
      </c>
      <c r="N2770" s="3" t="n">
        <v>12.96</v>
      </c>
      <c r="O2770" t="n">
        <v>4.5</v>
      </c>
      <c r="P2770" t="n">
        <v>72</v>
      </c>
      <c r="R2770" t="inlineStr">
        <is>
          <t>InStock</t>
        </is>
      </c>
      <c r="S2770" t="inlineStr">
        <is>
          <t>undefined</t>
        </is>
      </c>
      <c r="T2770" t="inlineStr">
        <is>
          <t>5147678</t>
        </is>
      </c>
    </row>
    <row r="2771" hidden="1" ht="15.75" customHeight="1">
      <c r="A2771" s="2">
        <f>HYPERLINK("https://www.soccerplususa.com/adidas/adidas-alphaskin-tie-headband-43150", "https://www.soccerplususa.com/adidas/adidas-alphaskin-tie-headband-43150")</f>
        <v/>
      </c>
      <c r="B2771" t="inlineStr">
        <is>
          <t>undefined</t>
        </is>
      </c>
      <c r="C2771" t="inlineStr">
        <is>
          <t>adidas Alphaskin Tie Headband</t>
        </is>
      </c>
      <c r="D2771" t="inlineStr">
        <is>
          <t>adidas Unisex-Adult Alphaskin 2.0 Elastic Headband – Discontinued</t>
        </is>
      </c>
      <c r="E2771" s="2">
        <f>HYPERLINK("https://www.amazon.com/adidas-Alphaskin-Elastic-Headband-Pulse/dp/B091DBXL31/ref=sr_1_3?keywords=adidas+Alphaskin+Tie+Headband&amp;qid=1695171083&amp;sr=8-3", "https://www.amazon.com/adidas-Alphaskin-Elastic-Headband-Pulse/dp/B091DBXL31/ref=sr_1_3?keywords=adidas+Alphaskin+Tie+Headband&amp;qid=1695171083&amp;sr=8-3")</f>
        <v/>
      </c>
      <c r="F2771" t="inlineStr">
        <is>
          <t>B091DBXL31</t>
        </is>
      </c>
      <c r="G2771">
        <f>_xludf.IMAGE("https://www.soccerplususa.com/prodimages//36807-BLACKWHITE-M.jpg")</f>
        <v/>
      </c>
      <c r="H2771">
        <f>_xludf.IMAGE("https://m.media-amazon.com/images/I/51wd20vHN8L._AC_UL320_.jpg")</f>
        <v/>
      </c>
      <c r="K2771" t="inlineStr">
        <is>
          <t>9.95</t>
        </is>
      </c>
      <c r="L2771" t="n">
        <v>11.24</v>
      </c>
      <c r="M2771" s="1" t="inlineStr">
        <is>
          <t>12.96%</t>
        </is>
      </c>
      <c r="N2771" s="3" t="n">
        <v>12.96</v>
      </c>
      <c r="O2771" t="n">
        <v>4.5</v>
      </c>
      <c r="P2771" t="n">
        <v>72</v>
      </c>
      <c r="R2771" t="inlineStr">
        <is>
          <t>InStock</t>
        </is>
      </c>
      <c r="S2771" t="inlineStr">
        <is>
          <t>undefined</t>
        </is>
      </c>
      <c r="T2771" t="inlineStr">
        <is>
          <t>5147633</t>
        </is>
      </c>
    </row>
    <row r="2772" hidden="1" ht="15.75" customHeight="1">
      <c r="A2772" s="2">
        <f>HYPERLINK("https://www.soccerplususa.com/adidas/adidas-metro-iv-sock-2031", "https://www.soccerplususa.com/adidas/adidas-metro-iv-sock-2031")</f>
        <v/>
      </c>
      <c r="B2772" t="inlineStr">
        <is>
          <t>undefined</t>
        </is>
      </c>
      <c r="C2772" t="inlineStr">
        <is>
          <t>adidas Metro IV Sock</t>
        </is>
      </c>
      <c r="D2772" t="inlineStr">
        <is>
          <t>adidas Unisex-adult Metro 6 Soccer Socks (1-pair)</t>
        </is>
      </c>
      <c r="E2772" s="2">
        <f>HYPERLINK("https://www.amazon.com/adidas-Unisex-Metro-Soccer-1-pair/dp/B09YC68Z7Q/ref=sr_1_4?keywords=adidas+Metro+IV+Sock&amp;qid=1695171113&amp;sr=8-4", "https://www.amazon.com/adidas-Unisex-Metro-Soccer-1-pair/dp/B09YC68Z7Q/ref=sr_1_4?keywords=adidas+Metro+IV+Sock&amp;qid=1695171113&amp;sr=8-4")</f>
        <v/>
      </c>
      <c r="F2772" t="inlineStr">
        <is>
          <t>B09YC68Z7Q</t>
        </is>
      </c>
      <c r="G2772">
        <f>_xludf.IMAGE("https://www.soccerplususa.com/prodimages/2134-DEFAULT-l.jpg")</f>
        <v/>
      </c>
      <c r="H2772">
        <f>_xludf.IMAGE("https://m.media-amazon.com/images/I/81i9g9a57-L._AC_UL320_.jpg")</f>
        <v/>
      </c>
      <c r="K2772" t="inlineStr">
        <is>
          <t>8.95</t>
        </is>
      </c>
      <c r="L2772" t="n">
        <v>10</v>
      </c>
      <c r="M2772" s="1" t="inlineStr">
        <is>
          <t>11.73%</t>
        </is>
      </c>
      <c r="N2772" s="3" t="n">
        <v>11.73</v>
      </c>
      <c r="O2772" t="n">
        <v>4.6</v>
      </c>
      <c r="P2772" t="n">
        <v>301</v>
      </c>
      <c r="R2772" t="inlineStr">
        <is>
          <t>InStock</t>
        </is>
      </c>
      <c r="S2772" t="inlineStr">
        <is>
          <t>undefined</t>
        </is>
      </c>
      <c r="T2772" t="inlineStr">
        <is>
          <t>5137789</t>
        </is>
      </c>
    </row>
    <row r="2773" hidden="1" ht="15.75" customHeight="1">
      <c r="A2773" s="2">
        <f>HYPERLINK("https://www.soccerplususa.com/adidas-2/adidas-metro-v-soccer-sock-40222", "https://www.soccerplususa.com/adidas-2/adidas-metro-v-soccer-sock-40222")</f>
        <v/>
      </c>
      <c r="B2773" t="inlineStr">
        <is>
          <t>undefined</t>
        </is>
      </c>
      <c r="C2773" t="inlineStr">
        <is>
          <t>adidas Metro V Soccer Sock</t>
        </is>
      </c>
      <c r="D2773" t="inlineStr">
        <is>
          <t>adidas Unisex-adult Metro 6 Soccer Socks (1-pair)</t>
        </is>
      </c>
      <c r="E2773" s="2">
        <f>HYPERLINK("https://www.amazon.com/adidas-Unisex-Metro-Soccer-1-pair/dp/B09YC68Z7Q/ref=sr_1_4?keywords=adidas+Metro+V+Soccer+Sock&amp;qid=1695171086&amp;sr=8-4", "https://www.amazon.com/adidas-Unisex-Metro-Soccer-1-pair/dp/B09YC68Z7Q/ref=sr_1_4?keywords=adidas+Metro+V+Soccer+Sock&amp;qid=1695171086&amp;sr=8-4")</f>
        <v/>
      </c>
      <c r="F2773" t="inlineStr">
        <is>
          <t>B09YC68Z7Q</t>
        </is>
      </c>
      <c r="G2773">
        <f>_xludf.IMAGE("https://www.soccerplususa.com/prodimages/33922-DEFAULT-l.jpg")</f>
        <v/>
      </c>
      <c r="H2773">
        <f>_xludf.IMAGE("https://m.media-amazon.com/images/I/81i9g9a57-L._AC_UL320_.jpg")</f>
        <v/>
      </c>
      <c r="K2773" t="inlineStr">
        <is>
          <t>8.95</t>
        </is>
      </c>
      <c r="L2773" t="n">
        <v>10</v>
      </c>
      <c r="M2773" s="1" t="inlineStr">
        <is>
          <t>11.73%</t>
        </is>
      </c>
      <c r="N2773" s="3" t="n">
        <v>11.73</v>
      </c>
      <c r="O2773" t="n">
        <v>4.6</v>
      </c>
      <c r="P2773" t="n">
        <v>301</v>
      </c>
      <c r="R2773" t="inlineStr">
        <is>
          <t>InStock</t>
        </is>
      </c>
      <c r="S2773" t="inlineStr">
        <is>
          <t>undefined</t>
        </is>
      </c>
      <c r="T2773" t="inlineStr">
        <is>
          <t>5152116</t>
        </is>
      </c>
    </row>
    <row r="2774" hidden="1" ht="15.75" customHeight="1">
      <c r="A2774" s="2">
        <f>HYPERLINK("https://www.soccerplususa.com/adidas-2/adidas-metro-v-soccer-sock-39980", "https://www.soccerplususa.com/adidas-2/adidas-metro-v-soccer-sock-39980")</f>
        <v/>
      </c>
      <c r="B2774" t="inlineStr">
        <is>
          <t>undefined</t>
        </is>
      </c>
      <c r="C2774" t="inlineStr">
        <is>
          <t>adidas Metro V Soccer Sock</t>
        </is>
      </c>
      <c r="D2774" t="inlineStr">
        <is>
          <t>adidas Unisex-adult Metro 6 Soccer Socks (1-pair)</t>
        </is>
      </c>
      <c r="E2774" s="2">
        <f>HYPERLINK("https://www.amazon.com/adidas-Unisex-Metro-Soccer-1-pair/dp/B09YC68Z7Q/ref=sr_1_4?keywords=adidas+Metro+V+Soccer+Sock&amp;qid=1695171087&amp;sr=8-4", "https://www.amazon.com/adidas-Unisex-Metro-Soccer-1-pair/dp/B09YC68Z7Q/ref=sr_1_4?keywords=adidas+Metro+V+Soccer+Sock&amp;qid=1695171087&amp;sr=8-4")</f>
        <v/>
      </c>
      <c r="F2774" t="inlineStr">
        <is>
          <t>B09YC68Z7Q</t>
        </is>
      </c>
      <c r="G2774">
        <f>_xludf.IMAGE("https://www.soccerplususa.com/prodimages/33112-DEFAULT-l.jpg")</f>
        <v/>
      </c>
      <c r="H2774">
        <f>_xludf.IMAGE("https://m.media-amazon.com/images/I/81i9g9a57-L._AC_UL320_.jpg")</f>
        <v/>
      </c>
      <c r="K2774" t="inlineStr">
        <is>
          <t>8.95</t>
        </is>
      </c>
      <c r="L2774" t="n">
        <v>10</v>
      </c>
      <c r="M2774" s="1" t="inlineStr">
        <is>
          <t>11.73%</t>
        </is>
      </c>
      <c r="N2774" s="3" t="n">
        <v>11.73</v>
      </c>
      <c r="O2774" t="n">
        <v>4.6</v>
      </c>
      <c r="P2774" t="n">
        <v>301</v>
      </c>
      <c r="R2774" t="inlineStr">
        <is>
          <t>InStock</t>
        </is>
      </c>
      <c r="S2774" t="inlineStr">
        <is>
          <t>undefined</t>
        </is>
      </c>
      <c r="T2774" t="inlineStr">
        <is>
          <t>5152119</t>
        </is>
      </c>
    </row>
    <row r="2775" hidden="1" ht="15.75" customHeight="1">
      <c r="A2775" s="2">
        <f>HYPERLINK("https://www.soccerplususa.com/adidas-2/adidas-metro-v-soccer-sock-39975", "https://www.soccerplususa.com/adidas-2/adidas-metro-v-soccer-sock-39975")</f>
        <v/>
      </c>
      <c r="B2775" t="inlineStr">
        <is>
          <t>undefined</t>
        </is>
      </c>
      <c r="C2775" t="inlineStr">
        <is>
          <t>adidas Metro V Soccer Sock</t>
        </is>
      </c>
      <c r="D2775" t="inlineStr">
        <is>
          <t>adidas Unisex-adult Metro 6 Soccer Socks (1-pair)</t>
        </is>
      </c>
      <c r="E2775" s="2">
        <f>HYPERLINK("https://www.amazon.com/adidas-Unisex-Soccer-1-pair-X-Small/dp/B09YC36ZD3/ref=sr_1_4?keywords=adidas+Metro+V+Soccer+Sock&amp;qid=1695171088&amp;sr=8-4", "https://www.amazon.com/adidas-Unisex-Soccer-1-pair-X-Small/dp/B09YC36ZD3/ref=sr_1_4?keywords=adidas+Metro+V+Soccer+Sock&amp;qid=1695171088&amp;sr=8-4")</f>
        <v/>
      </c>
      <c r="F2775" t="inlineStr">
        <is>
          <t>B09YC36ZD3</t>
        </is>
      </c>
      <c r="G2775">
        <f>_xludf.IMAGE("https://www.soccerplususa.com/prodimages/33107-DEFAULT-l.jpg")</f>
        <v/>
      </c>
      <c r="H2775">
        <f>_xludf.IMAGE("https://m.media-amazon.com/images/I/71V+tzMLBbL._AC_UL320_.jpg")</f>
        <v/>
      </c>
      <c r="K2775" t="inlineStr">
        <is>
          <t>8.95</t>
        </is>
      </c>
      <c r="L2775" t="n">
        <v>10</v>
      </c>
      <c r="M2775" s="1" t="inlineStr">
        <is>
          <t>11.73%</t>
        </is>
      </c>
      <c r="N2775" s="3" t="n">
        <v>11.73</v>
      </c>
      <c r="O2775" t="n">
        <v>4.6</v>
      </c>
      <c r="P2775" t="n">
        <v>301</v>
      </c>
      <c r="R2775" t="inlineStr">
        <is>
          <t>InStock</t>
        </is>
      </c>
      <c r="S2775" t="inlineStr">
        <is>
          <t>undefined</t>
        </is>
      </c>
      <c r="T2775" t="inlineStr">
        <is>
          <t>5152114</t>
        </is>
      </c>
    </row>
    <row r="2776" hidden="1" ht="15.75" customHeight="1">
      <c r="A2776" s="2">
        <f>HYPERLINK("https://www.soccerplususa.com/adidas-2/adidas-metro-v-soccer-sock-39977", "https://www.soccerplususa.com/adidas-2/adidas-metro-v-soccer-sock-39977")</f>
        <v/>
      </c>
      <c r="B2776" t="inlineStr">
        <is>
          <t>undefined</t>
        </is>
      </c>
      <c r="C2776" t="inlineStr">
        <is>
          <t>adidas Metro V Soccer Sock</t>
        </is>
      </c>
      <c r="D2776" t="inlineStr">
        <is>
          <t>adidas Unisex-adult Metro 6 Soccer Socks (1-pair)</t>
        </is>
      </c>
      <c r="E2776" s="2">
        <f>HYPERLINK("https://www.amazon.com/adidas-Unisex-Soccer-1-pair-X-Small/dp/B09YC36ZD3/ref=sr_1_4?keywords=adidas+Metro+V+Soccer+Sock&amp;qid=1695171106&amp;sr=8-4", "https://www.amazon.com/adidas-Unisex-Soccer-1-pair-X-Small/dp/B09YC36ZD3/ref=sr_1_4?keywords=adidas+Metro+V+Soccer+Sock&amp;qid=1695171106&amp;sr=8-4")</f>
        <v/>
      </c>
      <c r="F2776" t="inlineStr">
        <is>
          <t>B09YC36ZD3</t>
        </is>
      </c>
      <c r="G2776">
        <f>_xludf.IMAGE("https://www.soccerplususa.com/prodimages/33109-DEFAULT-l.jpg")</f>
        <v/>
      </c>
      <c r="H2776">
        <f>_xludf.IMAGE("https://m.media-amazon.com/images/I/71V+tzMLBbL._AC_UL320_.jpg")</f>
        <v/>
      </c>
      <c r="K2776" t="inlineStr">
        <is>
          <t>8.95</t>
        </is>
      </c>
      <c r="L2776" t="n">
        <v>10</v>
      </c>
      <c r="M2776" s="1" t="inlineStr">
        <is>
          <t>11.73%</t>
        </is>
      </c>
      <c r="N2776" s="3" t="n">
        <v>11.73</v>
      </c>
      <c r="O2776" t="n">
        <v>4.6</v>
      </c>
      <c r="P2776" t="n">
        <v>301</v>
      </c>
      <c r="R2776" t="inlineStr">
        <is>
          <t>InStock</t>
        </is>
      </c>
      <c r="S2776" t="inlineStr">
        <is>
          <t>undefined</t>
        </is>
      </c>
      <c r="T2776" t="inlineStr">
        <is>
          <t>5152117</t>
        </is>
      </c>
    </row>
    <row r="2777" hidden="1" ht="15.75" customHeight="1">
      <c r="A2777" s="2">
        <f>HYPERLINK("https://www.soccerplususa.com/adidas-2/adidas-metro-v-soccer-sock-39978", "https://www.soccerplususa.com/adidas-2/adidas-metro-v-soccer-sock-39978")</f>
        <v/>
      </c>
      <c r="B2777" t="inlineStr">
        <is>
          <t>undefined</t>
        </is>
      </c>
      <c r="C2777" t="inlineStr">
        <is>
          <t>adidas Metro V Soccer Sock</t>
        </is>
      </c>
      <c r="D2777" t="inlineStr">
        <is>
          <t>adidas Unisex-adult Metro 6 Soccer Socks (1-pair)</t>
        </is>
      </c>
      <c r="E2777" s="2">
        <f>HYPERLINK("https://www.amazon.com/adidas-Unisex-Metro-Soccer-1-pair/dp/B09YC68Z7Q/ref=sr_1_5?keywords=adidas+Metro+V+Soccer+Sock&amp;qid=1695171094&amp;sr=8-5", "https://www.amazon.com/adidas-Unisex-Metro-Soccer-1-pair/dp/B09YC68Z7Q/ref=sr_1_5?keywords=adidas+Metro+V+Soccer+Sock&amp;qid=1695171094&amp;sr=8-5")</f>
        <v/>
      </c>
      <c r="F2777" t="inlineStr">
        <is>
          <t>B09YC68Z7Q</t>
        </is>
      </c>
      <c r="G2777">
        <f>_xludf.IMAGE("https://www.soccerplususa.com/prodimages/33110-DEFAULT-l.jpg")</f>
        <v/>
      </c>
      <c r="H2777">
        <f>_xludf.IMAGE("https://m.media-amazon.com/images/I/81i9g9a57-L._AC_UL320_.jpg")</f>
        <v/>
      </c>
      <c r="K2777" t="inlineStr">
        <is>
          <t>8.95</t>
        </is>
      </c>
      <c r="L2777" t="n">
        <v>10</v>
      </c>
      <c r="M2777" s="1" t="inlineStr">
        <is>
          <t>11.73%</t>
        </is>
      </c>
      <c r="N2777" s="3" t="n">
        <v>11.73</v>
      </c>
      <c r="O2777" t="n">
        <v>4.6</v>
      </c>
      <c r="P2777" t="n">
        <v>301</v>
      </c>
      <c r="R2777" t="inlineStr">
        <is>
          <t>InStock</t>
        </is>
      </c>
      <c r="S2777" t="inlineStr">
        <is>
          <t>undefined</t>
        </is>
      </c>
      <c r="T2777" t="inlineStr">
        <is>
          <t>5152118</t>
        </is>
      </c>
    </row>
    <row r="2778" hidden="1" ht="15.75" customHeight="1">
      <c r="A2778" s="2">
        <f>HYPERLINK("https://www.soccerplususa.com/adidas-2/adidas-metro-v-soccer-sock-39979", "https://www.soccerplususa.com/adidas-2/adidas-metro-v-soccer-sock-39979")</f>
        <v/>
      </c>
      <c r="B2778" t="inlineStr">
        <is>
          <t>undefined</t>
        </is>
      </c>
      <c r="C2778" t="inlineStr">
        <is>
          <t>adidas Metro V Soccer Sock</t>
        </is>
      </c>
      <c r="D2778" t="inlineStr">
        <is>
          <t>adidas Unisex-adult Metro 6 Soccer Socks (1-pair)</t>
        </is>
      </c>
      <c r="E2778" s="2">
        <f>HYPERLINK("https://www.amazon.com/adidas-Unisex-Metro-Soccer-1-pair/dp/B09YC68Z7Q/ref=sr_1_4?keywords=adidas+Metro+V+Soccer+Sock&amp;qid=1695171083&amp;sr=8-4", "https://www.amazon.com/adidas-Unisex-Metro-Soccer-1-pair/dp/B09YC68Z7Q/ref=sr_1_4?keywords=adidas+Metro+V+Soccer+Sock&amp;qid=1695171083&amp;sr=8-4")</f>
        <v/>
      </c>
      <c r="F2778" t="inlineStr">
        <is>
          <t>B09YC68Z7Q</t>
        </is>
      </c>
      <c r="G2778">
        <f>_xludf.IMAGE("https://www.soccerplususa.com/prodimages/33111-DEFAULT-l.jpg")</f>
        <v/>
      </c>
      <c r="H2778">
        <f>_xludf.IMAGE("https://m.media-amazon.com/images/I/81i9g9a57-L._AC_UL320_.jpg")</f>
        <v/>
      </c>
      <c r="K2778" t="inlineStr">
        <is>
          <t>8.95</t>
        </is>
      </c>
      <c r="L2778" t="n">
        <v>10</v>
      </c>
      <c r="M2778" s="1" t="inlineStr">
        <is>
          <t>11.73%</t>
        </is>
      </c>
      <c r="N2778" s="3" t="n">
        <v>11.73</v>
      </c>
      <c r="O2778" t="n">
        <v>4.6</v>
      </c>
      <c r="P2778" t="n">
        <v>301</v>
      </c>
      <c r="R2778" t="inlineStr">
        <is>
          <t>InStock</t>
        </is>
      </c>
      <c r="S2778" t="inlineStr">
        <is>
          <t>undefined</t>
        </is>
      </c>
      <c r="T2778" t="inlineStr">
        <is>
          <t>5152115</t>
        </is>
      </c>
    </row>
    <row r="2779" hidden="1" ht="15.75" customHeight="1">
      <c r="A2779" s="2">
        <f>HYPERLINK("https://www.soccerplususa.com/adidas-2/adidas-metro-v-soccer-sock-39977", "https://www.soccerplususa.com/adidas-2/adidas-metro-v-soccer-sock-39977")</f>
        <v/>
      </c>
      <c r="B2779" t="inlineStr">
        <is>
          <t>undefined</t>
        </is>
      </c>
      <c r="C2779" t="inlineStr">
        <is>
          <t>adidas Metro V Soccer Sock</t>
        </is>
      </c>
      <c r="D2779" t="inlineStr">
        <is>
          <t>adidas Unisex-adult Metro 5 Soccer Socks (1-pair)</t>
        </is>
      </c>
      <c r="E2779" s="2">
        <f>HYPERLINK("https://www.amazon.com/adidas-Metro-Black-Night-White/dp/B0886F1QBR/ref=sr_1_1?keywords=adidas+Metro+V+Soccer+Sock&amp;qid=1695171106&amp;sr=8-1", "https://www.amazon.com/adidas-Metro-Black-Night-White/dp/B0886F1QBR/ref=sr_1_1?keywords=adidas+Metro+V+Soccer+Sock&amp;qid=1695171106&amp;sr=8-1")</f>
        <v/>
      </c>
      <c r="F2779" t="inlineStr">
        <is>
          <t>B0886F1QBR</t>
        </is>
      </c>
      <c r="G2779">
        <f>_xludf.IMAGE("https://www.soccerplususa.com/prodimages/33109-DEFAULT-l.jpg")</f>
        <v/>
      </c>
      <c r="H2779">
        <f>_xludf.IMAGE("https://m.media-amazon.com/images/I/713NioVDepL._AC_UL320_.jpg")</f>
        <v/>
      </c>
      <c r="K2779" t="inlineStr">
        <is>
          <t>8.95</t>
        </is>
      </c>
      <c r="L2779" t="n">
        <v>9.99</v>
      </c>
      <c r="M2779" s="1" t="inlineStr">
        <is>
          <t>11.62%</t>
        </is>
      </c>
      <c r="N2779" s="3" t="n">
        <v>11.62</v>
      </c>
      <c r="O2779" t="n">
        <v>4.6</v>
      </c>
      <c r="P2779" t="n">
        <v>2217</v>
      </c>
      <c r="R2779" t="inlineStr">
        <is>
          <t>InStock</t>
        </is>
      </c>
      <c r="S2779" t="inlineStr">
        <is>
          <t>undefined</t>
        </is>
      </c>
      <c r="T2779" t="inlineStr">
        <is>
          <t>5152117</t>
        </is>
      </c>
    </row>
    <row r="2780" hidden="1" ht="15.75" customHeight="1">
      <c r="A2780" s="2">
        <f>HYPERLINK("https://www.soccerplususa.com/adidas/adidas-metro-iv-sock-2031", "https://www.soccerplususa.com/adidas/adidas-metro-iv-sock-2031")</f>
        <v/>
      </c>
      <c r="B2780" t="inlineStr">
        <is>
          <t>undefined</t>
        </is>
      </c>
      <c r="C2780" t="inlineStr">
        <is>
          <t>adidas Metro IV Sock</t>
        </is>
      </c>
      <c r="D2780" t="inlineStr">
        <is>
          <t>adidas Unisex-adult Metro 5 Soccer Socks (1-pair)</t>
        </is>
      </c>
      <c r="E2780" s="2">
        <f>HYPERLINK("https://www.amazon.com/Metro-5-Soccer-Socks-1-Pair/dp/B0886GX2ZP/ref=sr_1_3?keywords=adidas+Metro+IV+Sock&amp;qid=1695171113&amp;sr=8-3", "https://www.amazon.com/Metro-5-Soccer-Socks-1-Pair/dp/B0886GX2ZP/ref=sr_1_3?keywords=adidas+Metro+IV+Sock&amp;qid=1695171113&amp;sr=8-3")</f>
        <v/>
      </c>
      <c r="F2780" t="inlineStr">
        <is>
          <t>B0886GX2ZP</t>
        </is>
      </c>
      <c r="G2780">
        <f>_xludf.IMAGE("https://www.soccerplususa.com/prodimages/2134-DEFAULT-l.jpg")</f>
        <v/>
      </c>
      <c r="H2780">
        <f>_xludf.IMAGE("https://m.media-amazon.com/images/I/713NioVDepL._AC_UL320_.jpg")</f>
        <v/>
      </c>
      <c r="K2780" t="inlineStr">
        <is>
          <t>8.95</t>
        </is>
      </c>
      <c r="L2780" t="n">
        <v>9.99</v>
      </c>
      <c r="M2780" s="1" t="inlineStr">
        <is>
          <t>11.62%</t>
        </is>
      </c>
      <c r="N2780" s="3" t="n">
        <v>11.62</v>
      </c>
      <c r="O2780" t="n">
        <v>4.6</v>
      </c>
      <c r="P2780" t="n">
        <v>2217</v>
      </c>
      <c r="R2780" t="inlineStr">
        <is>
          <t>InStock</t>
        </is>
      </c>
      <c r="S2780" t="inlineStr">
        <is>
          <t>undefined</t>
        </is>
      </c>
      <c r="T2780" t="inlineStr">
        <is>
          <t>5137789</t>
        </is>
      </c>
    </row>
    <row r="2781" hidden="1" ht="15.75" customHeight="1">
      <c r="A2781" s="2">
        <f>HYPERLINK("https://www.soccerplususa.com/adidas-2/adidas-metro-v-soccer-sock-39979", "https://www.soccerplususa.com/adidas-2/adidas-metro-v-soccer-sock-39979")</f>
        <v/>
      </c>
      <c r="B2781" t="inlineStr">
        <is>
          <t>undefined</t>
        </is>
      </c>
      <c r="C2781" t="inlineStr">
        <is>
          <t>adidas Metro V Soccer Sock</t>
        </is>
      </c>
      <c r="D2781" t="inlineStr">
        <is>
          <t>adidas Unisex-adult Metro 5 Soccer Socks (1-pair)</t>
        </is>
      </c>
      <c r="E2781" s="2">
        <f>HYPERLINK("https://www.amazon.com/adidas-Metro-Black-Night-White/dp/B0886F1QBR/ref=sr_1_1?keywords=adidas+Metro+V+Soccer+Sock&amp;qid=1695171083&amp;sr=8-1", "https://www.amazon.com/adidas-Metro-Black-Night-White/dp/B0886F1QBR/ref=sr_1_1?keywords=adidas+Metro+V+Soccer+Sock&amp;qid=1695171083&amp;sr=8-1")</f>
        <v/>
      </c>
      <c r="F2781" t="inlineStr">
        <is>
          <t>B0886F1QBR</t>
        </is>
      </c>
      <c r="G2781">
        <f>_xludf.IMAGE("https://www.soccerplususa.com/prodimages/33111-DEFAULT-l.jpg")</f>
        <v/>
      </c>
      <c r="H2781">
        <f>_xludf.IMAGE("https://m.media-amazon.com/images/I/713NioVDepL._AC_UL320_.jpg")</f>
        <v/>
      </c>
      <c r="K2781" t="inlineStr">
        <is>
          <t>8.95</t>
        </is>
      </c>
      <c r="L2781" t="n">
        <v>9.99</v>
      </c>
      <c r="M2781" s="1" t="inlineStr">
        <is>
          <t>11.62%</t>
        </is>
      </c>
      <c r="N2781" s="3" t="n">
        <v>11.62</v>
      </c>
      <c r="O2781" t="n">
        <v>4.6</v>
      </c>
      <c r="P2781" t="n">
        <v>2217</v>
      </c>
      <c r="R2781" t="inlineStr">
        <is>
          <t>InStock</t>
        </is>
      </c>
      <c r="S2781" t="inlineStr">
        <is>
          <t>undefined</t>
        </is>
      </c>
      <c r="T2781" t="inlineStr">
        <is>
          <t>5152115</t>
        </is>
      </c>
    </row>
    <row r="2782" hidden="1" ht="15.75" customHeight="1">
      <c r="A2782" s="2">
        <f>HYPERLINK("https://www.soccerplususa.com/adidas-2/adidas-metro-v-soccer-sock-39980", "https://www.soccerplususa.com/adidas-2/adidas-metro-v-soccer-sock-39980")</f>
        <v/>
      </c>
      <c r="B2782" t="inlineStr">
        <is>
          <t>undefined</t>
        </is>
      </c>
      <c r="C2782" t="inlineStr">
        <is>
          <t>adidas Metro V Soccer Sock</t>
        </is>
      </c>
      <c r="D2782" t="inlineStr">
        <is>
          <t>adidas Unisex-adult Metro 5 Soccer Socks (1-pair)</t>
        </is>
      </c>
      <c r="E2782" s="2">
        <f>HYPERLINK("https://www.amazon.com/adidas-Metro-Black-Night-White/dp/B0886F1QBR/ref=sr_1_1?keywords=adidas+Metro+V+Soccer+Sock&amp;qid=1695171087&amp;sr=8-1", "https://www.amazon.com/adidas-Metro-Black-Night-White/dp/B0886F1QBR/ref=sr_1_1?keywords=adidas+Metro+V+Soccer+Sock&amp;qid=1695171087&amp;sr=8-1")</f>
        <v/>
      </c>
      <c r="F2782" t="inlineStr">
        <is>
          <t>B0886F1QBR</t>
        </is>
      </c>
      <c r="G2782">
        <f>_xludf.IMAGE("https://www.soccerplususa.com/prodimages/33112-DEFAULT-l.jpg")</f>
        <v/>
      </c>
      <c r="H2782">
        <f>_xludf.IMAGE("https://m.media-amazon.com/images/I/713NioVDepL._AC_UL320_.jpg")</f>
        <v/>
      </c>
      <c r="K2782" t="inlineStr">
        <is>
          <t>8.95</t>
        </is>
      </c>
      <c r="L2782" t="n">
        <v>9.99</v>
      </c>
      <c r="M2782" s="1" t="inlineStr">
        <is>
          <t>11.62%</t>
        </is>
      </c>
      <c r="N2782" s="3" t="n">
        <v>11.62</v>
      </c>
      <c r="O2782" t="n">
        <v>4.6</v>
      </c>
      <c r="P2782" t="n">
        <v>2217</v>
      </c>
      <c r="R2782" t="inlineStr">
        <is>
          <t>InStock</t>
        </is>
      </c>
      <c r="S2782" t="inlineStr">
        <is>
          <t>undefined</t>
        </is>
      </c>
      <c r="T2782" t="inlineStr">
        <is>
          <t>5152119</t>
        </is>
      </c>
    </row>
    <row r="2783" hidden="1" ht="15.75" customHeight="1">
      <c r="A2783" s="2">
        <f>HYPERLINK("https://www.soccerplususa.com/adidas-2/adidas-metro-v-soccer-sock-39975", "https://www.soccerplususa.com/adidas-2/adidas-metro-v-soccer-sock-39975")</f>
        <v/>
      </c>
      <c r="B2783" t="inlineStr">
        <is>
          <t>undefined</t>
        </is>
      </c>
      <c r="C2783" t="inlineStr">
        <is>
          <t>adidas Metro V Soccer Sock</t>
        </is>
      </c>
      <c r="D2783" t="inlineStr">
        <is>
          <t>adidas Unisex-adult Metro 5 Soccer Socks (1-pair)</t>
        </is>
      </c>
      <c r="E2783" s="2">
        <f>HYPERLINK("https://www.amazon.com/adidas-Metro-Black-Night-White/dp/B0886F1QBR/ref=sr_1_1?keywords=adidas+Metro+V+Soccer+Sock&amp;qid=1695171088&amp;sr=8-1", "https://www.amazon.com/adidas-Metro-Black-Night-White/dp/B0886F1QBR/ref=sr_1_1?keywords=adidas+Metro+V+Soccer+Sock&amp;qid=1695171088&amp;sr=8-1")</f>
        <v/>
      </c>
      <c r="F2783" t="inlineStr">
        <is>
          <t>B0886F1QBR</t>
        </is>
      </c>
      <c r="G2783">
        <f>_xludf.IMAGE("https://www.soccerplususa.com/prodimages/33107-DEFAULT-l.jpg")</f>
        <v/>
      </c>
      <c r="H2783">
        <f>_xludf.IMAGE("https://m.media-amazon.com/images/I/713NioVDepL._AC_UL320_.jpg")</f>
        <v/>
      </c>
      <c r="K2783" t="inlineStr">
        <is>
          <t>8.95</t>
        </is>
      </c>
      <c r="L2783" t="n">
        <v>9.99</v>
      </c>
      <c r="M2783" s="1" t="inlineStr">
        <is>
          <t>11.62%</t>
        </is>
      </c>
      <c r="N2783" s="3" t="n">
        <v>11.62</v>
      </c>
      <c r="O2783" t="n">
        <v>4.6</v>
      </c>
      <c r="P2783" t="n">
        <v>2217</v>
      </c>
      <c r="R2783" t="inlineStr">
        <is>
          <t>InStock</t>
        </is>
      </c>
      <c r="S2783" t="inlineStr">
        <is>
          <t>undefined</t>
        </is>
      </c>
      <c r="T2783" t="inlineStr">
        <is>
          <t>5152114</t>
        </is>
      </c>
    </row>
    <row r="2784" hidden="1" ht="15.75" customHeight="1">
      <c r="A2784" s="2">
        <f>HYPERLINK("https://www.soccerplususa.com/adidas-2/adidas-metro-v-soccer-sock-40222", "https://www.soccerplususa.com/adidas-2/adidas-metro-v-soccer-sock-40222")</f>
        <v/>
      </c>
      <c r="B2784" t="inlineStr">
        <is>
          <t>undefined</t>
        </is>
      </c>
      <c r="C2784" t="inlineStr">
        <is>
          <t>adidas Metro V Soccer Sock</t>
        </is>
      </c>
      <c r="D2784" t="inlineStr">
        <is>
          <t>adidas Unisex-adult Metro 5 Soccer Socks (1-pair)</t>
        </is>
      </c>
      <c r="E2784" s="2">
        <f>HYPERLINK("https://www.amazon.com/adidas-Metro-Black-Night-White/dp/B0886F1QBR/ref=sr_1_1?keywords=adidas+Metro+V+Soccer+Sock&amp;qid=1695171086&amp;sr=8-1", "https://www.amazon.com/adidas-Metro-Black-Night-White/dp/B0886F1QBR/ref=sr_1_1?keywords=adidas+Metro+V+Soccer+Sock&amp;qid=1695171086&amp;sr=8-1")</f>
        <v/>
      </c>
      <c r="F2784" t="inlineStr">
        <is>
          <t>B0886F1QBR</t>
        </is>
      </c>
      <c r="G2784">
        <f>_xludf.IMAGE("https://www.soccerplususa.com/prodimages/33922-DEFAULT-l.jpg")</f>
        <v/>
      </c>
      <c r="H2784">
        <f>_xludf.IMAGE("https://m.media-amazon.com/images/I/713NioVDepL._AC_UL320_.jpg")</f>
        <v/>
      </c>
      <c r="K2784" t="inlineStr">
        <is>
          <t>8.95</t>
        </is>
      </c>
      <c r="L2784" t="n">
        <v>9.99</v>
      </c>
      <c r="M2784" s="1" t="inlineStr">
        <is>
          <t>11.62%</t>
        </is>
      </c>
      <c r="N2784" s="3" t="n">
        <v>11.62</v>
      </c>
      <c r="O2784" t="n">
        <v>4.6</v>
      </c>
      <c r="P2784" t="n">
        <v>2217</v>
      </c>
      <c r="R2784" t="inlineStr">
        <is>
          <t>InStock</t>
        </is>
      </c>
      <c r="S2784" t="inlineStr">
        <is>
          <t>undefined</t>
        </is>
      </c>
      <c r="T2784" t="inlineStr">
        <is>
          <t>5152116</t>
        </is>
      </c>
    </row>
    <row r="2785" hidden="1" ht="15.75" customHeight="1">
      <c r="A2785" s="2">
        <f>HYPERLINK("https://www.soccerplususa.com/adidas-2/adidas-metro-v-soccer-sock-39978", "https://www.soccerplususa.com/adidas-2/adidas-metro-v-soccer-sock-39978")</f>
        <v/>
      </c>
      <c r="B2785" t="inlineStr">
        <is>
          <t>undefined</t>
        </is>
      </c>
      <c r="C2785" t="inlineStr">
        <is>
          <t>adidas Metro V Soccer Sock</t>
        </is>
      </c>
      <c r="D2785" t="inlineStr">
        <is>
          <t>adidas Unisex-adult Metro 5 Soccer Socks (1-pair)</t>
        </is>
      </c>
      <c r="E2785" s="2">
        <f>HYPERLINK("https://www.amazon.com/adidas-Metro-Black-Night-White/dp/B0886F1QBR/ref=sr_1_2?keywords=adidas+Metro+V+Soccer+Sock&amp;qid=1695171094&amp;sr=8-2", "https://www.amazon.com/adidas-Metro-Black-Night-White/dp/B0886F1QBR/ref=sr_1_2?keywords=adidas+Metro+V+Soccer+Sock&amp;qid=1695171094&amp;sr=8-2")</f>
        <v/>
      </c>
      <c r="F2785" t="inlineStr">
        <is>
          <t>B0886F1QBR</t>
        </is>
      </c>
      <c r="G2785">
        <f>_xludf.IMAGE("https://www.soccerplususa.com/prodimages/33110-DEFAULT-l.jpg")</f>
        <v/>
      </c>
      <c r="H2785">
        <f>_xludf.IMAGE("https://m.media-amazon.com/images/I/713NioVDepL._AC_UL320_.jpg")</f>
        <v/>
      </c>
      <c r="K2785" t="inlineStr">
        <is>
          <t>8.95</t>
        </is>
      </c>
      <c r="L2785" t="n">
        <v>9.99</v>
      </c>
      <c r="M2785" s="1" t="inlineStr">
        <is>
          <t>11.62%</t>
        </is>
      </c>
      <c r="N2785" s="3" t="n">
        <v>11.62</v>
      </c>
      <c r="O2785" t="n">
        <v>4.6</v>
      </c>
      <c r="P2785" t="n">
        <v>2217</v>
      </c>
      <c r="R2785" t="inlineStr">
        <is>
          <t>InStock</t>
        </is>
      </c>
      <c r="S2785" t="inlineStr">
        <is>
          <t>undefined</t>
        </is>
      </c>
      <c r="T2785" t="inlineStr">
        <is>
          <t>5152118</t>
        </is>
      </c>
    </row>
    <row r="2786" hidden="1" ht="15.75" customHeight="1">
      <c r="A2786" s="2">
        <f>HYPERLINK("https://www.soccerplususa.com/adidas/adidas-team-speed-pro-otc-33727", "https://www.soccerplususa.com/adidas/adidas-team-speed-pro-otc-33727")</f>
        <v/>
      </c>
      <c r="B2786" t="inlineStr">
        <is>
          <t>undefined</t>
        </is>
      </c>
      <c r="C2786" t="inlineStr">
        <is>
          <t>adidas Team Speed Pro OTC</t>
        </is>
      </c>
      <c r="D2786" t="inlineStr">
        <is>
          <t>adidas Team Speed Soccer OTC Sock (1-Pair)</t>
        </is>
      </c>
      <c r="E2786" s="2">
        <f>HYPERLINK("https://www.amazon.com/adidas-Speed-Soccer-1-Pack-University/dp/B00DF0TTM2/ref=sr_1_9?keywords=adidas+Team+Speed+Pro+OTC&amp;qid=1695171096&amp;sr=8-9", "https://www.amazon.com/adidas-Speed-Soccer-1-Pack-University/dp/B00DF0TTM2/ref=sr_1_9?keywords=adidas+Team+Speed+Pro+OTC&amp;qid=1695171096&amp;sr=8-9")</f>
        <v/>
      </c>
      <c r="F2786" t="inlineStr">
        <is>
          <t>B00DF0TTM2</t>
        </is>
      </c>
      <c r="G2786">
        <f>_xludf.IMAGE("https://www.soccerplususa.com/prodimages/30902-DEFAULT-l.jpg")</f>
        <v/>
      </c>
      <c r="H2786">
        <f>_xludf.IMAGE("https://m.media-amazon.com/images/I/81GET34eTTL._AC_UL320_.jpg")</f>
        <v/>
      </c>
      <c r="K2786" t="inlineStr">
        <is>
          <t>17.95</t>
        </is>
      </c>
      <c r="L2786" t="n">
        <v>19.98</v>
      </c>
      <c r="M2786" s="1" t="inlineStr">
        <is>
          <t>11.31%</t>
        </is>
      </c>
      <c r="N2786" s="3" t="n">
        <v>11.31</v>
      </c>
      <c r="O2786" t="n">
        <v>4.7</v>
      </c>
      <c r="P2786" t="n">
        <v>396</v>
      </c>
      <c r="R2786" t="inlineStr">
        <is>
          <t>InStock</t>
        </is>
      </c>
      <c r="S2786" t="inlineStr">
        <is>
          <t>undefined</t>
        </is>
      </c>
      <c r="T2786" t="inlineStr">
        <is>
          <t>5145736</t>
        </is>
      </c>
    </row>
    <row r="2787" hidden="1" ht="15.75" customHeight="1">
      <c r="A2787" s="2">
        <f>HYPERLINK("https://www.soccerplususa.com/adidas-2/adidas-team-speed-pro-otc-36231", "https://www.soccerplususa.com/adidas-2/adidas-team-speed-pro-otc-36231")</f>
        <v/>
      </c>
      <c r="B2787" t="inlineStr">
        <is>
          <t>undefined</t>
        </is>
      </c>
      <c r="C2787" t="inlineStr">
        <is>
          <t>adidas Team Speed Pro OTC</t>
        </is>
      </c>
      <c r="D2787" t="inlineStr">
        <is>
          <t>adidas Team Speed Soccer OTC Sock (1-Pair)</t>
        </is>
      </c>
      <c r="E2787" s="2">
        <f>HYPERLINK("https://www.amazon.com/adidas-Speed-Soccer-1-Pack-University/dp/B00DF0TTM2/ref=sr_1_9?keywords=adidas+Team+Speed+Pro+OTC&amp;qid=1695171096&amp;sr=8-9", "https://www.amazon.com/adidas-Speed-Soccer-1-Pack-University/dp/B00DF0TTM2/ref=sr_1_9?keywords=adidas+Team+Speed+Pro+OTC&amp;qid=1695171096&amp;sr=8-9")</f>
        <v/>
      </c>
      <c r="F2787" t="inlineStr">
        <is>
          <t>B00DF0TTM2</t>
        </is>
      </c>
      <c r="G2787">
        <f>_xludf.IMAGE("https://www.soccerplususa.com/prodimages/17541-DEFAULT-l.jpg")</f>
        <v/>
      </c>
      <c r="H2787">
        <f>_xludf.IMAGE("https://m.media-amazon.com/images/I/81GET34eTTL._AC_UL320_.jpg")</f>
        <v/>
      </c>
      <c r="K2787" t="inlineStr">
        <is>
          <t>17.95</t>
        </is>
      </c>
      <c r="L2787" t="n">
        <v>19.98</v>
      </c>
      <c r="M2787" s="1" t="inlineStr">
        <is>
          <t>11.31%</t>
        </is>
      </c>
      <c r="N2787" s="3" t="n">
        <v>11.31</v>
      </c>
      <c r="O2787" t="n">
        <v>4.7</v>
      </c>
      <c r="P2787" t="n">
        <v>396</v>
      </c>
      <c r="R2787" t="inlineStr">
        <is>
          <t>InStock</t>
        </is>
      </c>
      <c r="S2787" t="inlineStr">
        <is>
          <t>undefined</t>
        </is>
      </c>
      <c r="T2787" t="inlineStr">
        <is>
          <t>5145741</t>
        </is>
      </c>
    </row>
    <row r="2788" hidden="1" ht="15.75" customHeight="1">
      <c r="A2788" s="2">
        <f>HYPERLINK("https://www.soccerplususa.com/adidas-2/adidas-team-speed-pro-otc-36227", "https://www.soccerplususa.com/adidas-2/adidas-team-speed-pro-otc-36227")</f>
        <v/>
      </c>
      <c r="B2788" t="inlineStr">
        <is>
          <t>undefined</t>
        </is>
      </c>
      <c r="C2788" t="inlineStr">
        <is>
          <t>adidas Team Speed Pro OTC</t>
        </is>
      </c>
      <c r="D2788" t="inlineStr">
        <is>
          <t>adidas Team Speed Soccer OTC Sock (1-Pair)</t>
        </is>
      </c>
      <c r="E2788" s="2">
        <f>HYPERLINK("https://www.amazon.com/adidas-Speed-Soccer-1-Pack-University/dp/B00DF0TTM2/ref=sr_1_9?keywords=adidas+Team+Speed+Pro+OTC&amp;qid=1695171099&amp;sr=8-9", "https://www.amazon.com/adidas-Speed-Soccer-1-Pack-University/dp/B00DF0TTM2/ref=sr_1_9?keywords=adidas+Team+Speed+Pro+OTC&amp;qid=1695171099&amp;sr=8-9")</f>
        <v/>
      </c>
      <c r="F2788" t="inlineStr">
        <is>
          <t>B00DF0TTM2</t>
        </is>
      </c>
      <c r="G2788">
        <f>_xludf.IMAGE("https://www.soccerplususa.com/prodimages/17526-DEFAULT-l.jpg")</f>
        <v/>
      </c>
      <c r="H2788">
        <f>_xludf.IMAGE("https://m.media-amazon.com/images/I/81GET34eTTL._AC_UL320_.jpg")</f>
        <v/>
      </c>
      <c r="K2788" t="inlineStr">
        <is>
          <t>17.95</t>
        </is>
      </c>
      <c r="L2788" t="n">
        <v>19.98</v>
      </c>
      <c r="M2788" s="1" t="inlineStr">
        <is>
          <t>11.31%</t>
        </is>
      </c>
      <c r="N2788" s="3" t="n">
        <v>11.31</v>
      </c>
      <c r="O2788" t="n">
        <v>4.7</v>
      </c>
      <c r="P2788" t="n">
        <v>396</v>
      </c>
      <c r="R2788" t="inlineStr">
        <is>
          <t>InStock</t>
        </is>
      </c>
      <c r="S2788" t="inlineStr">
        <is>
          <t>undefined</t>
        </is>
      </c>
      <c r="T2788" t="inlineStr">
        <is>
          <t>5145701</t>
        </is>
      </c>
    </row>
    <row r="2789" hidden="1" ht="15.75" customHeight="1">
      <c r="A2789" s="2">
        <f>HYPERLINK("https://www.soccerplususa.com/adidas/adidas-team-speed-pro-otc-soccer-sock-33726", "https://www.soccerplususa.com/adidas/adidas-team-speed-pro-otc-soccer-sock-33726")</f>
        <v/>
      </c>
      <c r="B2789" t="inlineStr">
        <is>
          <t>undefined</t>
        </is>
      </c>
      <c r="C2789" t="inlineStr">
        <is>
          <t>adidas Team Speed Pro OTC Soccer Sock</t>
        </is>
      </c>
      <c r="D2789" t="inlineStr">
        <is>
          <t>adidas Team Speed Soccer OTC Sock (1-Pair)</t>
        </is>
      </c>
      <c r="E2789" s="2">
        <f>HYPERLINK("https://www.amazon.com/adidas-Speed-Soccer-1-Pack-University/dp/B00DF0TTM2/ref=sr_1_5?keywords=adidas+Team+Speed+Pro+OTC+Soccer+Sock&amp;qid=1695171093&amp;sr=8-5", "https://www.amazon.com/adidas-Speed-Soccer-1-Pack-University/dp/B00DF0TTM2/ref=sr_1_5?keywords=adidas+Team+Speed+Pro+OTC+Soccer+Sock&amp;qid=1695171093&amp;sr=8-5")</f>
        <v/>
      </c>
      <c r="F2789" t="inlineStr">
        <is>
          <t>B00DF0TTM2</t>
        </is>
      </c>
      <c r="G2789">
        <f>_xludf.IMAGE("https://www.soccerplususa.com/prodimages/30901-DEFAULT-l.jpg")</f>
        <v/>
      </c>
      <c r="H2789">
        <f>_xludf.IMAGE("https://m.media-amazon.com/images/I/81GET34eTTL._AC_UL320_.jpg")</f>
        <v/>
      </c>
      <c r="K2789" t="inlineStr">
        <is>
          <t>17.99</t>
        </is>
      </c>
      <c r="L2789" t="n">
        <v>19.98</v>
      </c>
      <c r="M2789" s="1" t="inlineStr">
        <is>
          <t>11.06%</t>
        </is>
      </c>
      <c r="N2789" s="3" t="n">
        <v>11.06</v>
      </c>
      <c r="O2789" t="n">
        <v>4.7</v>
      </c>
      <c r="P2789" t="n">
        <v>396</v>
      </c>
      <c r="R2789" t="inlineStr">
        <is>
          <t>InStock</t>
        </is>
      </c>
      <c r="S2789" t="inlineStr">
        <is>
          <t>undefined</t>
        </is>
      </c>
      <c r="T2789" t="inlineStr">
        <is>
          <t>5145717</t>
        </is>
      </c>
    </row>
    <row r="2790" hidden="1" ht="15.75" customHeight="1">
      <c r="A2790" s="2">
        <f>HYPERLINK("https://www.soccerplususa.com/adidas/adidas-team-speed-pro-otc-33722", "https://www.soccerplususa.com/adidas/adidas-team-speed-pro-otc-33722")</f>
        <v/>
      </c>
      <c r="B2790" t="inlineStr">
        <is>
          <t>undefined</t>
        </is>
      </c>
      <c r="C2790" t="inlineStr">
        <is>
          <t>adidas Team Speed Pro OTC</t>
        </is>
      </c>
      <c r="D2790" t="inlineStr">
        <is>
          <t>adidas Team Speed Soccer OTC Sock (1-Pair)</t>
        </is>
      </c>
      <c r="E2790" s="2">
        <f>HYPERLINK("https://www.amazon.com/adidas-Speed-Soccer-1-Pack-University/dp/B00DF0TTM2/ref=sr_1_9?keywords=adidas+Team+Speed+Pro+OTC&amp;qid=1695171099&amp;sr=8-9", "https://www.amazon.com/adidas-Speed-Soccer-1-Pack-University/dp/B00DF0TTM2/ref=sr_1_9?keywords=adidas+Team+Speed+Pro+OTC&amp;qid=1695171099&amp;sr=8-9")</f>
        <v/>
      </c>
      <c r="F2790" t="inlineStr">
        <is>
          <t>B00DF0TTM2</t>
        </is>
      </c>
      <c r="G2790">
        <f>_xludf.IMAGE("https://www.soccerplususa.com/prodimages/30898-DEFAULT-l.jpg")</f>
        <v/>
      </c>
      <c r="H2790">
        <f>_xludf.IMAGE("https://m.media-amazon.com/images/I/81GET34eTTL._AC_UL320_.jpg")</f>
        <v/>
      </c>
      <c r="K2790" t="inlineStr">
        <is>
          <t>17.99</t>
        </is>
      </c>
      <c r="L2790" t="n">
        <v>19.98</v>
      </c>
      <c r="M2790" s="1" t="inlineStr">
        <is>
          <t>11.06%</t>
        </is>
      </c>
      <c r="N2790" s="3" t="n">
        <v>11.06</v>
      </c>
      <c r="O2790" t="n">
        <v>4.7</v>
      </c>
      <c r="P2790" t="n">
        <v>396</v>
      </c>
      <c r="R2790" t="inlineStr">
        <is>
          <t>InStock</t>
        </is>
      </c>
      <c r="S2790" t="inlineStr">
        <is>
          <t>undefined</t>
        </is>
      </c>
      <c r="T2790" t="inlineStr">
        <is>
          <t>5145696</t>
        </is>
      </c>
    </row>
    <row r="2791" hidden="1" ht="15.75" customHeight="1">
      <c r="A2791" s="2">
        <f>HYPERLINK("https://www.soccerplususa.com/adidas/adidas-team-speed-pro-otc-soccer-sock-33723", "https://www.soccerplususa.com/adidas/adidas-team-speed-pro-otc-soccer-sock-33723")</f>
        <v/>
      </c>
      <c r="B2791" t="inlineStr">
        <is>
          <t>undefined</t>
        </is>
      </c>
      <c r="C2791" t="inlineStr">
        <is>
          <t>adidas Team Speed Pro OTC Soccer Sock</t>
        </is>
      </c>
      <c r="D2791" t="inlineStr">
        <is>
          <t>adidas Team Speed Soccer OTC Sock (1-Pair)</t>
        </is>
      </c>
      <c r="E2791" s="2">
        <f>HYPERLINK("https://www.amazon.com/adidas-Speed-Soccer-1-Pack-University/dp/B00DF0TTM2/ref=sr_1_5?keywords=adidas+Team+Speed+Pro+OTC+Soccer+Sock&amp;qid=1695171100&amp;sr=8-5", "https://www.amazon.com/adidas-Speed-Soccer-1-Pack-University/dp/B00DF0TTM2/ref=sr_1_5?keywords=adidas+Team+Speed+Pro+OTC+Soccer+Sock&amp;qid=1695171100&amp;sr=8-5")</f>
        <v/>
      </c>
      <c r="F2791" t="inlineStr">
        <is>
          <t>B00DF0TTM2</t>
        </is>
      </c>
      <c r="G2791">
        <f>_xludf.IMAGE("https://www.soccerplususa.com/prodimages/30899-DEFAULT-l.jpg")</f>
        <v/>
      </c>
      <c r="H2791">
        <f>_xludf.IMAGE("https://m.media-amazon.com/images/I/81GET34eTTL._AC_UL320_.jpg")</f>
        <v/>
      </c>
      <c r="K2791" t="inlineStr">
        <is>
          <t>17.99</t>
        </is>
      </c>
      <c r="L2791" t="n">
        <v>19.98</v>
      </c>
      <c r="M2791" s="1" t="inlineStr">
        <is>
          <t>11.06%</t>
        </is>
      </c>
      <c r="N2791" s="3" t="n">
        <v>11.06</v>
      </c>
      <c r="O2791" t="n">
        <v>4.7</v>
      </c>
      <c r="P2791" t="n">
        <v>396</v>
      </c>
      <c r="R2791" t="inlineStr">
        <is>
          <t>InStock</t>
        </is>
      </c>
      <c r="S2791" t="inlineStr">
        <is>
          <t>undefined</t>
        </is>
      </c>
      <c r="T2791" t="inlineStr">
        <is>
          <t>5145704</t>
        </is>
      </c>
    </row>
    <row r="2792" hidden="1" ht="15.75" customHeight="1">
      <c r="A2792" s="2">
        <f>HYPERLINK("https://www.soccerplususa.com/adidas/adidas-copa-zone-cushion-ii-soccer-sock-1940", "https://www.soccerplususa.com/adidas/adidas-copa-zone-cushion-ii-soccer-sock-1940")</f>
        <v/>
      </c>
      <c r="B2792" t="inlineStr">
        <is>
          <t>undefined</t>
        </is>
      </c>
      <c r="C2792" t="inlineStr">
        <is>
          <t>adidas Copa Zone Cushion II Soccer Sock</t>
        </is>
      </c>
      <c r="D2792" t="inlineStr">
        <is>
          <t>adidas Copa Zone Cushion II Soccer Sock (1-Pair)</t>
        </is>
      </c>
      <c r="E2792" s="2">
        <f>HYPERLINK("https://www.amazon.com/adidas-Cushion-Soccer-Socks-1-Pack/dp/B00DF0S3JC/ref=sr_1_1?keywords=adidas+Copa+Zone+Cushion+II+Soccer+Sock&amp;qid=1695171112&amp;sr=8-1", "https://www.amazon.com/adidas-Cushion-Soccer-Socks-1-Pack/dp/B00DF0S3JC/ref=sr_1_1?keywords=adidas+Copa+Zone+Cushion+II+Soccer+Sock&amp;qid=1695171112&amp;sr=8-1")</f>
        <v/>
      </c>
      <c r="F2792" t="inlineStr">
        <is>
          <t>B00DF0S3JC</t>
        </is>
      </c>
      <c r="G2792">
        <f>_xludf.IMAGE("https://www.soccerplususa.com/prodimages//35006-WHITE-M.jpg")</f>
        <v/>
      </c>
      <c r="H2792">
        <f>_xludf.IMAGE("https://m.media-amazon.com/images/I/91+XDkd9HqL._AC_UL320_.jpg")</f>
        <v/>
      </c>
      <c r="K2792" t="inlineStr">
        <is>
          <t>11.95</t>
        </is>
      </c>
      <c r="L2792" t="n">
        <v>13</v>
      </c>
      <c r="M2792" s="1" t="inlineStr">
        <is>
          <t>8.79%</t>
        </is>
      </c>
      <c r="N2792" s="3" t="n">
        <v>8.789999999999999</v>
      </c>
      <c r="O2792" t="n">
        <v>4.6</v>
      </c>
      <c r="P2792" t="n">
        <v>1211</v>
      </c>
      <c r="R2792" t="inlineStr">
        <is>
          <t>InStock</t>
        </is>
      </c>
      <c r="S2792" t="inlineStr">
        <is>
          <t>undefined</t>
        </is>
      </c>
      <c r="T2792" t="inlineStr">
        <is>
          <t>5130201</t>
        </is>
      </c>
    </row>
    <row r="2793" hidden="1" ht="15.75" customHeight="1">
      <c r="A2793" s="2">
        <f>HYPERLINK("https://www.soccerplususa.com/pure-grip-socks/pure-grip-player-gloves-41852", "https://www.soccerplususa.com/pure-grip-socks/pure-grip-player-gloves-41852")</f>
        <v/>
      </c>
      <c r="B2793" t="inlineStr">
        <is>
          <t>undefined</t>
        </is>
      </c>
      <c r="C2793" t="inlineStr">
        <is>
          <t>Pure Grip Player Gloves</t>
        </is>
      </c>
      <c r="D2793" t="inlineStr">
        <is>
          <t>Defiance by Laceeze Outfield Player Grip Gloves, Thermal, Water Resistant, Youth Large</t>
        </is>
      </c>
      <c r="E2793" s="2">
        <f>HYPERLINK("https://www.amazon.com/Defiance-Laceeze-Outfield-Thermal-Resistant/dp/B00P4NBG60/ref=sr_1_4?keywords=Pure+Grip+Player+Gloves&amp;qid=1695171083&amp;sr=8-4", "https://www.amazon.com/Defiance-Laceeze-Outfield-Thermal-Resistant/dp/B00P4NBG60/ref=sr_1_4?keywords=Pure+Grip+Player+Gloves&amp;qid=1695171083&amp;sr=8-4")</f>
        <v/>
      </c>
      <c r="F2793" t="inlineStr">
        <is>
          <t>B00P4NBG60</t>
        </is>
      </c>
      <c r="G2793">
        <f>_xludf.IMAGE("https://www.soccerplususa.com/prodimages/34456-DEFAULT-l.jpg")</f>
        <v/>
      </c>
      <c r="H2793">
        <f>_xludf.IMAGE("https://m.media-amazon.com/images/I/71XatrDrj7L._AC_UL320_.jpg")</f>
        <v/>
      </c>
      <c r="K2793" t="inlineStr">
        <is>
          <t>13.99</t>
        </is>
      </c>
      <c r="L2793" t="n">
        <v>14.99</v>
      </c>
      <c r="M2793" s="1" t="inlineStr">
        <is>
          <t>7.15%</t>
        </is>
      </c>
      <c r="N2793" s="3" t="n">
        <v>7.15</v>
      </c>
      <c r="O2793" t="n">
        <v>4</v>
      </c>
      <c r="P2793" t="n">
        <v>14</v>
      </c>
      <c r="R2793" t="inlineStr">
        <is>
          <t>InStock</t>
        </is>
      </c>
      <c r="S2793" t="inlineStr">
        <is>
          <t>undefined</t>
        </is>
      </c>
      <c r="T2793" t="inlineStr">
        <is>
          <t>PGPG</t>
        </is>
      </c>
    </row>
    <row r="2794" hidden="1" ht="15.75" customHeight="1">
      <c r="A2794" s="2">
        <f>HYPERLINK("https://www.soccerplususa.com/adidas/adidas-alphaskin-20-headband-42961", "https://www.soccerplususa.com/adidas/adidas-alphaskin-20-headband-42961")</f>
        <v/>
      </c>
      <c r="B2794" t="inlineStr">
        <is>
          <t>undefined</t>
        </is>
      </c>
      <c r="C2794" t="inlineStr">
        <is>
          <t>adidas Alphaskin 2.0 Headband</t>
        </is>
      </c>
      <c r="D2794" t="inlineStr">
        <is>
          <t>adidas Womens Alphaskin Elastic Headband</t>
        </is>
      </c>
      <c r="E2794" s="2">
        <f>HYPERLINK("https://www.amazon.com/adidas-Alphaskin-Elastic-Headband-Black/dp/B0BFC2DCT1/ref=sr_1_4?keywords=adidas+Alphaskin+2.0+Headband&amp;qid=1695171083&amp;sr=8-4", "https://www.amazon.com/adidas-Alphaskin-Elastic-Headband-Black/dp/B0BFC2DCT1/ref=sr_1_4?keywords=adidas+Alphaskin+2.0+Headband&amp;qid=1695171083&amp;sr=8-4")</f>
        <v/>
      </c>
      <c r="F2794" t="inlineStr">
        <is>
          <t>B0BFC2DCT1</t>
        </is>
      </c>
      <c r="G2794">
        <f>_xludf.IMAGE("https://www.soccerplususa.com/prodimages//35444-REDBLACK-M.jpg")</f>
        <v/>
      </c>
      <c r="H2794">
        <f>_xludf.IMAGE("https://m.media-amazon.com/images/I/81h+q9zB3FL._AC_UL320_.jpg")</f>
        <v/>
      </c>
      <c r="K2794" t="inlineStr">
        <is>
          <t>14.95</t>
        </is>
      </c>
      <c r="L2794" t="n">
        <v>16</v>
      </c>
      <c r="M2794" s="1" t="inlineStr">
        <is>
          <t>7.02%</t>
        </is>
      </c>
      <c r="N2794" s="3" t="n">
        <v>7.02</v>
      </c>
      <c r="O2794" t="n">
        <v>5</v>
      </c>
      <c r="P2794" t="n">
        <v>1</v>
      </c>
      <c r="R2794" t="inlineStr">
        <is>
          <t>InStock</t>
        </is>
      </c>
      <c r="S2794" t="inlineStr">
        <is>
          <t>undefined</t>
        </is>
      </c>
      <c r="T2794" t="inlineStr">
        <is>
          <t>5152500</t>
        </is>
      </c>
    </row>
    <row r="2795" hidden="1" ht="15.75" customHeight="1">
      <c r="A2795" s="2">
        <f>HYPERLINK("https://www.soccerplususa.com/adidas/adidas-alphaskin-20-headband-42960", "https://www.soccerplususa.com/adidas/adidas-alphaskin-20-headband-42960")</f>
        <v/>
      </c>
      <c r="B2795" t="inlineStr">
        <is>
          <t>undefined</t>
        </is>
      </c>
      <c r="C2795" t="inlineStr">
        <is>
          <t>adidas Alphaskin 2.0 Headband</t>
        </is>
      </c>
      <c r="D2795" t="inlineStr">
        <is>
          <t>adidas Womens Alphaskin Elastic Headband</t>
        </is>
      </c>
      <c r="E2795" s="2">
        <f>HYPERLINK("https://www.amazon.com/adidas-Alphaskin-Elastic-Headband-Black/dp/B0BFC2DCT1/ref=sr_1_4?keywords=adidas+Alphaskin+2.0+Headband&amp;qid=1695171082&amp;sr=8-4", "https://www.amazon.com/adidas-Alphaskin-Elastic-Headband-Black/dp/B0BFC2DCT1/ref=sr_1_4?keywords=adidas+Alphaskin+2.0+Headband&amp;qid=1695171082&amp;sr=8-4")</f>
        <v/>
      </c>
      <c r="F2795" t="inlineStr">
        <is>
          <t>B0BFC2DCT1</t>
        </is>
      </c>
      <c r="G2795">
        <f>_xludf.IMAGE("https://www.soccerplususa.com/prodimages//35442-ROYALBLACK-M.jpg")</f>
        <v/>
      </c>
      <c r="H2795">
        <f>_xludf.IMAGE("https://m.media-amazon.com/images/I/81h+q9zB3FL._AC_UL320_.jpg")</f>
        <v/>
      </c>
      <c r="K2795" t="inlineStr">
        <is>
          <t>14.95</t>
        </is>
      </c>
      <c r="L2795" t="n">
        <v>16</v>
      </c>
      <c r="M2795" s="1" t="inlineStr">
        <is>
          <t>7.02%</t>
        </is>
      </c>
      <c r="N2795" s="3" t="n">
        <v>7.02</v>
      </c>
      <c r="O2795" t="n">
        <v>5</v>
      </c>
      <c r="P2795" t="n">
        <v>1</v>
      </c>
      <c r="R2795" t="inlineStr">
        <is>
          <t>InStock</t>
        </is>
      </c>
      <c r="S2795" t="inlineStr">
        <is>
          <t>undefined</t>
        </is>
      </c>
      <c r="T2795" t="inlineStr">
        <is>
          <t>5152501</t>
        </is>
      </c>
    </row>
    <row r="2796" hidden="1" ht="15.75" customHeight="1">
      <c r="A2796" s="2">
        <f>HYPERLINK("https://www.soccerplususa.com/adidas/adidas-alphaskin-20-headband-42959", "https://www.soccerplususa.com/adidas/adidas-alphaskin-20-headband-42959")</f>
        <v/>
      </c>
      <c r="B2796" t="inlineStr">
        <is>
          <t>undefined</t>
        </is>
      </c>
      <c r="C2796" t="inlineStr">
        <is>
          <t>adidas Alphaskin 2.0 Headband</t>
        </is>
      </c>
      <c r="D2796" t="inlineStr">
        <is>
          <t>adidas Womens Alphaskin Elastic Headband</t>
        </is>
      </c>
      <c r="E2796" s="2">
        <f>HYPERLINK("https://www.amazon.com/adidas-Alphaskin-Elastic-Headband-Black/dp/B0BFC2DCT1/ref=sr_1_3?keywords=adidas+Alphaskin+2.0+Headband&amp;qid=1695171083&amp;sr=8-3", "https://www.amazon.com/adidas-Alphaskin-Elastic-Headband-Black/dp/B0BFC2DCT1/ref=sr_1_3?keywords=adidas+Alphaskin+2.0+Headband&amp;qid=1695171083&amp;sr=8-3")</f>
        <v/>
      </c>
      <c r="F2796" t="inlineStr">
        <is>
          <t>B0BFC2DCT1</t>
        </is>
      </c>
      <c r="G2796">
        <f>_xludf.IMAGE("https://www.soccerplususa.com/prodimages//35443-BLACKWHITE-M.jpg")</f>
        <v/>
      </c>
      <c r="H2796">
        <f>_xludf.IMAGE("https://m.media-amazon.com/images/I/81h+q9zB3FL._AC_UL320_.jpg")</f>
        <v/>
      </c>
      <c r="K2796" t="inlineStr">
        <is>
          <t>14.95</t>
        </is>
      </c>
      <c r="L2796" t="n">
        <v>16</v>
      </c>
      <c r="M2796" s="1" t="inlineStr">
        <is>
          <t>7.02%</t>
        </is>
      </c>
      <c r="N2796" s="3" t="n">
        <v>7.02</v>
      </c>
      <c r="O2796" t="n">
        <v>5</v>
      </c>
      <c r="P2796" t="n">
        <v>1</v>
      </c>
      <c r="R2796" t="inlineStr">
        <is>
          <t>InStock</t>
        </is>
      </c>
      <c r="S2796" t="inlineStr">
        <is>
          <t>undefined</t>
        </is>
      </c>
      <c r="T2796" t="inlineStr">
        <is>
          <t>5152498</t>
        </is>
      </c>
    </row>
    <row r="2797" hidden="1" ht="15.75" customHeight="1">
      <c r="A2797" s="2">
        <f>HYPERLINK("https://www.soccerplususa.com/adidas/ncaa-formotion-elite-sock-3711", "https://www.soccerplususa.com/adidas/ncaa-formotion-elite-sock-3711")</f>
        <v/>
      </c>
      <c r="B2797" t="inlineStr">
        <is>
          <t>undefined</t>
        </is>
      </c>
      <c r="C2797" t="inlineStr">
        <is>
          <t>NCAA Formotion Elite Sock</t>
        </is>
      </c>
      <c r="D2797" t="inlineStr">
        <is>
          <t>adidas ForMotion Elite NCAA</t>
        </is>
      </c>
      <c r="E2797" s="2">
        <f>HYPERLINK("https://www.amazon.com/Adidas-Climalite-Formotion-Elite-Socks/dp/B0026VJ098/ref=sr_1_1?keywords=NCAA+Formotion+Elite+Sock&amp;qid=1695171110&amp;sr=8-1", "https://www.amazon.com/Adidas-Climalite-Formotion-Elite-Socks/dp/B0026VJ098/ref=sr_1_1?keywords=NCAA+Formotion+Elite+Sock&amp;qid=1695171110&amp;sr=8-1")</f>
        <v/>
      </c>
      <c r="F2797" t="inlineStr">
        <is>
          <t>B0026VJ098</t>
        </is>
      </c>
      <c r="G2797">
        <f>_xludf.IMAGE("https://www.soccerplususa.com/prodimages/1323-DEFAULT-l.jpg")</f>
        <v/>
      </c>
      <c r="H2797">
        <f>_xludf.IMAGE("https://m.media-amazon.com/images/I/51ve1N1dcaL._AC_UL320_.jpg")</f>
        <v/>
      </c>
      <c r="K2797" t="inlineStr">
        <is>
          <t>14.95</t>
        </is>
      </c>
      <c r="L2797" t="n">
        <v>15.99</v>
      </c>
      <c r="M2797" s="1" t="inlineStr">
        <is>
          <t>6.96%</t>
        </is>
      </c>
      <c r="N2797" s="3" t="n">
        <v>6.96</v>
      </c>
      <c r="O2797" t="n">
        <v>4.3</v>
      </c>
      <c r="P2797" t="n">
        <v>29</v>
      </c>
      <c r="R2797" t="inlineStr">
        <is>
          <t>InStock</t>
        </is>
      </c>
      <c r="S2797" t="inlineStr">
        <is>
          <t>undefined</t>
        </is>
      </c>
      <c r="T2797" t="inlineStr">
        <is>
          <t>992544</t>
        </is>
      </c>
    </row>
    <row r="2798" hidden="1" ht="15.75" customHeight="1">
      <c r="A2798" s="2">
        <f>HYPERLINK("https://www.soccerplususa.com/adidas-2/adidas-copa-zone-cushion-iv-sock-36235", "https://www.soccerplususa.com/adidas-2/adidas-copa-zone-cushion-iv-sock-36235")</f>
        <v/>
      </c>
      <c r="B2798" t="inlineStr">
        <is>
          <t>undefined</t>
        </is>
      </c>
      <c r="C2798" t="inlineStr">
        <is>
          <t>adidas Copa Zone Cushion IV Sock</t>
        </is>
      </c>
      <c r="D2798" t="inlineStr">
        <is>
          <t>adidas Copa Zone Cushion II Soccer Sock (1-Pair)</t>
        </is>
      </c>
      <c r="E2798" s="2">
        <f>HYPERLINK("https://www.amazon.com/adidas-Cushion-Light-Maroon-Medium/dp/B00DF0RRL2/ref=sr_1_6?keywords=adidas+Copa+Zone+Cushion+IV+Sock&amp;qid=1695171093&amp;sr=8-6", "https://www.amazon.com/adidas-Cushion-Light-Maroon-Medium/dp/B00DF0RRL2/ref=sr_1_6?keywords=adidas+Copa+Zone+Cushion+IV+Sock&amp;qid=1695171093&amp;sr=8-6")</f>
        <v/>
      </c>
      <c r="F2798" t="inlineStr">
        <is>
          <t>B00DF0RRL2</t>
        </is>
      </c>
      <c r="G2798">
        <f>_xludf.IMAGE("https://www.soccerplususa.com/prodimages/17544-DEFAULT-l.jpg")</f>
        <v/>
      </c>
      <c r="H2798">
        <f>_xludf.IMAGE("https://m.media-amazon.com/images/I/91uVZ109eZL._AC_UL320_.jpg")</f>
        <v/>
      </c>
      <c r="K2798" t="inlineStr">
        <is>
          <t>11.95</t>
        </is>
      </c>
      <c r="L2798" t="n">
        <v>12.45</v>
      </c>
      <c r="M2798" s="1" t="inlineStr">
        <is>
          <t>4.18%</t>
        </is>
      </c>
      <c r="N2798" s="3" t="n">
        <v>4.18</v>
      </c>
      <c r="O2798" t="n">
        <v>4.6</v>
      </c>
      <c r="P2798" t="n">
        <v>1211</v>
      </c>
      <c r="R2798" t="inlineStr">
        <is>
          <t>InStock</t>
        </is>
      </c>
      <c r="S2798" t="inlineStr">
        <is>
          <t>undefined</t>
        </is>
      </c>
      <c r="T2798" t="inlineStr">
        <is>
          <t>5147291</t>
        </is>
      </c>
    </row>
    <row r="2799" hidden="1" ht="15.75" customHeight="1">
      <c r="A2799" s="2">
        <f>HYPERLINK("https://www.soccerplususa.com/adidas-2/adidas-copa-zone-cushion-iv-sock-36233", "https://www.soccerplususa.com/adidas-2/adidas-copa-zone-cushion-iv-sock-36233")</f>
        <v/>
      </c>
      <c r="B2799" t="inlineStr">
        <is>
          <t>undefined</t>
        </is>
      </c>
      <c r="C2799" t="inlineStr">
        <is>
          <t>adidas Copa Zone Cushion IV Sock</t>
        </is>
      </c>
      <c r="D2799" t="inlineStr">
        <is>
          <t>adidas Copa Zone Cushion II Soccer Sock (1-Pair)</t>
        </is>
      </c>
      <c r="E2799" s="2">
        <f>HYPERLINK("https://www.amazon.com/adidas-Cushion-Light-Maroon-Medium/dp/B00DF0RRL2/ref=sr_1_6?keywords=adidas+Copa+Zone+Cushion+IV+Sock&amp;qid=1695171094&amp;sr=8-6", "https://www.amazon.com/adidas-Cushion-Light-Maroon-Medium/dp/B00DF0RRL2/ref=sr_1_6?keywords=adidas+Copa+Zone+Cushion+IV+Sock&amp;qid=1695171094&amp;sr=8-6")</f>
        <v/>
      </c>
      <c r="F2799" t="inlineStr">
        <is>
          <t>B00DF0RRL2</t>
        </is>
      </c>
      <c r="G2799">
        <f>_xludf.IMAGE("https://www.soccerplususa.com/prodimages/17542-DEFAULT-l.jpg")</f>
        <v/>
      </c>
      <c r="H2799">
        <f>_xludf.IMAGE("https://m.media-amazon.com/images/I/91uVZ109eZL._AC_UL320_.jpg")</f>
        <v/>
      </c>
      <c r="K2799" t="inlineStr">
        <is>
          <t>11.95</t>
        </is>
      </c>
      <c r="L2799" t="n">
        <v>12.45</v>
      </c>
      <c r="M2799" s="1" t="inlineStr">
        <is>
          <t>4.18%</t>
        </is>
      </c>
      <c r="N2799" s="3" t="n">
        <v>4.18</v>
      </c>
      <c r="O2799" t="n">
        <v>4.6</v>
      </c>
      <c r="P2799" t="n">
        <v>1211</v>
      </c>
      <c r="R2799" t="inlineStr">
        <is>
          <t>InStock</t>
        </is>
      </c>
      <c r="S2799" t="inlineStr">
        <is>
          <t>undefined</t>
        </is>
      </c>
      <c r="T2799" t="inlineStr">
        <is>
          <t>5147287</t>
        </is>
      </c>
    </row>
    <row r="2800" hidden="1" ht="15.75" customHeight="1">
      <c r="A2800" s="2">
        <f>HYPERLINK("https://www.soccerplususa.com/adidas-2/adidas-copa-zone-cushion-iv-sock-36236", "https://www.soccerplususa.com/adidas-2/adidas-copa-zone-cushion-iv-sock-36236")</f>
        <v/>
      </c>
      <c r="B2800" t="inlineStr">
        <is>
          <t>undefined</t>
        </is>
      </c>
      <c r="C2800" t="inlineStr">
        <is>
          <t>adidas Copa Zone Cushion IV Sock</t>
        </is>
      </c>
      <c r="D2800" t="inlineStr">
        <is>
          <t>adidas Copa Zone Cushion II Soccer Sock (1-Pair)</t>
        </is>
      </c>
      <c r="E2800" s="2">
        <f>HYPERLINK("https://www.amazon.com/adidas-Cushion-Light-Maroon-Medium/dp/B00DF0RRL2/ref=sr_1_6?keywords=adidas+Copa+Zone+Cushion+IV+Sock&amp;qid=1695171089&amp;sr=8-6", "https://www.amazon.com/adidas-Cushion-Light-Maroon-Medium/dp/B00DF0RRL2/ref=sr_1_6?keywords=adidas+Copa+Zone+Cushion+IV+Sock&amp;qid=1695171089&amp;sr=8-6")</f>
        <v/>
      </c>
      <c r="F2800" t="inlineStr">
        <is>
          <t>B00DF0RRL2</t>
        </is>
      </c>
      <c r="G2800">
        <f>_xludf.IMAGE("https://www.soccerplususa.com/prodimages/17545-DEFAULT-l.jpg")</f>
        <v/>
      </c>
      <c r="H2800">
        <f>_xludf.IMAGE("https://m.media-amazon.com/images/I/91uVZ109eZL._AC_UL320_.jpg")</f>
        <v/>
      </c>
      <c r="K2800" t="inlineStr">
        <is>
          <t>11.95</t>
        </is>
      </c>
      <c r="L2800" t="n">
        <v>12.45</v>
      </c>
      <c r="M2800" s="1" t="inlineStr">
        <is>
          <t>4.18%</t>
        </is>
      </c>
      <c r="N2800" s="3" t="n">
        <v>4.18</v>
      </c>
      <c r="O2800" t="n">
        <v>4.6</v>
      </c>
      <c r="P2800" t="n">
        <v>1211</v>
      </c>
      <c r="R2800" t="inlineStr">
        <is>
          <t>InStock</t>
        </is>
      </c>
      <c r="S2800" t="inlineStr">
        <is>
          <t>undefined</t>
        </is>
      </c>
      <c r="T2800" t="inlineStr">
        <is>
          <t>5147292</t>
        </is>
      </c>
    </row>
    <row r="2801" hidden="1" ht="15.75" customHeight="1">
      <c r="A2801" s="2">
        <f>HYPERLINK("https://www.soccerplususa.com/adidas-2/adidas-copa-zone-cushion-iv-sock-36238", "https://www.soccerplususa.com/adidas-2/adidas-copa-zone-cushion-iv-sock-36238")</f>
        <v/>
      </c>
      <c r="B2801" t="inlineStr">
        <is>
          <t>undefined</t>
        </is>
      </c>
      <c r="C2801" t="inlineStr">
        <is>
          <t>adidas Copa Zone Cushion IV Sock</t>
        </is>
      </c>
      <c r="D2801" t="inlineStr">
        <is>
          <t>adidas Copa Zone Cushion II Soccer Sock (1-Pair)</t>
        </is>
      </c>
      <c r="E2801" s="2">
        <f>HYPERLINK("https://www.amazon.com/adidas-Cushion-Light-Maroon-Medium/dp/B00DF0RRL2/ref=sr_1_6?keywords=adidas+Copa+Zone+Cushion+IV+Sock&amp;qid=1695171098&amp;sr=8-6", "https://www.amazon.com/adidas-Cushion-Light-Maroon-Medium/dp/B00DF0RRL2/ref=sr_1_6?keywords=adidas+Copa+Zone+Cushion+IV+Sock&amp;qid=1695171098&amp;sr=8-6")</f>
        <v/>
      </c>
      <c r="F2801" t="inlineStr">
        <is>
          <t>B00DF0RRL2</t>
        </is>
      </c>
      <c r="G2801">
        <f>_xludf.IMAGE("https://www.soccerplususa.com/prodimages/17547-DEFAULT-l.jpg")</f>
        <v/>
      </c>
      <c r="H2801">
        <f>_xludf.IMAGE("https://m.media-amazon.com/images/I/91uVZ109eZL._AC_UL320_.jpg")</f>
        <v/>
      </c>
      <c r="K2801" t="inlineStr">
        <is>
          <t>11.95</t>
        </is>
      </c>
      <c r="L2801" t="n">
        <v>12.45</v>
      </c>
      <c r="M2801" s="1" t="inlineStr">
        <is>
          <t>4.18%</t>
        </is>
      </c>
      <c r="N2801" s="3" t="n">
        <v>4.18</v>
      </c>
      <c r="O2801" t="n">
        <v>4.6</v>
      </c>
      <c r="P2801" t="n">
        <v>1211</v>
      </c>
      <c r="R2801" t="inlineStr">
        <is>
          <t>InStock</t>
        </is>
      </c>
      <c r="S2801" t="inlineStr">
        <is>
          <t>undefined</t>
        </is>
      </c>
      <c r="T2801" t="inlineStr">
        <is>
          <t>5147294</t>
        </is>
      </c>
    </row>
    <row r="2802" hidden="1" ht="15.75" customHeight="1">
      <c r="A2802" s="2">
        <f>HYPERLINK("https://www.soccerplususa.com/adidas-2/adidas-copa-zone-cushion-iv-sock-36239", "https://www.soccerplususa.com/adidas-2/adidas-copa-zone-cushion-iv-sock-36239")</f>
        <v/>
      </c>
      <c r="B2802" t="inlineStr">
        <is>
          <t>undefined</t>
        </is>
      </c>
      <c r="C2802" t="inlineStr">
        <is>
          <t>adidas Copa Zone Cushion IV Sock</t>
        </is>
      </c>
      <c r="D2802" t="inlineStr">
        <is>
          <t>adidas Copa Zone Cushion II Soccer Sock (1-Pair)</t>
        </is>
      </c>
      <c r="E2802" s="2">
        <f>HYPERLINK("https://www.amazon.com/adidas-Cushion-Light-Maroon-Medium/dp/B00DF0RRL2/ref=sr_1_7?keywords=adidas+Copa+Zone+Cushion+IV+Sock&amp;qid=1695171093&amp;sr=8-7", "https://www.amazon.com/adidas-Cushion-Light-Maroon-Medium/dp/B00DF0RRL2/ref=sr_1_7?keywords=adidas+Copa+Zone+Cushion+IV+Sock&amp;qid=1695171093&amp;sr=8-7")</f>
        <v/>
      </c>
      <c r="F2802" t="inlineStr">
        <is>
          <t>B00DF0RRL2</t>
        </is>
      </c>
      <c r="G2802">
        <f>_xludf.IMAGE("https://www.soccerplususa.com/prodimages/17548-DEFAULT-l.jpg")</f>
        <v/>
      </c>
      <c r="H2802">
        <f>_xludf.IMAGE("https://m.media-amazon.com/images/I/91uVZ109eZL._AC_UL320_.jpg")</f>
        <v/>
      </c>
      <c r="K2802" t="inlineStr">
        <is>
          <t>11.95</t>
        </is>
      </c>
      <c r="L2802" t="n">
        <v>12.45</v>
      </c>
      <c r="M2802" s="1" t="inlineStr">
        <is>
          <t>4.18%</t>
        </is>
      </c>
      <c r="N2802" s="3" t="n">
        <v>4.18</v>
      </c>
      <c r="O2802" t="n">
        <v>4.6</v>
      </c>
      <c r="P2802" t="n">
        <v>1211</v>
      </c>
      <c r="R2802" t="inlineStr">
        <is>
          <t>InStock</t>
        </is>
      </c>
      <c r="S2802" t="inlineStr">
        <is>
          <t>undefined</t>
        </is>
      </c>
      <c r="T2802" t="inlineStr">
        <is>
          <t>5147295</t>
        </is>
      </c>
    </row>
    <row r="2803" hidden="1" ht="15.75" customHeight="1">
      <c r="A2803" s="2">
        <f>HYPERLINK("https://www.soccerplususa.com/adidas-2/adidas-copa-zone-cushion-iv-otc-sock-36234", "https://www.soccerplususa.com/adidas-2/adidas-copa-zone-cushion-iv-otc-sock-36234")</f>
        <v/>
      </c>
      <c r="B2803" t="inlineStr">
        <is>
          <t>undefined</t>
        </is>
      </c>
      <c r="C2803" t="inlineStr">
        <is>
          <t>adidas Copa Zone Cushion IV OTC Sock</t>
        </is>
      </c>
      <c r="D2803" t="inlineStr">
        <is>
          <t>adidas Copa Zone Cushion II Soccer Sock (1-Pair)</t>
        </is>
      </c>
      <c r="E2803" s="2">
        <f>HYPERLINK("https://www.amazon.com/adidas-Cushion-Light-Maroon-Medium/dp/B00DF0RRL2/ref=sr_1_10?keywords=adidas+Copa+Zone+Cushion+IV+OTC+Sock&amp;qid=1695171089&amp;sr=8-10", "https://www.amazon.com/adidas-Cushion-Light-Maroon-Medium/dp/B00DF0RRL2/ref=sr_1_10?keywords=adidas+Copa+Zone+Cushion+IV+OTC+Sock&amp;qid=1695171089&amp;sr=8-10")</f>
        <v/>
      </c>
      <c r="F2803" t="inlineStr">
        <is>
          <t>B00DF0RRL2</t>
        </is>
      </c>
      <c r="G2803">
        <f>_xludf.IMAGE("https://www.soccerplususa.com/prodimages/17543-DEFAULT-l.jpg")</f>
        <v/>
      </c>
      <c r="H2803">
        <f>_xludf.IMAGE("https://m.media-amazon.com/images/I/91uVZ109eZL._AC_UL320_.jpg")</f>
        <v/>
      </c>
      <c r="K2803" t="inlineStr">
        <is>
          <t>11.95</t>
        </is>
      </c>
      <c r="L2803" t="n">
        <v>12.45</v>
      </c>
      <c r="M2803" s="1" t="inlineStr">
        <is>
          <t>4.18%</t>
        </is>
      </c>
      <c r="N2803" s="3" t="n">
        <v>4.18</v>
      </c>
      <c r="O2803" t="n">
        <v>4.6</v>
      </c>
      <c r="P2803" t="n">
        <v>1211</v>
      </c>
      <c r="R2803" t="inlineStr">
        <is>
          <t>InStock</t>
        </is>
      </c>
      <c r="S2803" t="inlineStr">
        <is>
          <t>undefined</t>
        </is>
      </c>
      <c r="T2803" t="inlineStr">
        <is>
          <t>5147290</t>
        </is>
      </c>
    </row>
    <row r="2804" hidden="1" ht="15.75" customHeight="1">
      <c r="A2804" s="2">
        <f>HYPERLINK("https://www.soccerplususa.com/adidas-2/adidas-copa-zone-cushion-iv-sock-36242", "https://www.soccerplususa.com/adidas-2/adidas-copa-zone-cushion-iv-sock-36242")</f>
        <v/>
      </c>
      <c r="B2804" t="inlineStr">
        <is>
          <t>undefined</t>
        </is>
      </c>
      <c r="C2804" t="inlineStr">
        <is>
          <t>adidas Copa Zone Cushion IV Sock</t>
        </is>
      </c>
      <c r="D2804" t="inlineStr">
        <is>
          <t>adidas Copa Zone Cushion II Soccer Sock (1-Pair)</t>
        </is>
      </c>
      <c r="E2804" s="2">
        <f>HYPERLINK("https://www.amazon.com/adidas-Cushion-Light-Maroon-Medium/dp/B00DF0RRL2/ref=sr_1_6?keywords=adidas+Copa+Zone+Cushion+IV+Sock&amp;qid=1695171095&amp;sr=8-6", "https://www.amazon.com/adidas-Cushion-Light-Maroon-Medium/dp/B00DF0RRL2/ref=sr_1_6?keywords=adidas+Copa+Zone+Cushion+IV+Sock&amp;qid=1695171095&amp;sr=8-6")</f>
        <v/>
      </c>
      <c r="F2804" t="inlineStr">
        <is>
          <t>B00DF0RRL2</t>
        </is>
      </c>
      <c r="G2804">
        <f>_xludf.IMAGE("https://www.soccerplususa.com/prodimages/17551-DEFAULT-l.jpg")</f>
        <v/>
      </c>
      <c r="H2804">
        <f>_xludf.IMAGE("https://m.media-amazon.com/images/I/91uVZ109eZL._AC_UL320_.jpg")</f>
        <v/>
      </c>
      <c r="K2804" t="inlineStr">
        <is>
          <t>11.95</t>
        </is>
      </c>
      <c r="L2804" t="n">
        <v>12.45</v>
      </c>
      <c r="M2804" s="1" t="inlineStr">
        <is>
          <t>4.18%</t>
        </is>
      </c>
      <c r="N2804" s="3" t="n">
        <v>4.18</v>
      </c>
      <c r="O2804" t="n">
        <v>4.6</v>
      </c>
      <c r="P2804" t="n">
        <v>1211</v>
      </c>
      <c r="R2804" t="inlineStr">
        <is>
          <t>InStock</t>
        </is>
      </c>
      <c r="S2804" t="inlineStr">
        <is>
          <t>undefined</t>
        </is>
      </c>
      <c r="T2804" t="inlineStr">
        <is>
          <t>5147304</t>
        </is>
      </c>
    </row>
    <row r="2805" hidden="1" ht="15.75" customHeight="1">
      <c r="A2805" s="2">
        <f>HYPERLINK("https://www.soccerplususa.com/adidas-2/adidas-copa-zone-cushion-iv-sock-36241", "https://www.soccerplususa.com/adidas-2/adidas-copa-zone-cushion-iv-sock-36241")</f>
        <v/>
      </c>
      <c r="B2805" t="inlineStr">
        <is>
          <t>undefined</t>
        </is>
      </c>
      <c r="C2805" t="inlineStr">
        <is>
          <t>adidas Copa Zone Cushion IV Sock</t>
        </is>
      </c>
      <c r="D2805" t="inlineStr">
        <is>
          <t>adidas Copa Zone Cushion II Soccer Sock (1-Pair)</t>
        </is>
      </c>
      <c r="E2805" s="2">
        <f>HYPERLINK("https://www.amazon.com/adidas-Cushion-Light-Maroon-Medium/dp/B00DF0RRL2/ref=sr_1_6?keywords=adidas+Copa+Zone+Cushion+IV+Sock&amp;qid=1695171090&amp;sr=8-6", "https://www.amazon.com/adidas-Cushion-Light-Maroon-Medium/dp/B00DF0RRL2/ref=sr_1_6?keywords=adidas+Copa+Zone+Cushion+IV+Sock&amp;qid=1695171090&amp;sr=8-6")</f>
        <v/>
      </c>
      <c r="F2805" t="inlineStr">
        <is>
          <t>B00DF0RRL2</t>
        </is>
      </c>
      <c r="G2805">
        <f>_xludf.IMAGE("https://www.soccerplususa.com/prodimages/17550-DEFAULT-l.jpg")</f>
        <v/>
      </c>
      <c r="H2805">
        <f>_xludf.IMAGE("https://m.media-amazon.com/images/I/91uVZ109eZL._AC_UL320_.jpg")</f>
        <v/>
      </c>
      <c r="K2805" t="inlineStr">
        <is>
          <t>11.95</t>
        </is>
      </c>
      <c r="L2805" t="n">
        <v>12.45</v>
      </c>
      <c r="M2805" s="1" t="inlineStr">
        <is>
          <t>4.18%</t>
        </is>
      </c>
      <c r="N2805" s="3" t="n">
        <v>4.18</v>
      </c>
      <c r="O2805" t="n">
        <v>4.6</v>
      </c>
      <c r="P2805" t="n">
        <v>1211</v>
      </c>
      <c r="R2805" t="inlineStr">
        <is>
          <t>InStock</t>
        </is>
      </c>
      <c r="S2805" t="inlineStr">
        <is>
          <t>undefined</t>
        </is>
      </c>
      <c r="T2805" t="inlineStr">
        <is>
          <t>5147303</t>
        </is>
      </c>
    </row>
    <row r="2806" hidden="1" ht="15.75" customHeight="1">
      <c r="A2806" s="2">
        <f>HYPERLINK("https://www.soccerplususa.com/adidas-2/adidas-copa-zone-cushion-iv-sock-36245", "https://www.soccerplususa.com/adidas-2/adidas-copa-zone-cushion-iv-sock-36245")</f>
        <v/>
      </c>
      <c r="B2806" t="inlineStr">
        <is>
          <t>undefined</t>
        </is>
      </c>
      <c r="C2806" t="inlineStr">
        <is>
          <t>adidas Copa Zone Cushion IV Sock</t>
        </is>
      </c>
      <c r="D2806" t="inlineStr">
        <is>
          <t>adidas Copa Zone Cushion II Soccer Sock (1-Pair)</t>
        </is>
      </c>
      <c r="E2806" s="2">
        <f>HYPERLINK("https://www.amazon.com/adidas-Cushion-Light-Maroon-Medium/dp/B00DF0RRL2/ref=sr_1_6?keywords=adidas+Copa+Zone+Cushion+IV+Sock&amp;qid=1695171092&amp;sr=8-6", "https://www.amazon.com/adidas-Cushion-Light-Maroon-Medium/dp/B00DF0RRL2/ref=sr_1_6?keywords=adidas+Copa+Zone+Cushion+IV+Sock&amp;qid=1695171092&amp;sr=8-6")</f>
        <v/>
      </c>
      <c r="F2806" t="inlineStr">
        <is>
          <t>B00DF0RRL2</t>
        </is>
      </c>
      <c r="G2806">
        <f>_xludf.IMAGE("https://www.soccerplususa.com/prodimages/17553-DEFAULT-l.jpg")</f>
        <v/>
      </c>
      <c r="H2806">
        <f>_xludf.IMAGE("https://m.media-amazon.com/images/I/91uVZ109eZL._AC_UL320_.jpg")</f>
        <v/>
      </c>
      <c r="K2806" t="inlineStr">
        <is>
          <t>11.95</t>
        </is>
      </c>
      <c r="L2806" t="n">
        <v>12.45</v>
      </c>
      <c r="M2806" s="1" t="inlineStr">
        <is>
          <t>4.18%</t>
        </is>
      </c>
      <c r="N2806" s="3" t="n">
        <v>4.18</v>
      </c>
      <c r="O2806" t="n">
        <v>4.6</v>
      </c>
      <c r="P2806" t="n">
        <v>1211</v>
      </c>
      <c r="R2806" t="inlineStr">
        <is>
          <t>InStock</t>
        </is>
      </c>
      <c r="S2806" t="inlineStr">
        <is>
          <t>undefined</t>
        </is>
      </c>
      <c r="T2806" t="inlineStr">
        <is>
          <t>5147310</t>
        </is>
      </c>
    </row>
    <row r="2807" hidden="1" ht="15.75" customHeight="1">
      <c r="A2807" s="2">
        <f>HYPERLINK("https://www.soccerplususa.com/adidas-2/adidas-copa-zone-cushion-iv-sock-36240", "https://www.soccerplususa.com/adidas-2/adidas-copa-zone-cushion-iv-sock-36240")</f>
        <v/>
      </c>
      <c r="B2807" t="inlineStr">
        <is>
          <t>undefined</t>
        </is>
      </c>
      <c r="C2807" t="inlineStr">
        <is>
          <t>adidas Copa Zone Cushion IV Sock</t>
        </is>
      </c>
      <c r="D2807" t="inlineStr">
        <is>
          <t>adidas Copa Zone Cushion II Soccer Sock (1-Pair)</t>
        </is>
      </c>
      <c r="E2807" s="2">
        <f>HYPERLINK("https://www.amazon.com/adidas-Cushion-Light-Maroon-Medium/dp/B00DF0RRL2/ref=sr_1_6?keywords=adidas+Copa+Zone+Cushion+IV+Sock&amp;qid=1695171087&amp;sr=8-6", "https://www.amazon.com/adidas-Cushion-Light-Maroon-Medium/dp/B00DF0RRL2/ref=sr_1_6?keywords=adidas+Copa+Zone+Cushion+IV+Sock&amp;qid=1695171087&amp;sr=8-6")</f>
        <v/>
      </c>
      <c r="F2807" t="inlineStr">
        <is>
          <t>B00DF0RRL2</t>
        </is>
      </c>
      <c r="G2807">
        <f>_xludf.IMAGE("https://www.soccerplususa.com/prodimages/17549-DEFAULT-l.jpg")</f>
        <v/>
      </c>
      <c r="H2807">
        <f>_xludf.IMAGE("https://m.media-amazon.com/images/I/91uVZ109eZL._AC_UL320_.jpg")</f>
        <v/>
      </c>
      <c r="K2807" t="inlineStr">
        <is>
          <t>11.95</t>
        </is>
      </c>
      <c r="L2807" t="n">
        <v>12.45</v>
      </c>
      <c r="M2807" s="1" t="inlineStr">
        <is>
          <t>4.18%</t>
        </is>
      </c>
      <c r="N2807" s="3" t="n">
        <v>4.18</v>
      </c>
      <c r="O2807" t="n">
        <v>4.6</v>
      </c>
      <c r="P2807" t="n">
        <v>1211</v>
      </c>
      <c r="R2807" t="inlineStr">
        <is>
          <t>InStock</t>
        </is>
      </c>
      <c r="S2807" t="inlineStr">
        <is>
          <t>undefined</t>
        </is>
      </c>
      <c r="T2807" t="inlineStr">
        <is>
          <t>5147301</t>
        </is>
      </c>
    </row>
    <row r="2808" hidden="1" ht="15.75" customHeight="1">
      <c r="A2808" s="2">
        <f>HYPERLINK("https://www.soccerplususa.com/adidas-2/adidas-copa-zone-cushion-iv-sock-36244", "https://www.soccerplususa.com/adidas-2/adidas-copa-zone-cushion-iv-sock-36244")</f>
        <v/>
      </c>
      <c r="B2808" t="inlineStr">
        <is>
          <t>undefined</t>
        </is>
      </c>
      <c r="C2808" t="inlineStr">
        <is>
          <t>adidas Copa Zone Cushion IV Sock</t>
        </is>
      </c>
      <c r="D2808" t="inlineStr">
        <is>
          <t>adidas Copa Zone Cushion II Soccer Sock (1-Pair)</t>
        </is>
      </c>
      <c r="E2808" s="2">
        <f>HYPERLINK("https://www.amazon.com/adidas-Cushion-Light-Maroon-Medium/dp/B00DF0RRL2/ref=sr_1_6?keywords=adidas+Copa+Zone+Cushion+IV+Sock&amp;qid=1695171094&amp;sr=8-6", "https://www.amazon.com/adidas-Cushion-Light-Maroon-Medium/dp/B00DF0RRL2/ref=sr_1_6?keywords=adidas+Copa+Zone+Cushion+IV+Sock&amp;qid=1695171094&amp;sr=8-6")</f>
        <v/>
      </c>
      <c r="F2808" t="inlineStr">
        <is>
          <t>B00DF0RRL2</t>
        </is>
      </c>
      <c r="G2808">
        <f>_xludf.IMAGE("https://www.soccerplususa.com/prodimages/17552-DEFAULT-l.jpg")</f>
        <v/>
      </c>
      <c r="H2808">
        <f>_xludf.IMAGE("https://m.media-amazon.com/images/I/91uVZ109eZL._AC_UL320_.jpg")</f>
        <v/>
      </c>
      <c r="K2808" t="inlineStr">
        <is>
          <t>11.95</t>
        </is>
      </c>
      <c r="L2808" t="n">
        <v>12.45</v>
      </c>
      <c r="M2808" s="1" t="inlineStr">
        <is>
          <t>4.18%</t>
        </is>
      </c>
      <c r="N2808" s="3" t="n">
        <v>4.18</v>
      </c>
      <c r="O2808" t="n">
        <v>4.6</v>
      </c>
      <c r="P2808" t="n">
        <v>1211</v>
      </c>
      <c r="R2808" t="inlineStr">
        <is>
          <t>InStock</t>
        </is>
      </c>
      <c r="S2808" t="inlineStr">
        <is>
          <t>undefined</t>
        </is>
      </c>
      <c r="T2808" t="inlineStr">
        <is>
          <t>5147309</t>
        </is>
      </c>
    </row>
    <row r="2809" hidden="1" ht="15.75" customHeight="1">
      <c r="A2809" s="2">
        <f>HYPERLINK("https://www.soccerplususa.com/adidas-2/adidas-copa-zone-cushion-iv-sock-36237", "https://www.soccerplususa.com/adidas-2/adidas-copa-zone-cushion-iv-sock-36237")</f>
        <v/>
      </c>
      <c r="B2809" t="inlineStr">
        <is>
          <t>undefined</t>
        </is>
      </c>
      <c r="C2809" t="inlineStr">
        <is>
          <t>adidas Copa Zone Cushion IV Sock</t>
        </is>
      </c>
      <c r="D2809" t="inlineStr">
        <is>
          <t>adidas Copa Zone Cushion II Soccer Sock (1-Pair)</t>
        </is>
      </c>
      <c r="E2809" s="2">
        <f>HYPERLINK("https://www.amazon.com/adidas-Cushion-Light-Maroon-Medium/dp/B00DF0RRL2/ref=sr_1_6?keywords=adidas+Copa+Zone+Cushion+IV+Sock&amp;qid=1695171091&amp;sr=8-6", "https://www.amazon.com/adidas-Cushion-Light-Maroon-Medium/dp/B00DF0RRL2/ref=sr_1_6?keywords=adidas+Copa+Zone+Cushion+IV+Sock&amp;qid=1695171091&amp;sr=8-6")</f>
        <v/>
      </c>
      <c r="F2809" t="inlineStr">
        <is>
          <t>B00DF0RRL2</t>
        </is>
      </c>
      <c r="G2809">
        <f>_xludf.IMAGE("https://www.soccerplususa.com/prodimages/17546-DEFAULT-l.jpg")</f>
        <v/>
      </c>
      <c r="H2809">
        <f>_xludf.IMAGE("https://m.media-amazon.com/images/I/91uVZ109eZL._AC_UL320_.jpg")</f>
        <v/>
      </c>
      <c r="K2809" t="inlineStr">
        <is>
          <t>11.95</t>
        </is>
      </c>
      <c r="L2809" t="n">
        <v>12.45</v>
      </c>
      <c r="M2809" s="1" t="inlineStr">
        <is>
          <t>4.18%</t>
        </is>
      </c>
      <c r="N2809" s="3" t="n">
        <v>4.18</v>
      </c>
      <c r="O2809" t="n">
        <v>4.6</v>
      </c>
      <c r="P2809" t="n">
        <v>1211</v>
      </c>
      <c r="R2809" t="inlineStr">
        <is>
          <t>InStock</t>
        </is>
      </c>
      <c r="S2809" t="inlineStr">
        <is>
          <t>undefined</t>
        </is>
      </c>
      <c r="T2809" t="inlineStr">
        <is>
          <t>5147293</t>
        </is>
      </c>
    </row>
    <row r="2810" hidden="1" ht="15.75" customHeight="1">
      <c r="A2810" s="2">
        <f>HYPERLINK("https://www.soccerplususa.com/adidas/adidas-copa-zone-cushion-iv-sock-33729", "https://www.soccerplususa.com/adidas/adidas-copa-zone-cushion-iv-sock-33729")</f>
        <v/>
      </c>
      <c r="B2810" t="inlineStr">
        <is>
          <t>undefined</t>
        </is>
      </c>
      <c r="C2810" t="inlineStr">
        <is>
          <t>adidas Copa Zone Cushion IV Sock</t>
        </is>
      </c>
      <c r="D2810" t="inlineStr">
        <is>
          <t>adidas Copa Zone Cushion II Soccer Sock (1-Pair)</t>
        </is>
      </c>
      <c r="E2810" s="2">
        <f>HYPERLINK("https://www.amazon.com/adidas-Cushion-Light-Maroon-Medium/dp/B00DF0RRL2/ref=sr_1_6?keywords=adidas+Copa+Zone+Cushion+IV+Sock&amp;qid=1695171091&amp;sr=8-6", "https://www.amazon.com/adidas-Cushion-Light-Maroon-Medium/dp/B00DF0RRL2/ref=sr_1_6?keywords=adidas+Copa+Zone+Cushion+IV+Sock&amp;qid=1695171091&amp;sr=8-6")</f>
        <v/>
      </c>
      <c r="F2810" t="inlineStr">
        <is>
          <t>B00DF0RRL2</t>
        </is>
      </c>
      <c r="G2810">
        <f>_xludf.IMAGE("https://www.soccerplususa.com/prodimages/8983-DEFAULT-l.jpg")</f>
        <v/>
      </c>
      <c r="H2810">
        <f>_xludf.IMAGE("https://m.media-amazon.com/images/I/91uVZ109eZL._AC_UL320_.jpg")</f>
        <v/>
      </c>
      <c r="K2810" t="inlineStr">
        <is>
          <t>11.99</t>
        </is>
      </c>
      <c r="L2810" t="n">
        <v>12.45</v>
      </c>
      <c r="M2810" s="1" t="inlineStr">
        <is>
          <t>3.84%</t>
        </is>
      </c>
      <c r="N2810" s="3" t="n">
        <v>3.84</v>
      </c>
      <c r="O2810" t="n">
        <v>4.6</v>
      </c>
      <c r="P2810" t="n">
        <v>1211</v>
      </c>
      <c r="R2810" t="inlineStr">
        <is>
          <t>InStock</t>
        </is>
      </c>
      <c r="S2810" t="inlineStr">
        <is>
          <t>undefined</t>
        </is>
      </c>
      <c r="T2810" t="inlineStr">
        <is>
          <t>5147296</t>
        </is>
      </c>
    </row>
    <row r="2811" hidden="1" ht="15.75" customHeight="1">
      <c r="A2811" s="2">
        <f>HYPERLINK("https://www.soccerplususa.com/adidas-2/adidas-copa-zone-cushion-iv-sock-36243", "https://www.soccerplususa.com/adidas-2/adidas-copa-zone-cushion-iv-sock-36243")</f>
        <v/>
      </c>
      <c r="B2811" t="inlineStr">
        <is>
          <t>undefined</t>
        </is>
      </c>
      <c r="C2811" t="inlineStr">
        <is>
          <t>adidas Copa Zone Cushion IV Sock</t>
        </is>
      </c>
      <c r="D2811" t="inlineStr">
        <is>
          <t>adidas Copa Zone Cushion II Soccer Sock (1-Pair)</t>
        </is>
      </c>
      <c r="E2811" s="2">
        <f>HYPERLINK("https://www.amazon.com/adidas-Cushion-Light-Maroon-Medium/dp/B00DF0RRL2/ref=sr_1_6?keywords=adidas+Copa+Zone+Cushion+IV+Sock&amp;qid=1695171093&amp;sr=8-6", "https://www.amazon.com/adidas-Cushion-Light-Maroon-Medium/dp/B00DF0RRL2/ref=sr_1_6?keywords=adidas+Copa+Zone+Cushion+IV+Sock&amp;qid=1695171093&amp;sr=8-6")</f>
        <v/>
      </c>
      <c r="F2811" t="inlineStr">
        <is>
          <t>B00DF0RRL2</t>
        </is>
      </c>
      <c r="G2811">
        <f>_xludf.IMAGE("https://www.soccerplususa.com/prodimages/32190-DEFAULT-l.jpg")</f>
        <v/>
      </c>
      <c r="H2811">
        <f>_xludf.IMAGE("https://m.media-amazon.com/images/I/91uVZ109eZL._AC_UL320_.jpg")</f>
        <v/>
      </c>
      <c r="K2811" t="inlineStr">
        <is>
          <t>11.99</t>
        </is>
      </c>
      <c r="L2811" t="n">
        <v>12.45</v>
      </c>
      <c r="M2811" s="1" t="inlineStr">
        <is>
          <t>3.84%</t>
        </is>
      </c>
      <c r="N2811" s="3" t="n">
        <v>3.84</v>
      </c>
      <c r="O2811" t="n">
        <v>4.6</v>
      </c>
      <c r="P2811" t="n">
        <v>1211</v>
      </c>
      <c r="R2811" t="inlineStr">
        <is>
          <t>InStock</t>
        </is>
      </c>
      <c r="S2811" t="inlineStr">
        <is>
          <t>undefined</t>
        </is>
      </c>
      <c r="T2811" t="inlineStr">
        <is>
          <t>5147305</t>
        </is>
      </c>
    </row>
    <row r="2812" hidden="1" ht="15.75" customHeight="1">
      <c r="A2812" s="2">
        <f>HYPERLINK("https://www.soccerplususa.com/adidas-2/adidas-alphaskin-calf-sleeve-36219", "https://www.soccerplususa.com/adidas-2/adidas-alphaskin-calf-sleeve-36219")</f>
        <v/>
      </c>
      <c r="B2812" t="inlineStr">
        <is>
          <t>undefined</t>
        </is>
      </c>
      <c r="C2812" t="inlineStr">
        <is>
          <t>adidas Alphaskin Calf Sleeve</t>
        </is>
      </c>
      <c r="D2812" t="inlineStr">
        <is>
          <t>adidas Compression Calf Sleeve (Pack of 1)</t>
        </is>
      </c>
      <c r="E2812" s="2">
        <f>HYPERLINK("https://www.amazon.com/adidas-Compression-Sleeve-White-Medium/dp/B00DEJIBZ0/ref=sr_1_8?keywords=adidas+Alphaskin+Calf+Sleeve&amp;qid=1695171102&amp;sr=8-8", "https://www.amazon.com/adidas-Compression-Sleeve-White-Medium/dp/B00DEJIBZ0/ref=sr_1_8?keywords=adidas+Alphaskin+Calf+Sleeve&amp;qid=1695171102&amp;sr=8-8")</f>
        <v/>
      </c>
      <c r="F2812" t="inlineStr">
        <is>
          <t>B00DEJIBZ0</t>
        </is>
      </c>
      <c r="G2812">
        <f>_xludf.IMAGE("https://www.soccerplususa.com/prodimages/17513-DEFAULT-l.jpg")</f>
        <v/>
      </c>
      <c r="H2812">
        <f>_xludf.IMAGE("https://m.media-amazon.com/images/I/61ButdEjL-L._AC_UL320_.jpg")</f>
        <v/>
      </c>
      <c r="K2812" t="inlineStr">
        <is>
          <t>19.95</t>
        </is>
      </c>
      <c r="L2812" t="n">
        <v>20.7</v>
      </c>
      <c r="M2812" s="1" t="inlineStr">
        <is>
          <t>3.76%</t>
        </is>
      </c>
      <c r="N2812" s="3" t="n">
        <v>3.76</v>
      </c>
      <c r="O2812" t="n">
        <v>4.4</v>
      </c>
      <c r="P2812" t="n">
        <v>266</v>
      </c>
      <c r="R2812" t="inlineStr">
        <is>
          <t>InStock</t>
        </is>
      </c>
      <c r="S2812" t="inlineStr">
        <is>
          <t>24.95</t>
        </is>
      </c>
      <c r="T2812" t="inlineStr">
        <is>
          <t>5143548</t>
        </is>
      </c>
    </row>
    <row r="2813" hidden="1" ht="15.75" customHeight="1">
      <c r="A2813" s="2">
        <f>HYPERLINK("https://www.soccerplususa.com/premier-sock-tape/pro-crew-sock-37590", "https://www.soccerplususa.com/premier-sock-tape/pro-crew-sock-37590")</f>
        <v/>
      </c>
      <c r="B2813" t="inlineStr">
        <is>
          <t>undefined</t>
        </is>
      </c>
      <c r="C2813" t="inlineStr">
        <is>
          <t>Pro Crew Sock</t>
        </is>
      </c>
      <c r="D2813" t="inlineStr">
        <is>
          <t>Timberland PRO mens 2-pack Ribbed Logo Crew Socks</t>
        </is>
      </c>
      <c r="E2813" s="2">
        <f>HYPERLINK("https://www.amazon.com/Timberland-PRO-TB193831TD-Coolmax-Infused/dp/B08BJDJ1V4/ref=sr_1_2?keywords=Pro+Crew+Sock&amp;qid=1695171090&amp;sr=8-2", "https://www.amazon.com/Timberland-PRO-TB193831TD-Coolmax-Infused/dp/B08BJDJ1V4/ref=sr_1_2?keywords=Pro+Crew+Sock&amp;qid=1695171090&amp;sr=8-2")</f>
        <v/>
      </c>
      <c r="F2813" t="inlineStr">
        <is>
          <t>B08BJDJ1V4</t>
        </is>
      </c>
      <c r="G2813">
        <f>_xludf.IMAGE("https://www.soccerplususa.com/prodimages/10571-DEFAULT-l.jpg")</f>
        <v/>
      </c>
      <c r="H2813">
        <f>_xludf.IMAGE("https://m.media-amazon.com/images/I/715RxAngcqL._AC_UL320_.jpg")</f>
        <v/>
      </c>
      <c r="K2813" t="inlineStr">
        <is>
          <t>9.95</t>
        </is>
      </c>
      <c r="L2813" t="n">
        <v>10.05</v>
      </c>
      <c r="M2813" s="1" t="inlineStr">
        <is>
          <t>1.01%</t>
        </is>
      </c>
      <c r="N2813" s="3" t="n">
        <v>1.01</v>
      </c>
      <c r="O2813" t="n">
        <v>4.4</v>
      </c>
      <c r="P2813" t="n">
        <v>136</v>
      </c>
      <c r="R2813" t="inlineStr">
        <is>
          <t>InStock</t>
        </is>
      </c>
      <c r="S2813" t="inlineStr">
        <is>
          <t>undefined</t>
        </is>
      </c>
      <c r="T2813" t="inlineStr">
        <is>
          <t>PCSOCK</t>
        </is>
      </c>
    </row>
    <row r="2814" hidden="1" ht="15.75" customHeight="1">
      <c r="A2814" s="2">
        <f>HYPERLINK("https://www.soccerplususa.com/adidas/adidas-metro-iv-sock-2031", "https://www.soccerplususa.com/adidas/adidas-metro-iv-sock-2031")</f>
        <v/>
      </c>
      <c r="B2814" t="inlineStr">
        <is>
          <t>undefined</t>
        </is>
      </c>
      <c r="C2814" t="inlineStr">
        <is>
          <t>adidas Metro IV Sock</t>
        </is>
      </c>
      <c r="D2814" t="inlineStr">
        <is>
          <t>adidas Metro 4 Soccer Socks (1-Pair), Medium</t>
        </is>
      </c>
      <c r="E2814" s="2">
        <f>HYPERLINK("https://www.amazon.com/adidas-Metro-Soccer-1-Pack-Medium/dp/B00SGTA9VC/ref=sr_1_1?keywords=adidas+Metro+IV+Sock&amp;qid=1695171113&amp;sr=8-1", "https://www.amazon.com/adidas-Metro-Soccer-1-Pack-Medium/dp/B00SGTA9VC/ref=sr_1_1?keywords=adidas+Metro+IV+Sock&amp;qid=1695171113&amp;sr=8-1")</f>
        <v/>
      </c>
      <c r="F2814" t="inlineStr">
        <is>
          <t>B00SGTA9VC</t>
        </is>
      </c>
      <c r="G2814">
        <f>_xludf.IMAGE("https://www.soccerplususa.com/prodimages/2134-DEFAULT-l.jpg")</f>
        <v/>
      </c>
      <c r="H2814">
        <f>_xludf.IMAGE("https://m.media-amazon.com/images/I/81Cq9ovhu9L._AC_UL320_.jpg")</f>
        <v/>
      </c>
      <c r="K2814" t="inlineStr">
        <is>
          <t>8.95</t>
        </is>
      </c>
      <c r="L2814" t="n">
        <v>9</v>
      </c>
      <c r="M2814" s="1" t="inlineStr">
        <is>
          <t>0.56%</t>
        </is>
      </c>
      <c r="N2814" s="3" t="n">
        <v>0.5600000000000001</v>
      </c>
      <c r="O2814" t="n">
        <v>4.7</v>
      </c>
      <c r="P2814" t="n">
        <v>8907</v>
      </c>
      <c r="R2814" t="inlineStr">
        <is>
          <t>InStock</t>
        </is>
      </c>
      <c r="S2814" t="inlineStr">
        <is>
          <t>undefined</t>
        </is>
      </c>
      <c r="T2814" t="inlineStr">
        <is>
          <t>5137789</t>
        </is>
      </c>
    </row>
    <row r="2815" hidden="1" ht="15.75" customHeight="1">
      <c r="A2815" s="2">
        <f>HYPERLINK("https://www.soccerplususa.com/adidas/adidas-metro-6-soccer-sock-45596", "https://www.soccerplususa.com/adidas/adidas-metro-6-soccer-sock-45596")</f>
        <v/>
      </c>
      <c r="B2815" t="inlineStr">
        <is>
          <t>undefined</t>
        </is>
      </c>
      <c r="C2815" t="inlineStr">
        <is>
          <t>adidas Metro 6 Soccer Sock</t>
        </is>
      </c>
      <c r="D2815" t="inlineStr">
        <is>
          <t>adidas Unisex-adult Metro 6 Soccer Socks (1-pair)</t>
        </is>
      </c>
      <c r="E2815" s="2">
        <f>HYPERLINK("https://www.amazon.com/adidas-Unisex-Metro-Soccer-1-pair/dp/B09YC7Z6R6/ref=sr_1_2?keywords=adidas+Metro+6+Soccer+Sock&amp;qid=1695171086&amp;sr=8-2", "https://www.amazon.com/adidas-Unisex-Metro-Soccer-1-pair/dp/B09YC7Z6R6/ref=sr_1_2?keywords=adidas+Metro+6+Soccer+Sock&amp;qid=1695171086&amp;sr=8-2")</f>
        <v/>
      </c>
      <c r="F2815" t="inlineStr">
        <is>
          <t>B09YC7Z6R6</t>
        </is>
      </c>
      <c r="G2815">
        <f>_xludf.IMAGE("https://www.soccerplususa.com/prodimages//37123-RED-M.jpg")</f>
        <v/>
      </c>
      <c r="H2815">
        <f>_xludf.IMAGE("https://m.media-amazon.com/images/I/71gTIJtaVKL._AC_UL320_.jpg")</f>
        <v/>
      </c>
      <c r="K2815" t="inlineStr">
        <is>
          <t>9.95</t>
        </is>
      </c>
      <c r="L2815" t="n">
        <v>10</v>
      </c>
      <c r="M2815" s="1" t="inlineStr">
        <is>
          <t>0.50%</t>
        </is>
      </c>
      <c r="N2815" s="3" t="n">
        <v>0.5</v>
      </c>
      <c r="O2815" t="n">
        <v>4.6</v>
      </c>
      <c r="P2815" t="n">
        <v>301</v>
      </c>
      <c r="R2815" t="inlineStr">
        <is>
          <t>InStock</t>
        </is>
      </c>
      <c r="S2815" t="inlineStr">
        <is>
          <t>undefined</t>
        </is>
      </c>
      <c r="T2815" t="inlineStr">
        <is>
          <t>5155948</t>
        </is>
      </c>
    </row>
    <row r="2816" hidden="1" ht="15.75" customHeight="1">
      <c r="A2816" s="2">
        <f>HYPERLINK("https://www.soccerplususa.com/adidas/adidas-metro-6-soccer-sock-45617", "https://www.soccerplususa.com/adidas/adidas-metro-6-soccer-sock-45617")</f>
        <v/>
      </c>
      <c r="B2816" t="inlineStr">
        <is>
          <t>undefined</t>
        </is>
      </c>
      <c r="C2816" t="inlineStr">
        <is>
          <t>adidas Metro 6 Soccer Sock</t>
        </is>
      </c>
      <c r="D2816" t="inlineStr">
        <is>
          <t>adidas Unisex-adult Metro 6 Soccer Socks (1-pair)</t>
        </is>
      </c>
      <c r="E2816" s="2">
        <f>HYPERLINK("https://www.amazon.com/adidas-Unisex-Metro-Soccer-1-pair/dp/B09YC7Z6R6/ref=sr_1_2?keywords=adidas+Metro+6+Soccer+Sock&amp;qid=1695171083&amp;sr=8-2", "https://www.amazon.com/adidas-Unisex-Metro-Soccer-1-pair/dp/B09YC7Z6R6/ref=sr_1_2?keywords=adidas+Metro+6+Soccer+Sock&amp;qid=1695171083&amp;sr=8-2")</f>
        <v/>
      </c>
      <c r="F2816" t="inlineStr">
        <is>
          <t>B09YC7Z6R6</t>
        </is>
      </c>
      <c r="G2816">
        <f>_xludf.IMAGE("https://www.soccerplususa.com/prodimages//37119-Semi_Solar_Green-M.jpg")</f>
        <v/>
      </c>
      <c r="H2816">
        <f>_xludf.IMAGE("https://m.media-amazon.com/images/I/71gTIJtaVKL._AC_UL320_.jpg")</f>
        <v/>
      </c>
      <c r="K2816" t="inlineStr">
        <is>
          <t>9.95</t>
        </is>
      </c>
      <c r="L2816" t="n">
        <v>10</v>
      </c>
      <c r="M2816" s="1" t="inlineStr">
        <is>
          <t>0.50%</t>
        </is>
      </c>
      <c r="N2816" s="3" t="n">
        <v>0.5</v>
      </c>
      <c r="O2816" t="n">
        <v>4.6</v>
      </c>
      <c r="P2816" t="n">
        <v>301</v>
      </c>
      <c r="R2816" t="inlineStr">
        <is>
          <t>InStock</t>
        </is>
      </c>
      <c r="S2816" t="inlineStr">
        <is>
          <t>undefined</t>
        </is>
      </c>
      <c r="T2816" t="inlineStr">
        <is>
          <t>5156377</t>
        </is>
      </c>
    </row>
    <row r="2817" hidden="1" ht="15.75" customHeight="1">
      <c r="A2817" s="2">
        <f>HYPERLINK("https://www.soccerplususa.com/adidas/adidas-metro-6-soccer-sock-45095", "https://www.soccerplususa.com/adidas/adidas-metro-6-soccer-sock-45095")</f>
        <v/>
      </c>
      <c r="B2817" t="inlineStr">
        <is>
          <t>undefined</t>
        </is>
      </c>
      <c r="C2817" t="inlineStr">
        <is>
          <t>adidas Metro 6 Soccer Sock</t>
        </is>
      </c>
      <c r="D2817" t="inlineStr">
        <is>
          <t>adidas Unisex-adult Metro 6 Soccer Socks (1-pair)</t>
        </is>
      </c>
      <c r="E2817" s="2">
        <f>HYPERLINK("https://www.amazon.com/adidas-Unisex-Metro-Soccer-1-pair/dp/B09YC7Z6R6/ref=sr_1_1?keywords=adidas+Metro+6+Soccer+Sock&amp;qid=1695171084&amp;sr=8-1", "https://www.amazon.com/adidas-Unisex-Metro-Soccer-1-pair/dp/B09YC7Z6R6/ref=sr_1_1?keywords=adidas+Metro+6+Soccer+Sock&amp;qid=1695171084&amp;sr=8-1")</f>
        <v/>
      </c>
      <c r="F2817" t="inlineStr">
        <is>
          <t>B09YC7Z6R6</t>
        </is>
      </c>
      <c r="G2817">
        <f>_xludf.IMAGE("https://www.soccerplususa.com/prodimages//37124-ROYAL-M.jpg")</f>
        <v/>
      </c>
      <c r="H2817">
        <f>_xludf.IMAGE("https://m.media-amazon.com/images/I/71gTIJtaVKL._AC_UL320_.jpg")</f>
        <v/>
      </c>
      <c r="K2817" t="inlineStr">
        <is>
          <t>9.95</t>
        </is>
      </c>
      <c r="L2817" t="n">
        <v>10</v>
      </c>
      <c r="M2817" s="1" t="inlineStr">
        <is>
          <t>0.50%</t>
        </is>
      </c>
      <c r="N2817" s="3" t="n">
        <v>0.5</v>
      </c>
      <c r="O2817" t="n">
        <v>4.6</v>
      </c>
      <c r="P2817" t="n">
        <v>301</v>
      </c>
      <c r="R2817" t="inlineStr">
        <is>
          <t>InStock</t>
        </is>
      </c>
      <c r="S2817" t="inlineStr">
        <is>
          <t>undefined</t>
        </is>
      </c>
      <c r="T2817" t="inlineStr">
        <is>
          <t>5155947</t>
        </is>
      </c>
    </row>
    <row r="2818" hidden="1" ht="15.75" customHeight="1">
      <c r="A2818" s="2">
        <f>HYPERLINK("https://www.soccerplususa.com/adidas/adidas-metro-6-soccer-sock-45096", "https://www.soccerplususa.com/adidas/adidas-metro-6-soccer-sock-45096")</f>
        <v/>
      </c>
      <c r="B2818" t="inlineStr">
        <is>
          <t>undefined</t>
        </is>
      </c>
      <c r="C2818" t="inlineStr">
        <is>
          <t>adidas Metro 6 Soccer Sock</t>
        </is>
      </c>
      <c r="D2818" t="inlineStr">
        <is>
          <t>adidas Unisex-adult Metro 6 Soccer Socks (1-pair)</t>
        </is>
      </c>
      <c r="E2818" s="2">
        <f>HYPERLINK("https://www.amazon.com/adidas-Unisex-Metro-Soccer-1-pair/dp/B09YC7Z6R6/ref=sr_1_1?keywords=adidas+Metro+6+Soccer+Sock&amp;qid=1695171112&amp;sr=8-1", "https://www.amazon.com/adidas-Unisex-Metro-Soccer-1-pair/dp/B09YC7Z6R6/ref=sr_1_1?keywords=adidas+Metro+6+Soccer+Sock&amp;qid=1695171112&amp;sr=8-1")</f>
        <v/>
      </c>
      <c r="F2818" t="inlineStr">
        <is>
          <t>B09YC7Z6R6</t>
        </is>
      </c>
      <c r="G2818">
        <f>_xludf.IMAGE("https://www.soccerplususa.com/prodimages//37125-ultra_pop-M.jpg")</f>
        <v/>
      </c>
      <c r="H2818">
        <f>_xludf.IMAGE("https://m.media-amazon.com/images/I/71gTIJtaVKL._AC_UL320_.jpg")</f>
        <v/>
      </c>
      <c r="K2818" t="inlineStr">
        <is>
          <t>9.95</t>
        </is>
      </c>
      <c r="L2818" t="n">
        <v>10</v>
      </c>
      <c r="M2818" s="1" t="inlineStr">
        <is>
          <t>0.50%</t>
        </is>
      </c>
      <c r="N2818" s="3" t="n">
        <v>0.5</v>
      </c>
      <c r="O2818" t="n">
        <v>4.6</v>
      </c>
      <c r="P2818" t="n">
        <v>301</v>
      </c>
      <c r="R2818" t="inlineStr">
        <is>
          <t>InStock</t>
        </is>
      </c>
      <c r="S2818" t="inlineStr">
        <is>
          <t>undefined</t>
        </is>
      </c>
      <c r="T2818" t="inlineStr">
        <is>
          <t>5155946</t>
        </is>
      </c>
    </row>
    <row r="2819" hidden="1" ht="15.75" customHeight="1">
      <c r="A2819" s="2">
        <f>HYPERLINK("https://www.soccerplususa.com/puma/puma-hoop-soccer-sock-37931", "https://www.soccerplususa.com/puma/puma-hoop-soccer-sock-37931")</f>
        <v/>
      </c>
      <c r="B2819" t="inlineStr">
        <is>
          <t>undefined</t>
        </is>
      </c>
      <c r="C2819" t="inlineStr">
        <is>
          <t>Puma Hoop Soccer Sock</t>
        </is>
      </c>
      <c r="D2819" t="inlineStr">
        <is>
          <t>Soccer Sock stoppers Thin-Puma Black-One Size</t>
        </is>
      </c>
      <c r="E2819" s="2">
        <f>HYPERLINK("https://www.amazon.com/PUMA-05063702-Sock-stoppers-Thin/dp/B07NX7JZL2/ref=sr_1_5?keywords=Puma+Hoop+Soccer+Sock&amp;qid=1695171086&amp;sr=8-5", "https://www.amazon.com/PUMA-05063702-Sock-stoppers-Thin/dp/B07NX7JZL2/ref=sr_1_5?keywords=Puma+Hoop+Soccer+Sock&amp;qid=1695171086&amp;sr=8-5")</f>
        <v/>
      </c>
      <c r="F2819" t="inlineStr">
        <is>
          <t>B07NX7JZL2</t>
        </is>
      </c>
      <c r="G2819">
        <f>_xludf.IMAGE("https://www.soccerplususa.com/prodimages//36782-REDWHITE-M.jpg")</f>
        <v/>
      </c>
      <c r="H2819">
        <f>_xludf.IMAGE("https://m.media-amazon.com/images/I/71Xje4V5gpL._AC_UL320_.jpg")</f>
        <v/>
      </c>
      <c r="K2819" t="inlineStr">
        <is>
          <t>8.99</t>
        </is>
      </c>
      <c r="L2819" t="n">
        <v>9.029999999999999</v>
      </c>
      <c r="M2819" s="1" t="inlineStr">
        <is>
          <t>0.44%</t>
        </is>
      </c>
      <c r="N2819" s="3" t="n">
        <v>0.44</v>
      </c>
      <c r="O2819" t="n">
        <v>3.7</v>
      </c>
      <c r="P2819" t="n">
        <v>21</v>
      </c>
      <c r="R2819" t="inlineStr">
        <is>
          <t>InStock</t>
        </is>
      </c>
      <c r="S2819" t="inlineStr">
        <is>
          <t>9.95</t>
        </is>
      </c>
      <c r="T2819" t="inlineStr">
        <is>
          <t>895854-01</t>
        </is>
      </c>
    </row>
    <row r="2820" hidden="1" ht="15.75" customHeight="1">
      <c r="A2820" s="2">
        <f>HYPERLINK("https://www.soccerplususa.com/adidas-2/adidas-copa-zone-cushion-iv-sock-36242", "https://www.soccerplususa.com/adidas-2/adidas-copa-zone-cushion-iv-sock-36242")</f>
        <v/>
      </c>
      <c r="B2820" t="inlineStr">
        <is>
          <t>undefined</t>
        </is>
      </c>
      <c r="C2820" t="inlineStr">
        <is>
          <t>adidas Copa Zone Cushion IV Sock</t>
        </is>
      </c>
      <c r="D2820" t="inlineStr">
        <is>
          <t>adidas unisex-adult Copa Zone Cushion 4 Soccer Socks (1-pair)</t>
        </is>
      </c>
      <c r="E2820" s="2">
        <f>HYPERLINK("https://www.amazon.com/adidas-Cushion-Soccer-1-Pack-Orange/dp/B07D9JFHJB/ref=sr_1_7?keywords=adidas+Copa+Zone+Cushion+IV+Sock&amp;qid=1695171095&amp;sr=8-7", "https://www.amazon.com/adidas-Cushion-Soccer-1-Pack-Orange/dp/B07D9JFHJB/ref=sr_1_7?keywords=adidas+Copa+Zone+Cushion+IV+Sock&amp;qid=1695171095&amp;sr=8-7")</f>
        <v/>
      </c>
      <c r="F2820" t="inlineStr">
        <is>
          <t>B07D9JFHJB</t>
        </is>
      </c>
      <c r="G2820">
        <f>_xludf.IMAGE("https://www.soccerplususa.com/prodimages/17551-DEFAULT-l.jpg")</f>
        <v/>
      </c>
      <c r="H2820">
        <f>_xludf.IMAGE("https://m.media-amazon.com/images/I/81ArHHWsT2L._AC_UL320_.jpg")</f>
        <v/>
      </c>
      <c r="K2820" t="inlineStr">
        <is>
          <t>11.95</t>
        </is>
      </c>
      <c r="L2820" t="n">
        <v>12</v>
      </c>
      <c r="M2820" s="1" t="inlineStr">
        <is>
          <t>0.42%</t>
        </is>
      </c>
      <c r="N2820" s="3" t="n">
        <v>0.42</v>
      </c>
      <c r="O2820" t="n">
        <v>4.5</v>
      </c>
      <c r="P2820" t="n">
        <v>76</v>
      </c>
      <c r="R2820" t="inlineStr">
        <is>
          <t>InStock</t>
        </is>
      </c>
      <c r="S2820" t="inlineStr">
        <is>
          <t>undefined</t>
        </is>
      </c>
      <c r="T2820" t="inlineStr">
        <is>
          <t>5147304</t>
        </is>
      </c>
    </row>
    <row r="2821" hidden="1" ht="15.75" customHeight="1">
      <c r="A2821" s="2">
        <f>HYPERLINK("https://www.soccerplususa.com/adidas-2/adidas-copa-zone-cushion-iv-otc-sock-36234", "https://www.soccerplususa.com/adidas-2/adidas-copa-zone-cushion-iv-otc-sock-36234")</f>
        <v/>
      </c>
      <c r="B2821" t="inlineStr">
        <is>
          <t>undefined</t>
        </is>
      </c>
      <c r="C2821" t="inlineStr">
        <is>
          <t>adidas Copa Zone Cushion IV OTC Sock</t>
        </is>
      </c>
      <c r="D2821" t="inlineStr">
        <is>
          <t>adidas unisex-adult Copa Zone Cushion 4 Soccer Socks (1-pair)</t>
        </is>
      </c>
      <c r="E2821" s="2">
        <f>HYPERLINK("https://www.amazon.com/adidas-Cushion-Soccer-1-Pack-Orange/dp/B07D9JFHJB/ref=sr_1_5?keywords=adidas+Copa+Zone+Cushion+IV+OTC+Sock&amp;qid=1695171089&amp;sr=8-5", "https://www.amazon.com/adidas-Cushion-Soccer-1-Pack-Orange/dp/B07D9JFHJB/ref=sr_1_5?keywords=adidas+Copa+Zone+Cushion+IV+OTC+Sock&amp;qid=1695171089&amp;sr=8-5")</f>
        <v/>
      </c>
      <c r="F2821" t="inlineStr">
        <is>
          <t>B07D9JFHJB</t>
        </is>
      </c>
      <c r="G2821">
        <f>_xludf.IMAGE("https://www.soccerplususa.com/prodimages/17543-DEFAULT-l.jpg")</f>
        <v/>
      </c>
      <c r="H2821">
        <f>_xludf.IMAGE("https://m.media-amazon.com/images/I/81ArHHWsT2L._AC_UL320_.jpg")</f>
        <v/>
      </c>
      <c r="K2821" t="inlineStr">
        <is>
          <t>11.95</t>
        </is>
      </c>
      <c r="L2821" t="n">
        <v>12</v>
      </c>
      <c r="M2821" s="1" t="inlineStr">
        <is>
          <t>0.42%</t>
        </is>
      </c>
      <c r="N2821" s="3" t="n">
        <v>0.42</v>
      </c>
      <c r="O2821" t="n">
        <v>4.5</v>
      </c>
      <c r="P2821" t="n">
        <v>76</v>
      </c>
      <c r="R2821" t="inlineStr">
        <is>
          <t>InStock</t>
        </is>
      </c>
      <c r="S2821" t="inlineStr">
        <is>
          <t>undefined</t>
        </is>
      </c>
      <c r="T2821" t="inlineStr">
        <is>
          <t>5147290</t>
        </is>
      </c>
    </row>
    <row r="2822" hidden="1" ht="15.75" customHeight="1">
      <c r="A2822" s="2">
        <f>HYPERLINK("https://www.soccerplususa.com/adidas-2/adidas-copa-zone-cushion-iv-sock-36241", "https://www.soccerplususa.com/adidas-2/adidas-copa-zone-cushion-iv-sock-36241")</f>
        <v/>
      </c>
      <c r="B2822" t="inlineStr">
        <is>
          <t>undefined</t>
        </is>
      </c>
      <c r="C2822" t="inlineStr">
        <is>
          <t>adidas Copa Zone Cushion IV Sock</t>
        </is>
      </c>
      <c r="D2822" t="inlineStr">
        <is>
          <t>adidas unisex-adult Copa Zone Cushion 4 Soccer Socks (1-pair)</t>
        </is>
      </c>
      <c r="E2822" s="2">
        <f>HYPERLINK("https://www.amazon.com/adidas-Cushion-Soccer-1-Pack-Orange/dp/B07D9JFHJB/ref=sr_1_7?keywords=adidas+Copa+Zone+Cushion+IV+Sock&amp;qid=1695171090&amp;sr=8-7", "https://www.amazon.com/adidas-Cushion-Soccer-1-Pack-Orange/dp/B07D9JFHJB/ref=sr_1_7?keywords=adidas+Copa+Zone+Cushion+IV+Sock&amp;qid=1695171090&amp;sr=8-7")</f>
        <v/>
      </c>
      <c r="F2822" t="inlineStr">
        <is>
          <t>B07D9JFHJB</t>
        </is>
      </c>
      <c r="G2822">
        <f>_xludf.IMAGE("https://www.soccerplususa.com/prodimages/17550-DEFAULT-l.jpg")</f>
        <v/>
      </c>
      <c r="H2822">
        <f>_xludf.IMAGE("https://m.media-amazon.com/images/I/81ArHHWsT2L._AC_UL320_.jpg")</f>
        <v/>
      </c>
      <c r="K2822" t="inlineStr">
        <is>
          <t>11.95</t>
        </is>
      </c>
      <c r="L2822" t="n">
        <v>12</v>
      </c>
      <c r="M2822" s="1" t="inlineStr">
        <is>
          <t>0.42%</t>
        </is>
      </c>
      <c r="N2822" s="3" t="n">
        <v>0.42</v>
      </c>
      <c r="O2822" t="n">
        <v>4.5</v>
      </c>
      <c r="P2822" t="n">
        <v>76</v>
      </c>
      <c r="R2822" t="inlineStr">
        <is>
          <t>InStock</t>
        </is>
      </c>
      <c r="S2822" t="inlineStr">
        <is>
          <t>undefined</t>
        </is>
      </c>
      <c r="T2822" t="inlineStr">
        <is>
          <t>5147303</t>
        </is>
      </c>
    </row>
    <row r="2823" hidden="1" ht="15.75" customHeight="1">
      <c r="A2823" s="2">
        <f>HYPERLINK("https://www.soccerplususa.com/adidas-2/adidas-copa-zone-cushion-iv-sock-36237", "https://www.soccerplususa.com/adidas-2/adidas-copa-zone-cushion-iv-sock-36237")</f>
        <v/>
      </c>
      <c r="B2823" t="inlineStr">
        <is>
          <t>undefined</t>
        </is>
      </c>
      <c r="C2823" t="inlineStr">
        <is>
          <t>adidas Copa Zone Cushion IV Sock</t>
        </is>
      </c>
      <c r="D2823" t="inlineStr">
        <is>
          <t>adidas unisex-adult Copa Zone Cushion 4 Soccer Socks (1-pair)</t>
        </is>
      </c>
      <c r="E2823" s="2">
        <f>HYPERLINK("https://www.amazon.com/adidas-Cushion-Soccer-1-Pack-Orange/dp/B07D9JFHJB/ref=sr_1_7?keywords=adidas+Copa+Zone+Cushion+IV+Sock&amp;qid=1695171091&amp;sr=8-7", "https://www.amazon.com/adidas-Cushion-Soccer-1-Pack-Orange/dp/B07D9JFHJB/ref=sr_1_7?keywords=adidas+Copa+Zone+Cushion+IV+Sock&amp;qid=1695171091&amp;sr=8-7")</f>
        <v/>
      </c>
      <c r="F2823" t="inlineStr">
        <is>
          <t>B07D9JFHJB</t>
        </is>
      </c>
      <c r="G2823">
        <f>_xludf.IMAGE("https://www.soccerplususa.com/prodimages/17546-DEFAULT-l.jpg")</f>
        <v/>
      </c>
      <c r="H2823">
        <f>_xludf.IMAGE("https://m.media-amazon.com/images/I/81ArHHWsT2L._AC_UL320_.jpg")</f>
        <v/>
      </c>
      <c r="K2823" t="inlineStr">
        <is>
          <t>11.95</t>
        </is>
      </c>
      <c r="L2823" t="n">
        <v>12</v>
      </c>
      <c r="M2823" s="1" t="inlineStr">
        <is>
          <t>0.42%</t>
        </is>
      </c>
      <c r="N2823" s="3" t="n">
        <v>0.42</v>
      </c>
      <c r="O2823" t="n">
        <v>4.5</v>
      </c>
      <c r="P2823" t="n">
        <v>76</v>
      </c>
      <c r="R2823" t="inlineStr">
        <is>
          <t>InStock</t>
        </is>
      </c>
      <c r="S2823" t="inlineStr">
        <is>
          <t>undefined</t>
        </is>
      </c>
      <c r="T2823" t="inlineStr">
        <is>
          <t>5147293</t>
        </is>
      </c>
    </row>
    <row r="2824" hidden="1" ht="15.75" customHeight="1">
      <c r="A2824" s="2">
        <f>HYPERLINK("https://www.soccerplususa.com/adidas/adidas-copa-zone-cushion-ii-soccer-sock-1940", "https://www.soccerplususa.com/adidas/adidas-copa-zone-cushion-ii-soccer-sock-1940")</f>
        <v/>
      </c>
      <c r="B2824" t="inlineStr">
        <is>
          <t>undefined</t>
        </is>
      </c>
      <c r="C2824" t="inlineStr">
        <is>
          <t>adidas Copa Zone Cushion II Soccer Sock</t>
        </is>
      </c>
      <c r="D2824" t="inlineStr">
        <is>
          <t>adidas Copa Zone Cushion 4 Soccer Socks for Boys, Girls, Men and Women (1-Pair)</t>
        </is>
      </c>
      <c r="E2824" s="2">
        <f>HYPERLINK("https://www.amazon.com/adidas-unisex-adult-Cushion-Soccer-X-Small/dp/B08KW52F1V/ref=sr_1_9?keywords=adidas+Copa+Zone+Cushion+II+Soccer+Sock&amp;qid=1695171112&amp;sr=8-9", "https://www.amazon.com/adidas-unisex-adult-Cushion-Soccer-X-Small/dp/B08KW52F1V/ref=sr_1_9?keywords=adidas+Copa+Zone+Cushion+II+Soccer+Sock&amp;qid=1695171112&amp;sr=8-9")</f>
        <v/>
      </c>
      <c r="F2824" t="inlineStr">
        <is>
          <t>B08KW52F1V</t>
        </is>
      </c>
      <c r="G2824">
        <f>_xludf.IMAGE("https://www.soccerplususa.com/prodimages//35006-WHITE-M.jpg")</f>
        <v/>
      </c>
      <c r="H2824">
        <f>_xludf.IMAGE("https://m.media-amazon.com/images/I/61LiVQlxxwL._AC_UL320_.jpg")</f>
        <v/>
      </c>
      <c r="K2824" t="inlineStr">
        <is>
          <t>11.95</t>
        </is>
      </c>
      <c r="L2824" t="n">
        <v>12</v>
      </c>
      <c r="M2824" s="1" t="inlineStr">
        <is>
          <t>0.42%</t>
        </is>
      </c>
      <c r="N2824" s="3" t="n">
        <v>0.42</v>
      </c>
      <c r="O2824" t="n">
        <v>4.7</v>
      </c>
      <c r="P2824" t="n">
        <v>699</v>
      </c>
      <c r="R2824" t="inlineStr">
        <is>
          <t>InStock</t>
        </is>
      </c>
      <c r="S2824" t="inlineStr">
        <is>
          <t>undefined</t>
        </is>
      </c>
      <c r="T2824" t="inlineStr">
        <is>
          <t>5130201</t>
        </is>
      </c>
    </row>
    <row r="2825" hidden="1" ht="15.75" customHeight="1">
      <c r="A2825" s="2">
        <f>HYPERLINK("https://www.soccerplususa.com/adidas-2/adidas-copa-zone-cushion-iv-sock-36239", "https://www.soccerplususa.com/adidas-2/adidas-copa-zone-cushion-iv-sock-36239")</f>
        <v/>
      </c>
      <c r="B2825" t="inlineStr">
        <is>
          <t>undefined</t>
        </is>
      </c>
      <c r="C2825" t="inlineStr">
        <is>
          <t>adidas Copa Zone Cushion IV Sock</t>
        </is>
      </c>
      <c r="D2825" t="inlineStr">
        <is>
          <t>adidas unisex-adult Copa Zone Cushion 4 Soccer Socks (1-pair)</t>
        </is>
      </c>
      <c r="E2825" s="2">
        <f>HYPERLINK("https://www.amazon.com/adidas-Cushion-Soccer-1-Pack-Orange/dp/B07D9JFHJB/ref=sr_1_5?keywords=adidas+Copa+Zone+Cushion+IV+Sock&amp;qid=1695171093&amp;sr=8-5", "https://www.amazon.com/adidas-Cushion-Soccer-1-Pack-Orange/dp/B07D9JFHJB/ref=sr_1_5?keywords=adidas+Copa+Zone+Cushion+IV+Sock&amp;qid=1695171093&amp;sr=8-5")</f>
        <v/>
      </c>
      <c r="F2825" t="inlineStr">
        <is>
          <t>B07D9JFHJB</t>
        </is>
      </c>
      <c r="G2825">
        <f>_xludf.IMAGE("https://www.soccerplususa.com/prodimages/17548-DEFAULT-l.jpg")</f>
        <v/>
      </c>
      <c r="H2825">
        <f>_xludf.IMAGE("https://m.media-amazon.com/images/I/81ArHHWsT2L._AC_UL320_.jpg")</f>
        <v/>
      </c>
      <c r="K2825" t="inlineStr">
        <is>
          <t>11.95</t>
        </is>
      </c>
      <c r="L2825" t="n">
        <v>12</v>
      </c>
      <c r="M2825" s="1" t="inlineStr">
        <is>
          <t>0.42%</t>
        </is>
      </c>
      <c r="N2825" s="3" t="n">
        <v>0.42</v>
      </c>
      <c r="O2825" t="n">
        <v>4.5</v>
      </c>
      <c r="P2825" t="n">
        <v>76</v>
      </c>
      <c r="R2825" t="inlineStr">
        <is>
          <t>InStock</t>
        </is>
      </c>
      <c r="S2825" t="inlineStr">
        <is>
          <t>undefined</t>
        </is>
      </c>
      <c r="T2825" t="inlineStr">
        <is>
          <t>5147295</t>
        </is>
      </c>
    </row>
    <row r="2826" hidden="1" ht="15.75" customHeight="1">
      <c r="A2826" s="2">
        <f>HYPERLINK("https://www.soccerplususa.com/adidas-2/adidas-copa-zone-cushion-iv-sock-36245", "https://www.soccerplususa.com/adidas-2/adidas-copa-zone-cushion-iv-sock-36245")</f>
        <v/>
      </c>
      <c r="B2826" t="inlineStr">
        <is>
          <t>undefined</t>
        </is>
      </c>
      <c r="C2826" t="inlineStr">
        <is>
          <t>adidas Copa Zone Cushion IV Sock</t>
        </is>
      </c>
      <c r="D2826" t="inlineStr">
        <is>
          <t>adidas unisex-adult Copa Zone Cushion 4 Soccer Socks (1-pair)</t>
        </is>
      </c>
      <c r="E2826" s="2">
        <f>HYPERLINK("https://www.amazon.com/adidas-Cushion-Soccer-1-Pack-Orange/dp/B07D9JFHJB/ref=sr_1_7?keywords=adidas+Copa+Zone+Cushion+IV+Sock&amp;qid=1695171092&amp;sr=8-7", "https://www.amazon.com/adidas-Cushion-Soccer-1-Pack-Orange/dp/B07D9JFHJB/ref=sr_1_7?keywords=adidas+Copa+Zone+Cushion+IV+Sock&amp;qid=1695171092&amp;sr=8-7")</f>
        <v/>
      </c>
      <c r="F2826" t="inlineStr">
        <is>
          <t>B07D9JFHJB</t>
        </is>
      </c>
      <c r="G2826">
        <f>_xludf.IMAGE("https://www.soccerplususa.com/prodimages/17553-DEFAULT-l.jpg")</f>
        <v/>
      </c>
      <c r="H2826">
        <f>_xludf.IMAGE("https://m.media-amazon.com/images/I/81ArHHWsT2L._AC_UL320_.jpg")</f>
        <v/>
      </c>
      <c r="K2826" t="inlineStr">
        <is>
          <t>11.95</t>
        </is>
      </c>
      <c r="L2826" t="n">
        <v>12</v>
      </c>
      <c r="M2826" s="1" t="inlineStr">
        <is>
          <t>0.42%</t>
        </is>
      </c>
      <c r="N2826" s="3" t="n">
        <v>0.42</v>
      </c>
      <c r="O2826" t="n">
        <v>4.5</v>
      </c>
      <c r="P2826" t="n">
        <v>76</v>
      </c>
      <c r="R2826" t="inlineStr">
        <is>
          <t>InStock</t>
        </is>
      </c>
      <c r="S2826" t="inlineStr">
        <is>
          <t>undefined</t>
        </is>
      </c>
      <c r="T2826" t="inlineStr">
        <is>
          <t>5147310</t>
        </is>
      </c>
    </row>
    <row r="2827" hidden="1" ht="15.75" customHeight="1">
      <c r="A2827" s="2">
        <f>HYPERLINK("https://www.soccerplususa.com/adidas-2/adidas-copa-zone-cushion-iv-otc-sock-36234", "https://www.soccerplususa.com/adidas-2/adidas-copa-zone-cushion-iv-otc-sock-36234")</f>
        <v/>
      </c>
      <c r="B2827" t="inlineStr">
        <is>
          <t>undefined</t>
        </is>
      </c>
      <c r="C2827" t="inlineStr">
        <is>
          <t>adidas Copa Zone Cushion IV OTC Sock</t>
        </is>
      </c>
      <c r="D2827" t="inlineStr">
        <is>
          <t>adidas Copa Zone Cushion 4 Soccer Socks for Boys, Girls, Men and Women (1-Pair)</t>
        </is>
      </c>
      <c r="E2827" s="2">
        <f>HYPERLINK("https://www.amazon.com/adidas-Cushion-Soccer-Socks-1-Pair/dp/B087FJPGSJ/ref=sr_1_4?keywords=adidas+Copa+Zone+Cushion+IV+OTC+Sock&amp;qid=1695171089&amp;sr=8-4", "https://www.amazon.com/adidas-Cushion-Soccer-Socks-1-Pair/dp/B087FJPGSJ/ref=sr_1_4?keywords=adidas+Copa+Zone+Cushion+IV+OTC+Sock&amp;qid=1695171089&amp;sr=8-4")</f>
        <v/>
      </c>
      <c r="F2827" t="inlineStr">
        <is>
          <t>B087FJPGSJ</t>
        </is>
      </c>
      <c r="G2827">
        <f>_xludf.IMAGE("https://www.soccerplususa.com/prodimages/17543-DEFAULT-l.jpg")</f>
        <v/>
      </c>
      <c r="H2827">
        <f>_xludf.IMAGE("https://m.media-amazon.com/images/I/71PHG8aTn5L._AC_UL320_.jpg")</f>
        <v/>
      </c>
      <c r="K2827" t="inlineStr">
        <is>
          <t>11.95</t>
        </is>
      </c>
      <c r="L2827" t="n">
        <v>12</v>
      </c>
      <c r="M2827" s="1" t="inlineStr">
        <is>
          <t>0.42%</t>
        </is>
      </c>
      <c r="N2827" s="3" t="n">
        <v>0.42</v>
      </c>
      <c r="O2827" t="n">
        <v>4.7</v>
      </c>
      <c r="P2827" t="n">
        <v>699</v>
      </c>
      <c r="R2827" t="inlineStr">
        <is>
          <t>InStock</t>
        </is>
      </c>
      <c r="S2827" t="inlineStr">
        <is>
          <t>undefined</t>
        </is>
      </c>
      <c r="T2827" t="inlineStr">
        <is>
          <t>5147290</t>
        </is>
      </c>
    </row>
    <row r="2828" hidden="1" ht="15.75" customHeight="1">
      <c r="A2828" s="2">
        <f>HYPERLINK("https://www.soccerplususa.com/adidas-2/adidas-copa-zone-cushion-iv-sock-36233", "https://www.soccerplususa.com/adidas-2/adidas-copa-zone-cushion-iv-sock-36233")</f>
        <v/>
      </c>
      <c r="B2828" t="inlineStr">
        <is>
          <t>undefined</t>
        </is>
      </c>
      <c r="C2828" t="inlineStr">
        <is>
          <t>adidas Copa Zone Cushion IV Sock</t>
        </is>
      </c>
      <c r="D2828" t="inlineStr">
        <is>
          <t>adidas unisex-adult Copa Zone Cushion 4 Soccer Socks (1-pair)</t>
        </is>
      </c>
      <c r="E2828" s="2">
        <f>HYPERLINK("https://www.amazon.com/adidas-Cushion-Soccer-1-Pack-Orange/dp/B07D9JFHJB/ref=sr_1_7?keywords=adidas+Copa+Zone+Cushion+IV+Sock&amp;qid=1695171094&amp;sr=8-7", "https://www.amazon.com/adidas-Cushion-Soccer-1-Pack-Orange/dp/B07D9JFHJB/ref=sr_1_7?keywords=adidas+Copa+Zone+Cushion+IV+Sock&amp;qid=1695171094&amp;sr=8-7")</f>
        <v/>
      </c>
      <c r="F2828" t="inlineStr">
        <is>
          <t>B07D9JFHJB</t>
        </is>
      </c>
      <c r="G2828">
        <f>_xludf.IMAGE("https://www.soccerplususa.com/prodimages/17542-DEFAULT-l.jpg")</f>
        <v/>
      </c>
      <c r="H2828">
        <f>_xludf.IMAGE("https://m.media-amazon.com/images/I/81ArHHWsT2L._AC_UL320_.jpg")</f>
        <v/>
      </c>
      <c r="K2828" t="inlineStr">
        <is>
          <t>11.95</t>
        </is>
      </c>
      <c r="L2828" t="n">
        <v>12</v>
      </c>
      <c r="M2828" s="1" t="inlineStr">
        <is>
          <t>0.42%</t>
        </is>
      </c>
      <c r="N2828" s="3" t="n">
        <v>0.42</v>
      </c>
      <c r="O2828" t="n">
        <v>4.5</v>
      </c>
      <c r="P2828" t="n">
        <v>76</v>
      </c>
      <c r="R2828" t="inlineStr">
        <is>
          <t>InStock</t>
        </is>
      </c>
      <c r="S2828" t="inlineStr">
        <is>
          <t>undefined</t>
        </is>
      </c>
      <c r="T2828" t="inlineStr">
        <is>
          <t>5147287</t>
        </is>
      </c>
    </row>
    <row r="2829" hidden="1" ht="15.75" customHeight="1">
      <c r="A2829" s="2">
        <f>HYPERLINK("https://www.soccerplususa.com/adidas-2/adidas-copa-zone-cushion-iv-sock-36235", "https://www.soccerplususa.com/adidas-2/adidas-copa-zone-cushion-iv-sock-36235")</f>
        <v/>
      </c>
      <c r="B2829" t="inlineStr">
        <is>
          <t>undefined</t>
        </is>
      </c>
      <c r="C2829" t="inlineStr">
        <is>
          <t>adidas Copa Zone Cushion IV Sock</t>
        </is>
      </c>
      <c r="D2829" t="inlineStr">
        <is>
          <t>adidas unisex-adult Copa Zone Cushion 4 Soccer Socks (1-pair)</t>
        </is>
      </c>
      <c r="E2829" s="2">
        <f>HYPERLINK("https://www.amazon.com/adidas-Cushion-Soccer-1-Pack-Orange/dp/B07D9JFHJB/ref=sr_1_7?keywords=adidas+Copa+Zone+Cushion+IV+Sock&amp;qid=1695171093&amp;sr=8-7", "https://www.amazon.com/adidas-Cushion-Soccer-1-Pack-Orange/dp/B07D9JFHJB/ref=sr_1_7?keywords=adidas+Copa+Zone+Cushion+IV+Sock&amp;qid=1695171093&amp;sr=8-7")</f>
        <v/>
      </c>
      <c r="F2829" t="inlineStr">
        <is>
          <t>B07D9JFHJB</t>
        </is>
      </c>
      <c r="G2829">
        <f>_xludf.IMAGE("https://www.soccerplususa.com/prodimages/17544-DEFAULT-l.jpg")</f>
        <v/>
      </c>
      <c r="H2829">
        <f>_xludf.IMAGE("https://m.media-amazon.com/images/I/81ArHHWsT2L._AC_UL320_.jpg")</f>
        <v/>
      </c>
      <c r="K2829" t="inlineStr">
        <is>
          <t>11.95</t>
        </is>
      </c>
      <c r="L2829" t="n">
        <v>12</v>
      </c>
      <c r="M2829" s="1" t="inlineStr">
        <is>
          <t>0.42%</t>
        </is>
      </c>
      <c r="N2829" s="3" t="n">
        <v>0.42</v>
      </c>
      <c r="O2829" t="n">
        <v>4.5</v>
      </c>
      <c r="P2829" t="n">
        <v>76</v>
      </c>
      <c r="R2829" t="inlineStr">
        <is>
          <t>InStock</t>
        </is>
      </c>
      <c r="S2829" t="inlineStr">
        <is>
          <t>undefined</t>
        </is>
      </c>
      <c r="T2829" t="inlineStr">
        <is>
          <t>5147291</t>
        </is>
      </c>
    </row>
    <row r="2830" hidden="1" ht="15.75" customHeight="1">
      <c r="A2830" s="2">
        <f>HYPERLINK("https://www.soccerplususa.com/adidas-2/adidas-copa-zone-cushion-iv-sock-36236", "https://www.soccerplususa.com/adidas-2/adidas-copa-zone-cushion-iv-sock-36236")</f>
        <v/>
      </c>
      <c r="B2830" t="inlineStr">
        <is>
          <t>undefined</t>
        </is>
      </c>
      <c r="C2830" t="inlineStr">
        <is>
          <t>adidas Copa Zone Cushion IV Sock</t>
        </is>
      </c>
      <c r="D2830" t="inlineStr">
        <is>
          <t>adidas unisex-adult Copa Zone Cushion 4 Soccer Socks (1-pair)</t>
        </is>
      </c>
      <c r="E2830" s="2">
        <f>HYPERLINK("https://www.amazon.com/adidas-Cushion-Soccer-1-Pack-Orange/dp/B07D9JFHJB/ref=sr_1_7?keywords=adidas+Copa+Zone+Cushion+IV+Sock&amp;qid=1695171089&amp;sr=8-7", "https://www.amazon.com/adidas-Cushion-Soccer-1-Pack-Orange/dp/B07D9JFHJB/ref=sr_1_7?keywords=adidas+Copa+Zone+Cushion+IV+Sock&amp;qid=1695171089&amp;sr=8-7")</f>
        <v/>
      </c>
      <c r="F2830" t="inlineStr">
        <is>
          <t>B07D9JFHJB</t>
        </is>
      </c>
      <c r="G2830">
        <f>_xludf.IMAGE("https://www.soccerplususa.com/prodimages/17545-DEFAULT-l.jpg")</f>
        <v/>
      </c>
      <c r="H2830">
        <f>_xludf.IMAGE("https://m.media-amazon.com/images/I/81ArHHWsT2L._AC_UL320_.jpg")</f>
        <v/>
      </c>
      <c r="K2830" t="inlineStr">
        <is>
          <t>11.95</t>
        </is>
      </c>
      <c r="L2830" t="n">
        <v>12</v>
      </c>
      <c r="M2830" s="1" t="inlineStr">
        <is>
          <t>0.42%</t>
        </is>
      </c>
      <c r="N2830" s="3" t="n">
        <v>0.42</v>
      </c>
      <c r="O2830" t="n">
        <v>4.5</v>
      </c>
      <c r="P2830" t="n">
        <v>76</v>
      </c>
      <c r="R2830" t="inlineStr">
        <is>
          <t>InStock</t>
        </is>
      </c>
      <c r="S2830" t="inlineStr">
        <is>
          <t>undefined</t>
        </is>
      </c>
      <c r="T2830" t="inlineStr">
        <is>
          <t>5147292</t>
        </is>
      </c>
    </row>
    <row r="2831" hidden="1" ht="15.75" customHeight="1">
      <c r="A2831" s="2">
        <f>HYPERLINK("https://www.soccerplususa.com/adidas-2/adidas-copa-zone-cushion-iv-sock-36240", "https://www.soccerplususa.com/adidas-2/adidas-copa-zone-cushion-iv-sock-36240")</f>
        <v/>
      </c>
      <c r="B2831" t="inlineStr">
        <is>
          <t>undefined</t>
        </is>
      </c>
      <c r="C2831" t="inlineStr">
        <is>
          <t>adidas Copa Zone Cushion IV Sock</t>
        </is>
      </c>
      <c r="D2831" t="inlineStr">
        <is>
          <t>adidas unisex-adult Copa Zone Cushion 4 Soccer Socks (1-pair)</t>
        </is>
      </c>
      <c r="E2831" s="2">
        <f>HYPERLINK("https://www.amazon.com/adidas-Cushion-Soccer-1-Pack-Orange/dp/B07D9JFHJB/ref=sr_1_7?keywords=adidas+Copa+Zone+Cushion+IV+Sock&amp;qid=1695171087&amp;sr=8-7", "https://www.amazon.com/adidas-Cushion-Soccer-1-Pack-Orange/dp/B07D9JFHJB/ref=sr_1_7?keywords=adidas+Copa+Zone+Cushion+IV+Sock&amp;qid=1695171087&amp;sr=8-7")</f>
        <v/>
      </c>
      <c r="F2831" t="inlineStr">
        <is>
          <t>B07D9JFHJB</t>
        </is>
      </c>
      <c r="G2831">
        <f>_xludf.IMAGE("https://www.soccerplususa.com/prodimages/17549-DEFAULT-l.jpg")</f>
        <v/>
      </c>
      <c r="H2831">
        <f>_xludf.IMAGE("https://m.media-amazon.com/images/I/81ArHHWsT2L._AC_UL320_.jpg")</f>
        <v/>
      </c>
      <c r="K2831" t="inlineStr">
        <is>
          <t>11.95</t>
        </is>
      </c>
      <c r="L2831" t="n">
        <v>12</v>
      </c>
      <c r="M2831" s="1" t="inlineStr">
        <is>
          <t>0.42%</t>
        </is>
      </c>
      <c r="N2831" s="3" t="n">
        <v>0.42</v>
      </c>
      <c r="O2831" t="n">
        <v>4.5</v>
      </c>
      <c r="P2831" t="n">
        <v>76</v>
      </c>
      <c r="R2831" t="inlineStr">
        <is>
          <t>InStock</t>
        </is>
      </c>
      <c r="S2831" t="inlineStr">
        <is>
          <t>undefined</t>
        </is>
      </c>
      <c r="T2831" t="inlineStr">
        <is>
          <t>5147301</t>
        </is>
      </c>
    </row>
    <row r="2832" hidden="1" ht="15.75" customHeight="1">
      <c r="A2832" s="2">
        <f>HYPERLINK("https://www.soccerplususa.com/adidas-2/adidas-copa-zone-cushion-iv-sock-36238", "https://www.soccerplususa.com/adidas-2/adidas-copa-zone-cushion-iv-sock-36238")</f>
        <v/>
      </c>
      <c r="B2832" t="inlineStr">
        <is>
          <t>undefined</t>
        </is>
      </c>
      <c r="C2832" t="inlineStr">
        <is>
          <t>adidas Copa Zone Cushion IV Sock</t>
        </is>
      </c>
      <c r="D2832" t="inlineStr">
        <is>
          <t>adidas unisex-adult Copa Zone Cushion 4 Soccer Socks (1-pair)</t>
        </is>
      </c>
      <c r="E2832" s="2">
        <f>HYPERLINK("https://www.amazon.com/adidas-Cushion-Soccer-1-Pack-Orange/dp/B07D9JFHJB/ref=sr_1_7?keywords=adidas+Copa+Zone+Cushion+IV+Sock&amp;qid=1695171098&amp;sr=8-7", "https://www.amazon.com/adidas-Cushion-Soccer-1-Pack-Orange/dp/B07D9JFHJB/ref=sr_1_7?keywords=adidas+Copa+Zone+Cushion+IV+Sock&amp;qid=1695171098&amp;sr=8-7")</f>
        <v/>
      </c>
      <c r="F2832" t="inlineStr">
        <is>
          <t>B07D9JFHJB</t>
        </is>
      </c>
      <c r="G2832">
        <f>_xludf.IMAGE("https://www.soccerplususa.com/prodimages/17547-DEFAULT-l.jpg")</f>
        <v/>
      </c>
      <c r="H2832">
        <f>_xludf.IMAGE("https://m.media-amazon.com/images/I/81ArHHWsT2L._AC_UL320_.jpg")</f>
        <v/>
      </c>
      <c r="K2832" t="inlineStr">
        <is>
          <t>11.95</t>
        </is>
      </c>
      <c r="L2832" t="n">
        <v>12</v>
      </c>
      <c r="M2832" s="1" t="inlineStr">
        <is>
          <t>0.42%</t>
        </is>
      </c>
      <c r="N2832" s="3" t="n">
        <v>0.42</v>
      </c>
      <c r="O2832" t="n">
        <v>4.5</v>
      </c>
      <c r="P2832" t="n">
        <v>76</v>
      </c>
      <c r="R2832" t="inlineStr">
        <is>
          <t>InStock</t>
        </is>
      </c>
      <c r="S2832" t="inlineStr">
        <is>
          <t>undefined</t>
        </is>
      </c>
      <c r="T2832" t="inlineStr">
        <is>
          <t>5147294</t>
        </is>
      </c>
    </row>
    <row r="2833" hidden="1" ht="15.75" customHeight="1">
      <c r="A2833" s="2">
        <f>HYPERLINK("https://www.soccerplususa.com/adidas-2/adidas-copa-zone-cushion-iv-sock-36244", "https://www.soccerplususa.com/adidas-2/adidas-copa-zone-cushion-iv-sock-36244")</f>
        <v/>
      </c>
      <c r="B2833" t="inlineStr">
        <is>
          <t>undefined</t>
        </is>
      </c>
      <c r="C2833" t="inlineStr">
        <is>
          <t>adidas Copa Zone Cushion IV Sock</t>
        </is>
      </c>
      <c r="D2833" t="inlineStr">
        <is>
          <t>adidas unisex-adult Copa Zone Cushion 4 Soccer Socks (1-pair)</t>
        </is>
      </c>
      <c r="E2833" s="2">
        <f>HYPERLINK("https://www.amazon.com/adidas-Cushion-Soccer-1-Pack-Orange/dp/B07D9JFHJB/ref=sr_1_7?keywords=adidas+Copa+Zone+Cushion+IV+Sock&amp;qid=1695171094&amp;sr=8-7", "https://www.amazon.com/adidas-Cushion-Soccer-1-Pack-Orange/dp/B07D9JFHJB/ref=sr_1_7?keywords=adidas+Copa+Zone+Cushion+IV+Sock&amp;qid=1695171094&amp;sr=8-7")</f>
        <v/>
      </c>
      <c r="F2833" t="inlineStr">
        <is>
          <t>B07D9JFHJB</t>
        </is>
      </c>
      <c r="G2833">
        <f>_xludf.IMAGE("https://www.soccerplususa.com/prodimages/17552-DEFAULT-l.jpg")</f>
        <v/>
      </c>
      <c r="H2833">
        <f>_xludf.IMAGE("https://m.media-amazon.com/images/I/81ArHHWsT2L._AC_UL320_.jpg")</f>
        <v/>
      </c>
      <c r="K2833" t="inlineStr">
        <is>
          <t>11.95</t>
        </is>
      </c>
      <c r="L2833" t="n">
        <v>12</v>
      </c>
      <c r="M2833" s="1" t="inlineStr">
        <is>
          <t>0.42%</t>
        </is>
      </c>
      <c r="N2833" s="3" t="n">
        <v>0.42</v>
      </c>
      <c r="O2833" t="n">
        <v>4.5</v>
      </c>
      <c r="P2833" t="n">
        <v>76</v>
      </c>
      <c r="R2833" t="inlineStr">
        <is>
          <t>InStock</t>
        </is>
      </c>
      <c r="S2833" t="inlineStr">
        <is>
          <t>undefined</t>
        </is>
      </c>
      <c r="T2833" t="inlineStr">
        <is>
          <t>5147309</t>
        </is>
      </c>
    </row>
    <row r="2834" hidden="1" ht="15.75" customHeight="1">
      <c r="A2834" s="2">
        <f>HYPERLINK("https://www.soccerplususa.com/adidas/adidas-metro-6-soccer-sock-45617", "https://www.soccerplususa.com/adidas/adidas-metro-6-soccer-sock-45617")</f>
        <v/>
      </c>
      <c r="B2834" t="inlineStr">
        <is>
          <t>undefined</t>
        </is>
      </c>
      <c r="C2834" t="inlineStr">
        <is>
          <t>adidas Metro 6 Soccer Sock</t>
        </is>
      </c>
      <c r="D2834" t="inlineStr">
        <is>
          <t>adidas Unisex-adult Metro 5 Soccer Socks (1-pair)</t>
        </is>
      </c>
      <c r="E2834" s="2">
        <f>HYPERLINK("https://www.amazon.com/adidas-Metro-Black-Night-White/dp/B0886F1QBR/ref=sr_1_3?keywords=adidas+Metro+6+Soccer+Sock&amp;qid=1695171083&amp;sr=8-3", "https://www.amazon.com/adidas-Metro-Black-Night-White/dp/B0886F1QBR/ref=sr_1_3?keywords=adidas+Metro+6+Soccer+Sock&amp;qid=1695171083&amp;sr=8-3")</f>
        <v/>
      </c>
      <c r="F2834" t="inlineStr">
        <is>
          <t>B0886F1QBR</t>
        </is>
      </c>
      <c r="G2834">
        <f>_xludf.IMAGE("https://www.soccerplususa.com/prodimages//37119-Semi_Solar_Green-M.jpg")</f>
        <v/>
      </c>
      <c r="H2834">
        <f>_xludf.IMAGE("https://m.media-amazon.com/images/I/713NioVDepL._AC_UL320_.jpg")</f>
        <v/>
      </c>
      <c r="K2834" t="inlineStr">
        <is>
          <t>9.95</t>
        </is>
      </c>
      <c r="L2834" t="n">
        <v>9.99</v>
      </c>
      <c r="M2834" s="1" t="inlineStr">
        <is>
          <t>0.40%</t>
        </is>
      </c>
      <c r="N2834" s="3" t="n">
        <v>0.4</v>
      </c>
      <c r="O2834" t="n">
        <v>4.6</v>
      </c>
      <c r="P2834" t="n">
        <v>2217</v>
      </c>
      <c r="R2834" t="inlineStr">
        <is>
          <t>InStock</t>
        </is>
      </c>
      <c r="S2834" t="inlineStr">
        <is>
          <t>undefined</t>
        </is>
      </c>
      <c r="T2834" t="inlineStr">
        <is>
          <t>5156377</t>
        </is>
      </c>
    </row>
    <row r="2835" hidden="1" ht="15.75" customHeight="1">
      <c r="A2835" s="2">
        <f>HYPERLINK("https://www.soccerplususa.com/adidas/adidas-metro-6-soccer-sock-45095", "https://www.soccerplususa.com/adidas/adidas-metro-6-soccer-sock-45095")</f>
        <v/>
      </c>
      <c r="B2835" t="inlineStr">
        <is>
          <t>undefined</t>
        </is>
      </c>
      <c r="C2835" t="inlineStr">
        <is>
          <t>adidas Metro 6 Soccer Sock</t>
        </is>
      </c>
      <c r="D2835" t="inlineStr">
        <is>
          <t>adidas Unisex-adult Metro 5 Soccer Socks (1-pair)</t>
        </is>
      </c>
      <c r="E2835" s="2">
        <f>HYPERLINK("https://www.amazon.com/adidas-Metro-Black-Night-White/dp/B0886F1QBR/ref=sr_1_2?keywords=adidas+Metro+6+Soccer+Sock&amp;qid=1695171084&amp;sr=8-2", "https://www.amazon.com/adidas-Metro-Black-Night-White/dp/B0886F1QBR/ref=sr_1_2?keywords=adidas+Metro+6+Soccer+Sock&amp;qid=1695171084&amp;sr=8-2")</f>
        <v/>
      </c>
      <c r="F2835" t="inlineStr">
        <is>
          <t>B0886F1QBR</t>
        </is>
      </c>
      <c r="G2835">
        <f>_xludf.IMAGE("https://www.soccerplususa.com/prodimages//37124-ROYAL-M.jpg")</f>
        <v/>
      </c>
      <c r="H2835">
        <f>_xludf.IMAGE("https://m.media-amazon.com/images/I/713NioVDepL._AC_UL320_.jpg")</f>
        <v/>
      </c>
      <c r="K2835" t="inlineStr">
        <is>
          <t>9.95</t>
        </is>
      </c>
      <c r="L2835" t="n">
        <v>9.99</v>
      </c>
      <c r="M2835" s="1" t="inlineStr">
        <is>
          <t>0.40%</t>
        </is>
      </c>
      <c r="N2835" s="3" t="n">
        <v>0.4</v>
      </c>
      <c r="O2835" t="n">
        <v>4.6</v>
      </c>
      <c r="P2835" t="n">
        <v>2217</v>
      </c>
      <c r="R2835" t="inlineStr">
        <is>
          <t>InStock</t>
        </is>
      </c>
      <c r="S2835" t="inlineStr">
        <is>
          <t>undefined</t>
        </is>
      </c>
      <c r="T2835" t="inlineStr">
        <is>
          <t>5155947</t>
        </is>
      </c>
    </row>
    <row r="2836" hidden="1" ht="15.75" customHeight="1">
      <c r="A2836" s="2">
        <f>HYPERLINK("https://www.soccerplususa.com/adidas/adidas-metro-6-soccer-sock-45096", "https://www.soccerplususa.com/adidas/adidas-metro-6-soccer-sock-45096")</f>
        <v/>
      </c>
      <c r="B2836" t="inlineStr">
        <is>
          <t>undefined</t>
        </is>
      </c>
      <c r="C2836" t="inlineStr">
        <is>
          <t>adidas Metro 6 Soccer Sock</t>
        </is>
      </c>
      <c r="D2836" t="inlineStr">
        <is>
          <t>adidas Unisex-adult Metro 5 Soccer Socks (1-pair)</t>
        </is>
      </c>
      <c r="E2836" s="2">
        <f>HYPERLINK("https://www.amazon.com/adidas-Metro-Black-Night-White/dp/B0886F1QBR/ref=sr_1_2?keywords=adidas+Metro+6+Soccer+Sock&amp;qid=1695171112&amp;sr=8-2", "https://www.amazon.com/adidas-Metro-Black-Night-White/dp/B0886F1QBR/ref=sr_1_2?keywords=adidas+Metro+6+Soccer+Sock&amp;qid=1695171112&amp;sr=8-2")</f>
        <v/>
      </c>
      <c r="F2836" t="inlineStr">
        <is>
          <t>B0886F1QBR</t>
        </is>
      </c>
      <c r="G2836">
        <f>_xludf.IMAGE("https://www.soccerplususa.com/prodimages//37125-ultra_pop-M.jpg")</f>
        <v/>
      </c>
      <c r="H2836">
        <f>_xludf.IMAGE("https://m.media-amazon.com/images/I/713NioVDepL._AC_UL320_.jpg")</f>
        <v/>
      </c>
      <c r="K2836" t="inlineStr">
        <is>
          <t>9.95</t>
        </is>
      </c>
      <c r="L2836" t="n">
        <v>9.99</v>
      </c>
      <c r="M2836" s="1" t="inlineStr">
        <is>
          <t>0.40%</t>
        </is>
      </c>
      <c r="N2836" s="3" t="n">
        <v>0.4</v>
      </c>
      <c r="O2836" t="n">
        <v>4.6</v>
      </c>
      <c r="P2836" t="n">
        <v>2217</v>
      </c>
      <c r="R2836" t="inlineStr">
        <is>
          <t>InStock</t>
        </is>
      </c>
      <c r="S2836" t="inlineStr">
        <is>
          <t>undefined</t>
        </is>
      </c>
      <c r="T2836" t="inlineStr">
        <is>
          <t>5155946</t>
        </is>
      </c>
    </row>
    <row r="2837" hidden="1" ht="15.75" customHeight="1">
      <c r="A2837" s="2">
        <f>HYPERLINK("https://www.soccerplususa.com/adidas/adidas-metro-6-soccer-sock-45596", "https://www.soccerplususa.com/adidas/adidas-metro-6-soccer-sock-45596")</f>
        <v/>
      </c>
      <c r="B2837" t="inlineStr">
        <is>
          <t>undefined</t>
        </is>
      </c>
      <c r="C2837" t="inlineStr">
        <is>
          <t>adidas Metro 6 Soccer Sock</t>
        </is>
      </c>
      <c r="D2837" t="inlineStr">
        <is>
          <t>adidas Unisex-adult Metro 5 Soccer Socks (1-pair)</t>
        </is>
      </c>
      <c r="E2837" s="2">
        <f>HYPERLINK("https://www.amazon.com/adidas-Metro-Black-Night-White/dp/B0886F1QBR/ref=sr_1_3?keywords=adidas+Metro+6+Soccer+Sock&amp;qid=1695171086&amp;sr=8-3", "https://www.amazon.com/adidas-Metro-Black-Night-White/dp/B0886F1QBR/ref=sr_1_3?keywords=adidas+Metro+6+Soccer+Sock&amp;qid=1695171086&amp;sr=8-3")</f>
        <v/>
      </c>
      <c r="F2837" t="inlineStr">
        <is>
          <t>B0886F1QBR</t>
        </is>
      </c>
      <c r="G2837">
        <f>_xludf.IMAGE("https://www.soccerplususa.com/prodimages//37123-RED-M.jpg")</f>
        <v/>
      </c>
      <c r="H2837">
        <f>_xludf.IMAGE("https://m.media-amazon.com/images/I/713NioVDepL._AC_UL320_.jpg")</f>
        <v/>
      </c>
      <c r="K2837" t="inlineStr">
        <is>
          <t>9.95</t>
        </is>
      </c>
      <c r="L2837" t="n">
        <v>9.99</v>
      </c>
      <c r="M2837" s="1" t="inlineStr">
        <is>
          <t>0.40%</t>
        </is>
      </c>
      <c r="N2837" s="3" t="n">
        <v>0.4</v>
      </c>
      <c r="O2837" t="n">
        <v>4.6</v>
      </c>
      <c r="P2837" t="n">
        <v>2217</v>
      </c>
      <c r="R2837" t="inlineStr">
        <is>
          <t>InStock</t>
        </is>
      </c>
      <c r="S2837" t="inlineStr">
        <is>
          <t>undefined</t>
        </is>
      </c>
      <c r="T2837" t="inlineStr">
        <is>
          <t>5155948</t>
        </is>
      </c>
    </row>
    <row r="2838" hidden="1" ht="15.75" customHeight="1">
      <c r="A2838" s="2">
        <f>HYPERLINK("https://www.soccerplususa.com/nike/nike-academy-overthecalf-soccer-socks-40507", "https://www.soccerplususa.com/nike/nike-academy-overthecalf-soccer-socks-40507")</f>
        <v/>
      </c>
      <c r="B2838" t="inlineStr">
        <is>
          <t>undefined</t>
        </is>
      </c>
      <c r="C2838" t="inlineStr">
        <is>
          <t>Nike Academy Over-The-Calf Soccer Socks</t>
        </is>
      </c>
      <c r="D2838" t="inlineStr">
        <is>
          <t>Nike Academy Over-The-Calf Soccer Socks</t>
        </is>
      </c>
      <c r="E2838" s="2">
        <f>HYPERLINK("https://www.amazon.com/Nike-Academy-Over-Calf-Soccer/dp/B003CH2LYG/ref=sr_1_1?keywords=Nike+Academy+Over-The-Calf+Soccer+Socks&amp;qid=1695171096&amp;sr=8-1", "https://www.amazon.com/Nike-Academy-Over-Calf-Soccer/dp/B003CH2LYG/ref=sr_1_1?keywords=Nike+Academy+Over-The-Calf+Soccer+Socks&amp;qid=1695171096&amp;sr=8-1")</f>
        <v/>
      </c>
      <c r="F2838" t="inlineStr">
        <is>
          <t>B003CH2LYG</t>
        </is>
      </c>
      <c r="G2838">
        <f>_xludf.IMAGE("https://www.soccerplususa.com/prodimages/34332-DEFAULT-l.jpg")</f>
        <v/>
      </c>
      <c r="H2838">
        <f>_xludf.IMAGE("https://m.media-amazon.com/images/I/81UvbwL1KZL._AC_UL320_.jpg")</f>
        <v/>
      </c>
      <c r="K2838" t="inlineStr">
        <is>
          <t>11.95</t>
        </is>
      </c>
      <c r="L2838" t="n">
        <v>11.99</v>
      </c>
      <c r="M2838" s="1" t="inlineStr">
        <is>
          <t>0.33%</t>
        </is>
      </c>
      <c r="N2838" s="3" t="n">
        <v>0.33</v>
      </c>
      <c r="O2838" t="n">
        <v>4.6</v>
      </c>
      <c r="P2838" t="n">
        <v>8295</v>
      </c>
      <c r="R2838" t="inlineStr">
        <is>
          <t>InStock</t>
        </is>
      </c>
      <c r="S2838" t="inlineStr">
        <is>
          <t>undefined</t>
        </is>
      </c>
      <c r="T2838" t="inlineStr">
        <is>
          <t>SX4120-671</t>
        </is>
      </c>
    </row>
    <row r="2839" hidden="1" ht="15.75" customHeight="1">
      <c r="A2839" s="2">
        <f>HYPERLINK("https://www.soccerplususa.com/nike/nike-academy-otc-soccer-sock-26954", "https://www.soccerplususa.com/nike/nike-academy-otc-soccer-sock-26954")</f>
        <v/>
      </c>
      <c r="B2839" t="inlineStr">
        <is>
          <t>undefined</t>
        </is>
      </c>
      <c r="C2839" t="inlineStr">
        <is>
          <t>Nike Academy OTC Soccer Sock</t>
        </is>
      </c>
      <c r="D2839" t="inlineStr">
        <is>
          <t>Nike Academy Over-The-Calf Soccer Socks</t>
        </is>
      </c>
      <c r="E2839" s="2">
        <f>HYPERLINK("https://www.amazon.com/Nike-Academy-Over-Calf-Soccer/dp/B003CH2LYG/ref=sr_1_1?keywords=Nike+Academy+OTC+Soccer+Sock&amp;qid=1695171124&amp;sr=8-1", "https://www.amazon.com/Nike-Academy-Over-Calf-Soccer/dp/B003CH2LYG/ref=sr_1_1?keywords=Nike+Academy+OTC+Soccer+Sock&amp;qid=1695171124&amp;sr=8-1")</f>
        <v/>
      </c>
      <c r="F2839" t="inlineStr">
        <is>
          <t>B003CH2LYG</t>
        </is>
      </c>
      <c r="G2839">
        <f>_xludf.IMAGE("https://www.soccerplususa.com/prodimages/3368-DEFAULT-l.jpg")</f>
        <v/>
      </c>
      <c r="H2839">
        <f>_xludf.IMAGE("https://m.media-amazon.com/images/I/81UvbwL1KZL._AC_UL320_.jpg")</f>
        <v/>
      </c>
      <c r="K2839" t="inlineStr">
        <is>
          <t>11.95</t>
        </is>
      </c>
      <c r="L2839" t="n">
        <v>11.99</v>
      </c>
      <c r="M2839" s="1" t="inlineStr">
        <is>
          <t>0.33%</t>
        </is>
      </c>
      <c r="N2839" s="3" t="n">
        <v>0.33</v>
      </c>
      <c r="O2839" t="n">
        <v>4.6</v>
      </c>
      <c r="P2839" t="n">
        <v>8295</v>
      </c>
      <c r="R2839" t="inlineStr">
        <is>
          <t>InStock</t>
        </is>
      </c>
      <c r="S2839" t="inlineStr">
        <is>
          <t>undefined</t>
        </is>
      </c>
      <c r="T2839" t="inlineStr">
        <is>
          <t>SX4120-001</t>
        </is>
      </c>
    </row>
    <row r="2840" hidden="1" ht="15.75" customHeight="1">
      <c r="A2840" s="2">
        <f>HYPERLINK("https://www.soccerplususa.com/nike/nike-academy-overthecalf-soccer-socks-40506", "https://www.soccerplususa.com/nike/nike-academy-overthecalf-soccer-socks-40506")</f>
        <v/>
      </c>
      <c r="B2840" t="inlineStr">
        <is>
          <t>undefined</t>
        </is>
      </c>
      <c r="C2840" t="inlineStr">
        <is>
          <t>Nike Academy Over-The-Calf Soccer Socks</t>
        </is>
      </c>
      <c r="D2840" t="inlineStr">
        <is>
          <t>Nike Academy Over-The-Calf Soccer Socks</t>
        </is>
      </c>
      <c r="E2840" s="2">
        <f>HYPERLINK("https://www.amazon.com/Nike-Academy-Over-Calf-Soccer/dp/B003CH2LYG/ref=sr_1_2?keywords=Nike+Academy+Over-The-Calf+Soccer+Socks&amp;qid=1695171083&amp;sr=8-2", "https://www.amazon.com/Nike-Academy-Over-Calf-Soccer/dp/B003CH2LYG/ref=sr_1_2?keywords=Nike+Academy+Over-The-Calf+Soccer+Socks&amp;qid=1695171083&amp;sr=8-2")</f>
        <v/>
      </c>
      <c r="F2840" t="inlineStr">
        <is>
          <t>B003CH2LYG</t>
        </is>
      </c>
      <c r="G2840">
        <f>_xludf.IMAGE("https://www.soccerplususa.com/prodimages/34331-DEFAULT-l.jpg")</f>
        <v/>
      </c>
      <c r="H2840">
        <f>_xludf.IMAGE("https://m.media-amazon.com/images/I/81UvbwL1KZL._AC_UL320_.jpg")</f>
        <v/>
      </c>
      <c r="K2840" t="inlineStr">
        <is>
          <t>11.95</t>
        </is>
      </c>
      <c r="L2840" t="n">
        <v>11.99</v>
      </c>
      <c r="M2840" s="1" t="inlineStr">
        <is>
          <t>0.33%</t>
        </is>
      </c>
      <c r="N2840" s="3" t="n">
        <v>0.33</v>
      </c>
      <c r="O2840" t="n">
        <v>4.6</v>
      </c>
      <c r="P2840" t="n">
        <v>8295</v>
      </c>
      <c r="R2840" t="inlineStr">
        <is>
          <t>InStock</t>
        </is>
      </c>
      <c r="S2840" t="inlineStr">
        <is>
          <t>undefined</t>
        </is>
      </c>
      <c r="T2840" t="inlineStr">
        <is>
          <t>SX4120-617</t>
        </is>
      </c>
    </row>
    <row r="2841" hidden="1" ht="15.75" customHeight="1">
      <c r="A2841" s="2">
        <f>HYPERLINK("https://www.soccerplususa.com/nike/nike-academy-otc-soccer-sock-26957", "https://www.soccerplususa.com/nike/nike-academy-otc-soccer-sock-26957")</f>
        <v/>
      </c>
      <c r="B2841" t="inlineStr">
        <is>
          <t>undefined</t>
        </is>
      </c>
      <c r="C2841" t="inlineStr">
        <is>
          <t>Nike Academy OTC Soccer Sock</t>
        </is>
      </c>
      <c r="D2841" t="inlineStr">
        <is>
          <t>Nike Academy Over-The-Calf Soccer Socks</t>
        </is>
      </c>
      <c r="E2841" s="2">
        <f>HYPERLINK("https://www.amazon.com/Nike-Academy-Over-Calf-Soccer/dp/B003CH2LYG/ref=sr_1_1?keywords=Nike+Academy+OTC+Soccer+Sock&amp;qid=1695171111&amp;sr=8-1", "https://www.amazon.com/Nike-Academy-Over-Calf-Soccer/dp/B003CH2LYG/ref=sr_1_1?keywords=Nike+Academy+OTC+Soccer+Sock&amp;qid=1695171111&amp;sr=8-1")</f>
        <v/>
      </c>
      <c r="F2841" t="inlineStr">
        <is>
          <t>B003CH2LYG</t>
        </is>
      </c>
      <c r="G2841">
        <f>_xludf.IMAGE("https://www.soccerplususa.com/prodimages/7019-DEFAULT-l.jpg")</f>
        <v/>
      </c>
      <c r="H2841">
        <f>_xludf.IMAGE("https://m.media-amazon.com/images/I/81UvbwL1KZL._AC_UL320_.jpg")</f>
        <v/>
      </c>
      <c r="K2841" t="inlineStr">
        <is>
          <t>11.95</t>
        </is>
      </c>
      <c r="L2841" t="n">
        <v>11.99</v>
      </c>
      <c r="M2841" s="1" t="inlineStr">
        <is>
          <t>0.33%</t>
        </is>
      </c>
      <c r="N2841" s="3" t="n">
        <v>0.33</v>
      </c>
      <c r="O2841" t="n">
        <v>4.6</v>
      </c>
      <c r="P2841" t="n">
        <v>8295</v>
      </c>
      <c r="R2841" t="inlineStr">
        <is>
          <t>InStock</t>
        </is>
      </c>
      <c r="S2841" t="inlineStr">
        <is>
          <t>12.0</t>
        </is>
      </c>
      <c r="T2841" t="inlineStr">
        <is>
          <t>SX4120-402</t>
        </is>
      </c>
    </row>
    <row r="2842" hidden="1" ht="15.75" customHeight="1">
      <c r="A2842" s="2">
        <f>HYPERLINK("https://www.soccerplususa.com/adidas/adidas-alphaskin-20-headband-42960", "https://www.soccerplususa.com/adidas/adidas-alphaskin-20-headband-42960")</f>
        <v/>
      </c>
      <c r="B2842" t="inlineStr">
        <is>
          <t>undefined</t>
        </is>
      </c>
      <c r="C2842" t="inlineStr">
        <is>
          <t>adidas Alphaskin 2.0 Headband</t>
        </is>
      </c>
      <c r="D2842" t="inlineStr">
        <is>
          <t>adidas Alphaskin 2.0 Elastic Headband, Impact Yellow/White, One Size</t>
        </is>
      </c>
      <c r="E2842" s="2">
        <f>HYPERLINK("https://www.amazon.com/adidas-Alphaskin-Elastic-Headband-Impact/dp/B09FR2ZZFF/ref=sr_1_8?keywords=adidas+Alphaskin+2.0+Headband&amp;qid=1695171082&amp;sr=8-8", "https://www.amazon.com/adidas-Alphaskin-Elastic-Headband-Impact/dp/B09FR2ZZFF/ref=sr_1_8?keywords=adidas+Alphaskin+2.0+Headband&amp;qid=1695171082&amp;sr=8-8")</f>
        <v/>
      </c>
      <c r="F2842" t="inlineStr">
        <is>
          <t>B09FR2ZZFF</t>
        </is>
      </c>
      <c r="G2842">
        <f>_xludf.IMAGE("https://www.soccerplususa.com/prodimages//35442-ROYALBLACK-M.jpg")</f>
        <v/>
      </c>
      <c r="H2842">
        <f>_xludf.IMAGE("https://m.media-amazon.com/images/I/51ZBWdRUBmL._AC_UL320_.jpg")</f>
        <v/>
      </c>
      <c r="K2842" t="inlineStr">
        <is>
          <t>14.95</t>
        </is>
      </c>
      <c r="L2842" t="n">
        <v>15</v>
      </c>
      <c r="M2842" s="1" t="inlineStr">
        <is>
          <t>0.33%</t>
        </is>
      </c>
      <c r="N2842" s="3" t="n">
        <v>0.33</v>
      </c>
      <c r="O2842" t="n">
        <v>4.7</v>
      </c>
      <c r="P2842" t="n">
        <v>7</v>
      </c>
      <c r="R2842" t="inlineStr">
        <is>
          <t>InStock</t>
        </is>
      </c>
      <c r="S2842" t="inlineStr">
        <is>
          <t>undefined</t>
        </is>
      </c>
      <c r="T2842" t="inlineStr">
        <is>
          <t>5152501</t>
        </is>
      </c>
    </row>
    <row r="2843" hidden="1" ht="15.75" customHeight="1">
      <c r="A2843" s="2">
        <f>HYPERLINK("https://www.soccerplususa.com/adidas/adidas-alphaskin-20-headband-42962", "https://www.soccerplususa.com/adidas/adidas-alphaskin-20-headband-42962")</f>
        <v/>
      </c>
      <c r="B2843" t="inlineStr">
        <is>
          <t>undefined</t>
        </is>
      </c>
      <c r="C2843" t="inlineStr">
        <is>
          <t>adidas Alphaskin 2.0 Headband</t>
        </is>
      </c>
      <c r="D2843" t="inlineStr">
        <is>
          <t>adidas Alphaskin 2.0 Elastic Headband, Stone Wash Grey/White, One Size</t>
        </is>
      </c>
      <c r="E2843" s="2">
        <f>HYPERLINK("https://www.amazon.com/adidas-Alphaskin-Elastic-Headband-Stone/dp/B09FR7DSJ6/ref=sr_1_3?keywords=adidas+Alphaskin+2.0+Headband&amp;qid=1695171091&amp;sr=8-3", "https://www.amazon.com/adidas-Alphaskin-Elastic-Headband-Stone/dp/B09FR7DSJ6/ref=sr_1_3?keywords=adidas+Alphaskin+2.0+Headband&amp;qid=1695171091&amp;sr=8-3")</f>
        <v/>
      </c>
      <c r="F2843" t="inlineStr">
        <is>
          <t>B09FR7DSJ6</t>
        </is>
      </c>
      <c r="G2843">
        <f>_xludf.IMAGE("https://www.soccerplususa.com/prodimages//35445-WHITEBLACK-M.jpg")</f>
        <v/>
      </c>
      <c r="H2843">
        <f>_xludf.IMAGE("https://m.media-amazon.com/images/I/71BLH+CsSuL._AC_UL320_.jpg")</f>
        <v/>
      </c>
      <c r="K2843" t="inlineStr">
        <is>
          <t>14.95</t>
        </is>
      </c>
      <c r="L2843" t="n">
        <v>15</v>
      </c>
      <c r="M2843" s="1" t="inlineStr">
        <is>
          <t>0.33%</t>
        </is>
      </c>
      <c r="N2843" s="3" t="n">
        <v>0.33</v>
      </c>
      <c r="O2843" t="n">
        <v>4.5</v>
      </c>
      <c r="P2843" t="n">
        <v>23</v>
      </c>
      <c r="R2843" t="inlineStr">
        <is>
          <t>InStock</t>
        </is>
      </c>
      <c r="S2843" t="inlineStr">
        <is>
          <t>undefined</t>
        </is>
      </c>
      <c r="T2843" t="inlineStr">
        <is>
          <t>5152499</t>
        </is>
      </c>
    </row>
    <row r="2844" hidden="1" ht="15.75" customHeight="1">
      <c r="A2844" s="2">
        <f>HYPERLINK("https://www.soccerplususa.com/adidas/adidas-alphaskin-20-headband-42962", "https://www.soccerplususa.com/adidas/adidas-alphaskin-20-headband-42962")</f>
        <v/>
      </c>
      <c r="B2844" t="inlineStr">
        <is>
          <t>undefined</t>
        </is>
      </c>
      <c r="C2844" t="inlineStr">
        <is>
          <t>adidas Alphaskin 2.0 Headband</t>
        </is>
      </c>
      <c r="D2844" t="inlineStr">
        <is>
          <t>adidas Alphaskin 2.0 Elastic Headband, Impact Yellow/White, One Size</t>
        </is>
      </c>
      <c r="E2844" s="2">
        <f>HYPERLINK("https://www.amazon.com/adidas-Alphaskin-Elastic-Headband-Impact/dp/B09FR2ZZFF/ref=sr_1_9?keywords=adidas+Alphaskin+2.0+Headband&amp;qid=1695171091&amp;sr=8-9", "https://www.amazon.com/adidas-Alphaskin-Elastic-Headband-Impact/dp/B09FR2ZZFF/ref=sr_1_9?keywords=adidas+Alphaskin+2.0+Headband&amp;qid=1695171091&amp;sr=8-9")</f>
        <v/>
      </c>
      <c r="F2844" t="inlineStr">
        <is>
          <t>B09FR2ZZFF</t>
        </is>
      </c>
      <c r="G2844">
        <f>_xludf.IMAGE("https://www.soccerplususa.com/prodimages//35445-WHITEBLACK-M.jpg")</f>
        <v/>
      </c>
      <c r="H2844">
        <f>_xludf.IMAGE("https://m.media-amazon.com/images/I/51ZBWdRUBmL._AC_UL320_.jpg")</f>
        <v/>
      </c>
      <c r="K2844" t="inlineStr">
        <is>
          <t>14.95</t>
        </is>
      </c>
      <c r="L2844" t="n">
        <v>15</v>
      </c>
      <c r="M2844" s="1" t="inlineStr">
        <is>
          <t>0.33%</t>
        </is>
      </c>
      <c r="N2844" s="3" t="n">
        <v>0.33</v>
      </c>
      <c r="O2844" t="n">
        <v>4.7</v>
      </c>
      <c r="P2844" t="n">
        <v>7</v>
      </c>
      <c r="R2844" t="inlineStr">
        <is>
          <t>InStock</t>
        </is>
      </c>
      <c r="S2844" t="inlineStr">
        <is>
          <t>undefined</t>
        </is>
      </c>
      <c r="T2844" t="inlineStr">
        <is>
          <t>5152499</t>
        </is>
      </c>
    </row>
    <row r="2845" hidden="1" ht="15.75" customHeight="1">
      <c r="A2845" s="2">
        <f>HYPERLINK("https://www.soccerplususa.com/adidas/adidas-alphaskin-20-headband-42959", "https://www.soccerplususa.com/adidas/adidas-alphaskin-20-headband-42959")</f>
        <v/>
      </c>
      <c r="B2845" t="inlineStr">
        <is>
          <t>undefined</t>
        </is>
      </c>
      <c r="C2845" t="inlineStr">
        <is>
          <t>adidas Alphaskin 2.0 Headband</t>
        </is>
      </c>
      <c r="D2845" t="inlineStr">
        <is>
          <t>adidas Alphaskin 2.0 Elastic Headband, Impact Yellow/White, One Size</t>
        </is>
      </c>
      <c r="E2845" s="2">
        <f>HYPERLINK("https://www.amazon.com/adidas-Alphaskin-Elastic-Headband-Impact/dp/B09FR2ZZFF/ref=sr_1_8?keywords=adidas+Alphaskin+2.0+Headband&amp;qid=1695171083&amp;sr=8-8", "https://www.amazon.com/adidas-Alphaskin-Elastic-Headband-Impact/dp/B09FR2ZZFF/ref=sr_1_8?keywords=adidas+Alphaskin+2.0+Headband&amp;qid=1695171083&amp;sr=8-8")</f>
        <v/>
      </c>
      <c r="F2845" t="inlineStr">
        <is>
          <t>B09FR2ZZFF</t>
        </is>
      </c>
      <c r="G2845">
        <f>_xludf.IMAGE("https://www.soccerplususa.com/prodimages//35443-BLACKWHITE-M.jpg")</f>
        <v/>
      </c>
      <c r="H2845">
        <f>_xludf.IMAGE("https://m.media-amazon.com/images/I/51ZBWdRUBmL._AC_UL320_.jpg")</f>
        <v/>
      </c>
      <c r="K2845" t="inlineStr">
        <is>
          <t>14.95</t>
        </is>
      </c>
      <c r="L2845" t="n">
        <v>15</v>
      </c>
      <c r="M2845" s="1" t="inlineStr">
        <is>
          <t>0.33%</t>
        </is>
      </c>
      <c r="N2845" s="3" t="n">
        <v>0.33</v>
      </c>
      <c r="O2845" t="n">
        <v>4.7</v>
      </c>
      <c r="P2845" t="n">
        <v>7</v>
      </c>
      <c r="R2845" t="inlineStr">
        <is>
          <t>InStock</t>
        </is>
      </c>
      <c r="S2845" t="inlineStr">
        <is>
          <t>undefined</t>
        </is>
      </c>
      <c r="T2845" t="inlineStr">
        <is>
          <t>5152498</t>
        </is>
      </c>
    </row>
    <row r="2846" hidden="1" ht="15.75" customHeight="1">
      <c r="A2846" s="2">
        <f>HYPERLINK("https://www.soccerplususa.com/adidas/adidas-alphaskin-20-headband-42961", "https://www.soccerplususa.com/adidas/adidas-alphaskin-20-headband-42961")</f>
        <v/>
      </c>
      <c r="B2846" t="inlineStr">
        <is>
          <t>undefined</t>
        </is>
      </c>
      <c r="C2846" t="inlineStr">
        <is>
          <t>adidas Alphaskin 2.0 Headband</t>
        </is>
      </c>
      <c r="D2846" t="inlineStr">
        <is>
          <t>adidas Alphaskin 2.0 Elastic Headband, Impact Yellow/White, One Size</t>
        </is>
      </c>
      <c r="E2846" s="2">
        <f>HYPERLINK("https://www.amazon.com/adidas-Alphaskin-Elastic-Headband-Impact/dp/B09FR2ZZFF/ref=sr_1_8?keywords=adidas+Alphaskin+2.0+Headband&amp;qid=1695171083&amp;sr=8-8", "https://www.amazon.com/adidas-Alphaskin-Elastic-Headband-Impact/dp/B09FR2ZZFF/ref=sr_1_8?keywords=adidas+Alphaskin+2.0+Headband&amp;qid=1695171083&amp;sr=8-8")</f>
        <v/>
      </c>
      <c r="F2846" t="inlineStr">
        <is>
          <t>B09FR2ZZFF</t>
        </is>
      </c>
      <c r="G2846">
        <f>_xludf.IMAGE("https://www.soccerplususa.com/prodimages//35444-REDBLACK-M.jpg")</f>
        <v/>
      </c>
      <c r="H2846">
        <f>_xludf.IMAGE("https://m.media-amazon.com/images/I/51ZBWdRUBmL._AC_UL320_.jpg")</f>
        <v/>
      </c>
      <c r="K2846" t="inlineStr">
        <is>
          <t>14.95</t>
        </is>
      </c>
      <c r="L2846" t="n">
        <v>15</v>
      </c>
      <c r="M2846" s="1" t="inlineStr">
        <is>
          <t>0.33%</t>
        </is>
      </c>
      <c r="N2846" s="3" t="n">
        <v>0.33</v>
      </c>
      <c r="O2846" t="n">
        <v>4.7</v>
      </c>
      <c r="P2846" t="n">
        <v>7</v>
      </c>
      <c r="R2846" t="inlineStr">
        <is>
          <t>InStock</t>
        </is>
      </c>
      <c r="S2846" t="inlineStr">
        <is>
          <t>undefined</t>
        </is>
      </c>
      <c r="T2846" t="inlineStr">
        <is>
          <t>5152500</t>
        </is>
      </c>
    </row>
    <row r="2847" hidden="1" ht="15.75" customHeight="1">
      <c r="A2847" s="2">
        <f>HYPERLINK("https://www.soccerplususa.com/adidas/adidas-alphaskin-20-headband-42959", "https://www.soccerplususa.com/adidas/adidas-alphaskin-20-headband-42959")</f>
        <v/>
      </c>
      <c r="B2847" t="inlineStr">
        <is>
          <t>undefined</t>
        </is>
      </c>
      <c r="C2847" t="inlineStr">
        <is>
          <t>adidas Alphaskin 2.0 Headband</t>
        </is>
      </c>
      <c r="D2847" t="inlineStr">
        <is>
          <t>adidas Alphaskin 2.0 Elastic Headband, Stone Wash Grey/White, One Size</t>
        </is>
      </c>
      <c r="E2847" s="2">
        <f>HYPERLINK("https://www.amazon.com/adidas-Alphaskin-Elastic-Headband-Stone/dp/B09FR7DSJ6/ref=sr_1_5?keywords=adidas+Alphaskin+2.0+Headband&amp;qid=1695171083&amp;sr=8-5", "https://www.amazon.com/adidas-Alphaskin-Elastic-Headband-Stone/dp/B09FR7DSJ6/ref=sr_1_5?keywords=adidas+Alphaskin+2.0+Headband&amp;qid=1695171083&amp;sr=8-5")</f>
        <v/>
      </c>
      <c r="F2847" t="inlineStr">
        <is>
          <t>B09FR7DSJ6</t>
        </is>
      </c>
      <c r="G2847">
        <f>_xludf.IMAGE("https://www.soccerplususa.com/prodimages//35443-BLACKWHITE-M.jpg")</f>
        <v/>
      </c>
      <c r="H2847">
        <f>_xludf.IMAGE("https://m.media-amazon.com/images/I/71BLH+CsSuL._AC_UL320_.jpg")</f>
        <v/>
      </c>
      <c r="K2847" t="inlineStr">
        <is>
          <t>14.95</t>
        </is>
      </c>
      <c r="L2847" t="n">
        <v>15</v>
      </c>
      <c r="M2847" s="1" t="inlineStr">
        <is>
          <t>0.33%</t>
        </is>
      </c>
      <c r="N2847" s="3" t="n">
        <v>0.33</v>
      </c>
      <c r="O2847" t="n">
        <v>4.5</v>
      </c>
      <c r="P2847" t="n">
        <v>23</v>
      </c>
      <c r="R2847" t="inlineStr">
        <is>
          <t>InStock</t>
        </is>
      </c>
      <c r="S2847" t="inlineStr">
        <is>
          <t>undefined</t>
        </is>
      </c>
      <c r="T2847" t="inlineStr">
        <is>
          <t>5152498</t>
        </is>
      </c>
    </row>
    <row r="2848" hidden="1" ht="15.75" customHeight="1">
      <c r="A2848" s="2">
        <f>HYPERLINK("https://www.soccerplususa.com/adidas/adidas-alphaskin-20-headband-42960", "https://www.soccerplususa.com/adidas/adidas-alphaskin-20-headband-42960")</f>
        <v/>
      </c>
      <c r="B2848" t="inlineStr">
        <is>
          <t>undefined</t>
        </is>
      </c>
      <c r="C2848" t="inlineStr">
        <is>
          <t>adidas Alphaskin 2.0 Headband</t>
        </is>
      </c>
      <c r="D2848" t="inlineStr">
        <is>
          <t>adidas Alphaskin 2.0 Elastic Headband, Stone Wash Grey/White, One Size</t>
        </is>
      </c>
      <c r="E2848" s="2">
        <f>HYPERLINK("https://www.amazon.com/adidas-Alphaskin-Elastic-Headband-Stone/dp/B09FR7DSJ6/ref=sr_1_2?keywords=adidas+Alphaskin+2.0+Headband&amp;qid=1695171082&amp;sr=8-2", "https://www.amazon.com/adidas-Alphaskin-Elastic-Headband-Stone/dp/B09FR7DSJ6/ref=sr_1_2?keywords=adidas+Alphaskin+2.0+Headband&amp;qid=1695171082&amp;sr=8-2")</f>
        <v/>
      </c>
      <c r="F2848" t="inlineStr">
        <is>
          <t>B09FR7DSJ6</t>
        </is>
      </c>
      <c r="G2848">
        <f>_xludf.IMAGE("https://www.soccerplususa.com/prodimages//35442-ROYALBLACK-M.jpg")</f>
        <v/>
      </c>
      <c r="H2848">
        <f>_xludf.IMAGE("https://m.media-amazon.com/images/I/71BLH+CsSuL._AC_UL320_.jpg")</f>
        <v/>
      </c>
      <c r="K2848" t="inlineStr">
        <is>
          <t>14.95</t>
        </is>
      </c>
      <c r="L2848" t="n">
        <v>15</v>
      </c>
      <c r="M2848" s="1" t="inlineStr">
        <is>
          <t>0.33%</t>
        </is>
      </c>
      <c r="N2848" s="3" t="n">
        <v>0.33</v>
      </c>
      <c r="O2848" t="n">
        <v>4.5</v>
      </c>
      <c r="P2848" t="n">
        <v>23</v>
      </c>
      <c r="R2848" t="inlineStr">
        <is>
          <t>InStock</t>
        </is>
      </c>
      <c r="S2848" t="inlineStr">
        <is>
          <t>undefined</t>
        </is>
      </c>
      <c r="T2848" t="inlineStr">
        <is>
          <t>5152501</t>
        </is>
      </c>
    </row>
    <row r="2849" hidden="1" ht="15.75" customHeight="1">
      <c r="A2849" s="2">
        <f>HYPERLINK("https://www.soccerplususa.com/adidas/adidas-alphaskin-20-headband-42961", "https://www.soccerplususa.com/adidas/adidas-alphaskin-20-headband-42961")</f>
        <v/>
      </c>
      <c r="B2849" t="inlineStr">
        <is>
          <t>undefined</t>
        </is>
      </c>
      <c r="C2849" t="inlineStr">
        <is>
          <t>adidas Alphaskin 2.0 Headband</t>
        </is>
      </c>
      <c r="D2849" t="inlineStr">
        <is>
          <t>adidas Alphaskin 2.0 Elastic Headband, Stone Wash Grey/White, One Size</t>
        </is>
      </c>
      <c r="E2849" s="2">
        <f>HYPERLINK("https://www.amazon.com/adidas-Alphaskin-Elastic-Headband-Stone/dp/B09FR7DSJ6/ref=sr_1_2?keywords=adidas+Alphaskin+2.0+Headband&amp;qid=1695171083&amp;sr=8-2", "https://www.amazon.com/adidas-Alphaskin-Elastic-Headband-Stone/dp/B09FR7DSJ6/ref=sr_1_2?keywords=adidas+Alphaskin+2.0+Headband&amp;qid=1695171083&amp;sr=8-2")</f>
        <v/>
      </c>
      <c r="F2849" t="inlineStr">
        <is>
          <t>B09FR7DSJ6</t>
        </is>
      </c>
      <c r="G2849">
        <f>_xludf.IMAGE("https://www.soccerplususa.com/prodimages//35444-REDBLACK-M.jpg")</f>
        <v/>
      </c>
      <c r="H2849">
        <f>_xludf.IMAGE("https://m.media-amazon.com/images/I/71BLH+CsSuL._AC_UL320_.jpg")</f>
        <v/>
      </c>
      <c r="K2849" t="inlineStr">
        <is>
          <t>14.95</t>
        </is>
      </c>
      <c r="L2849" t="n">
        <v>15</v>
      </c>
      <c r="M2849" s="1" t="inlineStr">
        <is>
          <t>0.33%</t>
        </is>
      </c>
      <c r="N2849" s="3" t="n">
        <v>0.33</v>
      </c>
      <c r="O2849" t="n">
        <v>4.5</v>
      </c>
      <c r="P2849" t="n">
        <v>23</v>
      </c>
      <c r="R2849" t="inlineStr">
        <is>
          <t>InStock</t>
        </is>
      </c>
      <c r="S2849" t="inlineStr">
        <is>
          <t>undefined</t>
        </is>
      </c>
      <c r="T2849" t="inlineStr">
        <is>
          <t>5152500</t>
        </is>
      </c>
    </row>
    <row r="2850" hidden="1" ht="15.75" customHeight="1">
      <c r="A2850" s="2">
        <f>HYPERLINK("https://www.soccerplususa.com/adidas/adidas-juventus-teamgeist-cap-42054", "https://www.soccerplususa.com/adidas/adidas-juventus-teamgeist-cap-42054")</f>
        <v/>
      </c>
      <c r="B2850" t="inlineStr">
        <is>
          <t>undefined</t>
        </is>
      </c>
      <c r="C2850" t="inlineStr">
        <is>
          <t>adidas Juventus Teamgeist Cap</t>
        </is>
      </c>
      <c r="D2850" t="inlineStr">
        <is>
          <t>adidas Teamgeist Cap (Night Indigo Red)</t>
        </is>
      </c>
      <c r="E2850" s="2">
        <f>HYPERLINK("https://www.amazon.com/adidas-Teamgeist-Cap-Night-Indigo/dp/B0BG13STQL/ref=sr_1_1?keywords=adidas+Juventus+Teamgeist+Cap&amp;qid=1695171083&amp;sr=8-1", "https://www.amazon.com/adidas-Teamgeist-Cap-Night-Indigo/dp/B0BG13STQL/ref=sr_1_1?keywords=adidas+Juventus+Teamgeist+Cap&amp;qid=1695171083&amp;sr=8-1")</f>
        <v/>
      </c>
      <c r="F2850" t="inlineStr">
        <is>
          <t>B0BG13STQL</t>
        </is>
      </c>
      <c r="G2850">
        <f>_xludf.IMAGE("https://www.soccerplususa.com/prodimages//34758-HiRes_BlueWhite-M.jpg")</f>
        <v/>
      </c>
      <c r="H2850">
        <f>_xludf.IMAGE("https://m.media-amazon.com/images/I/21nnxCV80CL._AC_UL320_.jpg")</f>
        <v/>
      </c>
      <c r="K2850" t="inlineStr">
        <is>
          <t>34.95</t>
        </is>
      </c>
      <c r="L2850" t="n">
        <v>34.99</v>
      </c>
      <c r="M2850" s="1" t="inlineStr">
        <is>
          <t>0.11%</t>
        </is>
      </c>
      <c r="N2850" s="3" t="n">
        <v>0.11</v>
      </c>
      <c r="O2850" t="n">
        <v>5</v>
      </c>
      <c r="P2850" t="n">
        <v>1</v>
      </c>
      <c r="R2850" t="inlineStr">
        <is>
          <t>InStock</t>
        </is>
      </c>
      <c r="S2850" t="inlineStr">
        <is>
          <t>undefined</t>
        </is>
      </c>
      <c r="T2850" t="inlineStr">
        <is>
          <t>H59690</t>
        </is>
      </c>
    </row>
    <row r="2851" hidden="1" ht="15.75" customHeight="1">
      <c r="A2851" s="2">
        <f>HYPERLINK("https://www.soccerplususa.com/adidas/adidas-copa-zone-cushion-iv-sock-33729", "https://www.soccerplususa.com/adidas/adidas-copa-zone-cushion-iv-sock-33729")</f>
        <v/>
      </c>
      <c r="B2851" t="inlineStr">
        <is>
          <t>undefined</t>
        </is>
      </c>
      <c r="C2851" t="inlineStr">
        <is>
          <t>adidas Copa Zone Cushion IV Sock</t>
        </is>
      </c>
      <c r="D2851" t="inlineStr">
        <is>
          <t>adidas unisex-adult Copa Zone Cushion 4 Soccer Socks (1-pair)</t>
        </is>
      </c>
      <c r="E2851" s="2">
        <f>HYPERLINK("https://www.amazon.com/adidas-Cushion-Soccer-1-Pack-Orange/dp/B07D9JFHJB/ref=sr_1_7?keywords=adidas+Copa+Zone+Cushion+IV+Sock&amp;qid=1695171091&amp;sr=8-7", "https://www.amazon.com/adidas-Cushion-Soccer-1-Pack-Orange/dp/B07D9JFHJB/ref=sr_1_7?keywords=adidas+Copa+Zone+Cushion+IV+Sock&amp;qid=1695171091&amp;sr=8-7")</f>
        <v/>
      </c>
      <c r="F2851" t="inlineStr">
        <is>
          <t>B07D9JFHJB</t>
        </is>
      </c>
      <c r="G2851">
        <f>_xludf.IMAGE("https://www.soccerplususa.com/prodimages/8983-DEFAULT-l.jpg")</f>
        <v/>
      </c>
      <c r="H2851">
        <f>_xludf.IMAGE("https://m.media-amazon.com/images/I/81ArHHWsT2L._AC_UL320_.jpg")</f>
        <v/>
      </c>
      <c r="K2851" t="inlineStr">
        <is>
          <t>11.99</t>
        </is>
      </c>
      <c r="L2851" t="n">
        <v>12</v>
      </c>
      <c r="M2851" s="1" t="inlineStr">
        <is>
          <t>0.08%</t>
        </is>
      </c>
      <c r="N2851" s="3" t="n">
        <v>0.08</v>
      </c>
      <c r="O2851" t="n">
        <v>4.5</v>
      </c>
      <c r="P2851" t="n">
        <v>76</v>
      </c>
      <c r="R2851" t="inlineStr">
        <is>
          <t>InStock</t>
        </is>
      </c>
      <c r="S2851" t="inlineStr">
        <is>
          <t>undefined</t>
        </is>
      </c>
      <c r="T2851" t="inlineStr">
        <is>
          <t>5147296</t>
        </is>
      </c>
    </row>
    <row r="2852" hidden="1" ht="15.75" customHeight="1">
      <c r="A2852" s="2">
        <f>HYPERLINK("https://www.soccerplususa.com/adidas-2/adidas-copa-zone-cushion-iv-sock-36243", "https://www.soccerplususa.com/adidas-2/adidas-copa-zone-cushion-iv-sock-36243")</f>
        <v/>
      </c>
      <c r="B2852" t="inlineStr">
        <is>
          <t>undefined</t>
        </is>
      </c>
      <c r="C2852" t="inlineStr">
        <is>
          <t>adidas Copa Zone Cushion IV Sock</t>
        </is>
      </c>
      <c r="D2852" t="inlineStr">
        <is>
          <t>adidas unisex-adult Copa Zone Cushion 4 Soccer Socks (1-pair)</t>
        </is>
      </c>
      <c r="E2852" s="2">
        <f>HYPERLINK("https://www.amazon.com/adidas-Cushion-Soccer-1-Pack-Orange/dp/B07D9JFHJB/ref=sr_1_7?keywords=adidas+Copa+Zone+Cushion+IV+Sock&amp;qid=1695171093&amp;sr=8-7", "https://www.amazon.com/adidas-Cushion-Soccer-1-Pack-Orange/dp/B07D9JFHJB/ref=sr_1_7?keywords=adidas+Copa+Zone+Cushion+IV+Sock&amp;qid=1695171093&amp;sr=8-7")</f>
        <v/>
      </c>
      <c r="F2852" t="inlineStr">
        <is>
          <t>B07D9JFHJB</t>
        </is>
      </c>
      <c r="G2852">
        <f>_xludf.IMAGE("https://www.soccerplususa.com/prodimages/32190-DEFAULT-l.jpg")</f>
        <v/>
      </c>
      <c r="H2852">
        <f>_xludf.IMAGE("https://m.media-amazon.com/images/I/81ArHHWsT2L._AC_UL320_.jpg")</f>
        <v/>
      </c>
      <c r="K2852" t="inlineStr">
        <is>
          <t>11.99</t>
        </is>
      </c>
      <c r="L2852" t="n">
        <v>12</v>
      </c>
      <c r="M2852" s="1" t="inlineStr">
        <is>
          <t>0.08%</t>
        </is>
      </c>
      <c r="N2852" s="3" t="n">
        <v>0.08</v>
      </c>
      <c r="O2852" t="n">
        <v>4.5</v>
      </c>
      <c r="P2852" t="n">
        <v>76</v>
      </c>
      <c r="R2852" t="inlineStr">
        <is>
          <t>InStock</t>
        </is>
      </c>
      <c r="S2852" t="inlineStr">
        <is>
          <t>undefined</t>
        </is>
      </c>
      <c r="T2852" t="inlineStr">
        <is>
          <t>5147305</t>
        </is>
      </c>
    </row>
    <row r="2853" hidden="1" ht="15.75" customHeight="1">
      <c r="A2853" s="2">
        <f>HYPERLINK("https://www.soccerplususa.com/adidas/adidas-mundial-zone-cushion-otc-2091", "https://www.soccerplususa.com/adidas/adidas-mundial-zone-cushion-otc-2091")</f>
        <v/>
      </c>
      <c r="B2853" t="inlineStr">
        <is>
          <t>undefined</t>
        </is>
      </c>
      <c r="C2853" t="inlineStr">
        <is>
          <t>adidas Mundial Zone Cushion OTC</t>
        </is>
      </c>
      <c r="D2853" t="inlineStr">
        <is>
          <t>adidas Mundial Zone Cushion Soccer Socks for Boys, Girls, Men and Women (1-Pair)</t>
        </is>
      </c>
      <c r="E2853" s="2">
        <f>HYPERLINK("https://www.amazon.com/adidas-Mundial-Cushion-Soccer-university/dp/B077XN3LKV/ref=sr_1_1?keywords=adidas+Mundial+Zone+Cushion+OTC&amp;qid=1695171105&amp;sr=8-1", "https://www.amazon.com/adidas-Mundial-Cushion-Soccer-university/dp/B077XN3LKV/ref=sr_1_1?keywords=adidas+Mundial+Zone+Cushion+OTC&amp;qid=1695171105&amp;sr=8-1")</f>
        <v/>
      </c>
      <c r="F2853" t="inlineStr">
        <is>
          <t>B077XN3LKV</t>
        </is>
      </c>
      <c r="G2853">
        <f>_xludf.IMAGE("https://www.soccerplususa.com/prodimages/7313-DEFAULT-l.jpg")</f>
        <v/>
      </c>
      <c r="H2853">
        <f>_xludf.IMAGE("https://m.media-amazon.com/images/I/61R5M8wsXtL._AC_UL320_.jpg")</f>
        <v/>
      </c>
      <c r="K2853" t="inlineStr">
        <is>
          <t>8.99</t>
        </is>
      </c>
      <c r="L2853" t="n">
        <v>8.99</v>
      </c>
      <c r="M2853" s="1" t="inlineStr">
        <is>
          <t>0.00%</t>
        </is>
      </c>
      <c r="N2853" s="3" t="n">
        <v>0</v>
      </c>
      <c r="O2853" t="n">
        <v>4.6</v>
      </c>
      <c r="P2853" t="n">
        <v>840</v>
      </c>
      <c r="R2853" t="inlineStr">
        <is>
          <t>InStock</t>
        </is>
      </c>
      <c r="S2853" t="inlineStr">
        <is>
          <t>11.95</t>
        </is>
      </c>
      <c r="T2853" t="inlineStr">
        <is>
          <t>5145706</t>
        </is>
      </c>
    </row>
    <row r="2854" hidden="1" ht="15.75" customHeight="1">
      <c r="A2854" s="2">
        <f>HYPERLINK("https://www.soccerplususa.com/pure-grip-socks/pure-grip-socks-40738", "https://www.soccerplususa.com/pure-grip-socks/pure-grip-socks-40738")</f>
        <v/>
      </c>
      <c r="B2854" t="inlineStr">
        <is>
          <t>undefined</t>
        </is>
      </c>
      <c r="C2854" t="inlineStr">
        <is>
          <t>Pure Grip Socks</t>
        </is>
      </c>
      <c r="D2854" t="inlineStr">
        <is>
          <t>Pure Athlete Grip Socks Soccer - Non Slip Padded Gripper Crew Sock Accessories</t>
        </is>
      </c>
      <c r="E2854" s="2">
        <f>HYPERLINK("https://www.amazon.com/Pure-Athlete-Colorblock-Socks-Black-Grey/dp/B09R96QMT7/ref=sr_1_3?keywords=Pure+Grip+Socks&amp;qid=1695171088&amp;sr=8-3", "https://www.amazon.com/Pure-Athlete-Colorblock-Socks-Black-Grey/dp/B09R96QMT7/ref=sr_1_3?keywords=Pure+Grip+Socks&amp;qid=1695171088&amp;sr=8-3")</f>
        <v/>
      </c>
      <c r="F2854" t="inlineStr">
        <is>
          <t>B09R96QMT7</t>
        </is>
      </c>
      <c r="G2854">
        <f>_xludf.IMAGE("https://www.soccerplususa.com/prodimages/33497-DEFAULT-l.jpg")</f>
        <v/>
      </c>
      <c r="H2854">
        <f>_xludf.IMAGE("https://m.media-amazon.com/images/I/71JOBAxC9UL._AC_UL320_.jpg")</f>
        <v/>
      </c>
      <c r="K2854" t="inlineStr">
        <is>
          <t>14.99</t>
        </is>
      </c>
      <c r="L2854" t="n">
        <v>14.98</v>
      </c>
      <c r="M2854" s="1" t="inlineStr">
        <is>
          <t>-0.07%</t>
        </is>
      </c>
      <c r="N2854" s="3" t="n">
        <v>-0.07000000000000001</v>
      </c>
      <c r="O2854" t="n">
        <v>3.9</v>
      </c>
      <c r="P2854" t="n">
        <v>24</v>
      </c>
      <c r="R2854" t="inlineStr">
        <is>
          <t>InStock</t>
        </is>
      </c>
      <c r="S2854" t="inlineStr">
        <is>
          <t>undefined</t>
        </is>
      </c>
      <c r="T2854" t="inlineStr">
        <is>
          <t>PGS</t>
        </is>
      </c>
    </row>
    <row r="2855" hidden="1" ht="15.75" customHeight="1">
      <c r="A2855" s="2">
        <f>HYPERLINK("https://www.soccerplususa.com/nike/nike-academy-otc-soccer-sock-26955", "https://www.soccerplususa.com/nike/nike-academy-otc-soccer-sock-26955")</f>
        <v/>
      </c>
      <c r="B2855" t="inlineStr">
        <is>
          <t>undefined</t>
        </is>
      </c>
      <c r="C2855" t="inlineStr">
        <is>
          <t>Nike Academy OTC Soccer Sock</t>
        </is>
      </c>
      <c r="D2855" t="inlineStr">
        <is>
          <t>Nike Academy Over-The-Calf Soccer Socks</t>
        </is>
      </c>
      <c r="E2855" s="2">
        <f>HYPERLINK("https://www.amazon.com/Nike-Academy-Over-Calf-Soccer/dp/B003CH2LYG/ref=sr_1_1?keywords=Nike+Academy+OTC+Soccer+Sock&amp;qid=1695171108&amp;sr=8-1", "https://www.amazon.com/Nike-Academy-Over-Calf-Soccer/dp/B003CH2LYG/ref=sr_1_1?keywords=Nike+Academy+OTC+Soccer+Sock&amp;qid=1695171108&amp;sr=8-1")</f>
        <v/>
      </c>
      <c r="F2855" t="inlineStr">
        <is>
          <t>B003CH2LYG</t>
        </is>
      </c>
      <c r="G2855">
        <f>_xludf.IMAGE("https://www.soccerplususa.com/prodimages/3263-DEFAULT-l.jpg")</f>
        <v/>
      </c>
      <c r="H2855">
        <f>_xludf.IMAGE("https://m.media-amazon.com/images/I/81UvbwL1KZL._AC_UL320_.jpg")</f>
        <v/>
      </c>
      <c r="K2855" t="inlineStr">
        <is>
          <t>12.0</t>
        </is>
      </c>
      <c r="L2855" t="n">
        <v>11.99</v>
      </c>
      <c r="M2855" s="1" t="inlineStr">
        <is>
          <t>-0.08%</t>
        </is>
      </c>
      <c r="N2855" s="3" t="n">
        <v>-0.08</v>
      </c>
      <c r="O2855" t="n">
        <v>4.6</v>
      </c>
      <c r="P2855" t="n">
        <v>8295</v>
      </c>
      <c r="R2855" t="inlineStr">
        <is>
          <t>InStock</t>
        </is>
      </c>
      <c r="S2855" t="inlineStr">
        <is>
          <t>undefined</t>
        </is>
      </c>
      <c r="T2855" t="inlineStr">
        <is>
          <t>SX4120-101</t>
        </is>
      </c>
    </row>
    <row r="2856" hidden="1" ht="15.75" customHeight="1">
      <c r="A2856" s="2">
        <f>HYPERLINK("https://www.soccerplususa.com/nike/nike-academy-otc-soccer-sock-26958", "https://www.soccerplususa.com/nike/nike-academy-otc-soccer-sock-26958")</f>
        <v/>
      </c>
      <c r="B2856" t="inlineStr">
        <is>
          <t>undefined</t>
        </is>
      </c>
      <c r="C2856" t="inlineStr">
        <is>
          <t>Nike Academy OTC Soccer Sock</t>
        </is>
      </c>
      <c r="D2856" t="inlineStr">
        <is>
          <t>Nike Academy Over-The-Calf Soccer Socks</t>
        </is>
      </c>
      <c r="E2856" s="2">
        <f>HYPERLINK("https://www.amazon.com/Nike-Academy-Over-Calf-Soccer/dp/B003CH2LYG/ref=sr_1_1?keywords=Nike+Academy+OTC+Soccer+Sock&amp;qid=1695171102&amp;sr=8-1", "https://www.amazon.com/Nike-Academy-Over-Calf-Soccer/dp/B003CH2LYG/ref=sr_1_1?keywords=Nike+Academy+OTC+Soccer+Sock&amp;qid=1695171102&amp;sr=8-1")</f>
        <v/>
      </c>
      <c r="F2856" t="inlineStr">
        <is>
          <t>B003CH2LYG</t>
        </is>
      </c>
      <c r="G2856">
        <f>_xludf.IMAGE("https://www.soccerplususa.com/prodimages/3370-DEFAULT-l.jpg")</f>
        <v/>
      </c>
      <c r="H2856">
        <f>_xludf.IMAGE("https://m.media-amazon.com/images/I/81UvbwL1KZL._AC_UL320_.jpg")</f>
        <v/>
      </c>
      <c r="K2856" t="inlineStr">
        <is>
          <t>12.0</t>
        </is>
      </c>
      <c r="L2856" t="n">
        <v>11.99</v>
      </c>
      <c r="M2856" s="1" t="inlineStr">
        <is>
          <t>-0.08%</t>
        </is>
      </c>
      <c r="N2856" s="3" t="n">
        <v>-0.08</v>
      </c>
      <c r="O2856" t="n">
        <v>4.6</v>
      </c>
      <c r="P2856" t="n">
        <v>8295</v>
      </c>
      <c r="R2856" t="inlineStr">
        <is>
          <t>InStock</t>
        </is>
      </c>
      <c r="S2856" t="inlineStr">
        <is>
          <t>undefined</t>
        </is>
      </c>
      <c r="T2856" t="inlineStr">
        <is>
          <t>SX4120-601</t>
        </is>
      </c>
    </row>
    <row r="2857" hidden="1" ht="15.75" customHeight="1">
      <c r="A2857" s="2">
        <f>HYPERLINK("https://www.soccerplususa.com/nike/nike-academy-otc-soccer-sock-26956", "https://www.soccerplususa.com/nike/nike-academy-otc-soccer-sock-26956")</f>
        <v/>
      </c>
      <c r="B2857" t="inlineStr">
        <is>
          <t>undefined</t>
        </is>
      </c>
      <c r="C2857" t="inlineStr">
        <is>
          <t>Nike Academy OTC Soccer Sock</t>
        </is>
      </c>
      <c r="D2857" t="inlineStr">
        <is>
          <t>Nike Academy Over-The-Calf Soccer Socks</t>
        </is>
      </c>
      <c r="E2857" s="2">
        <f>HYPERLINK("https://www.amazon.com/Nike-Academy-Over-Calf-Soccer/dp/B003CH2LYG/ref=sr_1_1?keywords=Nike+Academy+OTC+Soccer+Sock&amp;qid=1695171097&amp;sr=8-1", "https://www.amazon.com/Nike-Academy-Over-Calf-Soccer/dp/B003CH2LYG/ref=sr_1_1?keywords=Nike+Academy+OTC+Soccer+Sock&amp;qid=1695171097&amp;sr=8-1")</f>
        <v/>
      </c>
      <c r="F2857" t="inlineStr">
        <is>
          <t>B003CH2LYG</t>
        </is>
      </c>
      <c r="G2857">
        <f>_xludf.IMAGE("https://www.soccerplususa.com/prodimages/3369-DEFAULT-l.jpg")</f>
        <v/>
      </c>
      <c r="H2857">
        <f>_xludf.IMAGE("https://m.media-amazon.com/images/I/81UvbwL1KZL._AC_UL320_.jpg")</f>
        <v/>
      </c>
      <c r="K2857" t="inlineStr">
        <is>
          <t>12.0</t>
        </is>
      </c>
      <c r="L2857" t="n">
        <v>11.99</v>
      </c>
      <c r="M2857" s="1" t="inlineStr">
        <is>
          <t>-0.08%</t>
        </is>
      </c>
      <c r="N2857" s="3" t="n">
        <v>-0.08</v>
      </c>
      <c r="O2857" t="n">
        <v>4.6</v>
      </c>
      <c r="P2857" t="n">
        <v>8295</v>
      </c>
      <c r="R2857" t="inlineStr">
        <is>
          <t>InStock</t>
        </is>
      </c>
      <c r="S2857" t="inlineStr">
        <is>
          <t>undefined</t>
        </is>
      </c>
      <c r="T2857" t="inlineStr">
        <is>
          <t>SX4120-401</t>
        </is>
      </c>
    </row>
    <row r="2858" hidden="1" ht="15.75" customHeight="1">
      <c r="A2858" s="2">
        <f>HYPERLINK("https://www.soccerplususa.com/adidas/field-sock-ii-3609", "https://www.soccerplususa.com/adidas/field-sock-ii-3609")</f>
        <v/>
      </c>
      <c r="B2858" t="inlineStr">
        <is>
          <t>undefined</t>
        </is>
      </c>
      <c r="C2858" t="inlineStr">
        <is>
          <t>Field Sock II</t>
        </is>
      </c>
      <c r="D2858" t="inlineStr">
        <is>
          <t>adidas Unisex Field Sock II Soccer Sock</t>
        </is>
      </c>
      <c r="E2858" s="2">
        <f>HYPERLINK("https://www.amazon.com/adidas-Field-Sock-White-Small/dp/B001GAP2E2/ref=sr_1_4?keywords=Field+Sock+II&amp;qid=1695171109&amp;sr=8-4", "https://www.amazon.com/adidas-Field-Sock-White-Small/dp/B001GAP2E2/ref=sr_1_4?keywords=Field+Sock+II&amp;qid=1695171109&amp;sr=8-4")</f>
        <v/>
      </c>
      <c r="F2858" t="inlineStr">
        <is>
          <t>B001GAP2E2</t>
        </is>
      </c>
      <c r="G2858">
        <f>_xludf.IMAGE("https://www.soccerplususa.com/prodimages/683-DEFAULT-l.jpg")</f>
        <v/>
      </c>
      <c r="H2858">
        <f>_xludf.IMAGE("https://m.media-amazon.com/images/I/41jv8dHDsnL._AC_UL320_.jpg")</f>
        <v/>
      </c>
      <c r="K2858" t="inlineStr">
        <is>
          <t>5.0</t>
        </is>
      </c>
      <c r="L2858" t="n">
        <v>4.99</v>
      </c>
      <c r="M2858" s="1" t="inlineStr">
        <is>
          <t>-0.20%</t>
        </is>
      </c>
      <c r="N2858" s="3" t="n">
        <v>-0.2</v>
      </c>
      <c r="O2858" t="n">
        <v>5</v>
      </c>
      <c r="P2858" t="n">
        <v>2</v>
      </c>
      <c r="R2858" t="inlineStr">
        <is>
          <t>InStock</t>
        </is>
      </c>
      <c r="S2858" t="inlineStr">
        <is>
          <t>7.95</t>
        </is>
      </c>
      <c r="T2858" t="inlineStr">
        <is>
          <t>956052</t>
        </is>
      </c>
    </row>
    <row r="2859" hidden="1" ht="15.75" customHeight="1">
      <c r="A2859" s="2">
        <f>HYPERLINK("https://www.soccerplususa.com/adidas/field-sock-ii-1364", "https://www.soccerplususa.com/adidas/field-sock-ii-1364")</f>
        <v/>
      </c>
      <c r="B2859" t="inlineStr">
        <is>
          <t>undefined</t>
        </is>
      </c>
      <c r="C2859" t="inlineStr">
        <is>
          <t>Field Sock II</t>
        </is>
      </c>
      <c r="D2859" t="inlineStr">
        <is>
          <t>adidas Unisex Field Sock II Soccer Sock</t>
        </is>
      </c>
      <c r="E2859" s="2">
        <f>HYPERLINK("https://www.amazon.com/adidas-Field-Sock-White-Small/dp/B001GAP2E2/ref=sr_1_2?keywords=Field+Sock+II&amp;qid=1695171112&amp;sr=8-2", "https://www.amazon.com/adidas-Field-Sock-White-Small/dp/B001GAP2E2/ref=sr_1_2?keywords=Field+Sock+II&amp;qid=1695171112&amp;sr=8-2")</f>
        <v/>
      </c>
      <c r="F2859" t="inlineStr">
        <is>
          <t>B001GAP2E2</t>
        </is>
      </c>
      <c r="G2859">
        <f>_xludf.IMAGE("https://www.soccerplususa.com/prodimages/1083-DEFAULT-l.jpg")</f>
        <v/>
      </c>
      <c r="H2859">
        <f>_xludf.IMAGE("https://m.media-amazon.com/images/I/41jv8dHDsnL._AC_UL320_.jpg")</f>
        <v/>
      </c>
      <c r="K2859" t="inlineStr">
        <is>
          <t>5.0</t>
        </is>
      </c>
      <c r="L2859" t="n">
        <v>4.99</v>
      </c>
      <c r="M2859" s="1" t="inlineStr">
        <is>
          <t>-0.20%</t>
        </is>
      </c>
      <c r="N2859" s="3" t="n">
        <v>-0.2</v>
      </c>
      <c r="O2859" t="n">
        <v>5</v>
      </c>
      <c r="P2859" t="n">
        <v>2</v>
      </c>
      <c r="R2859" t="inlineStr">
        <is>
          <t>InStock</t>
        </is>
      </c>
      <c r="S2859" t="inlineStr">
        <is>
          <t>7.95</t>
        </is>
      </c>
      <c r="T2859" t="inlineStr">
        <is>
          <t>321180S</t>
        </is>
      </c>
    </row>
    <row r="2860" hidden="1" ht="15.75" customHeight="1">
      <c r="A2860" s="2">
        <f>HYPERLINK("https://www.soccerplususa.com/adidas/field-sock-ii-3611", "https://www.soccerplususa.com/adidas/field-sock-ii-3611")</f>
        <v/>
      </c>
      <c r="B2860" t="inlineStr">
        <is>
          <t>undefined</t>
        </is>
      </c>
      <c r="C2860" t="inlineStr">
        <is>
          <t>Field Sock II</t>
        </is>
      </c>
      <c r="D2860" t="inlineStr">
        <is>
          <t>adidas Unisex Field Sock II Soccer Sock</t>
        </is>
      </c>
      <c r="E2860" s="2">
        <f>HYPERLINK("https://www.amazon.com/adidas-Field-Sock-White-Small/dp/B001GAP2E2/ref=sr_1_4?keywords=Field+Sock+II&amp;qid=1695171103&amp;sr=8-4", "https://www.amazon.com/adidas-Field-Sock-White-Small/dp/B001GAP2E2/ref=sr_1_4?keywords=Field+Sock+II&amp;qid=1695171103&amp;sr=8-4")</f>
        <v/>
      </c>
      <c r="F2860" t="inlineStr">
        <is>
          <t>B001GAP2E2</t>
        </is>
      </c>
      <c r="G2860">
        <f>_xludf.IMAGE("https://www.soccerplususa.com/prodimages/708-DEFAULT-l.jpg")</f>
        <v/>
      </c>
      <c r="H2860">
        <f>_xludf.IMAGE("https://m.media-amazon.com/images/I/41jv8dHDsnL._AC_UL320_.jpg")</f>
        <v/>
      </c>
      <c r="K2860" t="inlineStr">
        <is>
          <t>5.0</t>
        </is>
      </c>
      <c r="L2860" t="n">
        <v>4.99</v>
      </c>
      <c r="M2860" s="1" t="inlineStr">
        <is>
          <t>-0.20%</t>
        </is>
      </c>
      <c r="N2860" s="3" t="n">
        <v>-0.2</v>
      </c>
      <c r="O2860" t="n">
        <v>5</v>
      </c>
      <c r="P2860" t="n">
        <v>2</v>
      </c>
      <c r="R2860" t="inlineStr">
        <is>
          <t>InStock</t>
        </is>
      </c>
      <c r="S2860" t="inlineStr">
        <is>
          <t>7.95</t>
        </is>
      </c>
      <c r="T2860" t="inlineStr">
        <is>
          <t>956054</t>
        </is>
      </c>
    </row>
    <row r="2861" hidden="1" ht="15.75" customHeight="1">
      <c r="A2861" s="2">
        <f>HYPERLINK("https://www.soccerplususa.com/adidas/field-sock-ii-mens-1367", "https://www.soccerplususa.com/adidas/field-sock-ii-mens-1367")</f>
        <v/>
      </c>
      <c r="B2861" t="inlineStr">
        <is>
          <t>undefined</t>
        </is>
      </c>
      <c r="C2861" t="inlineStr">
        <is>
          <t>Field Sock II Mens</t>
        </is>
      </c>
      <c r="D2861" t="inlineStr">
        <is>
          <t>adidas Unisex Field Sock II Soccer Sock</t>
        </is>
      </c>
      <c r="E2861" s="2">
        <f>HYPERLINK("https://www.amazon.com/adidas-Field-Sock-White-Small/dp/B001GAP2E2/ref=sr_1_2?keywords=Field+Sock+II+Mens&amp;qid=1695171112&amp;sr=8-2", "https://www.amazon.com/adidas-Field-Sock-White-Small/dp/B001GAP2E2/ref=sr_1_2?keywords=Field+Sock+II+Mens&amp;qid=1695171112&amp;sr=8-2")</f>
        <v/>
      </c>
      <c r="F2861" t="inlineStr">
        <is>
          <t>B001GAP2E2</t>
        </is>
      </c>
      <c r="G2861">
        <f>_xludf.IMAGE("https://www.soccerplususa.com/prodimages/1087-DEFAULT-l.jpg")</f>
        <v/>
      </c>
      <c r="H2861">
        <f>_xludf.IMAGE("https://m.media-amazon.com/images/I/41jv8dHDsnL._AC_UL320_.jpg")</f>
        <v/>
      </c>
      <c r="K2861" t="inlineStr">
        <is>
          <t>5.0</t>
        </is>
      </c>
      <c r="L2861" t="n">
        <v>4.99</v>
      </c>
      <c r="M2861" s="1" t="inlineStr">
        <is>
          <t>-0.20%</t>
        </is>
      </c>
      <c r="N2861" s="3" t="n">
        <v>-0.2</v>
      </c>
      <c r="O2861" t="n">
        <v>5</v>
      </c>
      <c r="P2861" t="n">
        <v>2</v>
      </c>
      <c r="R2861" t="inlineStr">
        <is>
          <t>InStock</t>
        </is>
      </c>
      <c r="S2861" t="inlineStr">
        <is>
          <t>7.95</t>
        </is>
      </c>
      <c r="T2861" t="inlineStr">
        <is>
          <t>321183S</t>
        </is>
      </c>
    </row>
    <row r="2862" hidden="1" ht="15.75" customHeight="1">
      <c r="A2862" s="2">
        <f>HYPERLINK("https://www.soccerplususa.com/adidas/adidas-copa-zone-cushion-ii-soccer-sock-1940", "https://www.soccerplususa.com/adidas/adidas-copa-zone-cushion-ii-soccer-sock-1940")</f>
        <v/>
      </c>
      <c r="B2862" t="inlineStr">
        <is>
          <t>undefined</t>
        </is>
      </c>
      <c r="C2862" t="inlineStr">
        <is>
          <t>adidas Copa Zone Cushion II Soccer Sock</t>
        </is>
      </c>
      <c r="D2862" t="inlineStr">
        <is>
          <t>adidas Copa Zone Cushion II Large Socks</t>
        </is>
      </c>
      <c r="E2862" s="2">
        <f>HYPERLINK("https://www.amazon.com/Adidas-Cushion-Soccer-Large-White/dp/B00E34KJ9Q/ref=sr_1_3?keywords=adidas+Copa+Zone+Cushion+II+Soccer+Sock&amp;qid=1695171112&amp;sr=8-3", "https://www.amazon.com/Adidas-Cushion-Soccer-Large-White/dp/B00E34KJ9Q/ref=sr_1_3?keywords=adidas+Copa+Zone+Cushion+II+Soccer+Sock&amp;qid=1695171112&amp;sr=8-3")</f>
        <v/>
      </c>
      <c r="F2862" t="inlineStr">
        <is>
          <t>B00E34KJ9Q</t>
        </is>
      </c>
      <c r="G2862">
        <f>_xludf.IMAGE("https://www.soccerplususa.com/prodimages//35006-WHITE-M.jpg")</f>
        <v/>
      </c>
      <c r="H2862">
        <f>_xludf.IMAGE("https://m.media-amazon.com/images/I/61+-OqZA3OL._AC_UL320_.jpg")</f>
        <v/>
      </c>
      <c r="K2862" t="inlineStr">
        <is>
          <t>11.95</t>
        </is>
      </c>
      <c r="L2862" t="n">
        <v>11.9</v>
      </c>
      <c r="M2862" s="1" t="inlineStr">
        <is>
          <t>-0.42%</t>
        </is>
      </c>
      <c r="N2862" s="3" t="n">
        <v>-0.42</v>
      </c>
      <c r="O2862" t="n">
        <v>4.5</v>
      </c>
      <c r="P2862" t="n">
        <v>2</v>
      </c>
      <c r="R2862" t="inlineStr">
        <is>
          <t>InStock</t>
        </is>
      </c>
      <c r="S2862" t="inlineStr">
        <is>
          <t>undefined</t>
        </is>
      </c>
      <c r="T2862" t="inlineStr">
        <is>
          <t>5130201</t>
        </is>
      </c>
    </row>
    <row r="2863" hidden="1" ht="15.75" customHeight="1">
      <c r="A2863" s="2">
        <f>HYPERLINK("https://www.soccerplususa.com/puma/puma-power-5-sock-29701", "https://www.soccerplususa.com/puma/puma-power-5-sock-29701")</f>
        <v/>
      </c>
      <c r="B2863" t="inlineStr">
        <is>
          <t>undefined</t>
        </is>
      </c>
      <c r="C2863" t="inlineStr">
        <is>
          <t>Puma Power 5 Sock</t>
        </is>
      </c>
      <c r="D2863" t="inlineStr">
        <is>
          <t>PUMA Men's Power Tech Socks</t>
        </is>
      </c>
      <c r="E2863" s="2">
        <f>HYPERLINK("https://www.amazon.com/Puma-Power-Socks-White-3-5-6/dp/B006XEA6QU/ref=sr_1_4?keywords=Puma+Power+5+Sock&amp;qid=1695171100&amp;sr=8-4", "https://www.amazon.com/Puma-Power-Socks-White-3-5-6/dp/B006XEA6QU/ref=sr_1_4?keywords=Puma+Power+5+Sock&amp;qid=1695171100&amp;sr=8-4")</f>
        <v/>
      </c>
      <c r="F2863" t="inlineStr">
        <is>
          <t>B006XEA6QU</t>
        </is>
      </c>
      <c r="G2863">
        <f>_xludf.IMAGE("https://www.soccerplususa.com/prodimages/32673-DEFAULT-l.jpg")</f>
        <v/>
      </c>
      <c r="H2863">
        <f>_xludf.IMAGE("https://m.media-amazon.com/images/I/816VtIiUcdL._AC_UL320_.jpg")</f>
        <v/>
      </c>
      <c r="K2863" t="inlineStr">
        <is>
          <t>8.0</t>
        </is>
      </c>
      <c r="L2863" t="n">
        <v>7.95</v>
      </c>
      <c r="M2863" s="1" t="inlineStr">
        <is>
          <t>-0.62%</t>
        </is>
      </c>
      <c r="N2863" s="3" t="n">
        <v>-0.62</v>
      </c>
      <c r="O2863" t="n">
        <v>4.2</v>
      </c>
      <c r="P2863" t="n">
        <v>49</v>
      </c>
      <c r="R2863" t="inlineStr">
        <is>
          <t>InStock</t>
        </is>
      </c>
      <c r="S2863" t="inlineStr">
        <is>
          <t>10.0</t>
        </is>
      </c>
      <c r="T2863" t="inlineStr">
        <is>
          <t>890422-05</t>
        </is>
      </c>
    </row>
    <row r="2864" hidden="1" ht="15.75" customHeight="1">
      <c r="A2864" s="2">
        <f>HYPERLINK("https://www.soccerplususa.com/puma/puma-power-5-sock-29701", "https://www.soccerplususa.com/puma/puma-power-5-sock-29701")</f>
        <v/>
      </c>
      <c r="B2864" t="inlineStr">
        <is>
          <t>undefined</t>
        </is>
      </c>
      <c r="C2864" t="inlineStr">
        <is>
          <t>Puma Power 5 Sock</t>
        </is>
      </c>
      <c r="D2864" t="inlineStr">
        <is>
          <t>PUMA Scorpions Power 5 Sock</t>
        </is>
      </c>
      <c r="E2864" s="2">
        <f>HYPERLINK("https://www.amazon.com/PUMA-Scorpions-Power-Sock-GREEN/dp/B008SAMKQG/ref=sr_1_2?keywords=Puma+Power+5+Sock&amp;qid=1695171100&amp;sr=8-2", "https://www.amazon.com/PUMA-Scorpions-Power-Sock-GREEN/dp/B008SAMKQG/ref=sr_1_2?keywords=Puma+Power+5+Sock&amp;qid=1695171100&amp;sr=8-2")</f>
        <v/>
      </c>
      <c r="F2864" t="inlineStr">
        <is>
          <t>B008SAMKQG</t>
        </is>
      </c>
      <c r="G2864">
        <f>_xludf.IMAGE("https://www.soccerplususa.com/prodimages/32673-DEFAULT-l.jpg")</f>
        <v/>
      </c>
      <c r="H2864">
        <f>_xludf.IMAGE("https://m.media-amazon.com/images/I/51Eiw42VloS._AC_UL320_.jpg")</f>
        <v/>
      </c>
      <c r="K2864" t="inlineStr">
        <is>
          <t>8.0</t>
        </is>
      </c>
      <c r="L2864" t="n">
        <v>7.95</v>
      </c>
      <c r="M2864" s="1" t="inlineStr">
        <is>
          <t>-0.62%</t>
        </is>
      </c>
      <c r="N2864" s="3" t="n">
        <v>-0.62</v>
      </c>
      <c r="O2864" t="n">
        <v>5</v>
      </c>
      <c r="P2864" t="n">
        <v>2</v>
      </c>
      <c r="R2864" t="inlineStr">
        <is>
          <t>InStock</t>
        </is>
      </c>
      <c r="S2864" t="inlineStr">
        <is>
          <t>10.0</t>
        </is>
      </c>
      <c r="T2864" t="inlineStr">
        <is>
          <t>890422-05</t>
        </is>
      </c>
    </row>
    <row r="2865" hidden="1" ht="15.75" customHeight="1">
      <c r="A2865" s="2">
        <f>HYPERLINK("https://www.soccerplususa.com/puma/puma-power-5-sock-29701", "https://www.soccerplususa.com/puma/puma-power-5-sock-29701")</f>
        <v/>
      </c>
      <c r="B2865" t="inlineStr">
        <is>
          <t>undefined</t>
        </is>
      </c>
      <c r="C2865" t="inlineStr">
        <is>
          <t>Puma Power 5 Sock</t>
        </is>
      </c>
      <c r="D2865" t="inlineStr">
        <is>
          <t>PUMA Men's Power 5 Socks</t>
        </is>
      </c>
      <c r="E2865" s="2">
        <f>HYPERLINK("https://www.amazon.com/Power-Socks-Black-White-Medium/dp/B007DIBLW8/ref=sr_1_1?keywords=Puma+Power+5+Sock&amp;qid=1695171100&amp;sr=8-1", "https://www.amazon.com/Power-Socks-Black-White-Medium/dp/B007DIBLW8/ref=sr_1_1?keywords=Puma+Power+5+Sock&amp;qid=1695171100&amp;sr=8-1")</f>
        <v/>
      </c>
      <c r="F2865" t="inlineStr">
        <is>
          <t>B007DIBLW8</t>
        </is>
      </c>
      <c r="G2865">
        <f>_xludf.IMAGE("https://www.soccerplususa.com/prodimages/32673-DEFAULT-l.jpg")</f>
        <v/>
      </c>
      <c r="H2865">
        <f>_xludf.IMAGE("https://m.media-amazon.com/images/I/71o7YG-fqiL._AC_UL320_.jpg")</f>
        <v/>
      </c>
      <c r="K2865" t="inlineStr">
        <is>
          <t>8.0</t>
        </is>
      </c>
      <c r="L2865" t="n">
        <v>7.95</v>
      </c>
      <c r="M2865" s="1" t="inlineStr">
        <is>
          <t>-0.62%</t>
        </is>
      </c>
      <c r="N2865" s="3" t="n">
        <v>-0.62</v>
      </c>
      <c r="O2865" t="n">
        <v>4.4</v>
      </c>
      <c r="P2865" t="n">
        <v>221</v>
      </c>
      <c r="R2865" t="inlineStr">
        <is>
          <t>InStock</t>
        </is>
      </c>
      <c r="S2865" t="inlineStr">
        <is>
          <t>10.0</t>
        </is>
      </c>
      <c r="T2865" t="inlineStr">
        <is>
          <t>890422-05</t>
        </is>
      </c>
    </row>
    <row r="2866" hidden="1" ht="15.75" customHeight="1">
      <c r="A2866" s="2">
        <f>HYPERLINK("https://www.soccerplususa.com/adidas/adidas-team-speed-pro-otc-33727", "https://www.soccerplususa.com/adidas/adidas-team-speed-pro-otc-33727")</f>
        <v/>
      </c>
      <c r="B2866" t="inlineStr">
        <is>
          <t>undefined</t>
        </is>
      </c>
      <c r="C2866" t="inlineStr">
        <is>
          <t>adidas Team Speed Pro OTC</t>
        </is>
      </c>
      <c r="D2866" t="inlineStr">
        <is>
          <t>adidas Team Speed Pro OTC</t>
        </is>
      </c>
      <c r="E2866" s="2">
        <f>HYPERLINK("https://www.amazon.com/adidas-977186-Team-Speed-Pro/dp/B091DD66ZG/ref=sr_1_1?keywords=adidas+Team+Speed+Pro+OTC&amp;qid=1695171096&amp;sr=8-1", "https://www.amazon.com/adidas-977186-Team-Speed-Pro/dp/B091DD66ZG/ref=sr_1_1?keywords=adidas+Team+Speed+Pro+OTC&amp;qid=1695171096&amp;sr=8-1")</f>
        <v/>
      </c>
      <c r="F2866" t="inlineStr">
        <is>
          <t>B091DD66ZG</t>
        </is>
      </c>
      <c r="G2866">
        <f>_xludf.IMAGE("https://www.soccerplususa.com/prodimages/30902-DEFAULT-l.jpg")</f>
        <v/>
      </c>
      <c r="H2866">
        <f>_xludf.IMAGE("https://m.media-amazon.com/images/I/61MzCoqlMSL._AC_UL320_.jpg")</f>
        <v/>
      </c>
      <c r="K2866" t="inlineStr">
        <is>
          <t>17.95</t>
        </is>
      </c>
      <c r="L2866" t="n">
        <v>17.35</v>
      </c>
      <c r="M2866" s="1" t="inlineStr">
        <is>
          <t>-3.34%</t>
        </is>
      </c>
      <c r="N2866" s="3" t="n">
        <v>-3.34</v>
      </c>
      <c r="O2866" t="n">
        <v>5</v>
      </c>
      <c r="P2866" t="n">
        <v>1</v>
      </c>
      <c r="R2866" t="inlineStr">
        <is>
          <t>InStock</t>
        </is>
      </c>
      <c r="S2866" t="inlineStr">
        <is>
          <t>undefined</t>
        </is>
      </c>
      <c r="T2866" t="inlineStr">
        <is>
          <t>5145736</t>
        </is>
      </c>
    </row>
    <row r="2867" hidden="1" ht="15.75" customHeight="1">
      <c r="A2867" s="2">
        <f>HYPERLINK("https://www.soccerplususa.com/adidas-2/adidas-team-speed-pro-otc-36227", "https://www.soccerplususa.com/adidas-2/adidas-team-speed-pro-otc-36227")</f>
        <v/>
      </c>
      <c r="B2867" t="inlineStr">
        <is>
          <t>undefined</t>
        </is>
      </c>
      <c r="C2867" t="inlineStr">
        <is>
          <t>adidas Team Speed Pro OTC</t>
        </is>
      </c>
      <c r="D2867" t="inlineStr">
        <is>
          <t>adidas Team Speed Pro OTC</t>
        </is>
      </c>
      <c r="E2867" s="2">
        <f>HYPERLINK("https://www.amazon.com/adidas-977186-Team-Speed-Pro/dp/B091DD66ZG/ref=sr_1_1?keywords=adidas+Team+Speed+Pro+OTC&amp;qid=1695171099&amp;sr=8-1", "https://www.amazon.com/adidas-977186-Team-Speed-Pro/dp/B091DD66ZG/ref=sr_1_1?keywords=adidas+Team+Speed+Pro+OTC&amp;qid=1695171099&amp;sr=8-1")</f>
        <v/>
      </c>
      <c r="F2867" t="inlineStr">
        <is>
          <t>B091DD66ZG</t>
        </is>
      </c>
      <c r="G2867">
        <f>_xludf.IMAGE("https://www.soccerplususa.com/prodimages/17526-DEFAULT-l.jpg")</f>
        <v/>
      </c>
      <c r="H2867">
        <f>_xludf.IMAGE("https://m.media-amazon.com/images/I/61MzCoqlMSL._AC_UL320_.jpg")</f>
        <v/>
      </c>
      <c r="K2867" t="inlineStr">
        <is>
          <t>17.95</t>
        </is>
      </c>
      <c r="L2867" t="n">
        <v>17.35</v>
      </c>
      <c r="M2867" s="1" t="inlineStr">
        <is>
          <t>-3.34%</t>
        </is>
      </c>
      <c r="N2867" s="3" t="n">
        <v>-3.34</v>
      </c>
      <c r="O2867" t="n">
        <v>5</v>
      </c>
      <c r="P2867" t="n">
        <v>1</v>
      </c>
      <c r="R2867" t="inlineStr">
        <is>
          <t>InStock</t>
        </is>
      </c>
      <c r="S2867" t="inlineStr">
        <is>
          <t>undefined</t>
        </is>
      </c>
      <c r="T2867" t="inlineStr">
        <is>
          <t>5145701</t>
        </is>
      </c>
    </row>
    <row r="2868" hidden="1" ht="15.75" customHeight="1">
      <c r="A2868" s="2">
        <f>HYPERLINK("https://www.soccerplususa.com/adidas-2/adidas-team-speed-pro-otc-36231", "https://www.soccerplususa.com/adidas-2/adidas-team-speed-pro-otc-36231")</f>
        <v/>
      </c>
      <c r="B2868" t="inlineStr">
        <is>
          <t>undefined</t>
        </is>
      </c>
      <c r="C2868" t="inlineStr">
        <is>
          <t>adidas Team Speed Pro OTC</t>
        </is>
      </c>
      <c r="D2868" t="inlineStr">
        <is>
          <t>adidas Team Speed Pro OTC</t>
        </is>
      </c>
      <c r="E2868" s="2">
        <f>HYPERLINK("https://www.amazon.com/adidas-977186-Team-Speed-Pro/dp/B091DD66ZG/ref=sr_1_1?keywords=adidas+Team+Speed+Pro+OTC&amp;qid=1695171096&amp;sr=8-1", "https://www.amazon.com/adidas-977186-Team-Speed-Pro/dp/B091DD66ZG/ref=sr_1_1?keywords=adidas+Team+Speed+Pro+OTC&amp;qid=1695171096&amp;sr=8-1")</f>
        <v/>
      </c>
      <c r="F2868" t="inlineStr">
        <is>
          <t>B091DD66ZG</t>
        </is>
      </c>
      <c r="G2868">
        <f>_xludf.IMAGE("https://www.soccerplususa.com/prodimages/17541-DEFAULT-l.jpg")</f>
        <v/>
      </c>
      <c r="H2868">
        <f>_xludf.IMAGE("https://m.media-amazon.com/images/I/61MzCoqlMSL._AC_UL320_.jpg")</f>
        <v/>
      </c>
      <c r="K2868" t="inlineStr">
        <is>
          <t>17.95</t>
        </is>
      </c>
      <c r="L2868" t="n">
        <v>17.35</v>
      </c>
      <c r="M2868" s="1" t="inlineStr">
        <is>
          <t>-3.34%</t>
        </is>
      </c>
      <c r="N2868" s="3" t="n">
        <v>-3.34</v>
      </c>
      <c r="O2868" t="n">
        <v>5</v>
      </c>
      <c r="P2868" t="n">
        <v>1</v>
      </c>
      <c r="R2868" t="inlineStr">
        <is>
          <t>InStock</t>
        </is>
      </c>
      <c r="S2868" t="inlineStr">
        <is>
          <t>undefined</t>
        </is>
      </c>
      <c r="T2868" t="inlineStr">
        <is>
          <t>5145741</t>
        </is>
      </c>
    </row>
    <row r="2869" hidden="1" ht="15.75" customHeight="1">
      <c r="A2869" s="2">
        <f>HYPERLINK("https://www.soccerplususa.com/adidas/adidas-tiro-neckwarmer-aeroready-39775", "https://www.soccerplususa.com/adidas/adidas-tiro-neckwarmer-aeroready-39775")</f>
        <v/>
      </c>
      <c r="B2869" t="inlineStr">
        <is>
          <t>undefined</t>
        </is>
      </c>
      <c r="C2869" t="inlineStr">
        <is>
          <t>adidas Tiro Neckwarmer Aeroready</t>
        </is>
      </c>
      <c r="D2869" t="inlineStr">
        <is>
          <t>adidas Unisex-Adult Tiro Neckwarmer</t>
        </is>
      </c>
      <c r="E2869" s="2">
        <f>HYPERLINK("https://www.amazon.com/adidas-unisex-adult-Neckwarmer-Black-White/dp/B087R5492R/ref=sr_1_1?keywords=adidas+Tiro+Neckwarmer+Aeroready&amp;qid=1695171091&amp;sr=8-1", "https://www.amazon.com/adidas-unisex-adult-Neckwarmer-Black-White/dp/B087R5492R/ref=sr_1_1?keywords=adidas+Tiro+Neckwarmer+Aeroready&amp;qid=1695171091&amp;sr=8-1")</f>
        <v/>
      </c>
      <c r="F2869" t="inlineStr">
        <is>
          <t>B087R5492R</t>
        </is>
      </c>
      <c r="G2869">
        <f>_xludf.IMAGE("https://www.soccerplususa.com/prodimages/32960-DEFAULT-l.jpg")</f>
        <v/>
      </c>
      <c r="H2869">
        <f>_xludf.IMAGE("https://m.media-amazon.com/images/I/71eStmjk08L._AC_UL320_.jpg")</f>
        <v/>
      </c>
      <c r="K2869" t="inlineStr">
        <is>
          <t>24.95</t>
        </is>
      </c>
      <c r="L2869" t="n">
        <v>24.09</v>
      </c>
      <c r="M2869" s="1" t="inlineStr">
        <is>
          <t>-3.45%</t>
        </is>
      </c>
      <c r="N2869" s="3" t="n">
        <v>-3.45</v>
      </c>
      <c r="O2869" t="n">
        <v>4.6</v>
      </c>
      <c r="P2869" t="n">
        <v>70</v>
      </c>
      <c r="R2869" t="inlineStr">
        <is>
          <t>InStock</t>
        </is>
      </c>
      <c r="S2869" t="inlineStr">
        <is>
          <t>undefined</t>
        </is>
      </c>
      <c r="T2869" t="inlineStr">
        <is>
          <t>GH7250</t>
        </is>
      </c>
    </row>
    <row r="2870" hidden="1" ht="15.75" customHeight="1">
      <c r="A2870" s="2">
        <f>HYPERLINK("https://www.soccerplususa.com/adidas/adidas-team-speed-pro-otc-33722", "https://www.soccerplususa.com/adidas/adidas-team-speed-pro-otc-33722")</f>
        <v/>
      </c>
      <c r="B2870" t="inlineStr">
        <is>
          <t>undefined</t>
        </is>
      </c>
      <c r="C2870" t="inlineStr">
        <is>
          <t>adidas Team Speed Pro OTC</t>
        </is>
      </c>
      <c r="D2870" t="inlineStr">
        <is>
          <t>adidas Team Speed Pro OTC</t>
        </is>
      </c>
      <c r="E2870" s="2">
        <f>HYPERLINK("https://www.amazon.com/adidas-977186-Team-Speed-Pro/dp/B091DD66ZG/ref=sr_1_1?keywords=adidas+Team+Speed+Pro+OTC&amp;qid=1695171099&amp;sr=8-1", "https://www.amazon.com/adidas-977186-Team-Speed-Pro/dp/B091DD66ZG/ref=sr_1_1?keywords=adidas+Team+Speed+Pro+OTC&amp;qid=1695171099&amp;sr=8-1")</f>
        <v/>
      </c>
      <c r="F2870" t="inlineStr">
        <is>
          <t>B091DD66ZG</t>
        </is>
      </c>
      <c r="G2870">
        <f>_xludf.IMAGE("https://www.soccerplususa.com/prodimages/30898-DEFAULT-l.jpg")</f>
        <v/>
      </c>
      <c r="H2870">
        <f>_xludf.IMAGE("https://m.media-amazon.com/images/I/61MzCoqlMSL._AC_UL320_.jpg")</f>
        <v/>
      </c>
      <c r="K2870" t="inlineStr">
        <is>
          <t>17.99</t>
        </is>
      </c>
      <c r="L2870" t="n">
        <v>17.35</v>
      </c>
      <c r="M2870" s="1" t="inlineStr">
        <is>
          <t>-3.56%</t>
        </is>
      </c>
      <c r="N2870" s="3" t="n">
        <v>-3.56</v>
      </c>
      <c r="O2870" t="n">
        <v>5</v>
      </c>
      <c r="P2870" t="n">
        <v>1</v>
      </c>
      <c r="R2870" t="inlineStr">
        <is>
          <t>InStock</t>
        </is>
      </c>
      <c r="S2870" t="inlineStr">
        <is>
          <t>undefined</t>
        </is>
      </c>
      <c r="T2870" t="inlineStr">
        <is>
          <t>5145696</t>
        </is>
      </c>
    </row>
    <row r="2871" hidden="1" ht="15.75" customHeight="1">
      <c r="A2871" s="2">
        <f>HYPERLINK("https://www.soccerplususa.com/sweat-x/sweat-x-sport-laundry-detergent-32390", "https://www.soccerplususa.com/sweat-x/sweat-x-sport-laundry-detergent-32390")</f>
        <v/>
      </c>
      <c r="B2871" t="inlineStr">
        <is>
          <t>undefined</t>
        </is>
      </c>
      <c r="C2871" t="inlineStr">
        <is>
          <t>Sweat X Sport Laundry Detergent</t>
        </is>
      </c>
      <c r="D2871" t="inlineStr">
        <is>
          <t>Sweat X Sport Max Odor Defense Extreme Activewear Detergent</t>
        </is>
      </c>
      <c r="E2871" s="2">
        <f>HYPERLINK("https://www.amazon.com/Sweat-Defense-Extreme-Activewear-Detergent/dp/B096BNRM5N/ref=sr_1_2?keywords=Sweat+X+Sport+Laundry+Detergent&amp;qid=1695171098&amp;sr=8-2", "https://www.amazon.com/Sweat-Defense-Extreme-Activewear-Detergent/dp/B096BNRM5N/ref=sr_1_2?keywords=Sweat+X+Sport+Laundry+Detergent&amp;qid=1695171098&amp;sr=8-2")</f>
        <v/>
      </c>
      <c r="F2871" t="inlineStr">
        <is>
          <t>B096BNRM5N</t>
        </is>
      </c>
      <c r="G2871">
        <f>_xludf.IMAGE("https://www.soccerplususa.com/prodimages/6299-DEFAULT-l.jpg")</f>
        <v/>
      </c>
      <c r="H2871">
        <f>_xludf.IMAGE("https://m.media-amazon.com/images/I/61tUzHx7szL._AC_UL320_.jpg")</f>
        <v/>
      </c>
      <c r="K2871" t="inlineStr">
        <is>
          <t>23.95</t>
        </is>
      </c>
      <c r="L2871" t="n">
        <v>22.99</v>
      </c>
      <c r="M2871" s="1" t="inlineStr">
        <is>
          <t>-4.01%</t>
        </is>
      </c>
      <c r="N2871" s="3" t="n">
        <v>-4.01</v>
      </c>
      <c r="O2871" t="n">
        <v>4.4</v>
      </c>
      <c r="P2871" t="n">
        <v>320</v>
      </c>
      <c r="R2871" t="inlineStr">
        <is>
          <t>InStock</t>
        </is>
      </c>
      <c r="S2871" t="inlineStr">
        <is>
          <t>undefined</t>
        </is>
      </c>
      <c r="T2871" t="inlineStr">
        <is>
          <t>SWX4049</t>
        </is>
      </c>
    </row>
    <row r="2872" hidden="1" ht="15.75" customHeight="1">
      <c r="A2872" s="2">
        <f>HYPERLINK("https://www.soccerplususa.com/adidas-2/adidas-copa-zone-cushion-iv-sock-36236", "https://www.soccerplususa.com/adidas-2/adidas-copa-zone-cushion-iv-sock-36236")</f>
        <v/>
      </c>
      <c r="B2872" t="inlineStr">
        <is>
          <t>undefined</t>
        </is>
      </c>
      <c r="C2872" t="inlineStr">
        <is>
          <t>adidas Copa Zone Cushion IV Sock</t>
        </is>
      </c>
      <c r="D2872" t="inlineStr">
        <is>
          <t>adidas Copa Zone Cushion 4 Soccer Socks (1-Pair) -Irregular</t>
        </is>
      </c>
      <c r="E2872" s="2">
        <f>HYPERLINK("https://www.amazon.com/adidas-Cushion-Irregular-Sock-Team-X-Small/dp/B08ZXZ8LQL/ref=sr_1_4?keywords=adidas+Copa+Zone+Cushion+IV+Sock&amp;qid=1695171089&amp;sr=8-4", "https://www.amazon.com/adidas-Cushion-Irregular-Sock-Team-X-Small/dp/B08ZXZ8LQL/ref=sr_1_4?keywords=adidas+Copa+Zone+Cushion+IV+Sock&amp;qid=1695171089&amp;sr=8-4")</f>
        <v/>
      </c>
      <c r="F2872" t="inlineStr">
        <is>
          <t>B08ZXZ8LQL</t>
        </is>
      </c>
      <c r="G2872">
        <f>_xludf.IMAGE("https://www.soccerplususa.com/prodimages/17545-DEFAULT-l.jpg")</f>
        <v/>
      </c>
      <c r="H2872">
        <f>_xludf.IMAGE("https://m.media-amazon.com/images/I/81z9VJEVGjL._AC_UL320_.jpg")</f>
        <v/>
      </c>
      <c r="K2872" t="inlineStr">
        <is>
          <t>11.95</t>
        </is>
      </c>
      <c r="L2872" t="n">
        <v>11.44</v>
      </c>
      <c r="M2872" s="1" t="inlineStr">
        <is>
          <t>-4.27%</t>
        </is>
      </c>
      <c r="N2872" s="3" t="n">
        <v>-4.27</v>
      </c>
      <c r="O2872" t="n">
        <v>4</v>
      </c>
      <c r="P2872" t="n">
        <v>15</v>
      </c>
      <c r="R2872" t="inlineStr">
        <is>
          <t>InStock</t>
        </is>
      </c>
      <c r="S2872" t="inlineStr">
        <is>
          <t>undefined</t>
        </is>
      </c>
      <c r="T2872" t="inlineStr">
        <is>
          <t>5147292</t>
        </is>
      </c>
    </row>
    <row r="2873" hidden="1" ht="15.75" customHeight="1">
      <c r="A2873" s="2">
        <f>HYPERLINK("https://www.soccerplususa.com/adidas-2/adidas-copa-zone-cushion-iv-otc-sock-36234", "https://www.soccerplususa.com/adidas-2/adidas-copa-zone-cushion-iv-otc-sock-36234")</f>
        <v/>
      </c>
      <c r="B2873" t="inlineStr">
        <is>
          <t>undefined</t>
        </is>
      </c>
      <c r="C2873" t="inlineStr">
        <is>
          <t>adidas Copa Zone Cushion IV OTC Sock</t>
        </is>
      </c>
      <c r="D2873" t="inlineStr">
        <is>
          <t>adidas Copa Zone Cushion 4 Soccer Socks (1-Pair) -Irregular</t>
        </is>
      </c>
      <c r="E2873" s="2">
        <f>HYPERLINK("https://www.amazon.com/adidas-Cushion-Irregular-Sock-Team-X-Small/dp/B08ZXZ8LQL/ref=sr_1_6?keywords=adidas+Copa+Zone+Cushion+IV+OTC+Sock&amp;qid=1695171089&amp;sr=8-6", "https://www.amazon.com/adidas-Cushion-Irregular-Sock-Team-X-Small/dp/B08ZXZ8LQL/ref=sr_1_6?keywords=adidas+Copa+Zone+Cushion+IV+OTC+Sock&amp;qid=1695171089&amp;sr=8-6")</f>
        <v/>
      </c>
      <c r="F2873" t="inlineStr">
        <is>
          <t>B08ZXZ8LQL</t>
        </is>
      </c>
      <c r="G2873">
        <f>_xludf.IMAGE("https://www.soccerplususa.com/prodimages/17543-DEFAULT-l.jpg")</f>
        <v/>
      </c>
      <c r="H2873">
        <f>_xludf.IMAGE("https://m.media-amazon.com/images/I/81z9VJEVGjL._AC_UL320_.jpg")</f>
        <v/>
      </c>
      <c r="K2873" t="inlineStr">
        <is>
          <t>11.95</t>
        </is>
      </c>
      <c r="L2873" t="n">
        <v>11.44</v>
      </c>
      <c r="M2873" s="1" t="inlineStr">
        <is>
          <t>-4.27%</t>
        </is>
      </c>
      <c r="N2873" s="3" t="n">
        <v>-4.27</v>
      </c>
      <c r="O2873" t="n">
        <v>4</v>
      </c>
      <c r="P2873" t="n">
        <v>15</v>
      </c>
      <c r="R2873" t="inlineStr">
        <is>
          <t>InStock</t>
        </is>
      </c>
      <c r="S2873" t="inlineStr">
        <is>
          <t>undefined</t>
        </is>
      </c>
      <c r="T2873" t="inlineStr">
        <is>
          <t>5147290</t>
        </is>
      </c>
    </row>
    <row r="2874" hidden="1" ht="15.75" customHeight="1">
      <c r="A2874" s="2">
        <f>HYPERLINK("https://www.soccerplususa.com/adidas-2/adidas-copa-zone-cushion-iv-sock-36240", "https://www.soccerplususa.com/adidas-2/adidas-copa-zone-cushion-iv-sock-36240")</f>
        <v/>
      </c>
      <c r="B2874" t="inlineStr">
        <is>
          <t>undefined</t>
        </is>
      </c>
      <c r="C2874" t="inlineStr">
        <is>
          <t>adidas Copa Zone Cushion IV Sock</t>
        </is>
      </c>
      <c r="D2874" t="inlineStr">
        <is>
          <t>adidas Copa Zone Cushion 4 Soccer Socks (1-Pair) -Irregular</t>
        </is>
      </c>
      <c r="E2874" s="2">
        <f>HYPERLINK("https://www.amazon.com/adidas-Cushion-Irregular-Sock-Team-X-Small/dp/B08ZXZ8LQL/ref=sr_1_4?keywords=adidas+Copa+Zone+Cushion+IV+Sock&amp;qid=1695171087&amp;sr=8-4", "https://www.amazon.com/adidas-Cushion-Irregular-Sock-Team-X-Small/dp/B08ZXZ8LQL/ref=sr_1_4?keywords=adidas+Copa+Zone+Cushion+IV+Sock&amp;qid=1695171087&amp;sr=8-4")</f>
        <v/>
      </c>
      <c r="F2874" t="inlineStr">
        <is>
          <t>B08ZXZ8LQL</t>
        </is>
      </c>
      <c r="G2874">
        <f>_xludf.IMAGE("https://www.soccerplususa.com/prodimages/17549-DEFAULT-l.jpg")</f>
        <v/>
      </c>
      <c r="H2874">
        <f>_xludf.IMAGE("https://m.media-amazon.com/images/I/81z9VJEVGjL._AC_UL320_.jpg")</f>
        <v/>
      </c>
      <c r="K2874" t="inlineStr">
        <is>
          <t>11.95</t>
        </is>
      </c>
      <c r="L2874" t="n">
        <v>11.44</v>
      </c>
      <c r="M2874" s="1" t="inlineStr">
        <is>
          <t>-4.27%</t>
        </is>
      </c>
      <c r="N2874" s="3" t="n">
        <v>-4.27</v>
      </c>
      <c r="O2874" t="n">
        <v>4</v>
      </c>
      <c r="P2874" t="n">
        <v>15</v>
      </c>
      <c r="R2874" t="inlineStr">
        <is>
          <t>InStock</t>
        </is>
      </c>
      <c r="S2874" t="inlineStr">
        <is>
          <t>undefined</t>
        </is>
      </c>
      <c r="T2874" t="inlineStr">
        <is>
          <t>5147301</t>
        </is>
      </c>
    </row>
    <row r="2875" hidden="1" ht="15.75" customHeight="1">
      <c r="A2875" s="2">
        <f>HYPERLINK("https://www.soccerplususa.com/adidas-2/adidas-copa-zone-cushion-iv-sock-36242", "https://www.soccerplususa.com/adidas-2/adidas-copa-zone-cushion-iv-sock-36242")</f>
        <v/>
      </c>
      <c r="B2875" t="inlineStr">
        <is>
          <t>undefined</t>
        </is>
      </c>
      <c r="C2875" t="inlineStr">
        <is>
          <t>adidas Copa Zone Cushion IV Sock</t>
        </is>
      </c>
      <c r="D2875" t="inlineStr">
        <is>
          <t>adidas Copa Zone Cushion 4 Soccer Socks (1-Pair) -Irregular</t>
        </is>
      </c>
      <c r="E2875" s="2">
        <f>HYPERLINK("https://www.amazon.com/adidas-Cushion-Irregular-Sock-Team-X-Small/dp/B08ZXZ8LQL/ref=sr_1_4?keywords=adidas+Copa+Zone+Cushion+IV+Sock&amp;qid=1695171095&amp;sr=8-4", "https://www.amazon.com/adidas-Cushion-Irregular-Sock-Team-X-Small/dp/B08ZXZ8LQL/ref=sr_1_4?keywords=adidas+Copa+Zone+Cushion+IV+Sock&amp;qid=1695171095&amp;sr=8-4")</f>
        <v/>
      </c>
      <c r="F2875" t="inlineStr">
        <is>
          <t>B08ZXZ8LQL</t>
        </is>
      </c>
      <c r="G2875">
        <f>_xludf.IMAGE("https://www.soccerplususa.com/prodimages/17551-DEFAULT-l.jpg")</f>
        <v/>
      </c>
      <c r="H2875">
        <f>_xludf.IMAGE("https://m.media-amazon.com/images/I/81z9VJEVGjL._AC_UL320_.jpg")</f>
        <v/>
      </c>
      <c r="K2875" t="inlineStr">
        <is>
          <t>11.95</t>
        </is>
      </c>
      <c r="L2875" t="n">
        <v>11.44</v>
      </c>
      <c r="M2875" s="1" t="inlineStr">
        <is>
          <t>-4.27%</t>
        </is>
      </c>
      <c r="N2875" s="3" t="n">
        <v>-4.27</v>
      </c>
      <c r="O2875" t="n">
        <v>4</v>
      </c>
      <c r="P2875" t="n">
        <v>15</v>
      </c>
      <c r="R2875" t="inlineStr">
        <is>
          <t>InStock</t>
        </is>
      </c>
      <c r="S2875" t="inlineStr">
        <is>
          <t>undefined</t>
        </is>
      </c>
      <c r="T2875" t="inlineStr">
        <is>
          <t>5147304</t>
        </is>
      </c>
    </row>
    <row r="2876" hidden="1" ht="15.75" customHeight="1">
      <c r="A2876" s="2">
        <f>HYPERLINK("https://www.soccerplususa.com/adidas/adidas-copa-zone-cushion-ii-soccer-sock-1940", "https://www.soccerplususa.com/adidas/adidas-copa-zone-cushion-ii-soccer-sock-1940")</f>
        <v/>
      </c>
      <c r="B2876" t="inlineStr">
        <is>
          <t>undefined</t>
        </is>
      </c>
      <c r="C2876" t="inlineStr">
        <is>
          <t>adidas Copa Zone Cushion II Soccer Sock</t>
        </is>
      </c>
      <c r="D2876" t="inlineStr">
        <is>
          <t>adidas Copa Zone Cushion 4 Soccer Socks (1-Pair) -Irregular</t>
        </is>
      </c>
      <c r="E2876" s="2">
        <f>HYPERLINK("https://www.amazon.com/adidas-Cushion-Irregular-Sock-Team-X-Small/dp/B08ZXZ8LQL/ref=sr_1_6?keywords=adidas+Copa+Zone+Cushion+II+Soccer+Sock&amp;qid=1695171112&amp;sr=8-6", "https://www.amazon.com/adidas-Cushion-Irregular-Sock-Team-X-Small/dp/B08ZXZ8LQL/ref=sr_1_6?keywords=adidas+Copa+Zone+Cushion+II+Soccer+Sock&amp;qid=1695171112&amp;sr=8-6")</f>
        <v/>
      </c>
      <c r="F2876" t="inlineStr">
        <is>
          <t>B08ZXZ8LQL</t>
        </is>
      </c>
      <c r="G2876">
        <f>_xludf.IMAGE("https://www.soccerplususa.com/prodimages//35006-WHITE-M.jpg")</f>
        <v/>
      </c>
      <c r="H2876">
        <f>_xludf.IMAGE("https://m.media-amazon.com/images/I/81z9VJEVGjL._AC_UL320_.jpg")</f>
        <v/>
      </c>
      <c r="K2876" t="inlineStr">
        <is>
          <t>11.95</t>
        </is>
      </c>
      <c r="L2876" t="n">
        <v>11.44</v>
      </c>
      <c r="M2876" s="1" t="inlineStr">
        <is>
          <t>-4.27%</t>
        </is>
      </c>
      <c r="N2876" s="3" t="n">
        <v>-4.27</v>
      </c>
      <c r="O2876" t="n">
        <v>4</v>
      </c>
      <c r="P2876" t="n">
        <v>15</v>
      </c>
      <c r="R2876" t="inlineStr">
        <is>
          <t>InStock</t>
        </is>
      </c>
      <c r="S2876" t="inlineStr">
        <is>
          <t>undefined</t>
        </is>
      </c>
      <c r="T2876" t="inlineStr">
        <is>
          <t>5130201</t>
        </is>
      </c>
    </row>
    <row r="2877" hidden="1" ht="15.75" customHeight="1">
      <c r="A2877" s="2">
        <f>HYPERLINK("https://www.soccerplususa.com/adidas-2/adidas-copa-zone-cushion-iv-sock-36244", "https://www.soccerplususa.com/adidas-2/adidas-copa-zone-cushion-iv-sock-36244")</f>
        <v/>
      </c>
      <c r="B2877" t="inlineStr">
        <is>
          <t>undefined</t>
        </is>
      </c>
      <c r="C2877" t="inlineStr">
        <is>
          <t>adidas Copa Zone Cushion IV Sock</t>
        </is>
      </c>
      <c r="D2877" t="inlineStr">
        <is>
          <t>adidas Copa Zone Cushion 4 Soccer Socks (1-Pair) -Irregular</t>
        </is>
      </c>
      <c r="E2877" s="2">
        <f>HYPERLINK("https://www.amazon.com/adidas-Cushion-Irregular-Sock-Team-X-Small/dp/B08ZXZ8LQL/ref=sr_1_2?keywords=adidas+Copa+Zone+Cushion+IV+Sock&amp;qid=1695171094&amp;sr=8-2", "https://www.amazon.com/adidas-Cushion-Irregular-Sock-Team-X-Small/dp/B08ZXZ8LQL/ref=sr_1_2?keywords=adidas+Copa+Zone+Cushion+IV+Sock&amp;qid=1695171094&amp;sr=8-2")</f>
        <v/>
      </c>
      <c r="F2877" t="inlineStr">
        <is>
          <t>B08ZXZ8LQL</t>
        </is>
      </c>
      <c r="G2877">
        <f>_xludf.IMAGE("https://www.soccerplususa.com/prodimages/17552-DEFAULT-l.jpg")</f>
        <v/>
      </c>
      <c r="H2877">
        <f>_xludf.IMAGE("https://m.media-amazon.com/images/I/81z9VJEVGjL._AC_UL320_.jpg")</f>
        <v/>
      </c>
      <c r="K2877" t="inlineStr">
        <is>
          <t>11.95</t>
        </is>
      </c>
      <c r="L2877" t="n">
        <v>11.44</v>
      </c>
      <c r="M2877" s="1" t="inlineStr">
        <is>
          <t>-4.27%</t>
        </is>
      </c>
      <c r="N2877" s="3" t="n">
        <v>-4.27</v>
      </c>
      <c r="O2877" t="n">
        <v>4</v>
      </c>
      <c r="P2877" t="n">
        <v>15</v>
      </c>
      <c r="R2877" t="inlineStr">
        <is>
          <t>InStock</t>
        </is>
      </c>
      <c r="S2877" t="inlineStr">
        <is>
          <t>undefined</t>
        </is>
      </c>
      <c r="T2877" t="inlineStr">
        <is>
          <t>5147309</t>
        </is>
      </c>
    </row>
    <row r="2878" hidden="1" ht="15.75" customHeight="1">
      <c r="A2878" s="2">
        <f>HYPERLINK("https://www.soccerplususa.com/adidas-2/adidas-copa-zone-cushion-iv-sock-36237", "https://www.soccerplususa.com/adidas-2/adidas-copa-zone-cushion-iv-sock-36237")</f>
        <v/>
      </c>
      <c r="B2878" t="inlineStr">
        <is>
          <t>undefined</t>
        </is>
      </c>
      <c r="C2878" t="inlineStr">
        <is>
          <t>adidas Copa Zone Cushion IV Sock</t>
        </is>
      </c>
      <c r="D2878" t="inlineStr">
        <is>
          <t>adidas Copa Zone Cushion 4 Soccer Socks (1-Pair) -Irregular</t>
        </is>
      </c>
      <c r="E2878" s="2">
        <f>HYPERLINK("https://www.amazon.com/adidas-Cushion-Irregular-Sock-Team-X-Small/dp/B08ZXZ8LQL/ref=sr_1_4?keywords=adidas+Copa+Zone+Cushion+IV+Sock&amp;qid=1695171091&amp;sr=8-4", "https://www.amazon.com/adidas-Cushion-Irregular-Sock-Team-X-Small/dp/B08ZXZ8LQL/ref=sr_1_4?keywords=adidas+Copa+Zone+Cushion+IV+Sock&amp;qid=1695171091&amp;sr=8-4")</f>
        <v/>
      </c>
      <c r="F2878" t="inlineStr">
        <is>
          <t>B08ZXZ8LQL</t>
        </is>
      </c>
      <c r="G2878">
        <f>_xludf.IMAGE("https://www.soccerplususa.com/prodimages/17546-DEFAULT-l.jpg")</f>
        <v/>
      </c>
      <c r="H2878">
        <f>_xludf.IMAGE("https://m.media-amazon.com/images/I/81z9VJEVGjL._AC_UL320_.jpg")</f>
        <v/>
      </c>
      <c r="K2878" t="inlineStr">
        <is>
          <t>11.95</t>
        </is>
      </c>
      <c r="L2878" t="n">
        <v>11.44</v>
      </c>
      <c r="M2878" s="1" t="inlineStr">
        <is>
          <t>-4.27%</t>
        </is>
      </c>
      <c r="N2878" s="3" t="n">
        <v>-4.27</v>
      </c>
      <c r="O2878" t="n">
        <v>4</v>
      </c>
      <c r="P2878" t="n">
        <v>15</v>
      </c>
      <c r="R2878" t="inlineStr">
        <is>
          <t>InStock</t>
        </is>
      </c>
      <c r="S2878" t="inlineStr">
        <is>
          <t>undefined</t>
        </is>
      </c>
      <c r="T2878" t="inlineStr">
        <is>
          <t>5147293</t>
        </is>
      </c>
    </row>
    <row r="2879" hidden="1" ht="15.75" customHeight="1">
      <c r="A2879" s="2">
        <f>HYPERLINK("https://www.soccerplususa.com/adidas-2/adidas-copa-zone-cushion-iv-sock-36241", "https://www.soccerplususa.com/adidas-2/adidas-copa-zone-cushion-iv-sock-36241")</f>
        <v/>
      </c>
      <c r="B2879" t="inlineStr">
        <is>
          <t>undefined</t>
        </is>
      </c>
      <c r="C2879" t="inlineStr">
        <is>
          <t>adidas Copa Zone Cushion IV Sock</t>
        </is>
      </c>
      <c r="D2879" t="inlineStr">
        <is>
          <t>adidas Copa Zone Cushion 4 Soccer Socks (1-Pair) -Irregular</t>
        </is>
      </c>
      <c r="E2879" s="2">
        <f>HYPERLINK("https://www.amazon.com/adidas-Cushion-Irregular-Sock-Team-X-Small/dp/B08ZXZ8LQL/ref=sr_1_4?keywords=adidas+Copa+Zone+Cushion+IV+Sock&amp;qid=1695171090&amp;sr=8-4", "https://www.amazon.com/adidas-Cushion-Irregular-Sock-Team-X-Small/dp/B08ZXZ8LQL/ref=sr_1_4?keywords=adidas+Copa+Zone+Cushion+IV+Sock&amp;qid=1695171090&amp;sr=8-4")</f>
        <v/>
      </c>
      <c r="F2879" t="inlineStr">
        <is>
          <t>B08ZXZ8LQL</t>
        </is>
      </c>
      <c r="G2879">
        <f>_xludf.IMAGE("https://www.soccerplususa.com/prodimages/17550-DEFAULT-l.jpg")</f>
        <v/>
      </c>
      <c r="H2879">
        <f>_xludf.IMAGE("https://m.media-amazon.com/images/I/81z9VJEVGjL._AC_UL320_.jpg")</f>
        <v/>
      </c>
      <c r="K2879" t="inlineStr">
        <is>
          <t>11.95</t>
        </is>
      </c>
      <c r="L2879" t="n">
        <v>11.44</v>
      </c>
      <c r="M2879" s="1" t="inlineStr">
        <is>
          <t>-4.27%</t>
        </is>
      </c>
      <c r="N2879" s="3" t="n">
        <v>-4.27</v>
      </c>
      <c r="O2879" t="n">
        <v>4</v>
      </c>
      <c r="P2879" t="n">
        <v>15</v>
      </c>
      <c r="R2879" t="inlineStr">
        <is>
          <t>InStock</t>
        </is>
      </c>
      <c r="S2879" t="inlineStr">
        <is>
          <t>undefined</t>
        </is>
      </c>
      <c r="T2879" t="inlineStr">
        <is>
          <t>5147303</t>
        </is>
      </c>
    </row>
    <row r="2880" hidden="1" ht="15.75" customHeight="1">
      <c r="A2880" s="2">
        <f>HYPERLINK("https://www.soccerplususa.com/adidas-2/adidas-copa-zone-cushion-iv-sock-36238", "https://www.soccerplususa.com/adidas-2/adidas-copa-zone-cushion-iv-sock-36238")</f>
        <v/>
      </c>
      <c r="B2880" t="inlineStr">
        <is>
          <t>undefined</t>
        </is>
      </c>
      <c r="C2880" t="inlineStr">
        <is>
          <t>adidas Copa Zone Cushion IV Sock</t>
        </is>
      </c>
      <c r="D2880" t="inlineStr">
        <is>
          <t>adidas Copa Zone Cushion 4 Soccer Socks (1-Pair) -Irregular</t>
        </is>
      </c>
      <c r="E2880" s="2">
        <f>HYPERLINK("https://www.amazon.com/adidas-Cushion-Irregular-Sock-Team-X-Small/dp/B08ZXZ8LQL/ref=sr_1_4?keywords=adidas+Copa+Zone+Cushion+IV+Sock&amp;qid=1695171098&amp;sr=8-4", "https://www.amazon.com/adidas-Cushion-Irregular-Sock-Team-X-Small/dp/B08ZXZ8LQL/ref=sr_1_4?keywords=adidas+Copa+Zone+Cushion+IV+Sock&amp;qid=1695171098&amp;sr=8-4")</f>
        <v/>
      </c>
      <c r="F2880" t="inlineStr">
        <is>
          <t>B08ZXZ8LQL</t>
        </is>
      </c>
      <c r="G2880">
        <f>_xludf.IMAGE("https://www.soccerplususa.com/prodimages/17547-DEFAULT-l.jpg")</f>
        <v/>
      </c>
      <c r="H2880">
        <f>_xludf.IMAGE("https://m.media-amazon.com/images/I/81z9VJEVGjL._AC_UL320_.jpg")</f>
        <v/>
      </c>
      <c r="K2880" t="inlineStr">
        <is>
          <t>11.95</t>
        </is>
      </c>
      <c r="L2880" t="n">
        <v>11.44</v>
      </c>
      <c r="M2880" s="1" t="inlineStr">
        <is>
          <t>-4.27%</t>
        </is>
      </c>
      <c r="N2880" s="3" t="n">
        <v>-4.27</v>
      </c>
      <c r="O2880" t="n">
        <v>4</v>
      </c>
      <c r="P2880" t="n">
        <v>15</v>
      </c>
      <c r="R2880" t="inlineStr">
        <is>
          <t>InStock</t>
        </is>
      </c>
      <c r="S2880" t="inlineStr">
        <is>
          <t>undefined</t>
        </is>
      </c>
      <c r="T2880" t="inlineStr">
        <is>
          <t>5147294</t>
        </is>
      </c>
    </row>
    <row r="2881" hidden="1" ht="15.75" customHeight="1">
      <c r="A2881" s="2">
        <f>HYPERLINK("https://www.soccerplususa.com/adidas-2/adidas-copa-zone-cushion-iv-sock-36245", "https://www.soccerplususa.com/adidas-2/adidas-copa-zone-cushion-iv-sock-36245")</f>
        <v/>
      </c>
      <c r="B2881" t="inlineStr">
        <is>
          <t>undefined</t>
        </is>
      </c>
      <c r="C2881" t="inlineStr">
        <is>
          <t>adidas Copa Zone Cushion IV Sock</t>
        </is>
      </c>
      <c r="D2881" t="inlineStr">
        <is>
          <t>adidas Copa Zone Cushion 4 Soccer Socks (1-Pair) -Irregular</t>
        </is>
      </c>
      <c r="E2881" s="2">
        <f>HYPERLINK("https://www.amazon.com/adidas-Cushion-Irregular-Sock-Team-X-Small/dp/B08ZXZ8LQL/ref=sr_1_4?keywords=adidas+Copa+Zone+Cushion+IV+Sock&amp;qid=1695171092&amp;sr=8-4", "https://www.amazon.com/adidas-Cushion-Irregular-Sock-Team-X-Small/dp/B08ZXZ8LQL/ref=sr_1_4?keywords=adidas+Copa+Zone+Cushion+IV+Sock&amp;qid=1695171092&amp;sr=8-4")</f>
        <v/>
      </c>
      <c r="F2881" t="inlineStr">
        <is>
          <t>B08ZXZ8LQL</t>
        </is>
      </c>
      <c r="G2881">
        <f>_xludf.IMAGE("https://www.soccerplususa.com/prodimages/17553-DEFAULT-l.jpg")</f>
        <v/>
      </c>
      <c r="H2881">
        <f>_xludf.IMAGE("https://m.media-amazon.com/images/I/81z9VJEVGjL._AC_UL320_.jpg")</f>
        <v/>
      </c>
      <c r="K2881" t="inlineStr">
        <is>
          <t>11.95</t>
        </is>
      </c>
      <c r="L2881" t="n">
        <v>11.44</v>
      </c>
      <c r="M2881" s="1" t="inlineStr">
        <is>
          <t>-4.27%</t>
        </is>
      </c>
      <c r="N2881" s="3" t="n">
        <v>-4.27</v>
      </c>
      <c r="O2881" t="n">
        <v>4</v>
      </c>
      <c r="P2881" t="n">
        <v>15</v>
      </c>
      <c r="R2881" t="inlineStr">
        <is>
          <t>InStock</t>
        </is>
      </c>
      <c r="S2881" t="inlineStr">
        <is>
          <t>undefined</t>
        </is>
      </c>
      <c r="T2881" t="inlineStr">
        <is>
          <t>5147310</t>
        </is>
      </c>
    </row>
    <row r="2882" hidden="1" ht="15.75" customHeight="1">
      <c r="A2882" s="2">
        <f>HYPERLINK("https://www.soccerplususa.com/adidas-2/adidas-copa-zone-cushion-iv-sock-36239", "https://www.soccerplususa.com/adidas-2/adidas-copa-zone-cushion-iv-sock-36239")</f>
        <v/>
      </c>
      <c r="B2882" t="inlineStr">
        <is>
          <t>undefined</t>
        </is>
      </c>
      <c r="C2882" t="inlineStr">
        <is>
          <t>adidas Copa Zone Cushion IV Sock</t>
        </is>
      </c>
      <c r="D2882" t="inlineStr">
        <is>
          <t>adidas Copa Zone Cushion 4 Soccer Socks (1-Pair) -Irregular</t>
        </is>
      </c>
      <c r="E2882" s="2">
        <f>HYPERLINK("https://www.amazon.com/adidas-Cushion-Irregular-Sock-Team-X-Small/dp/B08ZXZ8LQL/ref=sr_1_4?keywords=adidas+Copa+Zone+Cushion+IV+Sock&amp;qid=1695171093&amp;sr=8-4", "https://www.amazon.com/adidas-Cushion-Irregular-Sock-Team-X-Small/dp/B08ZXZ8LQL/ref=sr_1_4?keywords=adidas+Copa+Zone+Cushion+IV+Sock&amp;qid=1695171093&amp;sr=8-4")</f>
        <v/>
      </c>
      <c r="F2882" t="inlineStr">
        <is>
          <t>B08ZXZ8LQL</t>
        </is>
      </c>
      <c r="G2882">
        <f>_xludf.IMAGE("https://www.soccerplususa.com/prodimages/17548-DEFAULT-l.jpg")</f>
        <v/>
      </c>
      <c r="H2882">
        <f>_xludf.IMAGE("https://m.media-amazon.com/images/I/81z9VJEVGjL._AC_UL320_.jpg")</f>
        <v/>
      </c>
      <c r="K2882" t="inlineStr">
        <is>
          <t>11.95</t>
        </is>
      </c>
      <c r="L2882" t="n">
        <v>11.44</v>
      </c>
      <c r="M2882" s="1" t="inlineStr">
        <is>
          <t>-4.27%</t>
        </is>
      </c>
      <c r="N2882" s="3" t="n">
        <v>-4.27</v>
      </c>
      <c r="O2882" t="n">
        <v>4</v>
      </c>
      <c r="P2882" t="n">
        <v>15</v>
      </c>
      <c r="R2882" t="inlineStr">
        <is>
          <t>InStock</t>
        </is>
      </c>
      <c r="S2882" t="inlineStr">
        <is>
          <t>undefined</t>
        </is>
      </c>
      <c r="T2882" t="inlineStr">
        <is>
          <t>5147295</t>
        </is>
      </c>
    </row>
    <row r="2883" hidden="1" ht="15.75" customHeight="1">
      <c r="A2883" s="2">
        <f>HYPERLINK("https://www.soccerplususa.com/adidas-2/adidas-copa-zone-cushion-iv-sock-36235", "https://www.soccerplususa.com/adidas-2/adidas-copa-zone-cushion-iv-sock-36235")</f>
        <v/>
      </c>
      <c r="B2883" t="inlineStr">
        <is>
          <t>undefined</t>
        </is>
      </c>
      <c r="C2883" t="inlineStr">
        <is>
          <t>adidas Copa Zone Cushion IV Sock</t>
        </is>
      </c>
      <c r="D2883" t="inlineStr">
        <is>
          <t>adidas Copa Zone Cushion 4 Soccer Socks (1-Pair) -Irregular</t>
        </is>
      </c>
      <c r="E2883" s="2">
        <f>HYPERLINK("https://www.amazon.com/adidas-Cushion-Irregular-Sock-Team-X-Small/dp/B08ZXZ8LQL/ref=sr_1_4?keywords=adidas+Copa+Zone+Cushion+IV+Sock&amp;qid=1695171093&amp;sr=8-4", "https://www.amazon.com/adidas-Cushion-Irregular-Sock-Team-X-Small/dp/B08ZXZ8LQL/ref=sr_1_4?keywords=adidas+Copa+Zone+Cushion+IV+Sock&amp;qid=1695171093&amp;sr=8-4")</f>
        <v/>
      </c>
      <c r="F2883" t="inlineStr">
        <is>
          <t>B08ZXZ8LQL</t>
        </is>
      </c>
      <c r="G2883">
        <f>_xludf.IMAGE("https://www.soccerplususa.com/prodimages/17544-DEFAULT-l.jpg")</f>
        <v/>
      </c>
      <c r="H2883">
        <f>_xludf.IMAGE("https://m.media-amazon.com/images/I/81z9VJEVGjL._AC_UL320_.jpg")</f>
        <v/>
      </c>
      <c r="K2883" t="inlineStr">
        <is>
          <t>11.95</t>
        </is>
      </c>
      <c r="L2883" t="n">
        <v>11.44</v>
      </c>
      <c r="M2883" s="1" t="inlineStr">
        <is>
          <t>-4.27%</t>
        </is>
      </c>
      <c r="N2883" s="3" t="n">
        <v>-4.27</v>
      </c>
      <c r="O2883" t="n">
        <v>4</v>
      </c>
      <c r="P2883" t="n">
        <v>15</v>
      </c>
      <c r="R2883" t="inlineStr">
        <is>
          <t>InStock</t>
        </is>
      </c>
      <c r="S2883" t="inlineStr">
        <is>
          <t>undefined</t>
        </is>
      </c>
      <c r="T2883" t="inlineStr">
        <is>
          <t>5147291</t>
        </is>
      </c>
    </row>
    <row r="2884" hidden="1" ht="15.75" customHeight="1">
      <c r="A2884" s="2">
        <f>HYPERLINK("https://www.soccerplususa.com/adidas-2/adidas-copa-zone-cushion-iv-sock-36233", "https://www.soccerplususa.com/adidas-2/adidas-copa-zone-cushion-iv-sock-36233")</f>
        <v/>
      </c>
      <c r="B2884" t="inlineStr">
        <is>
          <t>undefined</t>
        </is>
      </c>
      <c r="C2884" t="inlineStr">
        <is>
          <t>adidas Copa Zone Cushion IV Sock</t>
        </is>
      </c>
      <c r="D2884" t="inlineStr">
        <is>
          <t>adidas Copa Zone Cushion 4 Soccer Socks (1-Pair) -Irregular</t>
        </is>
      </c>
      <c r="E2884" s="2">
        <f>HYPERLINK("https://www.amazon.com/adidas-Cushion-Irregular-Sock-Team-X-Small/dp/B08ZXZ8LQL/ref=sr_1_2?keywords=adidas+Copa+Zone+Cushion+IV+Sock&amp;qid=1695171094&amp;sr=8-2", "https://www.amazon.com/adidas-Cushion-Irregular-Sock-Team-X-Small/dp/B08ZXZ8LQL/ref=sr_1_2?keywords=adidas+Copa+Zone+Cushion+IV+Sock&amp;qid=1695171094&amp;sr=8-2")</f>
        <v/>
      </c>
      <c r="F2884" t="inlineStr">
        <is>
          <t>B08ZXZ8LQL</t>
        </is>
      </c>
      <c r="G2884">
        <f>_xludf.IMAGE("https://www.soccerplususa.com/prodimages/17542-DEFAULT-l.jpg")</f>
        <v/>
      </c>
      <c r="H2884">
        <f>_xludf.IMAGE("https://m.media-amazon.com/images/I/81z9VJEVGjL._AC_UL320_.jpg")</f>
        <v/>
      </c>
      <c r="K2884" t="inlineStr">
        <is>
          <t>11.95</t>
        </is>
      </c>
      <c r="L2884" t="n">
        <v>11.44</v>
      </c>
      <c r="M2884" s="1" t="inlineStr">
        <is>
          <t>-4.27%</t>
        </is>
      </c>
      <c r="N2884" s="3" t="n">
        <v>-4.27</v>
      </c>
      <c r="O2884" t="n">
        <v>4</v>
      </c>
      <c r="P2884" t="n">
        <v>15</v>
      </c>
      <c r="R2884" t="inlineStr">
        <is>
          <t>InStock</t>
        </is>
      </c>
      <c r="S2884" t="inlineStr">
        <is>
          <t>undefined</t>
        </is>
      </c>
      <c r="T2884" t="inlineStr">
        <is>
          <t>5147287</t>
        </is>
      </c>
    </row>
    <row r="2885" hidden="1" ht="15.75" customHeight="1">
      <c r="A2885" s="2">
        <f>HYPERLINK("https://www.soccerplususa.com/adidas-2/adidas-copa-zone-cushion-iv-sock-36243", "https://www.soccerplususa.com/adidas-2/adidas-copa-zone-cushion-iv-sock-36243")</f>
        <v/>
      </c>
      <c r="B2885" t="inlineStr">
        <is>
          <t>undefined</t>
        </is>
      </c>
      <c r="C2885" t="inlineStr">
        <is>
          <t>adidas Copa Zone Cushion IV Sock</t>
        </is>
      </c>
      <c r="D2885" t="inlineStr">
        <is>
          <t>adidas Copa Zone Cushion 4 Soccer Socks (1-Pair) -Irregular</t>
        </is>
      </c>
      <c r="E2885" s="2">
        <f>HYPERLINK("https://www.amazon.com/adidas-Cushion-Irregular-Sock-Team-X-Small/dp/B08ZXZ8LQL/ref=sr_1_2?keywords=adidas+Copa+Zone+Cushion+IV+Sock&amp;qid=1695171093&amp;sr=8-2", "https://www.amazon.com/adidas-Cushion-Irregular-Sock-Team-X-Small/dp/B08ZXZ8LQL/ref=sr_1_2?keywords=adidas+Copa+Zone+Cushion+IV+Sock&amp;qid=1695171093&amp;sr=8-2")</f>
        <v/>
      </c>
      <c r="F2885" t="inlineStr">
        <is>
          <t>B08ZXZ8LQL</t>
        </is>
      </c>
      <c r="G2885">
        <f>_xludf.IMAGE("https://www.soccerplususa.com/prodimages/32190-DEFAULT-l.jpg")</f>
        <v/>
      </c>
      <c r="H2885">
        <f>_xludf.IMAGE("https://m.media-amazon.com/images/I/81z9VJEVGjL._AC_UL320_.jpg")</f>
        <v/>
      </c>
      <c r="K2885" t="inlineStr">
        <is>
          <t>11.99</t>
        </is>
      </c>
      <c r="L2885" t="n">
        <v>11.44</v>
      </c>
      <c r="M2885" s="1" t="inlineStr">
        <is>
          <t>-4.59%</t>
        </is>
      </c>
      <c r="N2885" s="3" t="n">
        <v>-4.59</v>
      </c>
      <c r="O2885" t="n">
        <v>4</v>
      </c>
      <c r="P2885" t="n">
        <v>15</v>
      </c>
      <c r="R2885" t="inlineStr">
        <is>
          <t>InStock</t>
        </is>
      </c>
      <c r="S2885" t="inlineStr">
        <is>
          <t>undefined</t>
        </is>
      </c>
      <c r="T2885" t="inlineStr">
        <is>
          <t>5147305</t>
        </is>
      </c>
    </row>
    <row r="2886" hidden="1" ht="15.75" customHeight="1">
      <c r="A2886" s="2">
        <f>HYPERLINK("https://www.soccerplususa.com/adidas/adidas-copa-zone-cushion-iv-sock-33729", "https://www.soccerplususa.com/adidas/adidas-copa-zone-cushion-iv-sock-33729")</f>
        <v/>
      </c>
      <c r="B2886" t="inlineStr">
        <is>
          <t>undefined</t>
        </is>
      </c>
      <c r="C2886" t="inlineStr">
        <is>
          <t>adidas Copa Zone Cushion IV Sock</t>
        </is>
      </c>
      <c r="D2886" t="inlineStr">
        <is>
          <t>adidas Copa Zone Cushion 4 Soccer Socks (1-Pair) -Irregular</t>
        </is>
      </c>
      <c r="E2886" s="2">
        <f>HYPERLINK("https://www.amazon.com/adidas-Cushion-Irregular-Sock-Team-X-Small/dp/B08ZXZ8LQL/ref=sr_1_4?keywords=adidas+Copa+Zone+Cushion+IV+Sock&amp;qid=1695171091&amp;sr=8-4", "https://www.amazon.com/adidas-Cushion-Irregular-Sock-Team-X-Small/dp/B08ZXZ8LQL/ref=sr_1_4?keywords=adidas+Copa+Zone+Cushion+IV+Sock&amp;qid=1695171091&amp;sr=8-4")</f>
        <v/>
      </c>
      <c r="F2886" t="inlineStr">
        <is>
          <t>B08ZXZ8LQL</t>
        </is>
      </c>
      <c r="G2886">
        <f>_xludf.IMAGE("https://www.soccerplususa.com/prodimages/8983-DEFAULT-l.jpg")</f>
        <v/>
      </c>
      <c r="H2886">
        <f>_xludf.IMAGE("https://m.media-amazon.com/images/I/81z9VJEVGjL._AC_UL320_.jpg")</f>
        <v/>
      </c>
      <c r="K2886" t="inlineStr">
        <is>
          <t>11.99</t>
        </is>
      </c>
      <c r="L2886" t="n">
        <v>11.44</v>
      </c>
      <c r="M2886" s="1" t="inlineStr">
        <is>
          <t>-4.59%</t>
        </is>
      </c>
      <c r="N2886" s="3" t="n">
        <v>-4.59</v>
      </c>
      <c r="O2886" t="n">
        <v>4</v>
      </c>
      <c r="P2886" t="n">
        <v>15</v>
      </c>
      <c r="R2886" t="inlineStr">
        <is>
          <t>InStock</t>
        </is>
      </c>
      <c r="S2886" t="inlineStr">
        <is>
          <t>undefined</t>
        </is>
      </c>
      <c r="T2886" t="inlineStr">
        <is>
          <t>5147296</t>
        </is>
      </c>
    </row>
    <row r="2887" hidden="1" ht="15.75" customHeight="1">
      <c r="A2887" s="2">
        <f>HYPERLINK("https://www.soccerplususa.com/adidas/adidas-alphaskin-20-headband-42959", "https://www.soccerplususa.com/adidas/adidas-alphaskin-20-headband-42959")</f>
        <v/>
      </c>
      <c r="B2887" t="inlineStr">
        <is>
          <t>undefined</t>
        </is>
      </c>
      <c r="C2887" t="inlineStr">
        <is>
          <t>adidas Alphaskin 2.0 Headband</t>
        </is>
      </c>
      <c r="D2887" t="inlineStr">
        <is>
          <t>adidas Unisex-Adult Alphaskin Elastic Headband – Discontinued</t>
        </is>
      </c>
      <c r="E2887" s="2">
        <f>HYPERLINK("https://www.amazon.com/adidas-Alphaskin-Elastic-Headband-Green/dp/B087MBFXBM/ref=sr_1_10?keywords=adidas+Alphaskin+2.0+Headband&amp;qid=1695171083&amp;sr=8-10", "https://www.amazon.com/adidas-Alphaskin-Elastic-Headband-Green/dp/B087MBFXBM/ref=sr_1_10?keywords=adidas+Alphaskin+2.0+Headband&amp;qid=1695171083&amp;sr=8-10")</f>
        <v/>
      </c>
      <c r="F2887" t="inlineStr">
        <is>
          <t>B087MBFXBM</t>
        </is>
      </c>
      <c r="G2887">
        <f>_xludf.IMAGE("https://www.soccerplususa.com/prodimages//35443-BLACKWHITE-M.jpg")</f>
        <v/>
      </c>
      <c r="H2887">
        <f>_xludf.IMAGE("https://m.media-amazon.com/images/I/71eVy3-1CML._AC_UL320_.jpg")</f>
        <v/>
      </c>
      <c r="K2887" t="inlineStr">
        <is>
          <t>14.95</t>
        </is>
      </c>
      <c r="L2887" t="n">
        <v>14</v>
      </c>
      <c r="M2887" s="1" t="inlineStr">
        <is>
          <t>-6.35%</t>
        </is>
      </c>
      <c r="N2887" s="3" t="n">
        <v>-6.35</v>
      </c>
      <c r="O2887" t="n">
        <v>4.1</v>
      </c>
      <c r="P2887" t="n">
        <v>296</v>
      </c>
      <c r="R2887" t="inlineStr">
        <is>
          <t>InStock</t>
        </is>
      </c>
      <c r="S2887" t="inlineStr">
        <is>
          <t>undefined</t>
        </is>
      </c>
      <c r="T2887" t="inlineStr">
        <is>
          <t>5152498</t>
        </is>
      </c>
    </row>
    <row r="2888" hidden="1" ht="15.75" customHeight="1">
      <c r="A2888" s="2">
        <f>HYPERLINK("https://www.soccerplususa.com/adidas/adidas-alphaskin-20-headband-42961", "https://www.soccerplususa.com/adidas/adidas-alphaskin-20-headband-42961")</f>
        <v/>
      </c>
      <c r="B2888" t="inlineStr">
        <is>
          <t>undefined</t>
        </is>
      </c>
      <c r="C2888" t="inlineStr">
        <is>
          <t>adidas Alphaskin 2.0 Headband</t>
        </is>
      </c>
      <c r="D2888" t="inlineStr">
        <is>
          <t>adidas Unisex-Adult Alphaskin Elastic Headband – Discontinued</t>
        </is>
      </c>
      <c r="E2888" s="2">
        <f>HYPERLINK("https://www.amazon.com/adidas-Alphaskin-Elastic-Headband-Green/dp/B087MBFXBM/ref=sr_1_10?keywords=adidas+Alphaskin+2.0+Headband&amp;qid=1695171083&amp;sr=8-10", "https://www.amazon.com/adidas-Alphaskin-Elastic-Headband-Green/dp/B087MBFXBM/ref=sr_1_10?keywords=adidas+Alphaskin+2.0+Headband&amp;qid=1695171083&amp;sr=8-10")</f>
        <v/>
      </c>
      <c r="F2888" t="inlineStr">
        <is>
          <t>B087MBFXBM</t>
        </is>
      </c>
      <c r="G2888">
        <f>_xludf.IMAGE("https://www.soccerplususa.com/prodimages//35444-REDBLACK-M.jpg")</f>
        <v/>
      </c>
      <c r="H2888">
        <f>_xludf.IMAGE("https://m.media-amazon.com/images/I/71eVy3-1CML._AC_UL320_.jpg")</f>
        <v/>
      </c>
      <c r="K2888" t="inlineStr">
        <is>
          <t>14.95</t>
        </is>
      </c>
      <c r="L2888" t="n">
        <v>14</v>
      </c>
      <c r="M2888" s="1" t="inlineStr">
        <is>
          <t>-6.35%</t>
        </is>
      </c>
      <c r="N2888" s="3" t="n">
        <v>-6.35</v>
      </c>
      <c r="O2888" t="n">
        <v>4.1</v>
      </c>
      <c r="P2888" t="n">
        <v>296</v>
      </c>
      <c r="R2888" t="inlineStr">
        <is>
          <t>InStock</t>
        </is>
      </c>
      <c r="S2888" t="inlineStr">
        <is>
          <t>undefined</t>
        </is>
      </c>
      <c r="T2888" t="inlineStr">
        <is>
          <t>5152500</t>
        </is>
      </c>
    </row>
    <row r="2889" hidden="1" ht="15.75" customHeight="1">
      <c r="A2889" s="2">
        <f>HYPERLINK("https://www.soccerplususa.com/adidas/adidas-alphaskin-20-headband-42960", "https://www.soccerplususa.com/adidas/adidas-alphaskin-20-headband-42960")</f>
        <v/>
      </c>
      <c r="B2889" t="inlineStr">
        <is>
          <t>undefined</t>
        </is>
      </c>
      <c r="C2889" t="inlineStr">
        <is>
          <t>adidas Alphaskin 2.0 Headband</t>
        </is>
      </c>
      <c r="D2889" t="inlineStr">
        <is>
          <t>adidas Unisex-Adult Alphaskin Elastic Headband – Discontinued</t>
        </is>
      </c>
      <c r="E2889" s="2">
        <f>HYPERLINK("https://www.amazon.com/adidas-Alphaskin-Elastic-Headband-Green/dp/B087MBFXBM/ref=sr_1_10?keywords=adidas+Alphaskin+2.0+Headband&amp;qid=1695171082&amp;sr=8-10", "https://www.amazon.com/adidas-Alphaskin-Elastic-Headband-Green/dp/B087MBFXBM/ref=sr_1_10?keywords=adidas+Alphaskin+2.0+Headband&amp;qid=1695171082&amp;sr=8-10")</f>
        <v/>
      </c>
      <c r="F2889" t="inlineStr">
        <is>
          <t>B087MBFXBM</t>
        </is>
      </c>
      <c r="G2889">
        <f>_xludf.IMAGE("https://www.soccerplususa.com/prodimages//35442-ROYALBLACK-M.jpg")</f>
        <v/>
      </c>
      <c r="H2889">
        <f>_xludf.IMAGE("https://m.media-amazon.com/images/I/71eVy3-1CML._AC_UL320_.jpg")</f>
        <v/>
      </c>
      <c r="K2889" t="inlineStr">
        <is>
          <t>14.95</t>
        </is>
      </c>
      <c r="L2889" t="n">
        <v>14</v>
      </c>
      <c r="M2889" s="1" t="inlineStr">
        <is>
          <t>-6.35%</t>
        </is>
      </c>
      <c r="N2889" s="3" t="n">
        <v>-6.35</v>
      </c>
      <c r="O2889" t="n">
        <v>4.1</v>
      </c>
      <c r="P2889" t="n">
        <v>296</v>
      </c>
      <c r="R2889" t="inlineStr">
        <is>
          <t>InStock</t>
        </is>
      </c>
      <c r="S2889" t="inlineStr">
        <is>
          <t>undefined</t>
        </is>
      </c>
      <c r="T2889" t="inlineStr">
        <is>
          <t>5152501</t>
        </is>
      </c>
    </row>
    <row r="2890" hidden="1" ht="15.75" customHeight="1">
      <c r="A2890" s="2">
        <f>HYPERLINK("https://www.soccerplususa.com/adidas/adidas-copa-zone-cushion-ii-soccer-sock-1940", "https://www.soccerplususa.com/adidas/adidas-copa-zone-cushion-ii-soccer-sock-1940")</f>
        <v/>
      </c>
      <c r="B2890" t="inlineStr">
        <is>
          <t>undefined</t>
        </is>
      </c>
      <c r="C2890" t="inlineStr">
        <is>
          <t>adidas Copa Zone Cushion II Soccer Sock</t>
        </is>
      </c>
      <c r="D2890" t="inlineStr">
        <is>
          <t>adidas Copa Zone Cushion 4 Soccer Socks (1-Pair) for Men, Women, Boys and Girls</t>
        </is>
      </c>
      <c r="E2890" s="2">
        <f>HYPERLINK("https://www.amazon.com/adidas-Cushion-Soccer-Socks-1-Pack/dp/B07D9J4TH9/ref=sr_1_2?keywords=adidas+Copa+Zone+Cushion+II+Soccer+Sock&amp;qid=1695171112&amp;sr=8-2", "https://www.amazon.com/adidas-Cushion-Soccer-Socks-1-Pack/dp/B07D9J4TH9/ref=sr_1_2?keywords=adidas+Copa+Zone+Cushion+II+Soccer+Sock&amp;qid=1695171112&amp;sr=8-2")</f>
        <v/>
      </c>
      <c r="F2890" t="inlineStr">
        <is>
          <t>B07D9J4TH9</t>
        </is>
      </c>
      <c r="G2890">
        <f>_xludf.IMAGE("https://www.soccerplususa.com/prodimages//35006-WHITE-M.jpg")</f>
        <v/>
      </c>
      <c r="H2890">
        <f>_xludf.IMAGE("https://m.media-amazon.com/images/I/71A6w4+ocTL._AC_UL320_.jpg")</f>
        <v/>
      </c>
      <c r="K2890" t="inlineStr">
        <is>
          <t>11.95</t>
        </is>
      </c>
      <c r="L2890" t="n">
        <v>11.17</v>
      </c>
      <c r="M2890" s="1" t="inlineStr">
        <is>
          <t>-6.53%</t>
        </is>
      </c>
      <c r="N2890" s="3" t="n">
        <v>-6.53</v>
      </c>
      <c r="O2890" t="n">
        <v>4.7</v>
      </c>
      <c r="P2890" t="n">
        <v>6297</v>
      </c>
      <c r="R2890" t="inlineStr">
        <is>
          <t>InStock</t>
        </is>
      </c>
      <c r="S2890" t="inlineStr">
        <is>
          <t>undefined</t>
        </is>
      </c>
      <c r="T2890" t="inlineStr">
        <is>
          <t>5130201</t>
        </is>
      </c>
    </row>
    <row r="2891" hidden="1" ht="15.75" customHeight="1">
      <c r="A2891" s="2">
        <f>HYPERLINK("https://www.soccerplususa.com/adidas-2/adidas-copa-zone-cushion-iv-sock-36238", "https://www.soccerplususa.com/adidas-2/adidas-copa-zone-cushion-iv-sock-36238")</f>
        <v/>
      </c>
      <c r="B2891" t="inlineStr">
        <is>
          <t>undefined</t>
        </is>
      </c>
      <c r="C2891" t="inlineStr">
        <is>
          <t>adidas Copa Zone Cushion IV Sock</t>
        </is>
      </c>
      <c r="D2891" t="inlineStr">
        <is>
          <t>adidas Copa Zone Cushion 4 Soccer Socks (1-Pair) for Men, Women, Boys and Girls</t>
        </is>
      </c>
      <c r="E2891" s="2">
        <f>HYPERLINK("https://www.amazon.com/adidas-Cushion-Soccer-Socks-1-Pack/dp/B07D9DQX8Q/ref=sr_1_1?keywords=adidas+Copa+Zone+Cushion+IV+Sock&amp;qid=1695171098&amp;sr=8-1", "https://www.amazon.com/adidas-Cushion-Soccer-Socks-1-Pack/dp/B07D9DQX8Q/ref=sr_1_1?keywords=adidas+Copa+Zone+Cushion+IV+Sock&amp;qid=1695171098&amp;sr=8-1")</f>
        <v/>
      </c>
      <c r="F2891" t="inlineStr">
        <is>
          <t>B07D9DQX8Q</t>
        </is>
      </c>
      <c r="G2891">
        <f>_xludf.IMAGE("https://www.soccerplususa.com/prodimages/17547-DEFAULT-l.jpg")</f>
        <v/>
      </c>
      <c r="H2891">
        <f>_xludf.IMAGE("https://m.media-amazon.com/images/I/71A6w4+ocTL._AC_UL320_.jpg")</f>
        <v/>
      </c>
      <c r="K2891" t="inlineStr">
        <is>
          <t>11.95</t>
        </is>
      </c>
      <c r="L2891" t="n">
        <v>11</v>
      </c>
      <c r="M2891" s="1" t="inlineStr">
        <is>
          <t>-7.95%</t>
        </is>
      </c>
      <c r="N2891" s="3" t="n">
        <v>-7.95</v>
      </c>
      <c r="O2891" t="n">
        <v>4.7</v>
      </c>
      <c r="P2891" t="n">
        <v>6297</v>
      </c>
      <c r="R2891" t="inlineStr">
        <is>
          <t>InStock</t>
        </is>
      </c>
      <c r="S2891" t="inlineStr">
        <is>
          <t>undefined</t>
        </is>
      </c>
      <c r="T2891" t="inlineStr">
        <is>
          <t>5147294</t>
        </is>
      </c>
    </row>
    <row r="2892" hidden="1" ht="15.75" customHeight="1">
      <c r="A2892" s="2">
        <f>HYPERLINK("https://www.soccerplususa.com/adidas-2/adidas-copa-zone-cushion-iv-sock-36237", "https://www.soccerplususa.com/adidas-2/adidas-copa-zone-cushion-iv-sock-36237")</f>
        <v/>
      </c>
      <c r="B2892" t="inlineStr">
        <is>
          <t>undefined</t>
        </is>
      </c>
      <c r="C2892" t="inlineStr">
        <is>
          <t>adidas Copa Zone Cushion IV Sock</t>
        </is>
      </c>
      <c r="D2892" t="inlineStr">
        <is>
          <t>adidas Copa Zone Cushion 4 Soccer Socks (1-Pair) for Men, Women, Boys and Girls</t>
        </is>
      </c>
      <c r="E2892" s="2">
        <f>HYPERLINK("https://www.amazon.com/adidas-Cushion-Soccer-Socks-1-Pack/dp/B07D9DQX8Q/ref=sr_1_1?keywords=adidas+Copa+Zone+Cushion+IV+Sock&amp;qid=1695171091&amp;sr=8-1", "https://www.amazon.com/adidas-Cushion-Soccer-Socks-1-Pack/dp/B07D9DQX8Q/ref=sr_1_1?keywords=adidas+Copa+Zone+Cushion+IV+Sock&amp;qid=1695171091&amp;sr=8-1")</f>
        <v/>
      </c>
      <c r="F2892" t="inlineStr">
        <is>
          <t>B07D9DQX8Q</t>
        </is>
      </c>
      <c r="G2892">
        <f>_xludf.IMAGE("https://www.soccerplususa.com/prodimages/17546-DEFAULT-l.jpg")</f>
        <v/>
      </c>
      <c r="H2892">
        <f>_xludf.IMAGE("https://m.media-amazon.com/images/I/71A6w4+ocTL._AC_UL320_.jpg")</f>
        <v/>
      </c>
      <c r="K2892" t="inlineStr">
        <is>
          <t>11.95</t>
        </is>
      </c>
      <c r="L2892" t="n">
        <v>11</v>
      </c>
      <c r="M2892" s="1" t="inlineStr">
        <is>
          <t>-7.95%</t>
        </is>
      </c>
      <c r="N2892" s="3" t="n">
        <v>-7.95</v>
      </c>
      <c r="O2892" t="n">
        <v>4.7</v>
      </c>
      <c r="P2892" t="n">
        <v>6297</v>
      </c>
      <c r="R2892" t="inlineStr">
        <is>
          <t>InStock</t>
        </is>
      </c>
      <c r="S2892" t="inlineStr">
        <is>
          <t>undefined</t>
        </is>
      </c>
      <c r="T2892" t="inlineStr">
        <is>
          <t>5147293</t>
        </is>
      </c>
    </row>
    <row r="2893" hidden="1" ht="15.75" customHeight="1">
      <c r="A2893" s="2">
        <f>HYPERLINK("https://www.soccerplususa.com/adidas-2/adidas-copa-zone-cushion-iv-otc-sock-36234", "https://www.soccerplususa.com/adidas-2/adidas-copa-zone-cushion-iv-otc-sock-36234")</f>
        <v/>
      </c>
      <c r="B2893" t="inlineStr">
        <is>
          <t>undefined</t>
        </is>
      </c>
      <c r="C2893" t="inlineStr">
        <is>
          <t>adidas Copa Zone Cushion IV OTC Sock</t>
        </is>
      </c>
      <c r="D2893" t="inlineStr">
        <is>
          <t>adidas Copa Zone Cushion 4 Soccer Socks (1-Pair) for Men, Women, Boys and Girls</t>
        </is>
      </c>
      <c r="E2893" s="2">
        <f>HYPERLINK("https://www.amazon.com/adidas-Cushion-Soccer-Socks-1-Pack/dp/B07D9DQX8Q/ref=sr_1_1?keywords=adidas+Copa+Zone+Cushion+IV+OTC+Sock&amp;qid=1695171089&amp;sr=8-1", "https://www.amazon.com/adidas-Cushion-Soccer-Socks-1-Pack/dp/B07D9DQX8Q/ref=sr_1_1?keywords=adidas+Copa+Zone+Cushion+IV+OTC+Sock&amp;qid=1695171089&amp;sr=8-1")</f>
        <v/>
      </c>
      <c r="F2893" t="inlineStr">
        <is>
          <t>B07D9DQX8Q</t>
        </is>
      </c>
      <c r="G2893">
        <f>_xludf.IMAGE("https://www.soccerplususa.com/prodimages/17543-DEFAULT-l.jpg")</f>
        <v/>
      </c>
      <c r="H2893">
        <f>_xludf.IMAGE("https://m.media-amazon.com/images/I/71A6w4+ocTL._AC_UL320_.jpg")</f>
        <v/>
      </c>
      <c r="K2893" t="inlineStr">
        <is>
          <t>11.95</t>
        </is>
      </c>
      <c r="L2893" t="n">
        <v>11</v>
      </c>
      <c r="M2893" s="1" t="inlineStr">
        <is>
          <t>-7.95%</t>
        </is>
      </c>
      <c r="N2893" s="3" t="n">
        <v>-7.95</v>
      </c>
      <c r="O2893" t="n">
        <v>4.7</v>
      </c>
      <c r="P2893" t="n">
        <v>6297</v>
      </c>
      <c r="R2893" t="inlineStr">
        <is>
          <t>InStock</t>
        </is>
      </c>
      <c r="S2893" t="inlineStr">
        <is>
          <t>undefined</t>
        </is>
      </c>
      <c r="T2893" t="inlineStr">
        <is>
          <t>5147290</t>
        </is>
      </c>
    </row>
    <row r="2894" hidden="1" ht="15.75" customHeight="1">
      <c r="A2894" s="2">
        <f>HYPERLINK("https://www.soccerplususa.com/adidas-2/adidas-copa-zone-cushion-iv-sock-36244", "https://www.soccerplususa.com/adidas-2/adidas-copa-zone-cushion-iv-sock-36244")</f>
        <v/>
      </c>
      <c r="B2894" t="inlineStr">
        <is>
          <t>undefined</t>
        </is>
      </c>
      <c r="C2894" t="inlineStr">
        <is>
          <t>adidas Copa Zone Cushion IV Sock</t>
        </is>
      </c>
      <c r="D2894" t="inlineStr">
        <is>
          <t>adidas Copa Zone Cushion 4 Soccer Socks (1-Pair) for Men, Women, Boys and Girls</t>
        </is>
      </c>
      <c r="E2894" s="2">
        <f>HYPERLINK("https://www.amazon.com/adidas-Cushion-Soccer-Socks-1-Pack/dp/B07D9DQX8Q/ref=sr_1_1?keywords=adidas+Copa+Zone+Cushion+IV+Sock&amp;qid=1695171094&amp;sr=8-1", "https://www.amazon.com/adidas-Cushion-Soccer-Socks-1-Pack/dp/B07D9DQX8Q/ref=sr_1_1?keywords=adidas+Copa+Zone+Cushion+IV+Sock&amp;qid=1695171094&amp;sr=8-1")</f>
        <v/>
      </c>
      <c r="F2894" t="inlineStr">
        <is>
          <t>B07D9DQX8Q</t>
        </is>
      </c>
      <c r="G2894">
        <f>_xludf.IMAGE("https://www.soccerplususa.com/prodimages/17552-DEFAULT-l.jpg")</f>
        <v/>
      </c>
      <c r="H2894">
        <f>_xludf.IMAGE("https://m.media-amazon.com/images/I/71A6w4+ocTL._AC_UL320_.jpg")</f>
        <v/>
      </c>
      <c r="K2894" t="inlineStr">
        <is>
          <t>11.95</t>
        </is>
      </c>
      <c r="L2894" t="n">
        <v>11</v>
      </c>
      <c r="M2894" s="1" t="inlineStr">
        <is>
          <t>-7.95%</t>
        </is>
      </c>
      <c r="N2894" s="3" t="n">
        <v>-7.95</v>
      </c>
      <c r="O2894" t="n">
        <v>4.7</v>
      </c>
      <c r="P2894" t="n">
        <v>6297</v>
      </c>
      <c r="R2894" t="inlineStr">
        <is>
          <t>InStock</t>
        </is>
      </c>
      <c r="S2894" t="inlineStr">
        <is>
          <t>undefined</t>
        </is>
      </c>
      <c r="T2894" t="inlineStr">
        <is>
          <t>5147309</t>
        </is>
      </c>
    </row>
    <row r="2895" hidden="1" ht="15.75" customHeight="1">
      <c r="A2895" s="2">
        <f>HYPERLINK("https://www.soccerplususa.com/adidas-2/adidas-copa-zone-cushion-iv-sock-36240", "https://www.soccerplususa.com/adidas-2/adidas-copa-zone-cushion-iv-sock-36240")</f>
        <v/>
      </c>
      <c r="B2895" t="inlineStr">
        <is>
          <t>undefined</t>
        </is>
      </c>
      <c r="C2895" t="inlineStr">
        <is>
          <t>adidas Copa Zone Cushion IV Sock</t>
        </is>
      </c>
      <c r="D2895" t="inlineStr">
        <is>
          <t>adidas Copa Zone Cushion 4 Soccer Socks (1-Pair) for Men, Women, Boys and Girls</t>
        </is>
      </c>
      <c r="E2895" s="2">
        <f>HYPERLINK("https://www.amazon.com/adidas-Cushion-Soccer-Socks-1-Pack/dp/B07D9DQX8Q/ref=sr_1_1?keywords=adidas+Copa+Zone+Cushion+IV+Sock&amp;qid=1695171087&amp;sr=8-1", "https://www.amazon.com/adidas-Cushion-Soccer-Socks-1-Pack/dp/B07D9DQX8Q/ref=sr_1_1?keywords=adidas+Copa+Zone+Cushion+IV+Sock&amp;qid=1695171087&amp;sr=8-1")</f>
        <v/>
      </c>
      <c r="F2895" t="inlineStr">
        <is>
          <t>B07D9DQX8Q</t>
        </is>
      </c>
      <c r="G2895">
        <f>_xludf.IMAGE("https://www.soccerplususa.com/prodimages/17549-DEFAULT-l.jpg")</f>
        <v/>
      </c>
      <c r="H2895">
        <f>_xludf.IMAGE("https://m.media-amazon.com/images/I/71A6w4+ocTL._AC_UL320_.jpg")</f>
        <v/>
      </c>
      <c r="K2895" t="inlineStr">
        <is>
          <t>11.95</t>
        </is>
      </c>
      <c r="L2895" t="n">
        <v>11</v>
      </c>
      <c r="M2895" s="1" t="inlineStr">
        <is>
          <t>-7.95%</t>
        </is>
      </c>
      <c r="N2895" s="3" t="n">
        <v>-7.95</v>
      </c>
      <c r="O2895" t="n">
        <v>4.7</v>
      </c>
      <c r="P2895" t="n">
        <v>6297</v>
      </c>
      <c r="R2895" t="inlineStr">
        <is>
          <t>InStock</t>
        </is>
      </c>
      <c r="S2895" t="inlineStr">
        <is>
          <t>undefined</t>
        </is>
      </c>
      <c r="T2895" t="inlineStr">
        <is>
          <t>5147301</t>
        </is>
      </c>
    </row>
    <row r="2896" hidden="1" ht="15.75" customHeight="1">
      <c r="A2896" s="2">
        <f>HYPERLINK("https://www.soccerplususa.com/adidas-2/adidas-copa-zone-cushion-iv-sock-36239", "https://www.soccerplususa.com/adidas-2/adidas-copa-zone-cushion-iv-sock-36239")</f>
        <v/>
      </c>
      <c r="B2896" t="inlineStr">
        <is>
          <t>undefined</t>
        </is>
      </c>
      <c r="C2896" t="inlineStr">
        <is>
          <t>adidas Copa Zone Cushion IV Sock</t>
        </is>
      </c>
      <c r="D2896" t="inlineStr">
        <is>
          <t>adidas Copa Zone Cushion 4 Soccer Socks (1-Pair) for Men, Women, Boys and Girls</t>
        </is>
      </c>
      <c r="E2896" s="2">
        <f>HYPERLINK("https://www.amazon.com/adidas-Cushion-Soccer-Socks-1-Pack/dp/B07D9DQX8Q/ref=sr_1_1?keywords=adidas+Copa+Zone+Cushion+IV+Sock&amp;qid=1695171093&amp;sr=8-1", "https://www.amazon.com/adidas-Cushion-Soccer-Socks-1-Pack/dp/B07D9DQX8Q/ref=sr_1_1?keywords=adidas+Copa+Zone+Cushion+IV+Sock&amp;qid=1695171093&amp;sr=8-1")</f>
        <v/>
      </c>
      <c r="F2896" t="inlineStr">
        <is>
          <t>B07D9DQX8Q</t>
        </is>
      </c>
      <c r="G2896">
        <f>_xludf.IMAGE("https://www.soccerplususa.com/prodimages/17548-DEFAULT-l.jpg")</f>
        <v/>
      </c>
      <c r="H2896">
        <f>_xludf.IMAGE("https://m.media-amazon.com/images/I/71A6w4+ocTL._AC_UL320_.jpg")</f>
        <v/>
      </c>
      <c r="K2896" t="inlineStr">
        <is>
          <t>11.95</t>
        </is>
      </c>
      <c r="L2896" t="n">
        <v>11</v>
      </c>
      <c r="M2896" s="1" t="inlineStr">
        <is>
          <t>-7.95%</t>
        </is>
      </c>
      <c r="N2896" s="3" t="n">
        <v>-7.95</v>
      </c>
      <c r="O2896" t="n">
        <v>4.7</v>
      </c>
      <c r="P2896" t="n">
        <v>6297</v>
      </c>
      <c r="R2896" t="inlineStr">
        <is>
          <t>InStock</t>
        </is>
      </c>
      <c r="S2896" t="inlineStr">
        <is>
          <t>undefined</t>
        </is>
      </c>
      <c r="T2896" t="inlineStr">
        <is>
          <t>5147295</t>
        </is>
      </c>
    </row>
    <row r="2897" hidden="1" ht="15.75" customHeight="1">
      <c r="A2897" s="2">
        <f>HYPERLINK("https://www.soccerplususa.com/adidas-2/adidas-copa-zone-cushion-iv-sock-36245", "https://www.soccerplususa.com/adidas-2/adidas-copa-zone-cushion-iv-sock-36245")</f>
        <v/>
      </c>
      <c r="B2897" t="inlineStr">
        <is>
          <t>undefined</t>
        </is>
      </c>
      <c r="C2897" t="inlineStr">
        <is>
          <t>adidas Copa Zone Cushion IV Sock</t>
        </is>
      </c>
      <c r="D2897" t="inlineStr">
        <is>
          <t>adidas Copa Zone Cushion 4 Soccer Socks (1-Pair) for Men, Women, Boys and Girls</t>
        </is>
      </c>
      <c r="E2897" s="2">
        <f>HYPERLINK("https://www.amazon.com/adidas-Cushion-Soccer-Socks-1-Pack/dp/B07D9DQX8Q/ref=sr_1_1?keywords=adidas+Copa+Zone+Cushion+IV+Sock&amp;qid=1695171092&amp;sr=8-1", "https://www.amazon.com/adidas-Cushion-Soccer-Socks-1-Pack/dp/B07D9DQX8Q/ref=sr_1_1?keywords=adidas+Copa+Zone+Cushion+IV+Sock&amp;qid=1695171092&amp;sr=8-1")</f>
        <v/>
      </c>
      <c r="F2897" t="inlineStr">
        <is>
          <t>B07D9DQX8Q</t>
        </is>
      </c>
      <c r="G2897">
        <f>_xludf.IMAGE("https://www.soccerplususa.com/prodimages/17553-DEFAULT-l.jpg")</f>
        <v/>
      </c>
      <c r="H2897">
        <f>_xludf.IMAGE("https://m.media-amazon.com/images/I/71A6w4+ocTL._AC_UL320_.jpg")</f>
        <v/>
      </c>
      <c r="K2897" t="inlineStr">
        <is>
          <t>11.95</t>
        </is>
      </c>
      <c r="L2897" t="n">
        <v>11</v>
      </c>
      <c r="M2897" s="1" t="inlineStr">
        <is>
          <t>-7.95%</t>
        </is>
      </c>
      <c r="N2897" s="3" t="n">
        <v>-7.95</v>
      </c>
      <c r="O2897" t="n">
        <v>4.7</v>
      </c>
      <c r="P2897" t="n">
        <v>6297</v>
      </c>
      <c r="R2897" t="inlineStr">
        <is>
          <t>InStock</t>
        </is>
      </c>
      <c r="S2897" t="inlineStr">
        <is>
          <t>undefined</t>
        </is>
      </c>
      <c r="T2897" t="inlineStr">
        <is>
          <t>5147310</t>
        </is>
      </c>
    </row>
    <row r="2898" hidden="1" ht="15.75" customHeight="1">
      <c r="A2898" s="2">
        <f>HYPERLINK("https://www.soccerplususa.com/adidas-2/adidas-copa-zone-cushion-iv-sock-36241", "https://www.soccerplususa.com/adidas-2/adidas-copa-zone-cushion-iv-sock-36241")</f>
        <v/>
      </c>
      <c r="B2898" t="inlineStr">
        <is>
          <t>undefined</t>
        </is>
      </c>
      <c r="C2898" t="inlineStr">
        <is>
          <t>adidas Copa Zone Cushion IV Sock</t>
        </is>
      </c>
      <c r="D2898" t="inlineStr">
        <is>
          <t>adidas Copa Zone Cushion 4 Soccer Socks (1-Pair) for Men, Women, Boys and Girls</t>
        </is>
      </c>
      <c r="E2898" s="2">
        <f>HYPERLINK("https://www.amazon.com/adidas-Cushion-Soccer-Socks-1-Pack/dp/B07D9DQX8Q/ref=sr_1_1?keywords=adidas+Copa+Zone+Cushion+IV+Sock&amp;qid=1695171090&amp;sr=8-1", "https://www.amazon.com/adidas-Cushion-Soccer-Socks-1-Pack/dp/B07D9DQX8Q/ref=sr_1_1?keywords=adidas+Copa+Zone+Cushion+IV+Sock&amp;qid=1695171090&amp;sr=8-1")</f>
        <v/>
      </c>
      <c r="F2898" t="inlineStr">
        <is>
          <t>B07D9DQX8Q</t>
        </is>
      </c>
      <c r="G2898">
        <f>_xludf.IMAGE("https://www.soccerplususa.com/prodimages/17550-DEFAULT-l.jpg")</f>
        <v/>
      </c>
      <c r="H2898">
        <f>_xludf.IMAGE("https://m.media-amazon.com/images/I/71A6w4+ocTL._AC_UL320_.jpg")</f>
        <v/>
      </c>
      <c r="K2898" t="inlineStr">
        <is>
          <t>11.95</t>
        </is>
      </c>
      <c r="L2898" t="n">
        <v>11</v>
      </c>
      <c r="M2898" s="1" t="inlineStr">
        <is>
          <t>-7.95%</t>
        </is>
      </c>
      <c r="N2898" s="3" t="n">
        <v>-7.95</v>
      </c>
      <c r="O2898" t="n">
        <v>4.7</v>
      </c>
      <c r="P2898" t="n">
        <v>6297</v>
      </c>
      <c r="R2898" t="inlineStr">
        <is>
          <t>InStock</t>
        </is>
      </c>
      <c r="S2898" t="inlineStr">
        <is>
          <t>undefined</t>
        </is>
      </c>
      <c r="T2898" t="inlineStr">
        <is>
          <t>5147303</t>
        </is>
      </c>
    </row>
    <row r="2899" hidden="1" ht="15.75" customHeight="1">
      <c r="A2899" s="2">
        <f>HYPERLINK("https://www.soccerplususa.com/adidas-2/adidas-copa-zone-cushion-iv-sock-36235", "https://www.soccerplususa.com/adidas-2/adidas-copa-zone-cushion-iv-sock-36235")</f>
        <v/>
      </c>
      <c r="B2899" t="inlineStr">
        <is>
          <t>undefined</t>
        </is>
      </c>
      <c r="C2899" t="inlineStr">
        <is>
          <t>adidas Copa Zone Cushion IV Sock</t>
        </is>
      </c>
      <c r="D2899" t="inlineStr">
        <is>
          <t>adidas Copa Zone Cushion 4 Soccer Socks (1-Pair) for Men, Women, Boys and Girls</t>
        </is>
      </c>
      <c r="E2899" s="2">
        <f>HYPERLINK("https://www.amazon.com/adidas-Cushion-Soccer-Socks-1-Pack/dp/B07D9DQX8Q/ref=sr_1_1?keywords=adidas+Copa+Zone+Cushion+IV+Sock&amp;qid=1695171093&amp;sr=8-1", "https://www.amazon.com/adidas-Cushion-Soccer-Socks-1-Pack/dp/B07D9DQX8Q/ref=sr_1_1?keywords=adidas+Copa+Zone+Cushion+IV+Sock&amp;qid=1695171093&amp;sr=8-1")</f>
        <v/>
      </c>
      <c r="F2899" t="inlineStr">
        <is>
          <t>B07D9DQX8Q</t>
        </is>
      </c>
      <c r="G2899">
        <f>_xludf.IMAGE("https://www.soccerplususa.com/prodimages/17544-DEFAULT-l.jpg")</f>
        <v/>
      </c>
      <c r="H2899">
        <f>_xludf.IMAGE("https://m.media-amazon.com/images/I/71A6w4+ocTL._AC_UL320_.jpg")</f>
        <v/>
      </c>
      <c r="K2899" t="inlineStr">
        <is>
          <t>11.95</t>
        </is>
      </c>
      <c r="L2899" t="n">
        <v>11</v>
      </c>
      <c r="M2899" s="1" t="inlineStr">
        <is>
          <t>-7.95%</t>
        </is>
      </c>
      <c r="N2899" s="3" t="n">
        <v>-7.95</v>
      </c>
      <c r="O2899" t="n">
        <v>4.7</v>
      </c>
      <c r="P2899" t="n">
        <v>6297</v>
      </c>
      <c r="R2899" t="inlineStr">
        <is>
          <t>InStock</t>
        </is>
      </c>
      <c r="S2899" t="inlineStr">
        <is>
          <t>undefined</t>
        </is>
      </c>
      <c r="T2899" t="inlineStr">
        <is>
          <t>5147291</t>
        </is>
      </c>
    </row>
    <row r="2900" hidden="1" ht="15.75" customHeight="1">
      <c r="A2900" s="2">
        <f>HYPERLINK("https://www.soccerplususa.com/adidas-2/adidas-copa-zone-cushion-iv-sock-36242", "https://www.soccerplususa.com/adidas-2/adidas-copa-zone-cushion-iv-sock-36242")</f>
        <v/>
      </c>
      <c r="B2900" t="inlineStr">
        <is>
          <t>undefined</t>
        </is>
      </c>
      <c r="C2900" t="inlineStr">
        <is>
          <t>adidas Copa Zone Cushion IV Sock</t>
        </is>
      </c>
      <c r="D2900" t="inlineStr">
        <is>
          <t>adidas Copa Zone Cushion 4 Soccer Socks (1-Pair) for Men, Women, Boys and Girls</t>
        </is>
      </c>
      <c r="E2900" s="2">
        <f>HYPERLINK("https://www.amazon.com/adidas-Cushion-Soccer-Socks-1-Pack/dp/B07D9DQX8Q/ref=sr_1_1?keywords=adidas+Copa+Zone+Cushion+IV+Sock&amp;qid=1695171095&amp;sr=8-1", "https://www.amazon.com/adidas-Cushion-Soccer-Socks-1-Pack/dp/B07D9DQX8Q/ref=sr_1_1?keywords=adidas+Copa+Zone+Cushion+IV+Sock&amp;qid=1695171095&amp;sr=8-1")</f>
        <v/>
      </c>
      <c r="F2900" t="inlineStr">
        <is>
          <t>B07D9DQX8Q</t>
        </is>
      </c>
      <c r="G2900">
        <f>_xludf.IMAGE("https://www.soccerplususa.com/prodimages/17551-DEFAULT-l.jpg")</f>
        <v/>
      </c>
      <c r="H2900">
        <f>_xludf.IMAGE("https://m.media-amazon.com/images/I/71A6w4+ocTL._AC_UL320_.jpg")</f>
        <v/>
      </c>
      <c r="K2900" t="inlineStr">
        <is>
          <t>11.95</t>
        </is>
      </c>
      <c r="L2900" t="n">
        <v>11</v>
      </c>
      <c r="M2900" s="1" t="inlineStr">
        <is>
          <t>-7.95%</t>
        </is>
      </c>
      <c r="N2900" s="3" t="n">
        <v>-7.95</v>
      </c>
      <c r="O2900" t="n">
        <v>4.7</v>
      </c>
      <c r="P2900" t="n">
        <v>6297</v>
      </c>
      <c r="R2900" t="inlineStr">
        <is>
          <t>InStock</t>
        </is>
      </c>
      <c r="S2900" t="inlineStr">
        <is>
          <t>undefined</t>
        </is>
      </c>
      <c r="T2900" t="inlineStr">
        <is>
          <t>5147304</t>
        </is>
      </c>
    </row>
    <row r="2901" hidden="1" ht="15.75" customHeight="1">
      <c r="A2901" s="2">
        <f>HYPERLINK("https://www.soccerplususa.com/adidas-2/adidas-copa-zone-cushion-iv-sock-36233", "https://www.soccerplususa.com/adidas-2/adidas-copa-zone-cushion-iv-sock-36233")</f>
        <v/>
      </c>
      <c r="B2901" t="inlineStr">
        <is>
          <t>undefined</t>
        </is>
      </c>
      <c r="C2901" t="inlineStr">
        <is>
          <t>adidas Copa Zone Cushion IV Sock</t>
        </is>
      </c>
      <c r="D2901" t="inlineStr">
        <is>
          <t>adidas Copa Zone Cushion 4 Soccer Socks (1-Pair) for Men, Women, Boys and Girls</t>
        </is>
      </c>
      <c r="E2901" s="2">
        <f>HYPERLINK("https://www.amazon.com/adidas-Cushion-Soccer-Socks-1-Pack/dp/B07D9DQX8Q/ref=sr_1_1?keywords=adidas+Copa+Zone+Cushion+IV+Sock&amp;qid=1695171094&amp;sr=8-1", "https://www.amazon.com/adidas-Cushion-Soccer-Socks-1-Pack/dp/B07D9DQX8Q/ref=sr_1_1?keywords=adidas+Copa+Zone+Cushion+IV+Sock&amp;qid=1695171094&amp;sr=8-1")</f>
        <v/>
      </c>
      <c r="F2901" t="inlineStr">
        <is>
          <t>B07D9DQX8Q</t>
        </is>
      </c>
      <c r="G2901">
        <f>_xludf.IMAGE("https://www.soccerplususa.com/prodimages/17542-DEFAULT-l.jpg")</f>
        <v/>
      </c>
      <c r="H2901">
        <f>_xludf.IMAGE("https://m.media-amazon.com/images/I/71A6w4+ocTL._AC_UL320_.jpg")</f>
        <v/>
      </c>
      <c r="K2901" t="inlineStr">
        <is>
          <t>11.95</t>
        </is>
      </c>
      <c r="L2901" t="n">
        <v>11</v>
      </c>
      <c r="M2901" s="1" t="inlineStr">
        <is>
          <t>-7.95%</t>
        </is>
      </c>
      <c r="N2901" s="3" t="n">
        <v>-7.95</v>
      </c>
      <c r="O2901" t="n">
        <v>4.7</v>
      </c>
      <c r="P2901" t="n">
        <v>6297</v>
      </c>
      <c r="R2901" t="inlineStr">
        <is>
          <t>InStock</t>
        </is>
      </c>
      <c r="S2901" t="inlineStr">
        <is>
          <t>undefined</t>
        </is>
      </c>
      <c r="T2901" t="inlineStr">
        <is>
          <t>5147287</t>
        </is>
      </c>
    </row>
    <row r="2902" hidden="1" ht="15.75" customHeight="1">
      <c r="A2902" s="2">
        <f>HYPERLINK("https://www.soccerplususa.com/adidas-2/adidas-copa-zone-cushion-iv-sock-36236", "https://www.soccerplususa.com/adidas-2/adidas-copa-zone-cushion-iv-sock-36236")</f>
        <v/>
      </c>
      <c r="B2902" t="inlineStr">
        <is>
          <t>undefined</t>
        </is>
      </c>
      <c r="C2902" t="inlineStr">
        <is>
          <t>adidas Copa Zone Cushion IV Sock</t>
        </is>
      </c>
      <c r="D2902" t="inlineStr">
        <is>
          <t>adidas Copa Zone Cushion 4 Soccer Socks (1-Pair) for Men, Women, Boys and Girls</t>
        </is>
      </c>
      <c r="E2902" s="2">
        <f>HYPERLINK("https://www.amazon.com/adidas-Cushion-Soccer-Socks-1-Pack/dp/B07D9DQX8Q/ref=sr_1_1?keywords=adidas+Copa+Zone+Cushion+IV+Sock&amp;qid=1695171089&amp;sr=8-1", "https://www.amazon.com/adidas-Cushion-Soccer-Socks-1-Pack/dp/B07D9DQX8Q/ref=sr_1_1?keywords=adidas+Copa+Zone+Cushion+IV+Sock&amp;qid=1695171089&amp;sr=8-1")</f>
        <v/>
      </c>
      <c r="F2902" t="inlineStr">
        <is>
          <t>B07D9DQX8Q</t>
        </is>
      </c>
      <c r="G2902">
        <f>_xludf.IMAGE("https://www.soccerplususa.com/prodimages/17545-DEFAULT-l.jpg")</f>
        <v/>
      </c>
      <c r="H2902">
        <f>_xludf.IMAGE("https://m.media-amazon.com/images/I/71A6w4+ocTL._AC_UL320_.jpg")</f>
        <v/>
      </c>
      <c r="K2902" t="inlineStr">
        <is>
          <t>11.95</t>
        </is>
      </c>
      <c r="L2902" t="n">
        <v>11</v>
      </c>
      <c r="M2902" s="1" t="inlineStr">
        <is>
          <t>-7.95%</t>
        </is>
      </c>
      <c r="N2902" s="3" t="n">
        <v>-7.95</v>
      </c>
      <c r="O2902" t="n">
        <v>4.7</v>
      </c>
      <c r="P2902" t="n">
        <v>6297</v>
      </c>
      <c r="R2902" t="inlineStr">
        <is>
          <t>InStock</t>
        </is>
      </c>
      <c r="S2902" t="inlineStr">
        <is>
          <t>undefined</t>
        </is>
      </c>
      <c r="T2902" t="inlineStr">
        <is>
          <t>5147292</t>
        </is>
      </c>
    </row>
    <row r="2903" hidden="1" ht="15.75" customHeight="1">
      <c r="A2903" s="2">
        <f>HYPERLINK("https://www.soccerplususa.com/adidas-2/adidas-copa-zone-cushion-iv-sock-36243", "https://www.soccerplususa.com/adidas-2/adidas-copa-zone-cushion-iv-sock-36243")</f>
        <v/>
      </c>
      <c r="B2903" t="inlineStr">
        <is>
          <t>undefined</t>
        </is>
      </c>
      <c r="C2903" t="inlineStr">
        <is>
          <t>adidas Copa Zone Cushion IV Sock</t>
        </is>
      </c>
      <c r="D2903" t="inlineStr">
        <is>
          <t>adidas Copa Zone Cushion 4 Soccer Socks (1-Pair) for Men, Women, Boys and Girls</t>
        </is>
      </c>
      <c r="E2903" s="2">
        <f>HYPERLINK("https://www.amazon.com/adidas-Cushion-Soccer-Socks-1-Pack/dp/B07D9DQX8Q/ref=sr_1_1?keywords=adidas+Copa+Zone+Cushion+IV+Sock&amp;qid=1695171093&amp;sr=8-1", "https://www.amazon.com/adidas-Cushion-Soccer-Socks-1-Pack/dp/B07D9DQX8Q/ref=sr_1_1?keywords=adidas+Copa+Zone+Cushion+IV+Sock&amp;qid=1695171093&amp;sr=8-1")</f>
        <v/>
      </c>
      <c r="F2903" t="inlineStr">
        <is>
          <t>B07D9DQX8Q</t>
        </is>
      </c>
      <c r="G2903">
        <f>_xludf.IMAGE("https://www.soccerplususa.com/prodimages/32190-DEFAULT-l.jpg")</f>
        <v/>
      </c>
      <c r="H2903">
        <f>_xludf.IMAGE("https://m.media-amazon.com/images/I/71A6w4+ocTL._AC_UL320_.jpg")</f>
        <v/>
      </c>
      <c r="K2903" t="inlineStr">
        <is>
          <t>11.99</t>
        </is>
      </c>
      <c r="L2903" t="n">
        <v>11</v>
      </c>
      <c r="M2903" s="1" t="inlineStr">
        <is>
          <t>-8.26%</t>
        </is>
      </c>
      <c r="N2903" s="3" t="n">
        <v>-8.26</v>
      </c>
      <c r="O2903" t="n">
        <v>4.7</v>
      </c>
      <c r="P2903" t="n">
        <v>6297</v>
      </c>
      <c r="R2903" t="inlineStr">
        <is>
          <t>InStock</t>
        </is>
      </c>
      <c r="S2903" t="inlineStr">
        <is>
          <t>undefined</t>
        </is>
      </c>
      <c r="T2903" t="inlineStr">
        <is>
          <t>5147305</t>
        </is>
      </c>
    </row>
    <row r="2904" hidden="1" ht="15.75" customHeight="1">
      <c r="A2904" s="2">
        <f>HYPERLINK("https://www.soccerplususa.com/adidas/adidas-copa-zone-cushion-iv-sock-33729", "https://www.soccerplususa.com/adidas/adidas-copa-zone-cushion-iv-sock-33729")</f>
        <v/>
      </c>
      <c r="B2904" t="inlineStr">
        <is>
          <t>undefined</t>
        </is>
      </c>
      <c r="C2904" t="inlineStr">
        <is>
          <t>adidas Copa Zone Cushion IV Sock</t>
        </is>
      </c>
      <c r="D2904" t="inlineStr">
        <is>
          <t>adidas Copa Zone Cushion 4 Soccer Socks (1-Pair) for Men, Women, Boys and Girls</t>
        </is>
      </c>
      <c r="E2904" s="2">
        <f>HYPERLINK("https://www.amazon.com/adidas-Cushion-Soccer-Socks-1-Pack/dp/B07D9DQX8Q/ref=sr_1_1?keywords=adidas+Copa+Zone+Cushion+IV+Sock&amp;qid=1695171091&amp;sr=8-1", "https://www.amazon.com/adidas-Cushion-Soccer-Socks-1-Pack/dp/B07D9DQX8Q/ref=sr_1_1?keywords=adidas+Copa+Zone+Cushion+IV+Sock&amp;qid=1695171091&amp;sr=8-1")</f>
        <v/>
      </c>
      <c r="F2904" t="inlineStr">
        <is>
          <t>B07D9DQX8Q</t>
        </is>
      </c>
      <c r="G2904">
        <f>_xludf.IMAGE("https://www.soccerplususa.com/prodimages/8983-DEFAULT-l.jpg")</f>
        <v/>
      </c>
      <c r="H2904">
        <f>_xludf.IMAGE("https://m.media-amazon.com/images/I/71A6w4+ocTL._AC_UL320_.jpg")</f>
        <v/>
      </c>
      <c r="K2904" t="inlineStr">
        <is>
          <t>11.99</t>
        </is>
      </c>
      <c r="L2904" t="n">
        <v>11</v>
      </c>
      <c r="M2904" s="1" t="inlineStr">
        <is>
          <t>-8.26%</t>
        </is>
      </c>
      <c r="N2904" s="3" t="n">
        <v>-8.26</v>
      </c>
      <c r="O2904" t="n">
        <v>4.7</v>
      </c>
      <c r="P2904" t="n">
        <v>6297</v>
      </c>
      <c r="R2904" t="inlineStr">
        <is>
          <t>InStock</t>
        </is>
      </c>
      <c r="S2904" t="inlineStr">
        <is>
          <t>undefined</t>
        </is>
      </c>
      <c r="T2904" t="inlineStr">
        <is>
          <t>5147296</t>
        </is>
      </c>
    </row>
    <row r="2905" hidden="1" ht="15.75" customHeight="1">
      <c r="A2905" s="2">
        <f>HYPERLINK("https://www.soccerplususa.com/trusox/trusox-30-midcalf-cushion-39178", "https://www.soccerplususa.com/trusox/trusox-30-midcalf-cushion-39178")</f>
        <v/>
      </c>
      <c r="B2905" t="inlineStr">
        <is>
          <t>undefined</t>
        </is>
      </c>
      <c r="C2905" t="inlineStr">
        <is>
          <t>Trusox 3.0 Mid-Calf Cushion</t>
        </is>
      </c>
      <c r="D2905" t="inlineStr">
        <is>
          <t>Trusox 3.0 Mid-Calf Cushioned</t>
        </is>
      </c>
      <c r="E2905" s="2">
        <f>HYPERLINK("https://www.amazon.com/Trusox-Mid-Calf-Cushioned-White-Large/dp/B08JPLF8PD/ref=sr_1_1?keywords=Trusox+3.0+Mid-Calf+Cushion&amp;qid=1695171082&amp;sr=8-1", "https://www.amazon.com/Trusox-Mid-Calf-Cushioned-White-Large/dp/B08JPLF8PD/ref=sr_1_1?keywords=Trusox+3.0+Mid-Calf+Cushion&amp;qid=1695171082&amp;sr=8-1")</f>
        <v/>
      </c>
      <c r="F2905" t="inlineStr">
        <is>
          <t>B08JPLF8PD</t>
        </is>
      </c>
      <c r="G2905">
        <f>_xludf.IMAGE("https://www.soccerplususa.com/prodimages/32510-DEFAULT-l.jpg")</f>
        <v/>
      </c>
      <c r="H2905">
        <f>_xludf.IMAGE("https://m.media-amazon.com/images/I/513G4Rj-SoL._AC_UL320_.jpg")</f>
        <v/>
      </c>
      <c r="K2905" t="inlineStr">
        <is>
          <t>59.95</t>
        </is>
      </c>
      <c r="L2905" t="n">
        <v>55</v>
      </c>
      <c r="M2905" s="1" t="inlineStr">
        <is>
          <t>-8.26%</t>
        </is>
      </c>
      <c r="N2905" s="3" t="n">
        <v>-8.26</v>
      </c>
      <c r="O2905" t="n">
        <v>4.5</v>
      </c>
      <c r="P2905" t="n">
        <v>46</v>
      </c>
      <c r="R2905" t="inlineStr">
        <is>
          <t>InStock</t>
        </is>
      </c>
      <c r="S2905" t="inlineStr">
        <is>
          <t>undefined</t>
        </is>
      </c>
      <c r="T2905" t="inlineStr">
        <is>
          <t>2050</t>
        </is>
      </c>
    </row>
    <row r="2906" hidden="1" ht="15.75" customHeight="1">
      <c r="A2906" s="2">
        <f>HYPERLINK("https://www.soccerplususa.com/nike/nike-classic-ii-sock-35393", "https://www.soccerplususa.com/nike/nike-classic-ii-sock-35393")</f>
        <v/>
      </c>
      <c r="B2906" t="inlineStr">
        <is>
          <t>undefined</t>
        </is>
      </c>
      <c r="C2906" t="inlineStr">
        <is>
          <t>Nike Classic II Sock</t>
        </is>
      </c>
      <c r="D2906" t="inlineStr">
        <is>
          <t>Nike Classic II Cushion Over-The-Calf Socks SX5728 702 (Yellow, Small)</t>
        </is>
      </c>
      <c r="E2906" s="2">
        <f>HYPERLINK("https://www.amazon.com/Classic-Academy-Socks-Hi-Vis-Yellow/dp/B00CKTCGEM/ref=sr_1_6?keywords=Nike+Classic+II+Sock&amp;qid=1695171093&amp;sr=8-6", "https://www.amazon.com/Classic-Academy-Socks-Hi-Vis-Yellow/dp/B00CKTCGEM/ref=sr_1_6?keywords=Nike+Classic+II+Sock&amp;qid=1695171093&amp;sr=8-6")</f>
        <v/>
      </c>
      <c r="F2906" t="inlineStr">
        <is>
          <t>B00CKTCGEM</t>
        </is>
      </c>
      <c r="G2906">
        <f>_xludf.IMAGE("https://www.soccerplususa.com/prodimages/10668-DEFAULT-l.jpg")</f>
        <v/>
      </c>
      <c r="H2906">
        <f>_xludf.IMAGE("https://m.media-amazon.com/images/I/71Jp0asSEKL._AC_UL320_.jpg")</f>
        <v/>
      </c>
      <c r="K2906" t="inlineStr">
        <is>
          <t>11.95</t>
        </is>
      </c>
      <c r="L2906" t="n">
        <v>10.9</v>
      </c>
      <c r="M2906" s="1" t="inlineStr">
        <is>
          <t>-8.79%</t>
        </is>
      </c>
      <c r="N2906" s="3" t="n">
        <v>-8.789999999999999</v>
      </c>
      <c r="O2906" t="n">
        <v>4.2</v>
      </c>
      <c r="P2906" t="n">
        <v>56</v>
      </c>
      <c r="R2906" t="inlineStr">
        <is>
          <t>InStock</t>
        </is>
      </c>
      <c r="S2906" t="inlineStr">
        <is>
          <t>undefined</t>
        </is>
      </c>
      <c r="T2906" t="inlineStr">
        <is>
          <t>SX5728-677</t>
        </is>
      </c>
    </row>
    <row r="2907" hidden="1" ht="15.75" customHeight="1">
      <c r="A2907" s="2">
        <f>HYPERLINK("https://www.soccerplususa.com/adidas/adidas-team-leverage-beanie-2075", "https://www.soccerplususa.com/adidas/adidas-team-leverage-beanie-2075")</f>
        <v/>
      </c>
      <c r="B2907" t="inlineStr">
        <is>
          <t>undefined</t>
        </is>
      </c>
      <c r="C2907" t="inlineStr">
        <is>
          <t>adidas Team Leverage Beanie</t>
        </is>
      </c>
      <c r="D2907" t="inlineStr">
        <is>
          <t>adidas Men's Team Issue Fold Beanie</t>
        </is>
      </c>
      <c r="E2907" s="2">
        <f>HYPERLINK("https://www.amazon.com/adidas-Issue-Beanie-Black-White/dp/B079WBN4FP/ref=sr_1_2?keywords=adidas+Team+Leverage+Beanie&amp;qid=1695171115&amp;sr=8-2", "https://www.amazon.com/adidas-Issue-Beanie-Black-White/dp/B079WBN4FP/ref=sr_1_2?keywords=adidas+Team+Leverage+Beanie&amp;qid=1695171115&amp;sr=8-2")</f>
        <v/>
      </c>
      <c r="F2907" t="inlineStr">
        <is>
          <t>B079WBN4FP</t>
        </is>
      </c>
      <c r="G2907">
        <f>_xludf.IMAGE("https://www.soccerplususa.com/prodimages/7307-DEFAULT-l.jpg")</f>
        <v/>
      </c>
      <c r="H2907">
        <f>_xludf.IMAGE("https://m.media-amazon.com/images/I/71D4FUlEeML._AC_UL320_.jpg")</f>
        <v/>
      </c>
      <c r="K2907" t="inlineStr">
        <is>
          <t>19.95</t>
        </is>
      </c>
      <c r="L2907" t="n">
        <v>18.1</v>
      </c>
      <c r="M2907" s="1" t="inlineStr">
        <is>
          <t>-9.27%</t>
        </is>
      </c>
      <c r="N2907" s="3" t="n">
        <v>-9.27</v>
      </c>
      <c r="O2907" t="n">
        <v>4.7</v>
      </c>
      <c r="P2907" t="n">
        <v>1845</v>
      </c>
      <c r="R2907" t="inlineStr">
        <is>
          <t>InStock</t>
        </is>
      </c>
      <c r="S2907" t="inlineStr">
        <is>
          <t>undefined</t>
        </is>
      </c>
      <c r="T2907" t="inlineStr">
        <is>
          <t>5143708</t>
        </is>
      </c>
    </row>
    <row r="2908" hidden="1" ht="15.75" customHeight="1">
      <c r="A2908" s="2">
        <f>HYPERLINK("https://www.soccerplususa.com/adidas/adidas-team-leverage-beanie-2074", "https://www.soccerplususa.com/adidas/adidas-team-leverage-beanie-2074")</f>
        <v/>
      </c>
      <c r="B2908" t="inlineStr">
        <is>
          <t>undefined</t>
        </is>
      </c>
      <c r="C2908" t="inlineStr">
        <is>
          <t>adidas Team Leverage Beanie</t>
        </is>
      </c>
      <c r="D2908" t="inlineStr">
        <is>
          <t>adidas Men's Team Issue Fold Beanie</t>
        </is>
      </c>
      <c r="E2908" s="2">
        <f>HYPERLINK("https://www.amazon.com/adidas-Issue-Beanie-Black-White/dp/B079WBN4FP/ref=sr_1_2?keywords=adidas+Team+Leverage+Beanie&amp;qid=1695171116&amp;sr=8-2", "https://www.amazon.com/adidas-Issue-Beanie-Black-White/dp/B079WBN4FP/ref=sr_1_2?keywords=adidas+Team+Leverage+Beanie&amp;qid=1695171116&amp;sr=8-2")</f>
        <v/>
      </c>
      <c r="F2908" t="inlineStr">
        <is>
          <t>B079WBN4FP</t>
        </is>
      </c>
      <c r="G2908">
        <f>_xludf.IMAGE("https://www.soccerplususa.com/prodimages/7304-DEFAULT-l.jpg")</f>
        <v/>
      </c>
      <c r="H2908">
        <f>_xludf.IMAGE("https://m.media-amazon.com/images/I/71D4FUlEeML._AC_UL320_.jpg")</f>
        <v/>
      </c>
      <c r="K2908" t="inlineStr">
        <is>
          <t>19.95</t>
        </is>
      </c>
      <c r="L2908" t="n">
        <v>18.1</v>
      </c>
      <c r="M2908" s="1" t="inlineStr">
        <is>
          <t>-9.27%</t>
        </is>
      </c>
      <c r="N2908" s="3" t="n">
        <v>-9.27</v>
      </c>
      <c r="O2908" t="n">
        <v>4.7</v>
      </c>
      <c r="P2908" t="n">
        <v>1845</v>
      </c>
      <c r="R2908" t="inlineStr">
        <is>
          <t>InStock</t>
        </is>
      </c>
      <c r="S2908" t="inlineStr">
        <is>
          <t>undefined</t>
        </is>
      </c>
      <c r="T2908" t="inlineStr">
        <is>
          <t>5143707</t>
        </is>
      </c>
    </row>
    <row r="2909" hidden="1" ht="15.75" customHeight="1">
      <c r="A2909" s="2">
        <f>HYPERLINK("https://www.soccerplususa.com/adidas/adidas-alphaskin-20-headband-42962", "https://www.soccerplususa.com/adidas/adidas-alphaskin-20-headband-42962")</f>
        <v/>
      </c>
      <c r="B2909" t="inlineStr">
        <is>
          <t>undefined</t>
        </is>
      </c>
      <c r="C2909" t="inlineStr">
        <is>
          <t>adidas Alphaskin 2.0 Headband</t>
        </is>
      </c>
      <c r="D2909" t="inlineStr">
        <is>
          <t>adidas Alphaskin Wide Fit Sports Headband</t>
        </is>
      </c>
      <c r="E2909" s="2">
        <f>HYPERLINK("https://www.amazon.com/adidas-Alphaskin-Sports-Headband-Black/dp/B09Y1JT9GF/ref=sr_1_6?keywords=adidas+Alphaskin+2.0+Headband&amp;qid=1695171091&amp;sr=8-6", "https://www.amazon.com/adidas-Alphaskin-Sports-Headband-Black/dp/B09Y1JT9GF/ref=sr_1_6?keywords=adidas+Alphaskin+2.0+Headband&amp;qid=1695171091&amp;sr=8-6")</f>
        <v/>
      </c>
      <c r="F2909" t="inlineStr">
        <is>
          <t>B09Y1JT9GF</t>
        </is>
      </c>
      <c r="G2909">
        <f>_xludf.IMAGE("https://www.soccerplususa.com/prodimages//35445-WHITEBLACK-M.jpg")</f>
        <v/>
      </c>
      <c r="H2909">
        <f>_xludf.IMAGE("https://m.media-amazon.com/images/I/81ziQQTcRIL._AC_UL320_.jpg")</f>
        <v/>
      </c>
      <c r="K2909" t="inlineStr">
        <is>
          <t>14.95</t>
        </is>
      </c>
      <c r="L2909" t="n">
        <v>13.5</v>
      </c>
      <c r="M2909" s="1" t="inlineStr">
        <is>
          <t>-9.70%</t>
        </is>
      </c>
      <c r="N2909" s="3" t="n">
        <v>-9.699999999999999</v>
      </c>
      <c r="O2909" t="n">
        <v>4.5</v>
      </c>
      <c r="P2909" t="n">
        <v>48</v>
      </c>
      <c r="R2909" t="inlineStr">
        <is>
          <t>InStock</t>
        </is>
      </c>
      <c r="S2909" t="inlineStr">
        <is>
          <t>undefined</t>
        </is>
      </c>
      <c r="T2909" t="inlineStr">
        <is>
          <t>5152499</t>
        </is>
      </c>
    </row>
    <row r="2910" hidden="1" ht="15.75" customHeight="1">
      <c r="A2910" s="2">
        <f>HYPERLINK("https://www.soccerplususa.com/adidas-2/adidas-alphaskin-calf-sleeve-36219", "https://www.soccerplususa.com/adidas-2/adidas-alphaskin-calf-sleeve-36219")</f>
        <v/>
      </c>
      <c r="B2910" t="inlineStr">
        <is>
          <t>undefined</t>
        </is>
      </c>
      <c r="C2910" t="inlineStr">
        <is>
          <t>adidas Alphaskin Calf Sleeve</t>
        </is>
      </c>
      <c r="D2910" t="inlineStr">
        <is>
          <t>adidas unisex Alphaskin 2-piece Calf Sleeve</t>
        </is>
      </c>
      <c r="E2910" s="2">
        <f>HYPERLINK("https://www.amazon.com/Alphaskin-Soccer-Calf-Sleeve-2-Pack/dp/B0721QS9G8/ref=sr_1_1?keywords=adidas+Alphaskin+Calf+Sleeve&amp;qid=1695171102&amp;sr=8-1", "https://www.amazon.com/Alphaskin-Soccer-Calf-Sleeve-2-Pack/dp/B0721QS9G8/ref=sr_1_1?keywords=adidas+Alphaskin+Calf+Sleeve&amp;qid=1695171102&amp;sr=8-1")</f>
        <v/>
      </c>
      <c r="F2910" t="inlineStr">
        <is>
          <t>B0721QS9G8</t>
        </is>
      </c>
      <c r="G2910">
        <f>_xludf.IMAGE("https://www.soccerplususa.com/prodimages/17513-DEFAULT-l.jpg")</f>
        <v/>
      </c>
      <c r="H2910">
        <f>_xludf.IMAGE("https://m.media-amazon.com/images/I/81BJkSZ2IOL._AC_UL320_.jpg")</f>
        <v/>
      </c>
      <c r="K2910" t="inlineStr">
        <is>
          <t>19.95</t>
        </is>
      </c>
      <c r="L2910" t="n">
        <v>17.64</v>
      </c>
      <c r="M2910" s="1" t="inlineStr">
        <is>
          <t>-11.58%</t>
        </is>
      </c>
      <c r="N2910" s="3" t="n">
        <v>-11.58</v>
      </c>
      <c r="O2910" t="n">
        <v>4.2</v>
      </c>
      <c r="P2910" t="n">
        <v>194</v>
      </c>
      <c r="R2910" t="inlineStr">
        <is>
          <t>InStock</t>
        </is>
      </c>
      <c r="S2910" t="inlineStr">
        <is>
          <t>24.95</t>
        </is>
      </c>
      <c r="T2910" t="inlineStr">
        <is>
          <t>5143548</t>
        </is>
      </c>
    </row>
    <row r="2911" hidden="1" ht="15.75" customHeight="1">
      <c r="A2911" s="2">
        <f>HYPERLINK("https://www.soccerplususa.com/pure-grip-socks/pure-grip-socks-pro-40671", "https://www.soccerplususa.com/pure-grip-socks/pure-grip-socks-pro-40671")</f>
        <v/>
      </c>
      <c r="B2911" t="inlineStr">
        <is>
          <t>undefined</t>
        </is>
      </c>
      <c r="C2911" t="inlineStr">
        <is>
          <t>Pure Grip Socks Pro</t>
        </is>
      </c>
      <c r="D2911" t="inlineStr">
        <is>
          <t>Pure Athlete Grip Socks Soccer - Non Slip Padded Gripper Crew Sock Accessories</t>
        </is>
      </c>
      <c r="E2911" s="2">
        <f>HYPERLINK("https://www.amazon.com/Pure-Athlete-Colorblock-Socks-Black-Grey/dp/B09R96QMT7/ref=sr_1_10?keywords=Pure+Grip+Socks+Pro&amp;qid=1695171084&amp;sr=8-10", "https://www.amazon.com/Pure-Athlete-Colorblock-Socks-Black-Grey/dp/B09R96QMT7/ref=sr_1_10?keywords=Pure+Grip+Socks+Pro&amp;qid=1695171084&amp;sr=8-10")</f>
        <v/>
      </c>
      <c r="F2911" t="inlineStr">
        <is>
          <t>B09R96QMT7</t>
        </is>
      </c>
      <c r="G2911">
        <f>_xludf.IMAGE("https://www.soccerplususa.com/prodimages/33488-DEFAULT-l.jpg")</f>
        <v/>
      </c>
      <c r="H2911">
        <f>_xludf.IMAGE("https://m.media-amazon.com/images/I/71JOBAxC9UL._AC_UL320_.jpg")</f>
        <v/>
      </c>
      <c r="K2911" t="inlineStr">
        <is>
          <t>16.95</t>
        </is>
      </c>
      <c r="L2911" t="n">
        <v>14.98</v>
      </c>
      <c r="M2911" s="1" t="inlineStr">
        <is>
          <t>-11.62%</t>
        </is>
      </c>
      <c r="N2911" s="3" t="n">
        <v>-11.62</v>
      </c>
      <c r="O2911" t="n">
        <v>3.9</v>
      </c>
      <c r="P2911" t="n">
        <v>24</v>
      </c>
      <c r="R2911" t="inlineStr">
        <is>
          <t>InStock</t>
        </is>
      </c>
      <c r="S2911" t="inlineStr">
        <is>
          <t>undefined</t>
        </is>
      </c>
      <c r="T2911" t="inlineStr">
        <is>
          <t>PGSPRO</t>
        </is>
      </c>
    </row>
    <row r="2912" hidden="1" ht="15.75" customHeight="1">
      <c r="A2912" s="2">
        <f>HYPERLINK("https://www.soccerplususa.com/puma/puma-team-soccer-sock-29694", "https://www.soccerplususa.com/puma/puma-team-soccer-sock-29694")</f>
        <v/>
      </c>
      <c r="B2912" t="inlineStr">
        <is>
          <t>undefined</t>
        </is>
      </c>
      <c r="C2912" t="inlineStr">
        <is>
          <t>Puma Team Soccer Sock</t>
        </is>
      </c>
      <c r="D2912" t="inlineStr">
        <is>
          <t>PUMA Kids Boys Power Tech Knee High Socks Soccer Cleats - White</t>
        </is>
      </c>
      <c r="E2912" s="2">
        <f>HYPERLINK("https://www.amazon.com/Power-Socks-White-Black-3-5-6/dp/B006XEA7L4/ref=sr_1_6?keywords=Puma+Team+Soccer+Sock&amp;qid=1695171097&amp;sr=8-6", "https://www.amazon.com/Power-Socks-White-Black-3-5-6/dp/B006XEA7L4/ref=sr_1_6?keywords=Puma+Team+Soccer+Sock&amp;qid=1695171097&amp;sr=8-6")</f>
        <v/>
      </c>
      <c r="F2912" t="inlineStr">
        <is>
          <t>B006XEA7L4</t>
        </is>
      </c>
      <c r="G2912">
        <f>_xludf.IMAGE("https://www.soccerplususa.com/prodimages/2609-DEFAULT-l.jpg")</f>
        <v/>
      </c>
      <c r="H2912">
        <f>_xludf.IMAGE("https://m.media-amazon.com/images/I/416A9J3aMaS._AC_UL320_.jpg")</f>
        <v/>
      </c>
      <c r="K2912" t="inlineStr">
        <is>
          <t>7.95</t>
        </is>
      </c>
      <c r="L2912" t="n">
        <v>6.95</v>
      </c>
      <c r="M2912" s="1" t="inlineStr">
        <is>
          <t>-12.58%</t>
        </is>
      </c>
      <c r="N2912" s="3" t="n">
        <v>-12.58</v>
      </c>
      <c r="O2912" t="n">
        <v>3.4</v>
      </c>
      <c r="P2912" t="n">
        <v>5</v>
      </c>
      <c r="R2912" t="inlineStr">
        <is>
          <t>InStock</t>
        </is>
      </c>
      <c r="S2912" t="inlineStr">
        <is>
          <t>undefined</t>
        </is>
      </c>
      <c r="T2912" t="inlineStr">
        <is>
          <t>890420-08</t>
        </is>
      </c>
    </row>
    <row r="2913" hidden="1" ht="15.75" customHeight="1">
      <c r="A2913" s="2">
        <f>HYPERLINK("https://www.soccerplususa.com/puma/puma-power-5-sock-29701", "https://www.soccerplususa.com/puma/puma-power-5-sock-29701")</f>
        <v/>
      </c>
      <c r="B2913" t="inlineStr">
        <is>
          <t>undefined</t>
        </is>
      </c>
      <c r="C2913" t="inlineStr">
        <is>
          <t>Puma Power 5 Sock</t>
        </is>
      </c>
      <c r="D2913" t="inlineStr">
        <is>
          <t>PUMA Kids Boys Power Tech Knee High Socks Soccer Cleats - White</t>
        </is>
      </c>
      <c r="E2913" s="2">
        <f>HYPERLINK("https://www.amazon.com/Power-Socks-White-Black-3-5-6/dp/B006XEA7L4/ref=sr_1_3?keywords=Puma+Power+5+Sock&amp;qid=1695171100&amp;sr=8-3", "https://www.amazon.com/Power-Socks-White-Black-3-5-6/dp/B006XEA7L4/ref=sr_1_3?keywords=Puma+Power+5+Sock&amp;qid=1695171100&amp;sr=8-3")</f>
        <v/>
      </c>
      <c r="F2913" t="inlineStr">
        <is>
          <t>B006XEA7L4</t>
        </is>
      </c>
      <c r="G2913">
        <f>_xludf.IMAGE("https://www.soccerplususa.com/prodimages/32673-DEFAULT-l.jpg")</f>
        <v/>
      </c>
      <c r="H2913">
        <f>_xludf.IMAGE("https://m.media-amazon.com/images/I/416A9J3aMaS._AC_UL320_.jpg")</f>
        <v/>
      </c>
      <c r="K2913" t="inlineStr">
        <is>
          <t>8.0</t>
        </is>
      </c>
      <c r="L2913" t="n">
        <v>6.95</v>
      </c>
      <c r="M2913" s="1" t="inlineStr">
        <is>
          <t>-13.12%</t>
        </is>
      </c>
      <c r="N2913" s="3" t="n">
        <v>-13.12</v>
      </c>
      <c r="O2913" t="n">
        <v>3.4</v>
      </c>
      <c r="P2913" t="n">
        <v>5</v>
      </c>
      <c r="R2913" t="inlineStr">
        <is>
          <t>InStock</t>
        </is>
      </c>
      <c r="S2913" t="inlineStr">
        <is>
          <t>10.0</t>
        </is>
      </c>
      <c r="T2913" t="inlineStr">
        <is>
          <t>890422-05</t>
        </is>
      </c>
    </row>
    <row r="2914" hidden="1" ht="15.75" customHeight="1">
      <c r="A2914" s="2">
        <f>HYPERLINK("https://www.soccerplususa.com/adidas/adidas-alphaskin-20-headband-42961", "https://www.soccerplususa.com/adidas/adidas-alphaskin-20-headband-42961")</f>
        <v/>
      </c>
      <c r="B2914" t="inlineStr">
        <is>
          <t>undefined</t>
        </is>
      </c>
      <c r="C2914" t="inlineStr">
        <is>
          <t>adidas Alphaskin 2.0 Headband</t>
        </is>
      </c>
      <c r="D2914" t="inlineStr">
        <is>
          <t>adidas Alphaskin 2.0 Elastic Headband, Wonder Steel Blue/Pulse Blue, One Size</t>
        </is>
      </c>
      <c r="E2914" s="2">
        <f>HYPERLINK("https://www.amazon.com/adidas-Alphaskin-Elastic-Headband-Wonder/dp/B09FR622BK/ref=sr_1_7?keywords=adidas+Alphaskin+2.0+Headband&amp;qid=1695171083&amp;sr=8-7", "https://www.amazon.com/adidas-Alphaskin-Elastic-Headband-Wonder/dp/B09FR622BK/ref=sr_1_7?keywords=adidas+Alphaskin+2.0+Headband&amp;qid=1695171083&amp;sr=8-7")</f>
        <v/>
      </c>
      <c r="F2914" t="inlineStr">
        <is>
          <t>B09FR622BK</t>
        </is>
      </c>
      <c r="G2914">
        <f>_xludf.IMAGE("https://www.soccerplususa.com/prodimages//35444-REDBLACK-M.jpg")</f>
        <v/>
      </c>
      <c r="H2914">
        <f>_xludf.IMAGE("https://m.media-amazon.com/images/I/81ntsgKzy5L._AC_UL320_.jpg")</f>
        <v/>
      </c>
      <c r="K2914" t="inlineStr">
        <is>
          <t>14.95</t>
        </is>
      </c>
      <c r="L2914" t="n">
        <v>12.97</v>
      </c>
      <c r="M2914" s="1" t="inlineStr">
        <is>
          <t>-13.24%</t>
        </is>
      </c>
      <c r="N2914" s="3" t="n">
        <v>-13.24</v>
      </c>
      <c r="O2914" t="n">
        <v>4.3</v>
      </c>
      <c r="P2914" t="n">
        <v>17</v>
      </c>
      <c r="R2914" t="inlineStr">
        <is>
          <t>InStock</t>
        </is>
      </c>
      <c r="S2914" t="inlineStr">
        <is>
          <t>undefined</t>
        </is>
      </c>
      <c r="T2914" t="inlineStr">
        <is>
          <t>5152500</t>
        </is>
      </c>
    </row>
    <row r="2915" hidden="1" ht="15.75" customHeight="1">
      <c r="A2915" s="2">
        <f>HYPERLINK("https://www.soccerplususa.com/adidas/adidas-alphaskin-20-headband-42960", "https://www.soccerplususa.com/adidas/adidas-alphaskin-20-headband-42960")</f>
        <v/>
      </c>
      <c r="B2915" t="inlineStr">
        <is>
          <t>undefined</t>
        </is>
      </c>
      <c r="C2915" t="inlineStr">
        <is>
          <t>adidas Alphaskin 2.0 Headband</t>
        </is>
      </c>
      <c r="D2915" t="inlineStr">
        <is>
          <t>adidas Alphaskin 2.0 Elastic Headband, Wonder Steel Blue/Pulse Blue, One Size</t>
        </is>
      </c>
      <c r="E2915" s="2">
        <f>HYPERLINK("https://www.amazon.com/adidas-Alphaskin-Elastic-Headband-Wonder/dp/B09FR622BK/ref=sr_1_7?keywords=adidas+Alphaskin+2.0+Headband&amp;qid=1695171082&amp;sr=8-7", "https://www.amazon.com/adidas-Alphaskin-Elastic-Headband-Wonder/dp/B09FR622BK/ref=sr_1_7?keywords=adidas+Alphaskin+2.0+Headband&amp;qid=1695171082&amp;sr=8-7")</f>
        <v/>
      </c>
      <c r="F2915" t="inlineStr">
        <is>
          <t>B09FR622BK</t>
        </is>
      </c>
      <c r="G2915">
        <f>_xludf.IMAGE("https://www.soccerplususa.com/prodimages//35442-ROYALBLACK-M.jpg")</f>
        <v/>
      </c>
      <c r="H2915">
        <f>_xludf.IMAGE("https://m.media-amazon.com/images/I/81ntsgKzy5L._AC_UL320_.jpg")</f>
        <v/>
      </c>
      <c r="K2915" t="inlineStr">
        <is>
          <t>14.95</t>
        </is>
      </c>
      <c r="L2915" t="n">
        <v>12.97</v>
      </c>
      <c r="M2915" s="1" t="inlineStr">
        <is>
          <t>-13.24%</t>
        </is>
      </c>
      <c r="N2915" s="3" t="n">
        <v>-13.24</v>
      </c>
      <c r="O2915" t="n">
        <v>4.3</v>
      </c>
      <c r="P2915" t="n">
        <v>17</v>
      </c>
      <c r="R2915" t="inlineStr">
        <is>
          <t>InStock</t>
        </is>
      </c>
      <c r="S2915" t="inlineStr">
        <is>
          <t>undefined</t>
        </is>
      </c>
      <c r="T2915" t="inlineStr">
        <is>
          <t>5152501</t>
        </is>
      </c>
    </row>
    <row r="2916" hidden="1" ht="15.75" customHeight="1">
      <c r="A2916" s="2">
        <f>HYPERLINK("https://www.soccerplususa.com/adidas/adidas-alphaskin-20-headband-42959", "https://www.soccerplususa.com/adidas/adidas-alphaskin-20-headband-42959")</f>
        <v/>
      </c>
      <c r="B2916" t="inlineStr">
        <is>
          <t>undefined</t>
        </is>
      </c>
      <c r="C2916" t="inlineStr">
        <is>
          <t>adidas Alphaskin 2.0 Headband</t>
        </is>
      </c>
      <c r="D2916" t="inlineStr">
        <is>
          <t>adidas Alphaskin 2.0 Elastic Headband, Wonder Steel Blue/Pulse Blue, One Size</t>
        </is>
      </c>
      <c r="E2916" s="2">
        <f>HYPERLINK("https://www.amazon.com/adidas-Alphaskin-Elastic-Headband-Wonder/dp/B09FR622BK/ref=sr_1_7?keywords=adidas+Alphaskin+2.0+Headband&amp;qid=1695171083&amp;sr=8-7", "https://www.amazon.com/adidas-Alphaskin-Elastic-Headband-Wonder/dp/B09FR622BK/ref=sr_1_7?keywords=adidas+Alphaskin+2.0+Headband&amp;qid=1695171083&amp;sr=8-7")</f>
        <v/>
      </c>
      <c r="F2916" t="inlineStr">
        <is>
          <t>B09FR622BK</t>
        </is>
      </c>
      <c r="G2916">
        <f>_xludf.IMAGE("https://www.soccerplususa.com/prodimages//35443-BLACKWHITE-M.jpg")</f>
        <v/>
      </c>
      <c r="H2916">
        <f>_xludf.IMAGE("https://m.media-amazon.com/images/I/81ntsgKzy5L._AC_UL320_.jpg")</f>
        <v/>
      </c>
      <c r="K2916" t="inlineStr">
        <is>
          <t>14.95</t>
        </is>
      </c>
      <c r="L2916" t="n">
        <v>12.97</v>
      </c>
      <c r="M2916" s="1" t="inlineStr">
        <is>
          <t>-13.24%</t>
        </is>
      </c>
      <c r="N2916" s="3" t="n">
        <v>-13.24</v>
      </c>
      <c r="O2916" t="n">
        <v>4.3</v>
      </c>
      <c r="P2916" t="n">
        <v>17</v>
      </c>
      <c r="R2916" t="inlineStr">
        <is>
          <t>InStock</t>
        </is>
      </c>
      <c r="S2916" t="inlineStr">
        <is>
          <t>undefined</t>
        </is>
      </c>
      <c r="T2916" t="inlineStr">
        <is>
          <t>5152498</t>
        </is>
      </c>
    </row>
    <row r="2917" hidden="1" ht="15.75" customHeight="1">
      <c r="A2917" s="2">
        <f>HYPERLINK("https://www.soccerplususa.com/adidas/adidas-alphaskin-20-headband-42962", "https://www.soccerplususa.com/adidas/adidas-alphaskin-20-headband-42962")</f>
        <v/>
      </c>
      <c r="B2917" t="inlineStr">
        <is>
          <t>undefined</t>
        </is>
      </c>
      <c r="C2917" t="inlineStr">
        <is>
          <t>adidas Alphaskin 2.0 Headband</t>
        </is>
      </c>
      <c r="D2917" t="inlineStr">
        <is>
          <t>adidas Alphaskin 2.0 Elastic Headband, Wonder Steel Blue/Pulse Blue, One Size</t>
        </is>
      </c>
      <c r="E2917" s="2">
        <f>HYPERLINK("https://www.amazon.com/adidas-Alphaskin-Elastic-Headband-Wonder/dp/B09FR622BK/ref=sr_1_8?keywords=adidas+Alphaskin+2.0+Headband&amp;qid=1695171091&amp;sr=8-8", "https://www.amazon.com/adidas-Alphaskin-Elastic-Headband-Wonder/dp/B09FR622BK/ref=sr_1_8?keywords=adidas+Alphaskin+2.0+Headband&amp;qid=1695171091&amp;sr=8-8")</f>
        <v/>
      </c>
      <c r="F2917" t="inlineStr">
        <is>
          <t>B09FR622BK</t>
        </is>
      </c>
      <c r="G2917">
        <f>_xludf.IMAGE("https://www.soccerplususa.com/prodimages//35445-WHITEBLACK-M.jpg")</f>
        <v/>
      </c>
      <c r="H2917">
        <f>_xludf.IMAGE("https://m.media-amazon.com/images/I/81ntsgKzy5L._AC_UL320_.jpg")</f>
        <v/>
      </c>
      <c r="K2917" t="inlineStr">
        <is>
          <t>14.95</t>
        </is>
      </c>
      <c r="L2917" t="n">
        <v>12.97</v>
      </c>
      <c r="M2917" s="1" t="inlineStr">
        <is>
          <t>-13.24%</t>
        </is>
      </c>
      <c r="N2917" s="3" t="n">
        <v>-13.24</v>
      </c>
      <c r="O2917" t="n">
        <v>4.3</v>
      </c>
      <c r="P2917" t="n">
        <v>17</v>
      </c>
      <c r="R2917" t="inlineStr">
        <is>
          <t>InStock</t>
        </is>
      </c>
      <c r="S2917" t="inlineStr">
        <is>
          <t>undefined</t>
        </is>
      </c>
      <c r="T2917" t="inlineStr">
        <is>
          <t>5152499</t>
        </is>
      </c>
    </row>
    <row r="2918" hidden="1" ht="15.75" customHeight="1">
      <c r="A2918" s="2">
        <f>HYPERLINK("https://www.soccerplususa.com/sweat-x/sweat-x-sport-laundry-detergent-32390", "https://www.soccerplususa.com/sweat-x/sweat-x-sport-laundry-detergent-32390")</f>
        <v/>
      </c>
      <c r="B2918" t="inlineStr">
        <is>
          <t>undefined</t>
        </is>
      </c>
      <c r="C2918" t="inlineStr">
        <is>
          <t>Sweat X Sport Laundry Detergent</t>
        </is>
      </c>
      <c r="D2918" t="inlineStr">
        <is>
          <t>Sweat X Sport Essentials Kit - Trial Size Laundry Detergent, Odor Eliminator and Stain Remover Spray</t>
        </is>
      </c>
      <c r="E2918" s="2">
        <f>HYPERLINK("https://www.amazon.com/Sweat-Sport-Essentials-Kit-Eliminator/dp/B085RDJYQD/ref=sr_1_6?keywords=Sweat+X+Sport+Laundry+Detergent&amp;qid=1695171098&amp;sr=8-6", "https://www.amazon.com/Sweat-Sport-Essentials-Kit-Eliminator/dp/B085RDJYQD/ref=sr_1_6?keywords=Sweat+X+Sport+Laundry+Detergent&amp;qid=1695171098&amp;sr=8-6")</f>
        <v/>
      </c>
      <c r="F2918" t="inlineStr">
        <is>
          <t>B085RDJYQD</t>
        </is>
      </c>
      <c r="G2918">
        <f>_xludf.IMAGE("https://www.soccerplususa.com/prodimages/6299-DEFAULT-l.jpg")</f>
        <v/>
      </c>
      <c r="H2918">
        <f>_xludf.IMAGE("https://m.media-amazon.com/images/I/61+7lrPWXTL._AC_UL320_.jpg")</f>
        <v/>
      </c>
      <c r="K2918" t="inlineStr">
        <is>
          <t>23.95</t>
        </is>
      </c>
      <c r="L2918" t="n">
        <v>20</v>
      </c>
      <c r="M2918" s="1" t="inlineStr">
        <is>
          <t>-16.49%</t>
        </is>
      </c>
      <c r="N2918" s="3" t="n">
        <v>-16.49</v>
      </c>
      <c r="O2918" t="n">
        <v>4.2</v>
      </c>
      <c r="P2918" t="n">
        <v>24</v>
      </c>
      <c r="R2918" t="inlineStr">
        <is>
          <t>InStock</t>
        </is>
      </c>
      <c r="S2918" t="inlineStr">
        <is>
          <t>undefined</t>
        </is>
      </c>
      <c r="T2918" t="inlineStr">
        <is>
          <t>SWX4049</t>
        </is>
      </c>
    </row>
    <row r="2919" hidden="1" ht="15.75" customHeight="1">
      <c r="A2919" s="2">
        <f>HYPERLINK("https://www.soccerplususa.com/sweat-x/sweat-x-sport-laundry-detergent-32390", "https://www.soccerplususa.com/sweat-x/sweat-x-sport-laundry-detergent-32390")</f>
        <v/>
      </c>
      <c r="B2919" t="inlineStr">
        <is>
          <t>undefined</t>
        </is>
      </c>
      <c r="C2919" t="inlineStr">
        <is>
          <t>Sweat X Sport Laundry Detergent</t>
        </is>
      </c>
      <c r="D2919" t="inlineStr">
        <is>
          <t>Sweat X Sport Original Activewear Laundry Detergent, High Performance Sports Wash for Activewear and All Fabrics, 45 Loads</t>
        </is>
      </c>
      <c r="E2919" s="2">
        <f>HYPERLINK("https://www.amazon.com/Sweat-Laundry-Detergent-Performance-Fabrics/dp/B00Q88JXLK/ref=sr_1_1?keywords=Sweat+X+Sport+Laundry+Detergent&amp;qid=1695171098&amp;sr=8-1", "https://www.amazon.com/Sweat-Laundry-Detergent-Performance-Fabrics/dp/B00Q88JXLK/ref=sr_1_1?keywords=Sweat+X+Sport+Laundry+Detergent&amp;qid=1695171098&amp;sr=8-1")</f>
        <v/>
      </c>
      <c r="F2919" t="inlineStr">
        <is>
          <t>B00Q88JXLK</t>
        </is>
      </c>
      <c r="G2919">
        <f>_xludf.IMAGE("https://www.soccerplususa.com/prodimages/6299-DEFAULT-l.jpg")</f>
        <v/>
      </c>
      <c r="H2919">
        <f>_xludf.IMAGE("https://m.media-amazon.com/images/I/61JyJ+migEL._AC_UL320_.jpg")</f>
        <v/>
      </c>
      <c r="K2919" t="inlineStr">
        <is>
          <t>23.95</t>
        </is>
      </c>
      <c r="L2919" t="n">
        <v>19.99</v>
      </c>
      <c r="M2919" s="1" t="inlineStr">
        <is>
          <t>-16.53%</t>
        </is>
      </c>
      <c r="N2919" s="3" t="n">
        <v>-16.53</v>
      </c>
      <c r="O2919" t="n">
        <v>4.4</v>
      </c>
      <c r="P2919" t="n">
        <v>1658</v>
      </c>
      <c r="R2919" t="inlineStr">
        <is>
          <t>InStock</t>
        </is>
      </c>
      <c r="S2919" t="inlineStr">
        <is>
          <t>undefined</t>
        </is>
      </c>
      <c r="T2919" t="inlineStr">
        <is>
          <t>SWX4049</t>
        </is>
      </c>
    </row>
    <row r="2920" hidden="1" ht="15.75" customHeight="1">
      <c r="A2920" s="2">
        <f>HYPERLINK("https://www.soccerplususa.com/trusox/trusox-30-midcalf-cushion-39178", "https://www.soccerplususa.com/trusox/trusox-30-midcalf-cushion-39178")</f>
        <v/>
      </c>
      <c r="B2920" t="inlineStr">
        <is>
          <t>undefined</t>
        </is>
      </c>
      <c r="C2920" t="inlineStr">
        <is>
          <t>Trusox 3.0 Mid-Calf Cushion</t>
        </is>
      </c>
      <c r="D2920" t="inlineStr">
        <is>
          <t>Trusox Mens 3.0 Mid-calf Thin</t>
        </is>
      </c>
      <c r="E2920" s="2">
        <f>HYPERLINK("https://www.amazon.com/TRUsox-Mid-Calf-Socks-Black-Adult/dp/B08JPF1ZDP/ref=sr_1_3?keywords=Trusox+3.0+Mid-Calf+Cushion&amp;qid=1695171082&amp;sr=8-3", "https://www.amazon.com/TRUsox-Mid-Calf-Socks-Black-Adult/dp/B08JPF1ZDP/ref=sr_1_3?keywords=Trusox+3.0+Mid-Calf+Cushion&amp;qid=1695171082&amp;sr=8-3")</f>
        <v/>
      </c>
      <c r="F2920" t="inlineStr">
        <is>
          <t>B08JPF1ZDP</t>
        </is>
      </c>
      <c r="G2920">
        <f>_xludf.IMAGE("https://www.soccerplususa.com/prodimages/32510-DEFAULT-l.jpg")</f>
        <v/>
      </c>
      <c r="H2920">
        <f>_xludf.IMAGE("https://m.media-amazon.com/images/I/51Ef6I0RDUL._AC_UL320_.jpg")</f>
        <v/>
      </c>
      <c r="K2920" t="inlineStr">
        <is>
          <t>59.95</t>
        </is>
      </c>
      <c r="L2920" t="n">
        <v>50</v>
      </c>
      <c r="M2920" s="1" t="inlineStr">
        <is>
          <t>-16.60%</t>
        </is>
      </c>
      <c r="N2920" s="3" t="n">
        <v>-16.6</v>
      </c>
      <c r="O2920" t="n">
        <v>4.3</v>
      </c>
      <c r="P2920" t="n">
        <v>32</v>
      </c>
      <c r="R2920" t="inlineStr">
        <is>
          <t>InStock</t>
        </is>
      </c>
      <c r="S2920" t="inlineStr">
        <is>
          <t>undefined</t>
        </is>
      </c>
      <c r="T2920" t="inlineStr">
        <is>
          <t>2050</t>
        </is>
      </c>
    </row>
    <row r="2921" hidden="1" ht="15.75" customHeight="1">
      <c r="A2921" s="2">
        <f>HYPERLINK("https://www.soccerplususa.com/trusox/trusox-30-midcalf-cushion-39178", "https://www.soccerplususa.com/trusox/trusox-30-midcalf-cushion-39178")</f>
        <v/>
      </c>
      <c r="B2921" t="inlineStr">
        <is>
          <t>undefined</t>
        </is>
      </c>
      <c r="C2921" t="inlineStr">
        <is>
          <t>Trusox 3.0 Mid-Calf Cushion</t>
        </is>
      </c>
      <c r="D2921" t="inlineStr">
        <is>
          <t>Trusox Mid-Calf CUSHION</t>
        </is>
      </c>
      <c r="E2921" s="2">
        <f>HYPERLINK("https://www.amazon.com/Trusox-8923_11308-Mid-Calf-CUSHION/dp/B00J5WQ6VQ/ref=sr_1_2?keywords=Trusox+3.0+Mid-Calf+Cushion&amp;qid=1695171082&amp;sr=8-2", "https://www.amazon.com/Trusox-8923_11308-Mid-Calf-CUSHION/dp/B00J5WQ6VQ/ref=sr_1_2?keywords=Trusox+3.0+Mid-Calf+Cushion&amp;qid=1695171082&amp;sr=8-2")</f>
        <v/>
      </c>
      <c r="F2921" t="inlineStr">
        <is>
          <t>B00J5WQ6VQ</t>
        </is>
      </c>
      <c r="G2921">
        <f>_xludf.IMAGE("https://www.soccerplususa.com/prodimages/32510-DEFAULT-l.jpg")</f>
        <v/>
      </c>
      <c r="H2921">
        <f>_xludf.IMAGE("https://m.media-amazon.com/images/I/91sEQ6NwLdL._AC_UL320_.jpg")</f>
        <v/>
      </c>
      <c r="K2921" t="inlineStr">
        <is>
          <t>59.95</t>
        </is>
      </c>
      <c r="L2921" t="n">
        <v>50</v>
      </c>
      <c r="M2921" s="1" t="inlineStr">
        <is>
          <t>-16.60%</t>
        </is>
      </c>
      <c r="N2921" s="3" t="n">
        <v>-16.6</v>
      </c>
      <c r="O2921" t="n">
        <v>4.8</v>
      </c>
      <c r="P2921" t="n">
        <v>6</v>
      </c>
      <c r="R2921" t="inlineStr">
        <is>
          <t>InStock</t>
        </is>
      </c>
      <c r="S2921" t="inlineStr">
        <is>
          <t>undefined</t>
        </is>
      </c>
      <c r="T2921" t="inlineStr">
        <is>
          <t>2050</t>
        </is>
      </c>
    </row>
    <row r="2922" hidden="1" ht="15.75" customHeight="1">
      <c r="A2922" s="2">
        <f>HYPERLINK("https://www.soccerplususa.com/trusox/trusox-30-midcalf-cushion-39178", "https://www.soccerplususa.com/trusox/trusox-30-midcalf-cushion-39178")</f>
        <v/>
      </c>
      <c r="B2922" t="inlineStr">
        <is>
          <t>undefined</t>
        </is>
      </c>
      <c r="C2922" t="inlineStr">
        <is>
          <t>Trusox 3.0 Mid-Calf Cushion</t>
        </is>
      </c>
      <c r="D2922" t="inlineStr">
        <is>
          <t>Trusox Mid-Calf Cushion Socks 1 Pair (Large) (Royal Blue)</t>
        </is>
      </c>
      <c r="E2922" s="2">
        <f>HYPERLINK("https://www.amazon.com/Trusox-Mid-Calf-Cushion-Socks-Large/dp/B00J5WQ7BK/ref=sr_1_4?keywords=Trusox+3.0+Mid-Calf+Cushion&amp;qid=1695171082&amp;sr=8-4", "https://www.amazon.com/Trusox-Mid-Calf-Cushion-Socks-Large/dp/B00J5WQ7BK/ref=sr_1_4?keywords=Trusox+3.0+Mid-Calf+Cushion&amp;qid=1695171082&amp;sr=8-4")</f>
        <v/>
      </c>
      <c r="F2922" t="inlineStr">
        <is>
          <t>B00J5WQ7BK</t>
        </is>
      </c>
      <c r="G2922">
        <f>_xludf.IMAGE("https://www.soccerplususa.com/prodimages/32510-DEFAULT-l.jpg")</f>
        <v/>
      </c>
      <c r="H2922">
        <f>_xludf.IMAGE("https://m.media-amazon.com/images/I/91sEQ6NwLdL._AC_UL320_.jpg")</f>
        <v/>
      </c>
      <c r="K2922" t="inlineStr">
        <is>
          <t>59.95</t>
        </is>
      </c>
      <c r="L2922" t="n">
        <v>49.95</v>
      </c>
      <c r="M2922" s="1" t="inlineStr">
        <is>
          <t>-16.68%</t>
        </is>
      </c>
      <c r="N2922" s="3" t="n">
        <v>-16.68</v>
      </c>
      <c r="O2922" t="n">
        <v>3.7</v>
      </c>
      <c r="P2922" t="n">
        <v>2</v>
      </c>
      <c r="R2922" t="inlineStr">
        <is>
          <t>InStock</t>
        </is>
      </c>
      <c r="S2922" t="inlineStr">
        <is>
          <t>undefined</t>
        </is>
      </c>
      <c r="T2922" t="inlineStr">
        <is>
          <t>2050</t>
        </is>
      </c>
    </row>
    <row r="2923" hidden="1" ht="15.75" customHeight="1">
      <c r="A2923" s="2">
        <f>HYPERLINK("https://www.soccerplususa.com/adidas/adidas-alphaskin-20-headband-42961", "https://www.soccerplususa.com/adidas/adidas-alphaskin-20-headband-42961")</f>
        <v/>
      </c>
      <c r="B2923" t="inlineStr">
        <is>
          <t>undefined</t>
        </is>
      </c>
      <c r="C2923" t="inlineStr">
        <is>
          <t>adidas Alphaskin 2.0 Headband</t>
        </is>
      </c>
      <c r="D2923" t="inlineStr">
        <is>
          <t>adidas Alphaskin 2.0 Elastic Headband, Heather Grey/Black, One Size</t>
        </is>
      </c>
      <c r="E2923" s="2">
        <f>HYPERLINK("https://www.amazon.com/adidas-Alphaskin-Elastic-Headband-White/dp/B087MC1RR3/ref=sr_1_6?keywords=adidas+Alphaskin+2.0+Headband&amp;qid=1695171083&amp;sr=8-6", "https://www.amazon.com/adidas-Alphaskin-Elastic-Headband-White/dp/B087MC1RR3/ref=sr_1_6?keywords=adidas+Alphaskin+2.0+Headband&amp;qid=1695171083&amp;sr=8-6")</f>
        <v/>
      </c>
      <c r="F2923" t="inlineStr">
        <is>
          <t>B087MC1RR3</t>
        </is>
      </c>
      <c r="G2923">
        <f>_xludf.IMAGE("https://www.soccerplususa.com/prodimages//35444-REDBLACK-M.jpg")</f>
        <v/>
      </c>
      <c r="H2923">
        <f>_xludf.IMAGE("https://m.media-amazon.com/images/I/81BghIH8mjL._AC_UL320_.jpg")</f>
        <v/>
      </c>
      <c r="K2923" t="inlineStr">
        <is>
          <t>14.95</t>
        </is>
      </c>
      <c r="L2923" t="n">
        <v>12</v>
      </c>
      <c r="M2923" s="1" t="inlineStr">
        <is>
          <t>-19.73%</t>
        </is>
      </c>
      <c r="N2923" s="3" t="n">
        <v>-19.73</v>
      </c>
      <c r="O2923" t="n">
        <v>4.6</v>
      </c>
      <c r="P2923" t="n">
        <v>153</v>
      </c>
      <c r="R2923" t="inlineStr">
        <is>
          <t>InStock</t>
        </is>
      </c>
      <c r="S2923" t="inlineStr">
        <is>
          <t>undefined</t>
        </is>
      </c>
      <c r="T2923" t="inlineStr">
        <is>
          <t>5152500</t>
        </is>
      </c>
    </row>
    <row r="2924" hidden="1" ht="15.75" customHeight="1">
      <c r="A2924" s="2">
        <f>HYPERLINK("https://www.soccerplususa.com/adidas/adidas-alphaskin-20-headband-42962", "https://www.soccerplususa.com/adidas/adidas-alphaskin-20-headband-42962")</f>
        <v/>
      </c>
      <c r="B2924" t="inlineStr">
        <is>
          <t>undefined</t>
        </is>
      </c>
      <c r="C2924" t="inlineStr">
        <is>
          <t>adidas Alphaskin 2.0 Headband</t>
        </is>
      </c>
      <c r="D2924" t="inlineStr">
        <is>
          <t>adidas Alphaskin 2.0 Elastic Headband, Heather Grey/Black, One Size</t>
        </is>
      </c>
      <c r="E2924" s="2">
        <f>HYPERLINK("https://www.amazon.com/adidas-Alphaskin-Elastic-Headband-White/dp/B087MC1RR3/ref=sr_1_7?keywords=adidas+Alphaskin+2.0+Headband&amp;qid=1695171091&amp;sr=8-7", "https://www.amazon.com/adidas-Alphaskin-Elastic-Headband-White/dp/B087MC1RR3/ref=sr_1_7?keywords=adidas+Alphaskin+2.0+Headband&amp;qid=1695171091&amp;sr=8-7")</f>
        <v/>
      </c>
      <c r="F2924" t="inlineStr">
        <is>
          <t>B087MC1RR3</t>
        </is>
      </c>
      <c r="G2924">
        <f>_xludf.IMAGE("https://www.soccerplususa.com/prodimages//35445-WHITEBLACK-M.jpg")</f>
        <v/>
      </c>
      <c r="H2924">
        <f>_xludf.IMAGE("https://m.media-amazon.com/images/I/81BghIH8mjL._AC_UL320_.jpg")</f>
        <v/>
      </c>
      <c r="K2924" t="inlineStr">
        <is>
          <t>14.95</t>
        </is>
      </c>
      <c r="L2924" t="n">
        <v>12</v>
      </c>
      <c r="M2924" s="1" t="inlineStr">
        <is>
          <t>-19.73%</t>
        </is>
      </c>
      <c r="N2924" s="3" t="n">
        <v>-19.73</v>
      </c>
      <c r="O2924" t="n">
        <v>4.6</v>
      </c>
      <c r="P2924" t="n">
        <v>153</v>
      </c>
      <c r="R2924" t="inlineStr">
        <is>
          <t>InStock</t>
        </is>
      </c>
      <c r="S2924" t="inlineStr">
        <is>
          <t>undefined</t>
        </is>
      </c>
      <c r="T2924" t="inlineStr">
        <is>
          <t>5152499</t>
        </is>
      </c>
    </row>
    <row r="2925" hidden="1" ht="15.75" customHeight="1">
      <c r="A2925" s="2">
        <f>HYPERLINK("https://www.soccerplususa.com/adidas/adidas-alphaskin-20-headband-42960", "https://www.soccerplususa.com/adidas/adidas-alphaskin-20-headband-42960")</f>
        <v/>
      </c>
      <c r="B2925" t="inlineStr">
        <is>
          <t>undefined</t>
        </is>
      </c>
      <c r="C2925" t="inlineStr">
        <is>
          <t>adidas Alphaskin 2.0 Headband</t>
        </is>
      </c>
      <c r="D2925" t="inlineStr">
        <is>
          <t>adidas Alphaskin 2.0 Elastic Headband, Heather Grey/Black, One Size</t>
        </is>
      </c>
      <c r="E2925" s="2">
        <f>HYPERLINK("https://www.amazon.com/adidas-Alphaskin-Elastic-Headband-White/dp/B087MC1RR3/ref=sr_1_6?keywords=adidas+Alphaskin+2.0+Headband&amp;qid=1695171082&amp;sr=8-6", "https://www.amazon.com/adidas-Alphaskin-Elastic-Headband-White/dp/B087MC1RR3/ref=sr_1_6?keywords=adidas+Alphaskin+2.0+Headband&amp;qid=1695171082&amp;sr=8-6")</f>
        <v/>
      </c>
      <c r="F2925" t="inlineStr">
        <is>
          <t>B087MC1RR3</t>
        </is>
      </c>
      <c r="G2925">
        <f>_xludf.IMAGE("https://www.soccerplususa.com/prodimages//35442-ROYALBLACK-M.jpg")</f>
        <v/>
      </c>
      <c r="H2925">
        <f>_xludf.IMAGE("https://m.media-amazon.com/images/I/81BghIH8mjL._AC_UL320_.jpg")</f>
        <v/>
      </c>
      <c r="K2925" t="inlineStr">
        <is>
          <t>14.95</t>
        </is>
      </c>
      <c r="L2925" t="n">
        <v>12</v>
      </c>
      <c r="M2925" s="1" t="inlineStr">
        <is>
          <t>-19.73%</t>
        </is>
      </c>
      <c r="N2925" s="3" t="n">
        <v>-19.73</v>
      </c>
      <c r="O2925" t="n">
        <v>4.6</v>
      </c>
      <c r="P2925" t="n">
        <v>153</v>
      </c>
      <c r="R2925" t="inlineStr">
        <is>
          <t>InStock</t>
        </is>
      </c>
      <c r="S2925" t="inlineStr">
        <is>
          <t>undefined</t>
        </is>
      </c>
      <c r="T2925" t="inlineStr">
        <is>
          <t>5152501</t>
        </is>
      </c>
    </row>
    <row r="2926" hidden="1" ht="15.75" customHeight="1">
      <c r="A2926" s="2">
        <f>HYPERLINK("https://www.soccerplususa.com/adidas/adidas-alphaskin-20-headband-42959", "https://www.soccerplususa.com/adidas/adidas-alphaskin-20-headband-42959")</f>
        <v/>
      </c>
      <c r="B2926" t="inlineStr">
        <is>
          <t>undefined</t>
        </is>
      </c>
      <c r="C2926" t="inlineStr">
        <is>
          <t>adidas Alphaskin 2.0 Headband</t>
        </is>
      </c>
      <c r="D2926" t="inlineStr">
        <is>
          <t>adidas Alphaskin 2.0 Elastic Headband, Heather Grey/Black, One Size</t>
        </is>
      </c>
      <c r="E2926" s="2">
        <f>HYPERLINK("https://www.amazon.com/adidas-Alphaskin-Elastic-Headband-White/dp/B087MC1RR3/ref=sr_1_6?keywords=adidas+Alphaskin+2.0+Headband&amp;qid=1695171083&amp;sr=8-6", "https://www.amazon.com/adidas-Alphaskin-Elastic-Headband-White/dp/B087MC1RR3/ref=sr_1_6?keywords=adidas+Alphaskin+2.0+Headband&amp;qid=1695171083&amp;sr=8-6")</f>
        <v/>
      </c>
      <c r="F2926" t="inlineStr">
        <is>
          <t>B087MC1RR3</t>
        </is>
      </c>
      <c r="G2926">
        <f>_xludf.IMAGE("https://www.soccerplususa.com/prodimages//35443-BLACKWHITE-M.jpg")</f>
        <v/>
      </c>
      <c r="H2926">
        <f>_xludf.IMAGE("https://m.media-amazon.com/images/I/81BghIH8mjL._AC_UL320_.jpg")</f>
        <v/>
      </c>
      <c r="K2926" t="inlineStr">
        <is>
          <t>14.95</t>
        </is>
      </c>
      <c r="L2926" t="n">
        <v>12</v>
      </c>
      <c r="M2926" s="1" t="inlineStr">
        <is>
          <t>-19.73%</t>
        </is>
      </c>
      <c r="N2926" s="3" t="n">
        <v>-19.73</v>
      </c>
      <c r="O2926" t="n">
        <v>4.6</v>
      </c>
      <c r="P2926" t="n">
        <v>153</v>
      </c>
      <c r="R2926" t="inlineStr">
        <is>
          <t>InStock</t>
        </is>
      </c>
      <c r="S2926" t="inlineStr">
        <is>
          <t>undefined</t>
        </is>
      </c>
      <c r="T2926" t="inlineStr">
        <is>
          <t>5152498</t>
        </is>
      </c>
    </row>
    <row r="2927" hidden="1" ht="15.75" customHeight="1">
      <c r="A2927" s="2">
        <f>HYPERLINK("https://www.soccerplususa.com/adidas/adidas-alphaskin-plus-tie-headband-45619", "https://www.soccerplususa.com/adidas/adidas-alphaskin-plus-tie-headband-45619")</f>
        <v/>
      </c>
      <c r="B2927" t="inlineStr">
        <is>
          <t>undefined</t>
        </is>
      </c>
      <c r="C2927" t="inlineStr">
        <is>
          <t>adidas Alphaskin Plus Tie Headband</t>
        </is>
      </c>
      <c r="D2927" t="inlineStr">
        <is>
          <t>adidas Unisex-Adult Alphaskin Tie Headband</t>
        </is>
      </c>
      <c r="E2927" s="2">
        <f>HYPERLINK("https://www.amazon.com/adidas-Alphaskin-Headband-Black-White/dp/B0BFC3JGV6/ref=sr_1_1?keywords=adidas+Alphaskin+Plus+Tie+Headband&amp;qid=1695171088&amp;sr=8-1", "https://www.amazon.com/adidas-Alphaskin-Headband-Black-White/dp/B0BFC3JGV6/ref=sr_1_1?keywords=adidas+Alphaskin+Plus+Tie+Headband&amp;qid=1695171088&amp;sr=8-1")</f>
        <v/>
      </c>
      <c r="F2927" t="inlineStr">
        <is>
          <t>B0BFC3JGV6</t>
        </is>
      </c>
      <c r="G2927">
        <f>_xludf.IMAGE("https://www.soccerplususa.com/prodimages//37162-Heather_Dark_Grey-M.jpg")</f>
        <v/>
      </c>
      <c r="H2927">
        <f>_xludf.IMAGE("https://m.media-amazon.com/images/I/61JJdsZkQGL._AC_UL320_.jpg")</f>
        <v/>
      </c>
      <c r="K2927" t="inlineStr">
        <is>
          <t>13.95</t>
        </is>
      </c>
      <c r="L2927" t="n">
        <v>11.06</v>
      </c>
      <c r="M2927" s="1" t="inlineStr">
        <is>
          <t>-20.72%</t>
        </is>
      </c>
      <c r="N2927" s="3" t="n">
        <v>-20.72</v>
      </c>
      <c r="O2927" t="n">
        <v>4.7</v>
      </c>
      <c r="P2927" t="n">
        <v>6054</v>
      </c>
      <c r="R2927" t="inlineStr">
        <is>
          <t>InStock</t>
        </is>
      </c>
      <c r="S2927" t="inlineStr">
        <is>
          <t>undefined</t>
        </is>
      </c>
      <c r="T2927" t="inlineStr">
        <is>
          <t>5151107</t>
        </is>
      </c>
    </row>
    <row r="2928" hidden="1" ht="15.75" customHeight="1">
      <c r="A2928" s="2">
        <f>HYPERLINK("https://www.soccerplususa.com/adidas/adidas-team-speed-pro-otc-soccer-sock-33726", "https://www.soccerplususa.com/adidas/adidas-team-speed-pro-otc-soccer-sock-33726")</f>
        <v/>
      </c>
      <c r="B2928" t="inlineStr">
        <is>
          <t>undefined</t>
        </is>
      </c>
      <c r="C2928" t="inlineStr">
        <is>
          <t>adidas Team Speed Pro OTC Soccer Sock</t>
        </is>
      </c>
      <c r="D2928" t="inlineStr">
        <is>
          <t>adidas Team Speed 3 Soccer Socks (1 Pair)</t>
        </is>
      </c>
      <c r="E2928" s="2">
        <f>HYPERLINK("https://www.amazon.com/adidas-Team-Speed-Soccer-Socks/dp/B0B9CH3RJT/ref=sr_1_1?keywords=adidas+Team+Speed+Pro+OTC+Soccer+Sock&amp;qid=1695171093&amp;sr=8-1", "https://www.amazon.com/adidas-Team-Speed-Soccer-Socks/dp/B0B9CH3RJT/ref=sr_1_1?keywords=adidas+Team+Speed+Pro+OTC+Soccer+Sock&amp;qid=1695171093&amp;sr=8-1")</f>
        <v/>
      </c>
      <c r="F2928" t="inlineStr">
        <is>
          <t>B0B9CH3RJT</t>
        </is>
      </c>
      <c r="G2928">
        <f>_xludf.IMAGE("https://www.soccerplususa.com/prodimages/30901-DEFAULT-l.jpg")</f>
        <v/>
      </c>
      <c r="H2928">
        <f>_xludf.IMAGE("https://m.media-amazon.com/images/I/71Q0Lo4RtBL._AC_UL320_.jpg")</f>
        <v/>
      </c>
      <c r="K2928" t="inlineStr">
        <is>
          <t>17.99</t>
        </is>
      </c>
      <c r="L2928" t="n">
        <v>14</v>
      </c>
      <c r="M2928" s="1" t="inlineStr">
        <is>
          <t>-22.18%</t>
        </is>
      </c>
      <c r="N2928" s="3" t="n">
        <v>-22.18</v>
      </c>
      <c r="O2928" t="n">
        <v>4.2</v>
      </c>
      <c r="P2928" t="n">
        <v>6</v>
      </c>
      <c r="R2928" t="inlineStr">
        <is>
          <t>InStock</t>
        </is>
      </c>
      <c r="S2928" t="inlineStr">
        <is>
          <t>undefined</t>
        </is>
      </c>
      <c r="T2928" t="inlineStr">
        <is>
          <t>5145717</t>
        </is>
      </c>
    </row>
    <row r="2929" hidden="1" ht="15.75" customHeight="1">
      <c r="A2929" s="2">
        <f>HYPERLINK("https://www.soccerplususa.com/adidas/adidas-team-speed-pro-otc-soccer-sock-33723", "https://www.soccerplususa.com/adidas/adidas-team-speed-pro-otc-soccer-sock-33723")</f>
        <v/>
      </c>
      <c r="B2929" t="inlineStr">
        <is>
          <t>undefined</t>
        </is>
      </c>
      <c r="C2929" t="inlineStr">
        <is>
          <t>adidas Team Speed Pro OTC Soccer Sock</t>
        </is>
      </c>
      <c r="D2929" t="inlineStr">
        <is>
          <t>adidas Team Speed 3 Soccer Socks (1 Pair)</t>
        </is>
      </c>
      <c r="E2929" s="2">
        <f>HYPERLINK("https://www.amazon.com/adidas-Team-Speed-Soccer-Socks/dp/B0B9CH3RJT/ref=sr_1_1?keywords=adidas+Team+Speed+Pro+OTC+Soccer+Sock&amp;qid=1695171100&amp;sr=8-1", "https://www.amazon.com/adidas-Team-Speed-Soccer-Socks/dp/B0B9CH3RJT/ref=sr_1_1?keywords=adidas+Team+Speed+Pro+OTC+Soccer+Sock&amp;qid=1695171100&amp;sr=8-1")</f>
        <v/>
      </c>
      <c r="F2929" t="inlineStr">
        <is>
          <t>B0B9CH3RJT</t>
        </is>
      </c>
      <c r="G2929">
        <f>_xludf.IMAGE("https://www.soccerplususa.com/prodimages/30899-DEFAULT-l.jpg")</f>
        <v/>
      </c>
      <c r="H2929">
        <f>_xludf.IMAGE("https://m.media-amazon.com/images/I/71Q0Lo4RtBL._AC_UL320_.jpg")</f>
        <v/>
      </c>
      <c r="K2929" t="inlineStr">
        <is>
          <t>17.99</t>
        </is>
      </c>
      <c r="L2929" t="n">
        <v>14</v>
      </c>
      <c r="M2929" s="1" t="inlineStr">
        <is>
          <t>-22.18%</t>
        </is>
      </c>
      <c r="N2929" s="3" t="n">
        <v>-22.18</v>
      </c>
      <c r="O2929" t="n">
        <v>4.2</v>
      </c>
      <c r="P2929" t="n">
        <v>6</v>
      </c>
      <c r="R2929" t="inlineStr">
        <is>
          <t>InStock</t>
        </is>
      </c>
      <c r="S2929" t="inlineStr">
        <is>
          <t>undefined</t>
        </is>
      </c>
      <c r="T2929" t="inlineStr">
        <is>
          <t>5145704</t>
        </is>
      </c>
    </row>
    <row r="2930" hidden="1" ht="15.75" customHeight="1">
      <c r="A2930" s="2">
        <f>HYPERLINK("https://www.soccerplususa.com/adidas/adidas-alphaskin-20-headband-42961", "https://www.soccerplususa.com/adidas/adidas-alphaskin-20-headband-42961")</f>
        <v/>
      </c>
      <c r="B2930" t="inlineStr">
        <is>
          <t>undefined</t>
        </is>
      </c>
      <c r="C2930" t="inlineStr">
        <is>
          <t>adidas Alphaskin 2.0 Headband</t>
        </is>
      </c>
      <c r="D2930" t="inlineStr">
        <is>
          <t>adidas Womens Alphaskin 2.0 Elastic Headband</t>
        </is>
      </c>
      <c r="E2930" s="2">
        <f>HYPERLINK("https://www.amazon.com/adidas-Alphaskin-Elastic-Headband-Black/dp/B087MBT1ZG/ref=sr_1_1?keywords=adidas+Alphaskin+2.0+Headband&amp;qid=1695171083&amp;sr=8-1", "https://www.amazon.com/adidas-Alphaskin-Elastic-Headband-Black/dp/B087MBT1ZG/ref=sr_1_1?keywords=adidas+Alphaskin+2.0+Headband&amp;qid=1695171083&amp;sr=8-1")</f>
        <v/>
      </c>
      <c r="F2930" t="inlineStr">
        <is>
          <t>B087MBT1ZG</t>
        </is>
      </c>
      <c r="G2930">
        <f>_xludf.IMAGE("https://www.soccerplususa.com/prodimages//35444-REDBLACK-M.jpg")</f>
        <v/>
      </c>
      <c r="H2930">
        <f>_xludf.IMAGE("https://m.media-amazon.com/images/I/71KDsIs6RMS._AC_UL320_.jpg")</f>
        <v/>
      </c>
      <c r="K2930" t="inlineStr">
        <is>
          <t>14.95</t>
        </is>
      </c>
      <c r="L2930" t="n">
        <v>11.6</v>
      </c>
      <c r="M2930" s="1" t="inlineStr">
        <is>
          <t>-22.41%</t>
        </is>
      </c>
      <c r="N2930" s="3" t="n">
        <v>-22.41</v>
      </c>
      <c r="O2930" t="n">
        <v>4.6</v>
      </c>
      <c r="P2930" t="n">
        <v>861</v>
      </c>
      <c r="R2930" t="inlineStr">
        <is>
          <t>InStock</t>
        </is>
      </c>
      <c r="S2930" t="inlineStr">
        <is>
          <t>undefined</t>
        </is>
      </c>
      <c r="T2930" t="inlineStr">
        <is>
          <t>5152500</t>
        </is>
      </c>
    </row>
    <row r="2931" hidden="1" ht="15.75" customHeight="1">
      <c r="A2931" s="2">
        <f>HYPERLINK("https://www.soccerplususa.com/adidas/adidas-alphaskin-20-headband-42959", "https://www.soccerplususa.com/adidas/adidas-alphaskin-20-headband-42959")</f>
        <v/>
      </c>
      <c r="B2931" t="inlineStr">
        <is>
          <t>undefined</t>
        </is>
      </c>
      <c r="C2931" t="inlineStr">
        <is>
          <t>adidas Alphaskin 2.0 Headband</t>
        </is>
      </c>
      <c r="D2931" t="inlineStr">
        <is>
          <t>adidas Womens Alphaskin 2.0 Elastic Headband</t>
        </is>
      </c>
      <c r="E2931" s="2">
        <f>HYPERLINK("https://www.amazon.com/adidas-Alphaskin-Elastic-Headband-Black/dp/B087MBT1ZG/ref=sr_1_1?keywords=adidas+Alphaskin+2.0+Headband&amp;qid=1695171083&amp;sr=8-1", "https://www.amazon.com/adidas-Alphaskin-Elastic-Headband-Black/dp/B087MBT1ZG/ref=sr_1_1?keywords=adidas+Alphaskin+2.0+Headband&amp;qid=1695171083&amp;sr=8-1")</f>
        <v/>
      </c>
      <c r="F2931" t="inlineStr">
        <is>
          <t>B087MBT1ZG</t>
        </is>
      </c>
      <c r="G2931">
        <f>_xludf.IMAGE("https://www.soccerplususa.com/prodimages//35443-BLACKWHITE-M.jpg")</f>
        <v/>
      </c>
      <c r="H2931">
        <f>_xludf.IMAGE("https://m.media-amazon.com/images/I/71KDsIs6RMS._AC_UL320_.jpg")</f>
        <v/>
      </c>
      <c r="K2931" t="inlineStr">
        <is>
          <t>14.95</t>
        </is>
      </c>
      <c r="L2931" t="n">
        <v>11.6</v>
      </c>
      <c r="M2931" s="1" t="inlineStr">
        <is>
          <t>-22.41%</t>
        </is>
      </c>
      <c r="N2931" s="3" t="n">
        <v>-22.41</v>
      </c>
      <c r="O2931" t="n">
        <v>4.6</v>
      </c>
      <c r="P2931" t="n">
        <v>861</v>
      </c>
      <c r="R2931" t="inlineStr">
        <is>
          <t>InStock</t>
        </is>
      </c>
      <c r="S2931" t="inlineStr">
        <is>
          <t>undefined</t>
        </is>
      </c>
      <c r="T2931" t="inlineStr">
        <is>
          <t>5152498</t>
        </is>
      </c>
    </row>
    <row r="2932" hidden="1" ht="15.75" customHeight="1">
      <c r="A2932" s="2">
        <f>HYPERLINK("https://www.soccerplususa.com/adidas/adidas-alphaskin-20-headband-42962", "https://www.soccerplususa.com/adidas/adidas-alphaskin-20-headband-42962")</f>
        <v/>
      </c>
      <c r="B2932" t="inlineStr">
        <is>
          <t>undefined</t>
        </is>
      </c>
      <c r="C2932" t="inlineStr">
        <is>
          <t>adidas Alphaskin 2.0 Headband</t>
        </is>
      </c>
      <c r="D2932" t="inlineStr">
        <is>
          <t>adidas Womens Alphaskin 2.0 Elastic Headband</t>
        </is>
      </c>
      <c r="E2932" s="2">
        <f>HYPERLINK("https://www.amazon.com/adidas-Alphaskin-Elastic-Headband-Black/dp/B087MBT1ZG/ref=sr_1_1?keywords=adidas+Alphaskin+2.0+Headband&amp;qid=1695171091&amp;sr=8-1", "https://www.amazon.com/adidas-Alphaskin-Elastic-Headband-Black/dp/B087MBT1ZG/ref=sr_1_1?keywords=adidas+Alphaskin+2.0+Headband&amp;qid=1695171091&amp;sr=8-1")</f>
        <v/>
      </c>
      <c r="F2932" t="inlineStr">
        <is>
          <t>B087MBT1ZG</t>
        </is>
      </c>
      <c r="G2932">
        <f>_xludf.IMAGE("https://www.soccerplususa.com/prodimages//35445-WHITEBLACK-M.jpg")</f>
        <v/>
      </c>
      <c r="H2932">
        <f>_xludf.IMAGE("https://m.media-amazon.com/images/I/71KDsIs6RMS._AC_UL320_.jpg")</f>
        <v/>
      </c>
      <c r="K2932" t="inlineStr">
        <is>
          <t>14.95</t>
        </is>
      </c>
      <c r="L2932" t="n">
        <v>11.6</v>
      </c>
      <c r="M2932" s="1" t="inlineStr">
        <is>
          <t>-22.41%</t>
        </is>
      </c>
      <c r="N2932" s="3" t="n">
        <v>-22.41</v>
      </c>
      <c r="O2932" t="n">
        <v>4.6</v>
      </c>
      <c r="P2932" t="n">
        <v>861</v>
      </c>
      <c r="R2932" t="inlineStr">
        <is>
          <t>InStock</t>
        </is>
      </c>
      <c r="S2932" t="inlineStr">
        <is>
          <t>undefined</t>
        </is>
      </c>
      <c r="T2932" t="inlineStr">
        <is>
          <t>5152499</t>
        </is>
      </c>
    </row>
    <row r="2933" hidden="1" ht="15.75" customHeight="1">
      <c r="A2933" s="2">
        <f>HYPERLINK("https://www.soccerplususa.com/adidas/adidas-alphaskin-20-headband-42960", "https://www.soccerplususa.com/adidas/adidas-alphaskin-20-headband-42960")</f>
        <v/>
      </c>
      <c r="B2933" t="inlineStr">
        <is>
          <t>undefined</t>
        </is>
      </c>
      <c r="C2933" t="inlineStr">
        <is>
          <t>adidas Alphaskin 2.0 Headband</t>
        </is>
      </c>
      <c r="D2933" t="inlineStr">
        <is>
          <t>adidas Womens Alphaskin 2.0 Elastic Headband</t>
        </is>
      </c>
      <c r="E2933" s="2">
        <f>HYPERLINK("https://www.amazon.com/adidas-Alphaskin-Elastic-Headband-Black/dp/B087MBT1ZG/ref=sr_1_1?keywords=adidas+Alphaskin+2.0+Headband&amp;qid=1695171082&amp;sr=8-1", "https://www.amazon.com/adidas-Alphaskin-Elastic-Headband-Black/dp/B087MBT1ZG/ref=sr_1_1?keywords=adidas+Alphaskin+2.0+Headband&amp;qid=1695171082&amp;sr=8-1")</f>
        <v/>
      </c>
      <c r="F2933" t="inlineStr">
        <is>
          <t>B087MBT1ZG</t>
        </is>
      </c>
      <c r="G2933">
        <f>_xludf.IMAGE("https://www.soccerplususa.com/prodimages//35442-ROYALBLACK-M.jpg")</f>
        <v/>
      </c>
      <c r="H2933">
        <f>_xludf.IMAGE("https://m.media-amazon.com/images/I/71KDsIs6RMS._AC_UL320_.jpg")</f>
        <v/>
      </c>
      <c r="K2933" t="inlineStr">
        <is>
          <t>14.95</t>
        </is>
      </c>
      <c r="L2933" t="n">
        <v>11.6</v>
      </c>
      <c r="M2933" s="1" t="inlineStr">
        <is>
          <t>-22.41%</t>
        </is>
      </c>
      <c r="N2933" s="3" t="n">
        <v>-22.41</v>
      </c>
      <c r="O2933" t="n">
        <v>4.6</v>
      </c>
      <c r="P2933" t="n">
        <v>861</v>
      </c>
      <c r="R2933" t="inlineStr">
        <is>
          <t>InStock</t>
        </is>
      </c>
      <c r="S2933" t="inlineStr">
        <is>
          <t>undefined</t>
        </is>
      </c>
      <c r="T2933" t="inlineStr">
        <is>
          <t>5152501</t>
        </is>
      </c>
    </row>
    <row r="2934" hidden="1" ht="15.75" customHeight="1">
      <c r="A2934" s="2">
        <f>HYPERLINK("https://www.soccerplususa.com/puma/puma-hoop-soccer-sock-37931", "https://www.soccerplususa.com/puma/puma-hoop-soccer-sock-37931")</f>
        <v/>
      </c>
      <c r="B2934" t="inlineStr">
        <is>
          <t>undefined</t>
        </is>
      </c>
      <c r="C2934" t="inlineStr">
        <is>
          <t>Puma Hoop Soccer Sock</t>
        </is>
      </c>
      <c r="D2934" t="inlineStr">
        <is>
          <t>PUMA Kids Boys Power Tech Knee High Socks Soccer Cleats - White</t>
        </is>
      </c>
      <c r="E2934" s="2">
        <f>HYPERLINK("https://www.amazon.com/Power-Socks-White-Black-3-5-6/dp/B006XEA7L4/ref=sr_1_7?keywords=Puma+Hoop+Soccer+Sock&amp;qid=1695171086&amp;sr=8-7", "https://www.amazon.com/Power-Socks-White-Black-3-5-6/dp/B006XEA7L4/ref=sr_1_7?keywords=Puma+Hoop+Soccer+Sock&amp;qid=1695171086&amp;sr=8-7")</f>
        <v/>
      </c>
      <c r="F2934" t="inlineStr">
        <is>
          <t>B006XEA7L4</t>
        </is>
      </c>
      <c r="G2934">
        <f>_xludf.IMAGE("https://www.soccerplususa.com/prodimages//36782-REDWHITE-M.jpg")</f>
        <v/>
      </c>
      <c r="H2934">
        <f>_xludf.IMAGE("https://m.media-amazon.com/images/I/416A9J3aMaS._AC_UL320_.jpg")</f>
        <v/>
      </c>
      <c r="K2934" t="inlineStr">
        <is>
          <t>8.99</t>
        </is>
      </c>
      <c r="L2934" t="n">
        <v>6.95</v>
      </c>
      <c r="M2934" s="1" t="inlineStr">
        <is>
          <t>-22.69%</t>
        </is>
      </c>
      <c r="N2934" s="3" t="n">
        <v>-22.69</v>
      </c>
      <c r="O2934" t="n">
        <v>3.4</v>
      </c>
      <c r="P2934" t="n">
        <v>5</v>
      </c>
      <c r="R2934" t="inlineStr">
        <is>
          <t>InStock</t>
        </is>
      </c>
      <c r="S2934" t="inlineStr">
        <is>
          <t>9.95</t>
        </is>
      </c>
      <c r="T2934" t="inlineStr">
        <is>
          <t>895854-01</t>
        </is>
      </c>
    </row>
    <row r="2935" hidden="1" ht="15.75" customHeight="1">
      <c r="A2935" s="2">
        <f>HYPERLINK("https://www.soccerplususa.com/adidas/adidas-team-leverage-beanie-2075", "https://www.soccerplususa.com/adidas/adidas-team-leverage-beanie-2075")</f>
        <v/>
      </c>
      <c r="B2935" t="inlineStr">
        <is>
          <t>undefined</t>
        </is>
      </c>
      <c r="C2935" t="inlineStr">
        <is>
          <t>adidas Team Leverage Beanie</t>
        </is>
      </c>
      <c r="D2935" t="inlineStr">
        <is>
          <t>adidas Boys' Team Issue Fold Beanie</t>
        </is>
      </c>
      <c r="E2935" s="2">
        <f>HYPERLINK("https://www.amazon.com/adidas-Issue-Beanie-Black-one_Size/dp/B0BNQWC1M2/ref=sr_1_4?keywords=adidas+Team+Leverage+Beanie&amp;qid=1695171115&amp;sr=8-4", "https://www.amazon.com/adidas-Issue-Beanie-Black-one_Size/dp/B0BNQWC1M2/ref=sr_1_4?keywords=adidas+Team+Leverage+Beanie&amp;qid=1695171115&amp;sr=8-4")</f>
        <v/>
      </c>
      <c r="F2935" t="inlineStr">
        <is>
          <t>B0BNQWC1M2</t>
        </is>
      </c>
      <c r="G2935">
        <f>_xludf.IMAGE("https://www.soccerplususa.com/prodimages/7307-DEFAULT-l.jpg")</f>
        <v/>
      </c>
      <c r="H2935">
        <f>_xludf.IMAGE("https://m.media-amazon.com/images/I/71hq5CfXR7L._AC_UL320_.jpg")</f>
        <v/>
      </c>
      <c r="K2935" t="inlineStr">
        <is>
          <t>19.95</t>
        </is>
      </c>
      <c r="L2935" t="n">
        <v>15.03</v>
      </c>
      <c r="M2935" s="1" t="inlineStr">
        <is>
          <t>-24.66%</t>
        </is>
      </c>
      <c r="N2935" s="3" t="n">
        <v>-24.66</v>
      </c>
      <c r="O2935" t="n">
        <v>4.8</v>
      </c>
      <c r="P2935" t="n">
        <v>7</v>
      </c>
      <c r="R2935" t="inlineStr">
        <is>
          <t>InStock</t>
        </is>
      </c>
      <c r="S2935" t="inlineStr">
        <is>
          <t>undefined</t>
        </is>
      </c>
      <c r="T2935" t="inlineStr">
        <is>
          <t>5143708</t>
        </is>
      </c>
    </row>
    <row r="2936" hidden="1" ht="15.75" customHeight="1">
      <c r="A2936" s="2">
        <f>HYPERLINK("https://www.soccerplususa.com/adidas/adidas-team-leverage-beanie-2074", "https://www.soccerplususa.com/adidas/adidas-team-leverage-beanie-2074")</f>
        <v/>
      </c>
      <c r="B2936" t="inlineStr">
        <is>
          <t>undefined</t>
        </is>
      </c>
      <c r="C2936" t="inlineStr">
        <is>
          <t>adidas Team Leverage Beanie</t>
        </is>
      </c>
      <c r="D2936" t="inlineStr">
        <is>
          <t>adidas Boys' Team Issue Fold Beanie</t>
        </is>
      </c>
      <c r="E2936" s="2">
        <f>HYPERLINK("https://www.amazon.com/adidas-Issue-Beanie-Black-one_Size/dp/B0BNQWC1M2/ref=sr_1_4?keywords=adidas+Team+Leverage+Beanie&amp;qid=1695171116&amp;sr=8-4", "https://www.amazon.com/adidas-Issue-Beanie-Black-one_Size/dp/B0BNQWC1M2/ref=sr_1_4?keywords=adidas+Team+Leverage+Beanie&amp;qid=1695171116&amp;sr=8-4")</f>
        <v/>
      </c>
      <c r="F2936" t="inlineStr">
        <is>
          <t>B0BNQWC1M2</t>
        </is>
      </c>
      <c r="G2936">
        <f>_xludf.IMAGE("https://www.soccerplususa.com/prodimages/7304-DEFAULT-l.jpg")</f>
        <v/>
      </c>
      <c r="H2936">
        <f>_xludf.IMAGE("https://m.media-amazon.com/images/I/71hq5CfXR7L._AC_UL320_.jpg")</f>
        <v/>
      </c>
      <c r="K2936" t="inlineStr">
        <is>
          <t>19.95</t>
        </is>
      </c>
      <c r="L2936" t="n">
        <v>15.03</v>
      </c>
      <c r="M2936" s="1" t="inlineStr">
        <is>
          <t>-24.66%</t>
        </is>
      </c>
      <c r="N2936" s="3" t="n">
        <v>-24.66</v>
      </c>
      <c r="O2936" t="n">
        <v>4.8</v>
      </c>
      <c r="P2936" t="n">
        <v>7</v>
      </c>
      <c r="R2936" t="inlineStr">
        <is>
          <t>InStock</t>
        </is>
      </c>
      <c r="S2936" t="inlineStr">
        <is>
          <t>undefined</t>
        </is>
      </c>
      <c r="T2936" t="inlineStr">
        <is>
          <t>5143707</t>
        </is>
      </c>
    </row>
    <row r="2937" hidden="1" ht="15.75" customHeight="1">
      <c r="A2937" s="2">
        <f>HYPERLINK("https://www.soccerplususa.com/adidas/adidas-alphaskin-20-headband-42962", "https://www.soccerplususa.com/adidas/adidas-alphaskin-20-headband-42962")</f>
        <v/>
      </c>
      <c r="B2937" t="inlineStr">
        <is>
          <t>undefined</t>
        </is>
      </c>
      <c r="C2937" t="inlineStr">
        <is>
          <t>adidas Alphaskin 2.0 Headband</t>
        </is>
      </c>
      <c r="D2937" t="inlineStr">
        <is>
          <t>adidas Unisex-Adult Alphaskin 2.0 Elastic Headband – Discontinued</t>
        </is>
      </c>
      <c r="E2937" s="2">
        <f>HYPERLINK("https://www.amazon.com/adidas-Alphaskin-Elastic-Headband-Pulse/dp/B091DBXL31/ref=sr_1_5?keywords=adidas+Alphaskin+2.0+Headband&amp;qid=1695171091&amp;sr=8-5", "https://www.amazon.com/adidas-Alphaskin-Elastic-Headband-Pulse/dp/B091DBXL31/ref=sr_1_5?keywords=adidas+Alphaskin+2.0+Headband&amp;qid=1695171091&amp;sr=8-5")</f>
        <v/>
      </c>
      <c r="F2937" t="inlineStr">
        <is>
          <t>B091DBXL31</t>
        </is>
      </c>
      <c r="G2937">
        <f>_xludf.IMAGE("https://www.soccerplususa.com/prodimages//35445-WHITEBLACK-M.jpg")</f>
        <v/>
      </c>
      <c r="H2937">
        <f>_xludf.IMAGE("https://m.media-amazon.com/images/I/51wd20vHN8L._AC_UL320_.jpg")</f>
        <v/>
      </c>
      <c r="K2937" t="inlineStr">
        <is>
          <t>14.95</t>
        </is>
      </c>
      <c r="L2937" t="n">
        <v>11.24</v>
      </c>
      <c r="M2937" s="1" t="inlineStr">
        <is>
          <t>-24.82%</t>
        </is>
      </c>
      <c r="N2937" s="3" t="n">
        <v>-24.82</v>
      </c>
      <c r="O2937" t="n">
        <v>4.5</v>
      </c>
      <c r="P2937" t="n">
        <v>72</v>
      </c>
      <c r="R2937" t="inlineStr">
        <is>
          <t>InStock</t>
        </is>
      </c>
      <c r="S2937" t="inlineStr">
        <is>
          <t>undefined</t>
        </is>
      </c>
      <c r="T2937" t="inlineStr">
        <is>
          <t>5152499</t>
        </is>
      </c>
    </row>
    <row r="2938" hidden="1" ht="15.75" customHeight="1">
      <c r="A2938" s="2">
        <f>HYPERLINK("https://www.soccerplususa.com/adidas/adidas-alphaskin-20-headband-42961", "https://www.soccerplususa.com/adidas/adidas-alphaskin-20-headband-42961")</f>
        <v/>
      </c>
      <c r="B2938" t="inlineStr">
        <is>
          <t>undefined</t>
        </is>
      </c>
      <c r="C2938" t="inlineStr">
        <is>
          <t>adidas Alphaskin 2.0 Headband</t>
        </is>
      </c>
      <c r="D2938" t="inlineStr">
        <is>
          <t>adidas Unisex-Adult Alphaskin 2.0 Elastic Headband – Discontinued</t>
        </is>
      </c>
      <c r="E2938" s="2">
        <f>HYPERLINK("https://www.amazon.com/adidas-Alphaskin-Elastic-Headband-Pulse/dp/B091DBXL31/ref=sr_1_5?keywords=adidas+Alphaskin+2.0+Headband&amp;qid=1695171083&amp;sr=8-5", "https://www.amazon.com/adidas-Alphaskin-Elastic-Headband-Pulse/dp/B091DBXL31/ref=sr_1_5?keywords=adidas+Alphaskin+2.0+Headband&amp;qid=1695171083&amp;sr=8-5")</f>
        <v/>
      </c>
      <c r="F2938" t="inlineStr">
        <is>
          <t>B091DBXL31</t>
        </is>
      </c>
      <c r="G2938">
        <f>_xludf.IMAGE("https://www.soccerplususa.com/prodimages//35444-REDBLACK-M.jpg")</f>
        <v/>
      </c>
      <c r="H2938">
        <f>_xludf.IMAGE("https://m.media-amazon.com/images/I/51wd20vHN8L._AC_UL320_.jpg")</f>
        <v/>
      </c>
      <c r="K2938" t="inlineStr">
        <is>
          <t>14.95</t>
        </is>
      </c>
      <c r="L2938" t="n">
        <v>11.24</v>
      </c>
      <c r="M2938" s="1" t="inlineStr">
        <is>
          <t>-24.82%</t>
        </is>
      </c>
      <c r="N2938" s="3" t="n">
        <v>-24.82</v>
      </c>
      <c r="O2938" t="n">
        <v>4.5</v>
      </c>
      <c r="P2938" t="n">
        <v>72</v>
      </c>
      <c r="R2938" t="inlineStr">
        <is>
          <t>InStock</t>
        </is>
      </c>
      <c r="S2938" t="inlineStr">
        <is>
          <t>undefined</t>
        </is>
      </c>
      <c r="T2938" t="inlineStr">
        <is>
          <t>5152500</t>
        </is>
      </c>
    </row>
    <row r="2939" hidden="1" ht="15.75" customHeight="1">
      <c r="A2939" s="2">
        <f>HYPERLINK("https://www.soccerplususa.com/adidas/adidas-alphaskin-20-headband-42959", "https://www.soccerplususa.com/adidas/adidas-alphaskin-20-headband-42959")</f>
        <v/>
      </c>
      <c r="B2939" t="inlineStr">
        <is>
          <t>undefined</t>
        </is>
      </c>
      <c r="C2939" t="inlineStr">
        <is>
          <t>adidas Alphaskin 2.0 Headband</t>
        </is>
      </c>
      <c r="D2939" t="inlineStr">
        <is>
          <t>adidas Unisex-Adult Alphaskin 2.0 Elastic Headband – Discontinued</t>
        </is>
      </c>
      <c r="E2939" s="2">
        <f>HYPERLINK("https://www.amazon.com/adidas-Alphaskin-Elastic-Headband-Pulse/dp/B091DBXL31/ref=sr_1_4?keywords=adidas+Alphaskin+2.0+Headband&amp;qid=1695171083&amp;sr=8-4", "https://www.amazon.com/adidas-Alphaskin-Elastic-Headband-Pulse/dp/B091DBXL31/ref=sr_1_4?keywords=adidas+Alphaskin+2.0+Headband&amp;qid=1695171083&amp;sr=8-4")</f>
        <v/>
      </c>
      <c r="F2939" t="inlineStr">
        <is>
          <t>B091DBXL31</t>
        </is>
      </c>
      <c r="G2939">
        <f>_xludf.IMAGE("https://www.soccerplususa.com/prodimages//35443-BLACKWHITE-M.jpg")</f>
        <v/>
      </c>
      <c r="H2939">
        <f>_xludf.IMAGE("https://m.media-amazon.com/images/I/51wd20vHN8L._AC_UL320_.jpg")</f>
        <v/>
      </c>
      <c r="K2939" t="inlineStr">
        <is>
          <t>14.95</t>
        </is>
      </c>
      <c r="L2939" t="n">
        <v>11.24</v>
      </c>
      <c r="M2939" s="1" t="inlineStr">
        <is>
          <t>-24.82%</t>
        </is>
      </c>
      <c r="N2939" s="3" t="n">
        <v>-24.82</v>
      </c>
      <c r="O2939" t="n">
        <v>4.5</v>
      </c>
      <c r="P2939" t="n">
        <v>72</v>
      </c>
      <c r="R2939" t="inlineStr">
        <is>
          <t>InStock</t>
        </is>
      </c>
      <c r="S2939" t="inlineStr">
        <is>
          <t>undefined</t>
        </is>
      </c>
      <c r="T2939" t="inlineStr">
        <is>
          <t>5152498</t>
        </is>
      </c>
    </row>
    <row r="2940" hidden="1" ht="15.75" customHeight="1">
      <c r="A2940" s="2">
        <f>HYPERLINK("https://www.soccerplususa.com/adidas/adidas-alphaskin-20-headband-42960", "https://www.soccerplususa.com/adidas/adidas-alphaskin-20-headband-42960")</f>
        <v/>
      </c>
      <c r="B2940" t="inlineStr">
        <is>
          <t>undefined</t>
        </is>
      </c>
      <c r="C2940" t="inlineStr">
        <is>
          <t>adidas Alphaskin 2.0 Headband</t>
        </is>
      </c>
      <c r="D2940" t="inlineStr">
        <is>
          <t>adidas Unisex-Adult Alphaskin 2.0 Elastic Headband – Discontinued</t>
        </is>
      </c>
      <c r="E2940" s="2">
        <f>HYPERLINK("https://www.amazon.com/adidas-Alphaskin-Elastic-Headband-Pulse/dp/B091DBXL31/ref=sr_1_5?keywords=adidas+Alphaskin+2.0+Headband&amp;qid=1695171082&amp;sr=8-5", "https://www.amazon.com/adidas-Alphaskin-Elastic-Headband-Pulse/dp/B091DBXL31/ref=sr_1_5?keywords=adidas+Alphaskin+2.0+Headband&amp;qid=1695171082&amp;sr=8-5")</f>
        <v/>
      </c>
      <c r="F2940" t="inlineStr">
        <is>
          <t>B091DBXL31</t>
        </is>
      </c>
      <c r="G2940">
        <f>_xludf.IMAGE("https://www.soccerplususa.com/prodimages//35442-ROYALBLACK-M.jpg")</f>
        <v/>
      </c>
      <c r="H2940">
        <f>_xludf.IMAGE("https://m.media-amazon.com/images/I/51wd20vHN8L._AC_UL320_.jpg")</f>
        <v/>
      </c>
      <c r="K2940" t="inlineStr">
        <is>
          <t>14.95</t>
        </is>
      </c>
      <c r="L2940" t="n">
        <v>11.24</v>
      </c>
      <c r="M2940" s="1" t="inlineStr">
        <is>
          <t>-24.82%</t>
        </is>
      </c>
      <c r="N2940" s="3" t="n">
        <v>-24.82</v>
      </c>
      <c r="O2940" t="n">
        <v>4.5</v>
      </c>
      <c r="P2940" t="n">
        <v>72</v>
      </c>
      <c r="R2940" t="inlineStr">
        <is>
          <t>InStock</t>
        </is>
      </c>
      <c r="S2940" t="inlineStr">
        <is>
          <t>undefined</t>
        </is>
      </c>
      <c r="T2940" t="inlineStr">
        <is>
          <t>5152501</t>
        </is>
      </c>
    </row>
    <row r="2941" hidden="1" ht="15.75" customHeight="1">
      <c r="A2941" s="2">
        <f>HYPERLINK("https://www.soccerplususa.com/adidas-2/adidas-alphaskin-calf-sleeve-36219", "https://www.soccerplususa.com/adidas-2/adidas-alphaskin-calf-sleeve-36219")</f>
        <v/>
      </c>
      <c r="B2941" t="inlineStr">
        <is>
          <t>undefined</t>
        </is>
      </c>
      <c r="C2941" t="inlineStr">
        <is>
          <t>adidas Alphaskin Calf Sleeve</t>
        </is>
      </c>
      <c r="D2941" t="inlineStr">
        <is>
          <t>adidas Calf Compression Sleeves for Unisex - Pair of Calf Sleeves for Running</t>
        </is>
      </c>
      <c r="E2941" s="2">
        <f>HYPERLINK("https://www.amazon.com/adidas-ADSL-13323WH-Compression-Calf-Sleeves/dp/B088G8FRFW/ref=sr_1_2?keywords=adidas+Alphaskin+Calf+Sleeve&amp;qid=1695171102&amp;sr=8-2", "https://www.amazon.com/adidas-ADSL-13323WH-Compression-Calf-Sleeves/dp/B088G8FRFW/ref=sr_1_2?keywords=adidas+Alphaskin+Calf+Sleeve&amp;qid=1695171102&amp;sr=8-2")</f>
        <v/>
      </c>
      <c r="F2941" t="inlineStr">
        <is>
          <t>B088G8FRFW</t>
        </is>
      </c>
      <c r="G2941">
        <f>_xludf.IMAGE("https://www.soccerplususa.com/prodimages/17513-DEFAULT-l.jpg")</f>
        <v/>
      </c>
      <c r="H2941">
        <f>_xludf.IMAGE("https://m.media-amazon.com/images/I/61aJ1KlfHHL._AC_UL320_.jpg")</f>
        <v/>
      </c>
      <c r="K2941" t="inlineStr">
        <is>
          <t>19.95</t>
        </is>
      </c>
      <c r="L2941" t="n">
        <v>14.96</v>
      </c>
      <c r="M2941" s="1" t="inlineStr">
        <is>
          <t>-25.01%</t>
        </is>
      </c>
      <c r="N2941" s="3" t="n">
        <v>-25.01</v>
      </c>
      <c r="O2941" t="n">
        <v>4</v>
      </c>
      <c r="P2941" t="n">
        <v>42</v>
      </c>
      <c r="R2941" t="inlineStr">
        <is>
          <t>InStock</t>
        </is>
      </c>
      <c r="S2941" t="inlineStr">
        <is>
          <t>24.95</t>
        </is>
      </c>
      <c r="T2941" t="inlineStr">
        <is>
          <t>5143548</t>
        </is>
      </c>
    </row>
    <row r="2942" hidden="1" ht="15.75" customHeight="1">
      <c r="A2942" s="2">
        <f>HYPERLINK("https://www.soccerplususa.com/adidas/adidas-alphaskin-20-headband-42959", "https://www.soccerplususa.com/adidas/adidas-alphaskin-20-headband-42959")</f>
        <v/>
      </c>
      <c r="B2942" t="inlineStr">
        <is>
          <t>undefined</t>
        </is>
      </c>
      <c r="C2942" t="inlineStr">
        <is>
          <t>adidas Alphaskin 2.0 Headband</t>
        </is>
      </c>
      <c r="D2942" t="inlineStr">
        <is>
          <t>adidas Unisex-Adult Alphaskin Tie Headband</t>
        </is>
      </c>
      <c r="E2942" s="2">
        <f>HYPERLINK("https://www.amazon.com/adidas-Alphaskin-Headband-Black-White/dp/B0BFC3JGV6/ref=sr_1_2?keywords=adidas+Alphaskin+2.0+Headband&amp;qid=1695171083&amp;sr=8-2", "https://www.amazon.com/adidas-Alphaskin-Headband-Black-White/dp/B0BFC3JGV6/ref=sr_1_2?keywords=adidas+Alphaskin+2.0+Headband&amp;qid=1695171083&amp;sr=8-2")</f>
        <v/>
      </c>
      <c r="F2942" t="inlineStr">
        <is>
          <t>B0BFC3JGV6</t>
        </is>
      </c>
      <c r="G2942">
        <f>_xludf.IMAGE("https://www.soccerplususa.com/prodimages//35443-BLACKWHITE-M.jpg")</f>
        <v/>
      </c>
      <c r="H2942">
        <f>_xludf.IMAGE("https://m.media-amazon.com/images/I/61JJdsZkQGL._AC_UL320_.jpg")</f>
        <v/>
      </c>
      <c r="K2942" t="inlineStr">
        <is>
          <t>14.95</t>
        </is>
      </c>
      <c r="L2942" t="n">
        <v>11.06</v>
      </c>
      <c r="M2942" s="1" t="inlineStr">
        <is>
          <t>-26.02%</t>
        </is>
      </c>
      <c r="N2942" s="3" t="n">
        <v>-26.02</v>
      </c>
      <c r="O2942" t="n">
        <v>4.7</v>
      </c>
      <c r="P2942" t="n">
        <v>6054</v>
      </c>
      <c r="R2942" t="inlineStr">
        <is>
          <t>InStock</t>
        </is>
      </c>
      <c r="S2942" t="inlineStr">
        <is>
          <t>undefined</t>
        </is>
      </c>
      <c r="T2942" t="inlineStr">
        <is>
          <t>5152498</t>
        </is>
      </c>
    </row>
    <row r="2943" hidden="1" ht="15.75" customHeight="1">
      <c r="A2943" s="2">
        <f>HYPERLINK("https://www.soccerplususa.com/adidas/adidas-alphaskin-20-headband-42960", "https://www.soccerplususa.com/adidas/adidas-alphaskin-20-headband-42960")</f>
        <v/>
      </c>
      <c r="B2943" t="inlineStr">
        <is>
          <t>undefined</t>
        </is>
      </c>
      <c r="C2943" t="inlineStr">
        <is>
          <t>adidas Alphaskin 2.0 Headband</t>
        </is>
      </c>
      <c r="D2943" t="inlineStr">
        <is>
          <t>adidas Unisex-Adult Alphaskin Tie Headband</t>
        </is>
      </c>
      <c r="E2943" s="2">
        <f>HYPERLINK("https://www.amazon.com/adidas-Alphaskin-Headband-Black-White/dp/B0BFC3JGV6/ref=sr_1_3?keywords=adidas+Alphaskin+2.0+Headband&amp;qid=1695171082&amp;sr=8-3", "https://www.amazon.com/adidas-Alphaskin-Headband-Black-White/dp/B0BFC3JGV6/ref=sr_1_3?keywords=adidas+Alphaskin+2.0+Headband&amp;qid=1695171082&amp;sr=8-3")</f>
        <v/>
      </c>
      <c r="F2943" t="inlineStr">
        <is>
          <t>B0BFC3JGV6</t>
        </is>
      </c>
      <c r="G2943">
        <f>_xludf.IMAGE("https://www.soccerplususa.com/prodimages//35442-ROYALBLACK-M.jpg")</f>
        <v/>
      </c>
      <c r="H2943">
        <f>_xludf.IMAGE("https://m.media-amazon.com/images/I/61JJdsZkQGL._AC_UL320_.jpg")</f>
        <v/>
      </c>
      <c r="K2943" t="inlineStr">
        <is>
          <t>14.95</t>
        </is>
      </c>
      <c r="L2943" t="n">
        <v>11.06</v>
      </c>
      <c r="M2943" s="1" t="inlineStr">
        <is>
          <t>-26.02%</t>
        </is>
      </c>
      <c r="N2943" s="3" t="n">
        <v>-26.02</v>
      </c>
      <c r="O2943" t="n">
        <v>4.7</v>
      </c>
      <c r="P2943" t="n">
        <v>6054</v>
      </c>
      <c r="R2943" t="inlineStr">
        <is>
          <t>InStock</t>
        </is>
      </c>
      <c r="S2943" t="inlineStr">
        <is>
          <t>undefined</t>
        </is>
      </c>
      <c r="T2943" t="inlineStr">
        <is>
          <t>5152501</t>
        </is>
      </c>
    </row>
    <row r="2944" hidden="1" ht="15.75" customHeight="1">
      <c r="A2944" s="2">
        <f>HYPERLINK("https://www.soccerplususa.com/adidas/adidas-alphaskin-20-headband-42962", "https://www.soccerplususa.com/adidas/adidas-alphaskin-20-headband-42962")</f>
        <v/>
      </c>
      <c r="B2944" t="inlineStr">
        <is>
          <t>undefined</t>
        </is>
      </c>
      <c r="C2944" t="inlineStr">
        <is>
          <t>adidas Alphaskin 2.0 Headband</t>
        </is>
      </c>
      <c r="D2944" t="inlineStr">
        <is>
          <t>adidas Unisex-Adult Alphaskin Tie Headband</t>
        </is>
      </c>
      <c r="E2944" s="2">
        <f>HYPERLINK("https://www.amazon.com/adidas-Alphaskin-Headband-Black-White/dp/B0BFC3JGV6/ref=sr_1_2?keywords=adidas+Alphaskin+2.0+Headband&amp;qid=1695171091&amp;sr=8-2", "https://www.amazon.com/adidas-Alphaskin-Headband-Black-White/dp/B0BFC3JGV6/ref=sr_1_2?keywords=adidas+Alphaskin+2.0+Headband&amp;qid=1695171091&amp;sr=8-2")</f>
        <v/>
      </c>
      <c r="F2944" t="inlineStr">
        <is>
          <t>B0BFC3JGV6</t>
        </is>
      </c>
      <c r="G2944">
        <f>_xludf.IMAGE("https://www.soccerplususa.com/prodimages//35445-WHITEBLACK-M.jpg")</f>
        <v/>
      </c>
      <c r="H2944">
        <f>_xludf.IMAGE("https://m.media-amazon.com/images/I/61JJdsZkQGL._AC_UL320_.jpg")</f>
        <v/>
      </c>
      <c r="K2944" t="inlineStr">
        <is>
          <t>14.95</t>
        </is>
      </c>
      <c r="L2944" t="n">
        <v>11.06</v>
      </c>
      <c r="M2944" s="1" t="inlineStr">
        <is>
          <t>-26.02%</t>
        </is>
      </c>
      <c r="N2944" s="3" t="n">
        <v>-26.02</v>
      </c>
      <c r="O2944" t="n">
        <v>4.7</v>
      </c>
      <c r="P2944" t="n">
        <v>6054</v>
      </c>
      <c r="R2944" t="inlineStr">
        <is>
          <t>InStock</t>
        </is>
      </c>
      <c r="S2944" t="inlineStr">
        <is>
          <t>undefined</t>
        </is>
      </c>
      <c r="T2944" t="inlineStr">
        <is>
          <t>5152499</t>
        </is>
      </c>
    </row>
    <row r="2945" hidden="1" ht="15.75" customHeight="1">
      <c r="A2945" s="2">
        <f>HYPERLINK("https://www.soccerplususa.com/adidas/adidas-alphaskin-20-headband-42961", "https://www.soccerplususa.com/adidas/adidas-alphaskin-20-headband-42961")</f>
        <v/>
      </c>
      <c r="B2945" t="inlineStr">
        <is>
          <t>undefined</t>
        </is>
      </c>
      <c r="C2945" t="inlineStr">
        <is>
          <t>adidas Alphaskin 2.0 Headband</t>
        </is>
      </c>
      <c r="D2945" t="inlineStr">
        <is>
          <t>adidas Unisex-Adult Alphaskin Tie Headband</t>
        </is>
      </c>
      <c r="E2945" s="2">
        <f>HYPERLINK("https://www.amazon.com/adidas-Alphaskin-Headband-Black-White/dp/B0BFC3JGV6/ref=sr_1_3?keywords=adidas+Alphaskin+2.0+Headband&amp;qid=1695171083&amp;sr=8-3", "https://www.amazon.com/adidas-Alphaskin-Headband-Black-White/dp/B0BFC3JGV6/ref=sr_1_3?keywords=adidas+Alphaskin+2.0+Headband&amp;qid=1695171083&amp;sr=8-3")</f>
        <v/>
      </c>
      <c r="F2945" t="inlineStr">
        <is>
          <t>B0BFC3JGV6</t>
        </is>
      </c>
      <c r="G2945">
        <f>_xludf.IMAGE("https://www.soccerplususa.com/prodimages//35444-REDBLACK-M.jpg")</f>
        <v/>
      </c>
      <c r="H2945">
        <f>_xludf.IMAGE("https://m.media-amazon.com/images/I/61JJdsZkQGL._AC_UL320_.jpg")</f>
        <v/>
      </c>
      <c r="K2945" t="inlineStr">
        <is>
          <t>14.95</t>
        </is>
      </c>
      <c r="L2945" t="n">
        <v>11.06</v>
      </c>
      <c r="M2945" s="1" t="inlineStr">
        <is>
          <t>-26.02%</t>
        </is>
      </c>
      <c r="N2945" s="3" t="n">
        <v>-26.02</v>
      </c>
      <c r="O2945" t="n">
        <v>4.7</v>
      </c>
      <c r="P2945" t="n">
        <v>6054</v>
      </c>
      <c r="R2945" t="inlineStr">
        <is>
          <t>InStock</t>
        </is>
      </c>
      <c r="S2945" t="inlineStr">
        <is>
          <t>undefined</t>
        </is>
      </c>
      <c r="T2945" t="inlineStr">
        <is>
          <t>5152500</t>
        </is>
      </c>
    </row>
    <row r="2946" hidden="1" ht="15.75" customHeight="1">
      <c r="A2946" s="2">
        <f>HYPERLINK("https://www.soccerplususa.com/adidas/adidas-tiro-glove-39774", "https://www.soccerplususa.com/adidas/adidas-tiro-glove-39774")</f>
        <v/>
      </c>
      <c r="B2946" t="inlineStr">
        <is>
          <t>undefined</t>
        </is>
      </c>
      <c r="C2946" t="inlineStr">
        <is>
          <t>adidas Tiro Glove</t>
        </is>
      </c>
      <c r="D2946" t="inlineStr">
        <is>
          <t>adidas Unisex-Child Tiro Club Goalkeeper Gloves</t>
        </is>
      </c>
      <c r="E2946" s="2">
        <f>HYPERLINK("https://www.amazon.com/adidas-unisex-adult-Goalkeeper-Gloves-White/dp/B08143SNCD/ref=sr_1_2?keywords=adidas+Tiro+Glove&amp;qid=1695171085&amp;sr=8-2", "https://www.amazon.com/adidas-unisex-adult-Goalkeeper-Gloves-White/dp/B08143SNCD/ref=sr_1_2?keywords=adidas+Tiro+Glove&amp;qid=1695171085&amp;sr=8-2")</f>
        <v/>
      </c>
      <c r="F2946" t="inlineStr">
        <is>
          <t>B08143SNCD</t>
        </is>
      </c>
      <c r="G2946">
        <f>_xludf.IMAGE("https://www.soccerplususa.com/prodimages/32961-DEFAULT-l.jpg")</f>
        <v/>
      </c>
      <c r="H2946">
        <f>_xludf.IMAGE("https://m.media-amazon.com/images/I/61Ds38WZ0hL._AC_UL320_.jpg")</f>
        <v/>
      </c>
      <c r="K2946" t="inlineStr">
        <is>
          <t>24.95</t>
        </is>
      </c>
      <c r="L2946" t="n">
        <v>18.24</v>
      </c>
      <c r="M2946" s="1" t="inlineStr">
        <is>
          <t>-26.89%</t>
        </is>
      </c>
      <c r="N2946" s="3" t="n">
        <v>-26.89</v>
      </c>
      <c r="O2946" t="n">
        <v>4</v>
      </c>
      <c r="P2946" t="n">
        <v>232</v>
      </c>
      <c r="R2946" t="inlineStr">
        <is>
          <t>InStock</t>
        </is>
      </c>
      <c r="S2946" t="inlineStr">
        <is>
          <t>undefined</t>
        </is>
      </c>
      <c r="T2946" t="inlineStr">
        <is>
          <t>GH7252</t>
        </is>
      </c>
    </row>
    <row r="2947" hidden="1" ht="15.75" customHeight="1">
      <c r="A2947" s="2">
        <f>HYPERLINK("https://www.soccerplususa.com/adidas-2/adidas-team-speed-pro-otc-sock-36230", "https://www.soccerplususa.com/adidas-2/adidas-team-speed-pro-otc-sock-36230")</f>
        <v/>
      </c>
      <c r="B2947" t="inlineStr">
        <is>
          <t>undefined</t>
        </is>
      </c>
      <c r="C2947" t="inlineStr">
        <is>
          <t>adidas Team Speed Pro OTC Sock</t>
        </is>
      </c>
      <c r="D2947" t="inlineStr">
        <is>
          <t>adidas Team Speed Pro OTC Sock Black | White | Onyx LG</t>
        </is>
      </c>
      <c r="E2947" s="2">
        <f>HYPERLINK("https://www.amazon.com/Adidas-Soccer-Team-Speed-Large/dp/B08JH7DT6P/ref=sr_1_4?keywords=adidas+Team+Speed+Pro+OTC+Sock&amp;qid=1695171096&amp;sr=8-4", "https://www.amazon.com/Adidas-Soccer-Team-Speed-Large/dp/B08JH7DT6P/ref=sr_1_4?keywords=adidas+Team+Speed+Pro+OTC+Sock&amp;qid=1695171096&amp;sr=8-4")</f>
        <v/>
      </c>
      <c r="F2947" t="inlineStr">
        <is>
          <t>B08JH7DT6P</t>
        </is>
      </c>
      <c r="G2947">
        <f>_xludf.IMAGE("https://www.soccerplususa.com/prodimages/17537-DEFAULT-l.jpg")</f>
        <v/>
      </c>
      <c r="H2947">
        <f>_xludf.IMAGE("https://m.media-amazon.com/images/I/81cbp8tj5IL._AC_UL320_.jpg")</f>
        <v/>
      </c>
      <c r="K2947" t="inlineStr">
        <is>
          <t>17.95</t>
        </is>
      </c>
      <c r="L2947" t="n">
        <v>12.95</v>
      </c>
      <c r="M2947" s="1" t="inlineStr">
        <is>
          <t>-27.86%</t>
        </is>
      </c>
      <c r="N2947" s="3" t="n">
        <v>-27.86</v>
      </c>
      <c r="O2947" t="n">
        <v>4</v>
      </c>
      <c r="P2947" t="n">
        <v>1</v>
      </c>
      <c r="R2947" t="inlineStr">
        <is>
          <t>InStock</t>
        </is>
      </c>
      <c r="S2947" t="inlineStr">
        <is>
          <t>undefined</t>
        </is>
      </c>
      <c r="T2947" t="inlineStr">
        <is>
          <t>5145726</t>
        </is>
      </c>
    </row>
    <row r="2948" hidden="1" ht="15.75" customHeight="1">
      <c r="A2948" s="2">
        <f>HYPERLINK("https://www.soccerplususa.com/adidas-2/adidas-team-speed-pro-otc-36227", "https://www.soccerplususa.com/adidas-2/adidas-team-speed-pro-otc-36227")</f>
        <v/>
      </c>
      <c r="B2948" t="inlineStr">
        <is>
          <t>undefined</t>
        </is>
      </c>
      <c r="C2948" t="inlineStr">
        <is>
          <t>adidas Team Speed Pro OTC</t>
        </is>
      </c>
      <c r="D2948" t="inlineStr">
        <is>
          <t>adidas Team Speed Pro OTC Sock Black | White | Onyx LG</t>
        </is>
      </c>
      <c r="E2948" s="2">
        <f>HYPERLINK("https://www.amazon.com/Adidas-Soccer-Team-Speed-Large/dp/B08JH7DT6P/ref=sr_1_2?keywords=adidas+Team+Speed+Pro+OTC&amp;qid=1695171099&amp;sr=8-2", "https://www.amazon.com/Adidas-Soccer-Team-Speed-Large/dp/B08JH7DT6P/ref=sr_1_2?keywords=adidas+Team+Speed+Pro+OTC&amp;qid=1695171099&amp;sr=8-2")</f>
        <v/>
      </c>
      <c r="F2948" t="inlineStr">
        <is>
          <t>B08JH7DT6P</t>
        </is>
      </c>
      <c r="G2948">
        <f>_xludf.IMAGE("https://www.soccerplususa.com/prodimages/17526-DEFAULT-l.jpg")</f>
        <v/>
      </c>
      <c r="H2948">
        <f>_xludf.IMAGE("https://m.media-amazon.com/images/I/81cbp8tj5IL._AC_UL320_.jpg")</f>
        <v/>
      </c>
      <c r="K2948" t="inlineStr">
        <is>
          <t>17.95</t>
        </is>
      </c>
      <c r="L2948" t="n">
        <v>12.95</v>
      </c>
      <c r="M2948" s="1" t="inlineStr">
        <is>
          <t>-27.86%</t>
        </is>
      </c>
      <c r="N2948" s="3" t="n">
        <v>-27.86</v>
      </c>
      <c r="O2948" t="n">
        <v>4</v>
      </c>
      <c r="P2948" t="n">
        <v>1</v>
      </c>
      <c r="R2948" t="inlineStr">
        <is>
          <t>InStock</t>
        </is>
      </c>
      <c r="S2948" t="inlineStr">
        <is>
          <t>undefined</t>
        </is>
      </c>
      <c r="T2948" t="inlineStr">
        <is>
          <t>5145701</t>
        </is>
      </c>
    </row>
    <row r="2949" hidden="1" ht="15.75" customHeight="1">
      <c r="A2949" s="2">
        <f>HYPERLINK("https://www.soccerplususa.com/adidas-2/adidas-team-speed-pro-otc-sock-36230", "https://www.soccerplususa.com/adidas-2/adidas-team-speed-pro-otc-sock-36230")</f>
        <v/>
      </c>
      <c r="B2949" t="inlineStr">
        <is>
          <t>undefined</t>
        </is>
      </c>
      <c r="C2949" t="inlineStr">
        <is>
          <t>adidas Team Speed Pro OTC Sock</t>
        </is>
      </c>
      <c r="D2949" t="inlineStr">
        <is>
          <t>adidas Team Speed Soccer OTC Sock (1-Pair)</t>
        </is>
      </c>
      <c r="E2949" s="2">
        <f>HYPERLINK("https://www.amazon.com/adidas-Speed-Soccer-Socks-1-Pack/dp/B00DF0TZLM/ref=sr_1_7?keywords=adidas+Team+Speed+Pro+OTC+Sock&amp;qid=1695171096&amp;sr=8-7", "https://www.amazon.com/adidas-Speed-Soccer-Socks-1-Pack/dp/B00DF0TZLM/ref=sr_1_7?keywords=adidas+Team+Speed+Pro+OTC+Sock&amp;qid=1695171096&amp;sr=8-7")</f>
        <v/>
      </c>
      <c r="F2949" t="inlineStr">
        <is>
          <t>B00DF0TZLM</t>
        </is>
      </c>
      <c r="G2949">
        <f>_xludf.IMAGE("https://www.soccerplususa.com/prodimages/17537-DEFAULT-l.jpg")</f>
        <v/>
      </c>
      <c r="H2949">
        <f>_xludf.IMAGE("https://m.media-amazon.com/images/I/81Dcy9ZAugL._AC_UL320_.jpg")</f>
        <v/>
      </c>
      <c r="K2949" t="inlineStr">
        <is>
          <t>17.95</t>
        </is>
      </c>
      <c r="L2949" t="n">
        <v>12.95</v>
      </c>
      <c r="M2949" s="1" t="inlineStr">
        <is>
          <t>-27.86%</t>
        </is>
      </c>
      <c r="N2949" s="3" t="n">
        <v>-27.86</v>
      </c>
      <c r="O2949" t="n">
        <v>4.7</v>
      </c>
      <c r="P2949" t="n">
        <v>396</v>
      </c>
      <c r="R2949" t="inlineStr">
        <is>
          <t>InStock</t>
        </is>
      </c>
      <c r="S2949" t="inlineStr">
        <is>
          <t>undefined</t>
        </is>
      </c>
      <c r="T2949" t="inlineStr">
        <is>
          <t>5145726</t>
        </is>
      </c>
    </row>
    <row r="2950" hidden="1" ht="15.75" customHeight="1">
      <c r="A2950" s="2">
        <f>HYPERLINK("https://www.soccerplususa.com/adidas/adidas-team-speed-pro-otc-33727", "https://www.soccerplususa.com/adidas/adidas-team-speed-pro-otc-33727")</f>
        <v/>
      </c>
      <c r="B2950" t="inlineStr">
        <is>
          <t>undefined</t>
        </is>
      </c>
      <c r="C2950" t="inlineStr">
        <is>
          <t>adidas Team Speed Pro OTC</t>
        </is>
      </c>
      <c r="D2950" t="inlineStr">
        <is>
          <t>adidas Team Speed Pro OTC Sock Black | White | Onyx LG</t>
        </is>
      </c>
      <c r="E2950" s="2">
        <f>HYPERLINK("https://www.amazon.com/Adidas-Soccer-Team-Speed-Large/dp/B08JH7DT6P/ref=sr_1_2?keywords=adidas+Team+Speed+Pro+OTC&amp;qid=1695171096&amp;sr=8-2", "https://www.amazon.com/Adidas-Soccer-Team-Speed-Large/dp/B08JH7DT6P/ref=sr_1_2?keywords=adidas+Team+Speed+Pro+OTC&amp;qid=1695171096&amp;sr=8-2")</f>
        <v/>
      </c>
      <c r="F2950" t="inlineStr">
        <is>
          <t>B08JH7DT6P</t>
        </is>
      </c>
      <c r="G2950">
        <f>_xludf.IMAGE("https://www.soccerplususa.com/prodimages/30902-DEFAULT-l.jpg")</f>
        <v/>
      </c>
      <c r="H2950">
        <f>_xludf.IMAGE("https://m.media-amazon.com/images/I/81cbp8tj5IL._AC_UL320_.jpg")</f>
        <v/>
      </c>
      <c r="K2950" t="inlineStr">
        <is>
          <t>17.95</t>
        </is>
      </c>
      <c r="L2950" t="n">
        <v>12.95</v>
      </c>
      <c r="M2950" s="1" t="inlineStr">
        <is>
          <t>-27.86%</t>
        </is>
      </c>
      <c r="N2950" s="3" t="n">
        <v>-27.86</v>
      </c>
      <c r="O2950" t="n">
        <v>4</v>
      </c>
      <c r="P2950" t="n">
        <v>1</v>
      </c>
      <c r="R2950" t="inlineStr">
        <is>
          <t>InStock</t>
        </is>
      </c>
      <c r="S2950" t="inlineStr">
        <is>
          <t>undefined</t>
        </is>
      </c>
      <c r="T2950" t="inlineStr">
        <is>
          <t>5145736</t>
        </is>
      </c>
    </row>
    <row r="2951" hidden="1" ht="15.75" customHeight="1">
      <c r="A2951" s="2">
        <f>HYPERLINK("https://www.soccerplususa.com/adidas-2/adidas-team-speed-pro-otc-36231", "https://www.soccerplususa.com/adidas-2/adidas-team-speed-pro-otc-36231")</f>
        <v/>
      </c>
      <c r="B2951" t="inlineStr">
        <is>
          <t>undefined</t>
        </is>
      </c>
      <c r="C2951" t="inlineStr">
        <is>
          <t>adidas Team Speed Pro OTC</t>
        </is>
      </c>
      <c r="D2951" t="inlineStr">
        <is>
          <t>adidas Team Speed Pro OTC Sock Black | White | Onyx LG</t>
        </is>
      </c>
      <c r="E2951" s="2">
        <f>HYPERLINK("https://www.amazon.com/Adidas-Soccer-Team-Speed-Large/dp/B08JH7DT6P/ref=sr_1_2?keywords=adidas+Team+Speed+Pro+OTC&amp;qid=1695171096&amp;sr=8-2", "https://www.amazon.com/Adidas-Soccer-Team-Speed-Large/dp/B08JH7DT6P/ref=sr_1_2?keywords=adidas+Team+Speed+Pro+OTC&amp;qid=1695171096&amp;sr=8-2")</f>
        <v/>
      </c>
      <c r="F2951" t="inlineStr">
        <is>
          <t>B08JH7DT6P</t>
        </is>
      </c>
      <c r="G2951">
        <f>_xludf.IMAGE("https://www.soccerplususa.com/prodimages/17541-DEFAULT-l.jpg")</f>
        <v/>
      </c>
      <c r="H2951">
        <f>_xludf.IMAGE("https://m.media-amazon.com/images/I/81cbp8tj5IL._AC_UL320_.jpg")</f>
        <v/>
      </c>
      <c r="K2951" t="inlineStr">
        <is>
          <t>17.95</t>
        </is>
      </c>
      <c r="L2951" t="n">
        <v>12.95</v>
      </c>
      <c r="M2951" s="1" t="inlineStr">
        <is>
          <t>-27.86%</t>
        </is>
      </c>
      <c r="N2951" s="3" t="n">
        <v>-27.86</v>
      </c>
      <c r="O2951" t="n">
        <v>4</v>
      </c>
      <c r="P2951" t="n">
        <v>1</v>
      </c>
      <c r="R2951" t="inlineStr">
        <is>
          <t>InStock</t>
        </is>
      </c>
      <c r="S2951" t="inlineStr">
        <is>
          <t>undefined</t>
        </is>
      </c>
      <c r="T2951" t="inlineStr">
        <is>
          <t>5145741</t>
        </is>
      </c>
    </row>
    <row r="2952" hidden="1" ht="15.75" customHeight="1">
      <c r="A2952" s="2">
        <f>HYPERLINK("https://www.soccerplususa.com/adidas/adidas-team-speed-pro-otc-soccer-sock-33726", "https://www.soccerplususa.com/adidas/adidas-team-speed-pro-otc-soccer-sock-33726")</f>
        <v/>
      </c>
      <c r="B2952" t="inlineStr">
        <is>
          <t>undefined</t>
        </is>
      </c>
      <c r="C2952" t="inlineStr">
        <is>
          <t>adidas Team Speed Pro OTC Soccer Sock</t>
        </is>
      </c>
      <c r="D2952" t="inlineStr">
        <is>
          <t>adidas Team Speed Pro OTC Sock Black | White | Onyx LG</t>
        </is>
      </c>
      <c r="E2952" s="2">
        <f>HYPERLINK("https://www.amazon.com/Adidas-Soccer-Team-Speed-Large/dp/B08JH7DT6P/ref=sr_1_3?keywords=adidas+Team+Speed+Pro+OTC+Soccer+Sock&amp;qid=1695171093&amp;sr=8-3", "https://www.amazon.com/Adidas-Soccer-Team-Speed-Large/dp/B08JH7DT6P/ref=sr_1_3?keywords=adidas+Team+Speed+Pro+OTC+Soccer+Sock&amp;qid=1695171093&amp;sr=8-3")</f>
        <v/>
      </c>
      <c r="F2952" t="inlineStr">
        <is>
          <t>B08JH7DT6P</t>
        </is>
      </c>
      <c r="G2952">
        <f>_xludf.IMAGE("https://www.soccerplususa.com/prodimages/30901-DEFAULT-l.jpg")</f>
        <v/>
      </c>
      <c r="H2952">
        <f>_xludf.IMAGE("https://m.media-amazon.com/images/I/81cbp8tj5IL._AC_UL320_.jpg")</f>
        <v/>
      </c>
      <c r="K2952" t="inlineStr">
        <is>
          <t>17.99</t>
        </is>
      </c>
      <c r="L2952" t="n">
        <v>12.95</v>
      </c>
      <c r="M2952" s="1" t="inlineStr">
        <is>
          <t>-28.02%</t>
        </is>
      </c>
      <c r="N2952" s="3" t="n">
        <v>-28.02</v>
      </c>
      <c r="O2952" t="n">
        <v>4</v>
      </c>
      <c r="P2952" t="n">
        <v>1</v>
      </c>
      <c r="R2952" t="inlineStr">
        <is>
          <t>InStock</t>
        </is>
      </c>
      <c r="S2952" t="inlineStr">
        <is>
          <t>undefined</t>
        </is>
      </c>
      <c r="T2952" t="inlineStr">
        <is>
          <t>5145717</t>
        </is>
      </c>
    </row>
    <row r="2953" hidden="1" ht="15.75" customHeight="1">
      <c r="A2953" s="2">
        <f>HYPERLINK("https://www.soccerplususa.com/adidas/adidas-team-speed-pro-otc-sock-33728", "https://www.soccerplususa.com/adidas/adidas-team-speed-pro-otc-sock-33728")</f>
        <v/>
      </c>
      <c r="B2953" t="inlineStr">
        <is>
          <t>undefined</t>
        </is>
      </c>
      <c r="C2953" t="inlineStr">
        <is>
          <t>adidas Team Speed Pro OTC Sock</t>
        </is>
      </c>
      <c r="D2953" t="inlineStr">
        <is>
          <t>adidas Team Speed Pro OTC Sock Black | White | Onyx LG</t>
        </is>
      </c>
      <c r="E2953" s="2">
        <f>HYPERLINK("https://www.amazon.com/Adidas-Soccer-Team-Speed-Large/dp/B08JH7DT6P/ref=sr_1_6?keywords=adidas+Team+Speed+Pro+OTC+Sock&amp;qid=1695171093&amp;sr=8-6", "https://www.amazon.com/Adidas-Soccer-Team-Speed-Large/dp/B08JH7DT6P/ref=sr_1_6?keywords=adidas+Team+Speed+Pro+OTC+Sock&amp;qid=1695171093&amp;sr=8-6")</f>
        <v/>
      </c>
      <c r="F2953" t="inlineStr">
        <is>
          <t>B08JH7DT6P</t>
        </is>
      </c>
      <c r="G2953">
        <f>_xludf.IMAGE("https://www.soccerplususa.com/prodimages/32185-DEFAULT-l.jpg")</f>
        <v/>
      </c>
      <c r="H2953">
        <f>_xludf.IMAGE("https://m.media-amazon.com/images/I/81cbp8tj5IL._AC_UL320_.jpg")</f>
        <v/>
      </c>
      <c r="K2953" t="inlineStr">
        <is>
          <t>17.99</t>
        </is>
      </c>
      <c r="L2953" t="n">
        <v>12.95</v>
      </c>
      <c r="M2953" s="1" t="inlineStr">
        <is>
          <t>-28.02%</t>
        </is>
      </c>
      <c r="N2953" s="3" t="n">
        <v>-28.02</v>
      </c>
      <c r="O2953" t="n">
        <v>4</v>
      </c>
      <c r="P2953" t="n">
        <v>1</v>
      </c>
      <c r="R2953" t="inlineStr">
        <is>
          <t>InStock</t>
        </is>
      </c>
      <c r="S2953" t="inlineStr">
        <is>
          <t>undefined</t>
        </is>
      </c>
      <c r="T2953" t="inlineStr">
        <is>
          <t>5145742</t>
        </is>
      </c>
    </row>
    <row r="2954" hidden="1" ht="15.75" customHeight="1">
      <c r="A2954" s="2">
        <f>HYPERLINK("https://www.soccerplususa.com/adidas/adidas-team-speed-pro-otc-33722", "https://www.soccerplususa.com/adidas/adidas-team-speed-pro-otc-33722")</f>
        <v/>
      </c>
      <c r="B2954" t="inlineStr">
        <is>
          <t>undefined</t>
        </is>
      </c>
      <c r="C2954" t="inlineStr">
        <is>
          <t>adidas Team Speed Pro OTC</t>
        </is>
      </c>
      <c r="D2954" t="inlineStr">
        <is>
          <t>adidas Team Speed Pro OTC Sock Black | White | Onyx LG</t>
        </is>
      </c>
      <c r="E2954" s="2">
        <f>HYPERLINK("https://www.amazon.com/Adidas-Soccer-Team-Speed-Large/dp/B08JH7DT6P/ref=sr_1_2?keywords=adidas+Team+Speed+Pro+OTC&amp;qid=1695171099&amp;sr=8-2", "https://www.amazon.com/Adidas-Soccer-Team-Speed-Large/dp/B08JH7DT6P/ref=sr_1_2?keywords=adidas+Team+Speed+Pro+OTC&amp;qid=1695171099&amp;sr=8-2")</f>
        <v/>
      </c>
      <c r="F2954" t="inlineStr">
        <is>
          <t>B08JH7DT6P</t>
        </is>
      </c>
      <c r="G2954">
        <f>_xludf.IMAGE("https://www.soccerplususa.com/prodimages/30898-DEFAULT-l.jpg")</f>
        <v/>
      </c>
      <c r="H2954">
        <f>_xludf.IMAGE("https://m.media-amazon.com/images/I/81cbp8tj5IL._AC_UL320_.jpg")</f>
        <v/>
      </c>
      <c r="K2954" t="inlineStr">
        <is>
          <t>17.99</t>
        </is>
      </c>
      <c r="L2954" t="n">
        <v>12.95</v>
      </c>
      <c r="M2954" s="1" t="inlineStr">
        <is>
          <t>-28.02%</t>
        </is>
      </c>
      <c r="N2954" s="3" t="n">
        <v>-28.02</v>
      </c>
      <c r="O2954" t="n">
        <v>4</v>
      </c>
      <c r="P2954" t="n">
        <v>1</v>
      </c>
      <c r="R2954" t="inlineStr">
        <is>
          <t>InStock</t>
        </is>
      </c>
      <c r="S2954" t="inlineStr">
        <is>
          <t>undefined</t>
        </is>
      </c>
      <c r="T2954" t="inlineStr">
        <is>
          <t>5145696</t>
        </is>
      </c>
    </row>
    <row r="2955" hidden="1" ht="15.75" customHeight="1">
      <c r="A2955" s="2">
        <f>HYPERLINK("https://www.soccerplususa.com/adidas/adidas-team-speed-pro-otc-sock-33728", "https://www.soccerplususa.com/adidas/adidas-team-speed-pro-otc-sock-33728")</f>
        <v/>
      </c>
      <c r="B2955" t="inlineStr">
        <is>
          <t>undefined</t>
        </is>
      </c>
      <c r="C2955" t="inlineStr">
        <is>
          <t>adidas Team Speed Pro OTC Sock</t>
        </is>
      </c>
      <c r="D2955" t="inlineStr">
        <is>
          <t>adidas Team Speed Soccer OTC Sock (1-Pair)</t>
        </is>
      </c>
      <c r="E2955" s="2">
        <f>HYPERLINK("https://www.amazon.com/adidas-Speed-Soccer-Socks-1-Pack/dp/B00DF0TZLM/ref=sr_1_7?keywords=adidas+Team+Speed+Pro+OTC+Sock&amp;qid=1695171093&amp;sr=8-7", "https://www.amazon.com/adidas-Speed-Soccer-Socks-1-Pack/dp/B00DF0TZLM/ref=sr_1_7?keywords=adidas+Team+Speed+Pro+OTC+Sock&amp;qid=1695171093&amp;sr=8-7")</f>
        <v/>
      </c>
      <c r="F2955" t="inlineStr">
        <is>
          <t>B00DF0TZLM</t>
        </is>
      </c>
      <c r="G2955">
        <f>_xludf.IMAGE("https://www.soccerplususa.com/prodimages/32185-DEFAULT-l.jpg")</f>
        <v/>
      </c>
      <c r="H2955">
        <f>_xludf.IMAGE("https://m.media-amazon.com/images/I/81Dcy9ZAugL._AC_UL320_.jpg")</f>
        <v/>
      </c>
      <c r="K2955" t="inlineStr">
        <is>
          <t>17.99</t>
        </is>
      </c>
      <c r="L2955" t="n">
        <v>12.95</v>
      </c>
      <c r="M2955" s="1" t="inlineStr">
        <is>
          <t>-28.02%</t>
        </is>
      </c>
      <c r="N2955" s="3" t="n">
        <v>-28.02</v>
      </c>
      <c r="O2955" t="n">
        <v>4.7</v>
      </c>
      <c r="P2955" t="n">
        <v>396</v>
      </c>
      <c r="R2955" t="inlineStr">
        <is>
          <t>InStock</t>
        </is>
      </c>
      <c r="S2955" t="inlineStr">
        <is>
          <t>undefined</t>
        </is>
      </c>
      <c r="T2955" t="inlineStr">
        <is>
          <t>5145742</t>
        </is>
      </c>
    </row>
    <row r="2956" hidden="1" ht="15.75" customHeight="1">
      <c r="A2956" s="2">
        <f>HYPERLINK("https://www.soccerplususa.com/adidas/adidas-team-speed-pro-otc-soccer-sock-33723", "https://www.soccerplususa.com/adidas/adidas-team-speed-pro-otc-soccer-sock-33723")</f>
        <v/>
      </c>
      <c r="B2956" t="inlineStr">
        <is>
          <t>undefined</t>
        </is>
      </c>
      <c r="C2956" t="inlineStr">
        <is>
          <t>adidas Team Speed Pro OTC Soccer Sock</t>
        </is>
      </c>
      <c r="D2956" t="inlineStr">
        <is>
          <t>adidas Team Speed Pro OTC Sock Black | White | Onyx LG</t>
        </is>
      </c>
      <c r="E2956" s="2">
        <f>HYPERLINK("https://www.amazon.com/Adidas-Soccer-Team-Speed-Large/dp/B08JH7DT6P/ref=sr_1_4?keywords=adidas+Team+Speed+Pro+OTC+Soccer+Sock&amp;qid=1695171100&amp;sr=8-4", "https://www.amazon.com/Adidas-Soccer-Team-Speed-Large/dp/B08JH7DT6P/ref=sr_1_4?keywords=adidas+Team+Speed+Pro+OTC+Soccer+Sock&amp;qid=1695171100&amp;sr=8-4")</f>
        <v/>
      </c>
      <c r="F2956" t="inlineStr">
        <is>
          <t>B08JH7DT6P</t>
        </is>
      </c>
      <c r="G2956">
        <f>_xludf.IMAGE("https://www.soccerplususa.com/prodimages/30899-DEFAULT-l.jpg")</f>
        <v/>
      </c>
      <c r="H2956">
        <f>_xludf.IMAGE("https://m.media-amazon.com/images/I/81cbp8tj5IL._AC_UL320_.jpg")</f>
        <v/>
      </c>
      <c r="K2956" t="inlineStr">
        <is>
          <t>17.99</t>
        </is>
      </c>
      <c r="L2956" t="n">
        <v>12.95</v>
      </c>
      <c r="M2956" s="1" t="inlineStr">
        <is>
          <t>-28.02%</t>
        </is>
      </c>
      <c r="N2956" s="3" t="n">
        <v>-28.02</v>
      </c>
      <c r="O2956" t="n">
        <v>4</v>
      </c>
      <c r="P2956" t="n">
        <v>1</v>
      </c>
      <c r="R2956" t="inlineStr">
        <is>
          <t>InStock</t>
        </is>
      </c>
      <c r="S2956" t="inlineStr">
        <is>
          <t>undefined</t>
        </is>
      </c>
      <c r="T2956" t="inlineStr">
        <is>
          <t>5145704</t>
        </is>
      </c>
    </row>
    <row r="2957" hidden="1" ht="15.75" customHeight="1">
      <c r="A2957" s="2">
        <f>HYPERLINK("https://www.soccerplususa.com/adidas/adidas-team-speed-pro-otc-soccer-sock-33726", "https://www.soccerplususa.com/adidas/adidas-team-speed-pro-otc-soccer-sock-33726")</f>
        <v/>
      </c>
      <c r="B2957" t="inlineStr">
        <is>
          <t>undefined</t>
        </is>
      </c>
      <c r="C2957" t="inlineStr">
        <is>
          <t>adidas Team Speed Pro OTC Soccer Sock</t>
        </is>
      </c>
      <c r="D2957" t="inlineStr">
        <is>
          <t>adidas Team Speed 2 Soccer Socks for Boys, Girls, Men and Women (1-Pair), Light Grey/Black/Light Onix, Medium</t>
        </is>
      </c>
      <c r="E2957" s="2">
        <f>HYPERLINK("https://www.amazon.com/adidas-Speed-Soccer-Socks-1-Pack/dp/B077XMZRXP/ref=sr_1_8?keywords=adidas+Team+Speed+Pro+OTC+Soccer+Sock&amp;qid=1695171093&amp;sr=8-8", "https://www.amazon.com/adidas-Speed-Soccer-Socks-1-Pack/dp/B077XMZRXP/ref=sr_1_8?keywords=adidas+Team+Speed+Pro+OTC+Soccer+Sock&amp;qid=1695171093&amp;sr=8-8")</f>
        <v/>
      </c>
      <c r="F2957" t="inlineStr">
        <is>
          <t>B077XMZRXP</t>
        </is>
      </c>
      <c r="G2957">
        <f>_xludf.IMAGE("https://www.soccerplususa.com/prodimages/30901-DEFAULT-l.jpg")</f>
        <v/>
      </c>
      <c r="H2957">
        <f>_xludf.IMAGE("https://m.media-amazon.com/images/I/817s1xa6+gL._AC_UL320_.jpg")</f>
        <v/>
      </c>
      <c r="K2957" t="inlineStr">
        <is>
          <t>17.99</t>
        </is>
      </c>
      <c r="L2957" t="n">
        <v>12.94</v>
      </c>
      <c r="M2957" s="1" t="inlineStr">
        <is>
          <t>-28.07%</t>
        </is>
      </c>
      <c r="N2957" s="3" t="n">
        <v>-28.07</v>
      </c>
      <c r="O2957" t="n">
        <v>4.7</v>
      </c>
      <c r="P2957" t="n">
        <v>117</v>
      </c>
      <c r="R2957" t="inlineStr">
        <is>
          <t>InStock</t>
        </is>
      </c>
      <c r="S2957" t="inlineStr">
        <is>
          <t>undefined</t>
        </is>
      </c>
      <c r="T2957" t="inlineStr">
        <is>
          <t>5145717</t>
        </is>
      </c>
    </row>
    <row r="2958" hidden="1" ht="15.75" customHeight="1">
      <c r="A2958" s="2">
        <f>HYPERLINK("https://www.soccerplususa.com/adidas/adidas-team-speed-pro-otc-soccer-sock-33723", "https://www.soccerplususa.com/adidas/adidas-team-speed-pro-otc-soccer-sock-33723")</f>
        <v/>
      </c>
      <c r="B2958" t="inlineStr">
        <is>
          <t>undefined</t>
        </is>
      </c>
      <c r="C2958" t="inlineStr">
        <is>
          <t>adidas Team Speed Pro OTC Soccer Sock</t>
        </is>
      </c>
      <c r="D2958" t="inlineStr">
        <is>
          <t>adidas Team Speed 2 Soccer Socks for Boys, Girls, Men and Women (1-Pair), Light Grey/Black/Light Onix, Medium</t>
        </is>
      </c>
      <c r="E2958" s="2">
        <f>HYPERLINK("https://www.amazon.com/adidas-Speed-Soccer-Socks-1-Pack/dp/B077XMZRXP/ref=sr_1_9?keywords=adidas+Team+Speed+Pro+OTC+Soccer+Sock&amp;qid=1695171100&amp;sr=8-9", "https://www.amazon.com/adidas-Speed-Soccer-Socks-1-Pack/dp/B077XMZRXP/ref=sr_1_9?keywords=adidas+Team+Speed+Pro+OTC+Soccer+Sock&amp;qid=1695171100&amp;sr=8-9")</f>
        <v/>
      </c>
      <c r="F2958" t="inlineStr">
        <is>
          <t>B077XMZRXP</t>
        </is>
      </c>
      <c r="G2958">
        <f>_xludf.IMAGE("https://www.soccerplususa.com/prodimages/30899-DEFAULT-l.jpg")</f>
        <v/>
      </c>
      <c r="H2958">
        <f>_xludf.IMAGE("https://m.media-amazon.com/images/I/817s1xa6+gL._AC_UL320_.jpg")</f>
        <v/>
      </c>
      <c r="K2958" t="inlineStr">
        <is>
          <t>17.99</t>
        </is>
      </c>
      <c r="L2958" t="n">
        <v>12.94</v>
      </c>
      <c r="M2958" s="1" t="inlineStr">
        <is>
          <t>-28.07%</t>
        </is>
      </c>
      <c r="N2958" s="3" t="n">
        <v>-28.07</v>
      </c>
      <c r="O2958" t="n">
        <v>4.7</v>
      </c>
      <c r="P2958" t="n">
        <v>117</v>
      </c>
      <c r="R2958" t="inlineStr">
        <is>
          <t>InStock</t>
        </is>
      </c>
      <c r="S2958" t="inlineStr">
        <is>
          <t>undefined</t>
        </is>
      </c>
      <c r="T2958" t="inlineStr">
        <is>
          <t>5145704</t>
        </is>
      </c>
    </row>
    <row r="2959" hidden="1" ht="15.75" customHeight="1">
      <c r="A2959" s="2">
        <f>HYPERLINK("https://www.soccerplususa.com/sweat-x/sweat-x-odor-eliminator-spray-32391", "https://www.soccerplususa.com/sweat-x/sweat-x-odor-eliminator-spray-32391")</f>
        <v/>
      </c>
      <c r="B2959" t="inlineStr">
        <is>
          <t>undefined</t>
        </is>
      </c>
      <c r="C2959" t="inlineStr">
        <is>
          <t>Sweat X Odor Eliminator Spray</t>
        </is>
      </c>
      <c r="D2959" t="inlineStr">
        <is>
          <t>FunkAway Odor Eliminating Spray for Shoes, Clothes and Gear (8 Oz.) &amp; Dr. Scholl's Odor-x Sweat Absorbing Foot Powder, 7 Ounce (Pack of 1)</t>
        </is>
      </c>
      <c r="E2959" s="2">
        <f>HYPERLINK("https://www.amazon.com/FunkAway-Eliminating-Clothes-Scholls-Absorbing/dp/B0BR1Z62M6/ref=sr_1_3?keywords=Sweat+X+Odor+Eliminator+Spray&amp;qid=1695171102&amp;sr=8-3", "https://www.amazon.com/FunkAway-Eliminating-Clothes-Scholls-Absorbing/dp/B0BR1Z62M6/ref=sr_1_3?keywords=Sweat+X+Odor+Eliminator+Spray&amp;qid=1695171102&amp;sr=8-3")</f>
        <v/>
      </c>
      <c r="F2959" t="inlineStr">
        <is>
          <t>B0BR1Z62M6</t>
        </is>
      </c>
      <c r="G2959">
        <f>_xludf.IMAGE("https://www.soccerplususa.com/prodimages/6257-DEFAULT-l.jpg")</f>
        <v/>
      </c>
      <c r="H2959">
        <f>_xludf.IMAGE("https://m.media-amazon.com/images/I/51qfP02e0iL._AC_UL320_.jpg")</f>
        <v/>
      </c>
      <c r="K2959" t="inlineStr">
        <is>
          <t>14.95</t>
        </is>
      </c>
      <c r="L2959" t="n">
        <v>10.25</v>
      </c>
      <c r="M2959" s="1" t="inlineStr">
        <is>
          <t>-31.44%</t>
        </is>
      </c>
      <c r="N2959" s="3" t="n">
        <v>-31.44</v>
      </c>
      <c r="O2959" t="n">
        <v>4.5</v>
      </c>
      <c r="P2959" t="n">
        <v>15</v>
      </c>
      <c r="R2959" t="inlineStr">
        <is>
          <t>InStock</t>
        </is>
      </c>
      <c r="S2959" t="inlineStr">
        <is>
          <t>undefined</t>
        </is>
      </c>
      <c r="T2959" t="inlineStr">
        <is>
          <t>SWX4070</t>
        </is>
      </c>
    </row>
    <row r="2960" hidden="1" ht="15.75" customHeight="1">
      <c r="A2960" s="2">
        <f>HYPERLINK("https://www.soccerplususa.com/sweat-x/sweat-x-odor-eliminator-spray-32391", "https://www.soccerplususa.com/sweat-x/sweat-x-odor-eliminator-spray-32391")</f>
        <v/>
      </c>
      <c r="B2960" t="inlineStr">
        <is>
          <t>undefined</t>
        </is>
      </c>
      <c r="C2960" t="inlineStr">
        <is>
          <t>Sweat X Odor Eliminator Spray</t>
        </is>
      </c>
      <c r="D2960" t="inlineStr">
        <is>
          <t>FunkAway Big Jobs Aerosol Spray, 13.5 oz, Extreme Odor Eliminator Spray, Ideal for Shoe Smells, Pet Odors and Large Stuff that Won't Fit in the Wash; Attacks Musty Odors at the Source</t>
        </is>
      </c>
      <c r="E2960" s="2">
        <f>HYPERLINK("https://www.amazon.com/FunkAway-Eliminator-Spray-Clothes-Shoes/dp/B01N1375XL/ref=sr_1_7?keywords=Sweat+X+Odor+Eliminator+Spray&amp;qid=1695171102&amp;sr=8-7", "https://www.amazon.com/FunkAway-Eliminator-Spray-Clothes-Shoes/dp/B01N1375XL/ref=sr_1_7?keywords=Sweat+X+Odor+Eliminator+Spray&amp;qid=1695171102&amp;sr=8-7")</f>
        <v/>
      </c>
      <c r="F2960" t="inlineStr">
        <is>
          <t>B01N1375XL</t>
        </is>
      </c>
      <c r="G2960">
        <f>_xludf.IMAGE("https://www.soccerplususa.com/prodimages/6257-DEFAULT-l.jpg")</f>
        <v/>
      </c>
      <c r="H2960">
        <f>_xludf.IMAGE("https://m.media-amazon.com/images/I/71y8-qyq1xL._AC_UL320_.jpg")</f>
        <v/>
      </c>
      <c r="K2960" t="inlineStr">
        <is>
          <t>14.95</t>
        </is>
      </c>
      <c r="L2960" t="n">
        <v>9.75</v>
      </c>
      <c r="M2960" s="1" t="inlineStr">
        <is>
          <t>-34.78%</t>
        </is>
      </c>
      <c r="N2960" s="3" t="n">
        <v>-34.78</v>
      </c>
      <c r="O2960" t="n">
        <v>4.4</v>
      </c>
      <c r="P2960" t="n">
        <v>15243</v>
      </c>
      <c r="R2960" t="inlineStr">
        <is>
          <t>InStock</t>
        </is>
      </c>
      <c r="S2960" t="inlineStr">
        <is>
          <t>undefined</t>
        </is>
      </c>
      <c r="T2960" t="inlineStr">
        <is>
          <t>SWX4070</t>
        </is>
      </c>
    </row>
    <row r="2961" hidden="1" ht="15.75" customHeight="1">
      <c r="A2961" s="2">
        <f>HYPERLINK("https://www.soccerplususa.com/adidas/adidas-team-speed-pro-otc-soccer-sock-33723", "https://www.soccerplususa.com/adidas/adidas-team-speed-pro-otc-soccer-sock-33723")</f>
        <v/>
      </c>
      <c r="B2961" t="inlineStr">
        <is>
          <t>undefined</t>
        </is>
      </c>
      <c r="C2961" t="inlineStr">
        <is>
          <t>adidas Team Speed Pro OTC Soccer Sock</t>
        </is>
      </c>
      <c r="D2961" t="inlineStr">
        <is>
          <t>adidas Team Speed 2 Soccer Socks for Boys, Girls, Men and Women (1-Pair)</t>
        </is>
      </c>
      <c r="E2961" s="2">
        <f>HYPERLINK("https://www.amazon.com/Speed-Soccer-Socks-Girls-1-Pair/dp/B077YQKHSW/ref=sr_1_8?keywords=adidas+Team+Speed+Pro+OTC+Soccer+Sock&amp;qid=1695171100&amp;sr=8-8", "https://www.amazon.com/Speed-Soccer-Socks-Girls-1-Pair/dp/B077YQKHSW/ref=sr_1_8?keywords=adidas+Team+Speed+Pro+OTC+Soccer+Sock&amp;qid=1695171100&amp;sr=8-8")</f>
        <v/>
      </c>
      <c r="F2961" t="inlineStr">
        <is>
          <t>B077YQKHSW</t>
        </is>
      </c>
      <c r="G2961">
        <f>_xludf.IMAGE("https://www.soccerplususa.com/prodimages/30899-DEFAULT-l.jpg")</f>
        <v/>
      </c>
      <c r="H2961">
        <f>_xludf.IMAGE("https://m.media-amazon.com/images/I/71z371lAvGL._AC_UL320_.jpg")</f>
        <v/>
      </c>
      <c r="K2961" t="inlineStr">
        <is>
          <t>17.99</t>
        </is>
      </c>
      <c r="L2961" t="n">
        <v>11.53</v>
      </c>
      <c r="M2961" s="1" t="inlineStr">
        <is>
          <t>-35.91%</t>
        </is>
      </c>
      <c r="N2961" s="3" t="n">
        <v>-35.91</v>
      </c>
      <c r="O2961" t="n">
        <v>4.7</v>
      </c>
      <c r="P2961" t="n">
        <v>1519</v>
      </c>
      <c r="R2961" t="inlineStr">
        <is>
          <t>InStock</t>
        </is>
      </c>
      <c r="S2961" t="inlineStr">
        <is>
          <t>undefined</t>
        </is>
      </c>
      <c r="T2961" t="inlineStr">
        <is>
          <t>5145704</t>
        </is>
      </c>
    </row>
    <row r="2962" hidden="1" ht="15.75" customHeight="1">
      <c r="A2962" s="2">
        <f>HYPERLINK("https://www.soccerplususa.com/adidas/adidas-alphaskin-tie-headband-43153", "https://www.soccerplususa.com/adidas/adidas-alphaskin-tie-headband-43153")</f>
        <v/>
      </c>
      <c r="B2962" t="inlineStr">
        <is>
          <t>undefined</t>
        </is>
      </c>
      <c r="C2962" t="inlineStr">
        <is>
          <t>adidas Alphaskin Tie Headband</t>
        </is>
      </c>
      <c r="D2962" t="inlineStr">
        <is>
          <t>adidas Unisex-Adult Alphaskin Tie Headband</t>
        </is>
      </c>
      <c r="E2962" s="2">
        <f>HYPERLINK("https://www.amazon.com/adidas-Alphaskin-Headband-Black-White/dp/B07K7DL3CS/ref=sr_1_1?keywords=adidas+Alphaskin+Tie+Headband&amp;qid=1695171084&amp;sr=8-1", "https://www.amazon.com/adidas-Alphaskin-Headband-Black-White/dp/B07K7DL3CS/ref=sr_1_1?keywords=adidas+Alphaskin+Tie+Headband&amp;qid=1695171084&amp;sr=8-1")</f>
        <v/>
      </c>
      <c r="F2962" t="inlineStr">
        <is>
          <t>B07K7DL3CS</t>
        </is>
      </c>
      <c r="G2962">
        <f>_xludf.IMAGE("https://www.soccerplususa.com/prodimages//36805-ROYALWHITE-M.jpg")</f>
        <v/>
      </c>
      <c r="H2962">
        <f>_xludf.IMAGE("https://m.media-amazon.com/images/I/71TPE88KktL._AC_UL320_.jpg")</f>
        <v/>
      </c>
      <c r="K2962" t="inlineStr">
        <is>
          <t>9.95</t>
        </is>
      </c>
      <c r="L2962" t="n">
        <v>6</v>
      </c>
      <c r="M2962" s="1" t="inlineStr">
        <is>
          <t>-39.70%</t>
        </is>
      </c>
      <c r="N2962" s="3" t="n">
        <v>-39.7</v>
      </c>
      <c r="O2962" t="n">
        <v>4.7</v>
      </c>
      <c r="P2962" t="n">
        <v>6054</v>
      </c>
      <c r="R2962" t="inlineStr">
        <is>
          <t>InStock</t>
        </is>
      </c>
      <c r="S2962" t="inlineStr">
        <is>
          <t>undefined</t>
        </is>
      </c>
      <c r="T2962" t="inlineStr">
        <is>
          <t>5147678</t>
        </is>
      </c>
    </row>
    <row r="2963" hidden="1" ht="15.75" customHeight="1">
      <c r="A2963" s="2">
        <f>HYPERLINK("https://www.soccerplususa.com/adidas/adidas-alphaskin-tie-headband-43150", "https://www.soccerplususa.com/adidas/adidas-alphaskin-tie-headband-43150")</f>
        <v/>
      </c>
      <c r="B2963" t="inlineStr">
        <is>
          <t>undefined</t>
        </is>
      </c>
      <c r="C2963" t="inlineStr">
        <is>
          <t>adidas Alphaskin Tie Headband</t>
        </is>
      </c>
      <c r="D2963" t="inlineStr">
        <is>
          <t>adidas Unisex-Adult Alphaskin Tie Headband</t>
        </is>
      </c>
      <c r="E2963" s="2">
        <f>HYPERLINK("https://www.amazon.com/adidas-Alphaskin-Headband-Black-White/dp/B07K7DL3CS/ref=sr_1_1?keywords=adidas+Alphaskin+Tie+Headband&amp;qid=1695171083&amp;sr=8-1", "https://www.amazon.com/adidas-Alphaskin-Headband-Black-White/dp/B07K7DL3CS/ref=sr_1_1?keywords=adidas+Alphaskin+Tie+Headband&amp;qid=1695171083&amp;sr=8-1")</f>
        <v/>
      </c>
      <c r="F2963" t="inlineStr">
        <is>
          <t>B07K7DL3CS</t>
        </is>
      </c>
      <c r="G2963">
        <f>_xludf.IMAGE("https://www.soccerplususa.com/prodimages//36807-BLACKWHITE-M.jpg")</f>
        <v/>
      </c>
      <c r="H2963">
        <f>_xludf.IMAGE("https://m.media-amazon.com/images/I/71TPE88KktL._AC_UL320_.jpg")</f>
        <v/>
      </c>
      <c r="K2963" t="inlineStr">
        <is>
          <t>9.95</t>
        </is>
      </c>
      <c r="L2963" t="n">
        <v>6</v>
      </c>
      <c r="M2963" s="1" t="inlineStr">
        <is>
          <t>-39.70%</t>
        </is>
      </c>
      <c r="N2963" s="3" t="n">
        <v>-39.7</v>
      </c>
      <c r="O2963" t="n">
        <v>4.7</v>
      </c>
      <c r="P2963" t="n">
        <v>6054</v>
      </c>
      <c r="R2963" t="inlineStr">
        <is>
          <t>InStock</t>
        </is>
      </c>
      <c r="S2963" t="inlineStr">
        <is>
          <t>undefined</t>
        </is>
      </c>
      <c r="T2963" t="inlineStr">
        <is>
          <t>5147633</t>
        </is>
      </c>
    </row>
    <row r="2964" hidden="1" ht="15.75" customHeight="1">
      <c r="A2964" s="2">
        <f>HYPERLINK("https://www.soccerplususa.com/nike/nike-drifit-strike-winter-warrior-snood-41004", "https://www.soccerplususa.com/nike/nike-drifit-strike-winter-warrior-snood-41004")</f>
        <v/>
      </c>
      <c r="B2964" t="inlineStr">
        <is>
          <t>undefined</t>
        </is>
      </c>
      <c r="C2964" t="inlineStr">
        <is>
          <t>Nike Dri-FIT Strike Winter Warrior Snood</t>
        </is>
      </c>
      <c r="D2964" t="inlineStr">
        <is>
          <t>Nike Adult Dri-FIT Strike Winter Warrior Snood (B(DC9165-455)/V, Small/Medium)</t>
        </is>
      </c>
      <c r="E2964" s="2">
        <f>HYPERLINK("https://www.amazon.com/Nike-Dri-FIT-Strike-Warrior-DC9165-455/dp/B09T697SSH/ref=sr_1_3?keywords=Nike+Dri-FIT+Strike+Winter+Warrior+Snood&amp;qid=1695171083&amp;sr=8-3", "https://www.amazon.com/Nike-Dri-FIT-Strike-Warrior-DC9165-455/dp/B09T697SSH/ref=sr_1_3?keywords=Nike+Dri-FIT+Strike+Winter+Warrior+Snood&amp;qid=1695171083&amp;sr=8-3")</f>
        <v/>
      </c>
      <c r="F2964" t="inlineStr">
        <is>
          <t>B09T697SSH</t>
        </is>
      </c>
      <c r="G2964">
        <f>_xludf.IMAGE("https://www.soccerplususa.com/prodimages//34491-BLACKWHITE-M.jpg")</f>
        <v/>
      </c>
      <c r="H2964">
        <f>_xludf.IMAGE("https://m.media-amazon.com/images/I/71fiI2lpZFL._AC_UL320_.jpg")</f>
        <v/>
      </c>
      <c r="K2964" t="inlineStr">
        <is>
          <t>19.95</t>
        </is>
      </c>
      <c r="L2964" t="n">
        <v>11.95</v>
      </c>
      <c r="M2964" s="1" t="inlineStr">
        <is>
          <t>-40.10%</t>
        </is>
      </c>
      <c r="N2964" s="3" t="n">
        <v>-40.1</v>
      </c>
      <c r="O2964" t="n">
        <v>4.3</v>
      </c>
      <c r="P2964" t="n">
        <v>3</v>
      </c>
      <c r="R2964" t="inlineStr">
        <is>
          <t>InStock</t>
        </is>
      </c>
      <c r="S2964" t="inlineStr">
        <is>
          <t>undefined</t>
        </is>
      </c>
      <c r="T2964" t="inlineStr">
        <is>
          <t>DC9165-010</t>
        </is>
      </c>
    </row>
    <row r="2965" hidden="1" ht="15.75" customHeight="1">
      <c r="A2965" s="2">
        <f>HYPERLINK("https://www.soccerplususa.com/adidas/adidas-juventus-teamgeist-cap-42054", "https://www.soccerplususa.com/adidas/adidas-juventus-teamgeist-cap-42054")</f>
        <v/>
      </c>
      <c r="B2965" t="inlineStr">
        <is>
          <t>undefined</t>
        </is>
      </c>
      <c r="C2965" t="inlineStr">
        <is>
          <t>adidas Juventus Teamgeist Cap</t>
        </is>
      </c>
      <c r="D2965" t="inlineStr">
        <is>
          <t>adidas unisex-adult Juventus Dad Cap</t>
        </is>
      </c>
      <c r="E2965" s="2">
        <f>HYPERLINK("https://www.amazon.com/adidas-Standard-Juventus-Shock-Yellow/dp/B08MVX18SV/ref=sr_1_2?keywords=adidas+Juventus+Teamgeist+Cap&amp;qid=1695171083&amp;sr=8-2", "https://www.amazon.com/adidas-Standard-Juventus-Shock-Yellow/dp/B08MVX18SV/ref=sr_1_2?keywords=adidas+Juventus+Teamgeist+Cap&amp;qid=1695171083&amp;sr=8-2")</f>
        <v/>
      </c>
      <c r="F2965" t="inlineStr">
        <is>
          <t>B08MVX18SV</t>
        </is>
      </c>
      <c r="G2965">
        <f>_xludf.IMAGE("https://www.soccerplususa.com/prodimages//34758-HiRes_BlueWhite-M.jpg")</f>
        <v/>
      </c>
      <c r="H2965">
        <f>_xludf.IMAGE("https://m.media-amazon.com/images/I/615kLbNbJFL._AC_UL320_.jpg")</f>
        <v/>
      </c>
      <c r="K2965" t="inlineStr">
        <is>
          <t>34.95</t>
        </is>
      </c>
      <c r="L2965" t="n">
        <v>19.99</v>
      </c>
      <c r="M2965" s="1" t="inlineStr">
        <is>
          <t>-42.80%</t>
        </is>
      </c>
      <c r="N2965" s="3" t="n">
        <v>-42.8</v>
      </c>
      <c r="O2965" t="n">
        <v>4.7</v>
      </c>
      <c r="P2965" t="n">
        <v>5</v>
      </c>
      <c r="R2965" t="inlineStr">
        <is>
          <t>InStock</t>
        </is>
      </c>
      <c r="S2965" t="inlineStr">
        <is>
          <t>undefined</t>
        </is>
      </c>
      <c r="T2965" t="inlineStr">
        <is>
          <t>H59690</t>
        </is>
      </c>
    </row>
    <row r="2966" hidden="1" ht="15.75" customHeight="1">
      <c r="A2966" s="2">
        <f>HYPERLINK("https://www.soccerplususa.com/puma/puma-hoop-soccer-sock-37931", "https://www.soccerplususa.com/puma/puma-hoop-soccer-sock-37931")</f>
        <v/>
      </c>
      <c r="B2966" t="inlineStr">
        <is>
          <t>undefined</t>
        </is>
      </c>
      <c r="C2966" t="inlineStr">
        <is>
          <t>Puma Hoop Soccer Sock</t>
        </is>
      </c>
      <c r="D2966" t="inlineStr">
        <is>
          <t>Soccer Sock stoppers Thin-Puma White-One Size</t>
        </is>
      </c>
      <c r="E2966" s="2">
        <f>HYPERLINK("https://www.amazon.com/PUMA-05063701-Sock-stoppers-Thin/dp/B07NXCW9HF/ref=sr_1_1?keywords=Puma+Hoop+Soccer+Sock&amp;qid=1695171086&amp;sr=8-1", "https://www.amazon.com/PUMA-05063701-Sock-stoppers-Thin/dp/B07NXCW9HF/ref=sr_1_1?keywords=Puma+Hoop+Soccer+Sock&amp;qid=1695171086&amp;sr=8-1")</f>
        <v/>
      </c>
      <c r="F2966" t="inlineStr">
        <is>
          <t>B07NXCW9HF</t>
        </is>
      </c>
      <c r="G2966">
        <f>_xludf.IMAGE("https://www.soccerplususa.com/prodimages//36782-REDWHITE-M.jpg")</f>
        <v/>
      </c>
      <c r="H2966">
        <f>_xludf.IMAGE("https://m.media-amazon.com/images/I/51gXouhDmDL._AC_UL320_.jpg")</f>
        <v/>
      </c>
      <c r="K2966" t="inlineStr">
        <is>
          <t>8.99</t>
        </is>
      </c>
      <c r="L2966" t="n">
        <v>5</v>
      </c>
      <c r="M2966" s="1" t="inlineStr">
        <is>
          <t>-44.38%</t>
        </is>
      </c>
      <c r="N2966" s="3" t="n">
        <v>-44.38</v>
      </c>
      <c r="O2966" t="n">
        <v>4.2</v>
      </c>
      <c r="P2966" t="n">
        <v>6</v>
      </c>
      <c r="R2966" t="inlineStr">
        <is>
          <t>InStock</t>
        </is>
      </c>
      <c r="S2966" t="inlineStr">
        <is>
          <t>9.95</t>
        </is>
      </c>
      <c r="T2966" t="inlineStr">
        <is>
          <t>895854-01</t>
        </is>
      </c>
    </row>
    <row r="2967" hidden="1" ht="15.75" customHeight="1">
      <c r="A2967" s="2">
        <f>HYPERLINK("https://www.soccerplususa.com/nike/hyperwarm-field-player-glove-youth-26004", "https://www.soccerplususa.com/nike/hyperwarm-field-player-glove-youth-26004")</f>
        <v/>
      </c>
      <c r="B2967" t="inlineStr">
        <is>
          <t>undefined</t>
        </is>
      </c>
      <c r="C2967" t="inlineStr">
        <is>
          <t>Hyperwarm Field Player Glove Youth</t>
        </is>
      </c>
      <c r="D2967" t="inlineStr">
        <is>
          <t>Defiance by Laceeze Outfield Player Grip Gloves, Thermal, Water Resistant, Medium Youth</t>
        </is>
      </c>
      <c r="E2967" s="2">
        <f>HYPERLINK("https://www.amazon.com/Defiance-Laceeze-Outfield-Thermal-Resistant/dp/B00P4N8BBI/ref=sr_1_6?keywords=Hyperwarm+Field+Player+Glove+Youth&amp;qid=1695171099&amp;sr=8-6", "https://www.amazon.com/Defiance-Laceeze-Outfield-Thermal-Resistant/dp/B00P4N8BBI/ref=sr_1_6?keywords=Hyperwarm+Field+Player+Glove+Youth&amp;qid=1695171099&amp;sr=8-6")</f>
        <v/>
      </c>
      <c r="F2967" t="inlineStr">
        <is>
          <t>B00P4N8BBI</t>
        </is>
      </c>
      <c r="G2967">
        <f>_xludf.IMAGE("https://www.soccerplususa.com/prodimages/3679-DEFAULT-l.jpg")</f>
        <v/>
      </c>
      <c r="H2967">
        <f>_xludf.IMAGE("https://m.media-amazon.com/images/I/71XatrDrj7L._AC_UL320_.jpg")</f>
        <v/>
      </c>
      <c r="K2967" t="inlineStr">
        <is>
          <t>29.95</t>
        </is>
      </c>
      <c r="L2967" t="n">
        <v>14.99</v>
      </c>
      <c r="M2967" s="1" t="inlineStr">
        <is>
          <t>-49.95%</t>
        </is>
      </c>
      <c r="N2967" s="3" t="n">
        <v>-49.95</v>
      </c>
      <c r="O2967" t="n">
        <v>4.4</v>
      </c>
      <c r="P2967" t="n">
        <v>32</v>
      </c>
      <c r="R2967" t="inlineStr">
        <is>
          <t>InStock</t>
        </is>
      </c>
      <c r="S2967" t="inlineStr">
        <is>
          <t>undefined</t>
        </is>
      </c>
      <c r="T2967" t="inlineStr">
        <is>
          <t>GS0322-010</t>
        </is>
      </c>
    </row>
    <row r="2968" hidden="1" ht="15.75" customHeight="1">
      <c r="A2968" s="2">
        <f>HYPERLINK("https://www.soccerplususa.com/adidas/adidas-tiro-glove-39774", "https://www.soccerplususa.com/adidas/adidas-tiro-glove-39774")</f>
        <v/>
      </c>
      <c r="B2968" t="inlineStr">
        <is>
          <t>undefined</t>
        </is>
      </c>
      <c r="C2968" t="inlineStr">
        <is>
          <t>adidas Tiro Glove</t>
        </is>
      </c>
      <c r="D2968" t="inlineStr">
        <is>
          <t>adidas Unisex-Adult Tiro Glove</t>
        </is>
      </c>
      <c r="E2968" s="2">
        <f>HYPERLINK("https://www.amazon.com/adidas-unisex-adult-Glove-Black-Medium/dp/B087R4CVRC/ref=sr_1_1?keywords=adidas+Tiro+Glove&amp;qid=1695171085&amp;sr=8-1", "https://www.amazon.com/adidas-unisex-adult-Glove-Black-Medium/dp/B087R4CVRC/ref=sr_1_1?keywords=adidas+Tiro+Glove&amp;qid=1695171085&amp;sr=8-1")</f>
        <v/>
      </c>
      <c r="F2968" t="inlineStr">
        <is>
          <t>B087R4CVRC</t>
        </is>
      </c>
      <c r="G2968">
        <f>_xludf.IMAGE("https://www.soccerplususa.com/prodimages/32961-DEFAULT-l.jpg")</f>
        <v/>
      </c>
      <c r="H2968">
        <f>_xludf.IMAGE("https://m.media-amazon.com/images/I/81-vYjCmANL._AC_UL320_.jpg")</f>
        <v/>
      </c>
      <c r="K2968" t="inlineStr">
        <is>
          <t>24.95</t>
        </is>
      </c>
      <c r="L2968" t="n">
        <v>9.859999999999999</v>
      </c>
      <c r="M2968" s="1" t="inlineStr">
        <is>
          <t>-60.48%</t>
        </is>
      </c>
      <c r="N2968" s="3" t="n">
        <v>-60.48</v>
      </c>
      <c r="O2968" t="n">
        <v>4.4</v>
      </c>
      <c r="P2968" t="n">
        <v>34</v>
      </c>
      <c r="R2968" t="inlineStr">
        <is>
          <t>InStock</t>
        </is>
      </c>
      <c r="S2968" t="inlineStr">
        <is>
          <t>undefined</t>
        </is>
      </c>
      <c r="T2968" t="inlineStr">
        <is>
          <t>GH7252</t>
        </is>
      </c>
    </row>
    <row r="2969" hidden="1" ht="15.75" customHeight="1">
      <c r="A2969" s="2">
        <f>HYPERLINK("https://www.soccerplususa.com/nike/nike-tiempo-jersey-youth-17487", "https://www.soccerplususa.com/nike/nike-tiempo-jersey-youth-17487")</f>
        <v/>
      </c>
      <c r="B2969" t="inlineStr">
        <is>
          <t>undefined</t>
        </is>
      </c>
      <c r="C2969" t="inlineStr">
        <is>
          <t>Nike Tiempo Jersey Youth</t>
        </is>
      </c>
      <c r="D2969" t="inlineStr">
        <is>
          <t>Nike Youth Paris Saint-Germain Third Jersey 2019-2020</t>
        </is>
      </c>
      <c r="E2969" s="2">
        <f>HYPERLINK("https://www.amazon.com/Nike-2019-20-Youth-Third-Jersey/dp/B07WS17R28/ref=sr_1_3?keywords=Nike+Tiempo+Jersey+Youth&amp;qid=1695171182&amp;sr=8-3", "https://www.amazon.com/Nike-2019-20-Youth-Third-Jersey/dp/B07WS17R28/ref=sr_1_3?keywords=Nike+Tiempo+Jersey+Youth&amp;qid=1695171182&amp;sr=8-3")</f>
        <v/>
      </c>
      <c r="F2969" t="inlineStr">
        <is>
          <t>B07WS17R28</t>
        </is>
      </c>
      <c r="G2969">
        <f>_xludf.IMAGE("https://www.soccerplususa.com/prodimages/2423-DEFAULT-l.jpg")</f>
        <v/>
      </c>
      <c r="H2969">
        <f>_xludf.IMAGE("https://m.media-amazon.com/images/I/71o+UlCTxLL._AC_UL320_.jpg")</f>
        <v/>
      </c>
      <c r="K2969" t="inlineStr">
        <is>
          <t>8.5</t>
        </is>
      </c>
      <c r="L2969" t="n">
        <v>74.98999999999999</v>
      </c>
      <c r="M2969" s="1" t="inlineStr">
        <is>
          <t>782.24%</t>
        </is>
      </c>
      <c r="N2969" s="3" t="n">
        <v>782.24</v>
      </c>
      <c r="O2969" t="n">
        <v>3.6</v>
      </c>
      <c r="P2969" t="n">
        <v>59</v>
      </c>
      <c r="R2969" t="inlineStr">
        <is>
          <t>InStock</t>
        </is>
      </c>
      <c r="S2969" t="inlineStr">
        <is>
          <t>16.95</t>
        </is>
      </c>
      <c r="T2969" t="inlineStr">
        <is>
          <t>269753-494</t>
        </is>
      </c>
    </row>
    <row r="2970" ht="75" customHeight="1">
      <c r="A2970" s="2">
        <f>HYPERLINK("https://www.soccerplususa.com/nike/nike-tiempo-jersey-youth-17487", "https://www.soccerplususa.com/nike/nike-tiempo-jersey-youth-17487")</f>
        <v/>
      </c>
      <c r="B2970" t="inlineStr">
        <is>
          <t>undefined</t>
        </is>
      </c>
      <c r="C2970" t="inlineStr">
        <is>
          <t>Nike Tiempo Jersey Youth</t>
        </is>
      </c>
      <c r="D2970" t="inlineStr">
        <is>
          <t>Nike Korea Home Youth Stadium Soccer Jersey- 2020/21</t>
        </is>
      </c>
      <c r="E2970" s="2">
        <f>HYPERLINK("https://www.amazon.com/Nike-Korea-Youth-Soccer-Jersey/dp/B08HW1ZXB4/ref=sr_1_4?keywords=Nike+Tiempo+Jersey+Youth&amp;qid=1695171182&amp;sr=8-4", "https://www.amazon.com/Nike-Korea-Youth-Soccer-Jersey/dp/B08HW1ZXB4/ref=sr_1_4?keywords=Nike+Tiempo+Jersey+Youth&amp;qid=1695171182&amp;sr=8-4")</f>
        <v/>
      </c>
      <c r="F2970" t="inlineStr">
        <is>
          <t>B08HW1ZXB4</t>
        </is>
      </c>
      <c r="G2970">
        <f>_xlfn.IMAGE("https://www.soccerplususa.com/prodimages/2423-DEFAULT-l.jpg")</f>
        <v/>
      </c>
      <c r="H2970">
        <f>_xlfn.IMAGE("https://m.media-amazon.com/images/I/61B5dJ145oL._AC_UL320_.jpg")</f>
        <v/>
      </c>
      <c r="K2970" t="inlineStr">
        <is>
          <t>8.5</t>
        </is>
      </c>
      <c r="L2970" t="n">
        <v>74.98999999999999</v>
      </c>
      <c r="M2970" s="1" t="inlineStr">
        <is>
          <t>782.24%</t>
        </is>
      </c>
      <c r="N2970" s="3" t="n">
        <v>782.24</v>
      </c>
      <c r="O2970" t="n">
        <v>4.6</v>
      </c>
      <c r="P2970" t="n">
        <v>5</v>
      </c>
      <c r="R2970" t="inlineStr">
        <is>
          <t>InStock</t>
        </is>
      </c>
      <c r="S2970" t="inlineStr">
        <is>
          <t>16.95</t>
        </is>
      </c>
      <c r="T2970" t="inlineStr">
        <is>
          <t>269753-494</t>
        </is>
      </c>
    </row>
    <row r="2971" ht="75" customHeight="1">
      <c r="A2971" s="2">
        <f>HYPERLINK("https://www.soccerplususa.com/nike/nike-tiempo-jersey-youth-17487", "https://www.soccerplususa.com/nike/nike-tiempo-jersey-youth-17487")</f>
        <v/>
      </c>
      <c r="B2971" t="inlineStr">
        <is>
          <t>undefined</t>
        </is>
      </c>
      <c r="C2971" t="inlineStr">
        <is>
          <t>Nike Tiempo Jersey Youth</t>
        </is>
      </c>
      <c r="D2971" t="inlineStr">
        <is>
          <t>Nike 2020-21 USA Away Youth Jersey - Navy</t>
        </is>
      </c>
      <c r="E2971" s="2">
        <f>HYPERLINK("https://www.amazon.com/Nike-2020-21-Away-Youth-Jersey/dp/B088C567GY/ref=sr_1_9?keywords=Nike+Tiempo+Jersey+Youth&amp;qid=1695171182&amp;sr=8-9", "https://www.amazon.com/Nike-2020-21-Away-Youth-Jersey/dp/B088C567GY/ref=sr_1_9?keywords=Nike+Tiempo+Jersey+Youth&amp;qid=1695171182&amp;sr=8-9")</f>
        <v/>
      </c>
      <c r="F2971" t="inlineStr">
        <is>
          <t>B088C567GY</t>
        </is>
      </c>
      <c r="G2971">
        <f>_xlfn.IMAGE("https://www.soccerplususa.com/prodimages/2423-DEFAULT-l.jpg")</f>
        <v/>
      </c>
      <c r="H2971">
        <f>_xlfn.IMAGE("https://m.media-amazon.com/images/I/6116LBkI6UL._AC_UL320_.jpg")</f>
        <v/>
      </c>
      <c r="K2971" t="inlineStr">
        <is>
          <t>8.5</t>
        </is>
      </c>
      <c r="L2971" t="n">
        <v>74.98999999999999</v>
      </c>
      <c r="M2971" s="1" t="inlineStr">
        <is>
          <t>782.24%</t>
        </is>
      </c>
      <c r="N2971" s="3" t="n">
        <v>782.24</v>
      </c>
      <c r="O2971" t="n">
        <v>4.8</v>
      </c>
      <c r="P2971" t="n">
        <v>22</v>
      </c>
      <c r="R2971" t="inlineStr">
        <is>
          <t>InStock</t>
        </is>
      </c>
      <c r="S2971" t="inlineStr">
        <is>
          <t>16.95</t>
        </is>
      </c>
      <c r="T2971" t="inlineStr">
        <is>
          <t>269753-494</t>
        </is>
      </c>
    </row>
    <row r="2972" ht="75" customHeight="1">
      <c r="A2972" s="2">
        <f>HYPERLINK("https://www.soccerplususa.com/nike/nike-striker-jersey-youth-21298", "https://www.soccerplususa.com/nike/nike-striker-jersey-youth-21298")</f>
        <v/>
      </c>
      <c r="B2972" t="inlineStr">
        <is>
          <t>undefined</t>
        </is>
      </c>
      <c r="C2972" t="inlineStr">
        <is>
          <t>Nike Striker Jersey Youth</t>
        </is>
      </c>
      <c r="D2972" t="inlineStr">
        <is>
          <t>Nike USA Youth Home Soccer Jersey- Morgan #13</t>
        </is>
      </c>
      <c r="E2972" s="2">
        <f>HYPERLINK("https://www.amazon.com/Nike-Youth-Soccer-Jersey-Morgan/dp/B082P75S1W/ref=sr_1_2?keywords=Nike+Striker+Jersey+Youth&amp;qid=1695171175&amp;sr=8-2", "https://www.amazon.com/Nike-Youth-Soccer-Jersey-Morgan/dp/B082P75S1W/ref=sr_1_2?keywords=Nike+Striker+Jersey+Youth&amp;qid=1695171175&amp;sr=8-2")</f>
        <v/>
      </c>
      <c r="F2972" t="inlineStr">
        <is>
          <t>B082P75S1W</t>
        </is>
      </c>
      <c r="G2972">
        <f>_xlfn.IMAGE("https://www.soccerplususa.com/prodimages/7627-DEFAULT-l.jpg")</f>
        <v/>
      </c>
      <c r="H2972">
        <f>_xlfn.IMAGE("https://m.media-amazon.com/images/I/61t-hrFgO9L._AC_UL320_.jpg")</f>
        <v/>
      </c>
      <c r="K2972" t="inlineStr">
        <is>
          <t>12.5</t>
        </is>
      </c>
      <c r="L2972" t="n">
        <v>109.99</v>
      </c>
      <c r="M2972" s="1" t="inlineStr">
        <is>
          <t>779.92%</t>
        </is>
      </c>
      <c r="N2972" s="3" t="n">
        <v>779.92</v>
      </c>
      <c r="O2972" t="n">
        <v>4</v>
      </c>
      <c r="P2972" t="n">
        <v>10</v>
      </c>
      <c r="R2972" t="inlineStr">
        <is>
          <t>InStock</t>
        </is>
      </c>
      <c r="S2972" t="inlineStr">
        <is>
          <t>24.95</t>
        </is>
      </c>
      <c r="T2972" t="inlineStr">
        <is>
          <t>520590-888</t>
        </is>
      </c>
    </row>
    <row r="2973" ht="75" customHeight="1">
      <c r="A2973" s="2">
        <f>HYPERLINK("https://www.soccerplususa.com/nike/nike-striker-jersey-youth-21298", "https://www.soccerplususa.com/nike/nike-striker-jersey-youth-21298")</f>
        <v/>
      </c>
      <c r="B2973" t="inlineStr">
        <is>
          <t>undefined</t>
        </is>
      </c>
      <c r="C2973" t="inlineStr">
        <is>
          <t>Nike Striker Jersey Youth</t>
        </is>
      </c>
      <c r="D2973" t="inlineStr">
        <is>
          <t>Nike US Away Youth Jersey Morgan #13</t>
        </is>
      </c>
      <c r="E2973" s="2">
        <f>HYPERLINK("https://www.amazon.com/Nike-Youth-Jersey-Morgan-X-Large/dp/B07T24NRRJ/ref=sr_1_4?keywords=Nike+Striker+Jersey+Youth&amp;qid=1695171175&amp;sr=8-4", "https://www.amazon.com/Nike-Youth-Jersey-Morgan-X-Large/dp/B07T24NRRJ/ref=sr_1_4?keywords=Nike+Striker+Jersey+Youth&amp;qid=1695171175&amp;sr=8-4")</f>
        <v/>
      </c>
      <c r="F2973" t="inlineStr">
        <is>
          <t>B07T24NRRJ</t>
        </is>
      </c>
      <c r="G2973">
        <f>_xlfn.IMAGE("https://www.soccerplususa.com/prodimages/7627-DEFAULT-l.jpg")</f>
        <v/>
      </c>
      <c r="H2973">
        <f>_xlfn.IMAGE("https://m.media-amazon.com/images/I/71mOYpufrLL._AC_UL320_.jpg")</f>
        <v/>
      </c>
      <c r="K2973" t="inlineStr">
        <is>
          <t>12.5</t>
        </is>
      </c>
      <c r="L2973" t="n">
        <v>99.98999999999999</v>
      </c>
      <c r="M2973" s="1" t="inlineStr">
        <is>
          <t>699.92%</t>
        </is>
      </c>
      <c r="N2973" s="3" t="n">
        <v>699.92</v>
      </c>
      <c r="O2973" t="n">
        <v>5</v>
      </c>
      <c r="P2973" t="n">
        <v>2</v>
      </c>
      <c r="R2973" t="inlineStr">
        <is>
          <t>InStock</t>
        </is>
      </c>
      <c r="S2973" t="inlineStr">
        <is>
          <t>24.95</t>
        </is>
      </c>
      <c r="T2973" t="inlineStr">
        <is>
          <t>520590-888</t>
        </is>
      </c>
    </row>
    <row r="2974" ht="75" customHeight="1">
      <c r="A2974" s="2">
        <f>HYPERLINK("https://www.soccerplususa.com/adidas/adidas-estro-15-jersey-youth-7851", "https://www.soccerplususa.com/adidas/adidas-estro-15-jersey-youth-7851")</f>
        <v/>
      </c>
      <c r="B2974" t="inlineStr">
        <is>
          <t>undefined</t>
        </is>
      </c>
      <c r="C2974" t="inlineStr">
        <is>
          <t>adidas Estro 15 Jersey Youth</t>
        </is>
      </c>
      <c r="D2974" t="inlineStr">
        <is>
          <t>adidas Estro 15 Short Sleeve Jersey - Youth - Red/White - Age 7-8</t>
        </is>
      </c>
      <c r="E2974" s="2">
        <f>HYPERLINK("https://www.amazon.com/adidas-Estro-Short-Sleeve-Jersey/dp/B00T7YORJ0/ref=sr_1_2?keywords=adidas+Estro+15+Jersey+Youth&amp;qid=1695171200&amp;sr=8-2", "https://www.amazon.com/adidas-Estro-Short-Sleeve-Jersey/dp/B00T7YORJ0/ref=sr_1_2?keywords=adidas+Estro+15+Jersey+Youth&amp;qid=1695171200&amp;sr=8-2")</f>
        <v/>
      </c>
      <c r="F2974" t="inlineStr">
        <is>
          <t>B00T7YORJ0</t>
        </is>
      </c>
      <c r="G2974">
        <f>_xlfn.IMAGE("https://www.soccerplususa.com/prodimages/5098-DEFAULT-l.jpg")</f>
        <v/>
      </c>
      <c r="H2974">
        <f>_xlfn.IMAGE("https://m.media-amazon.com/images/I/815FTmTIw8L._AC_UL320_.jpg")</f>
        <v/>
      </c>
      <c r="K2974" t="inlineStr">
        <is>
          <t>10.0</t>
        </is>
      </c>
      <c r="L2974" t="n">
        <v>79.98999999999999</v>
      </c>
      <c r="M2974" s="1" t="inlineStr">
        <is>
          <t>699.90%</t>
        </is>
      </c>
      <c r="N2974" s="3" t="n">
        <v>699.9</v>
      </c>
      <c r="O2974" t="n">
        <v>4</v>
      </c>
      <c r="P2974" t="n">
        <v>1</v>
      </c>
      <c r="R2974" t="inlineStr">
        <is>
          <t>InStock</t>
        </is>
      </c>
      <c r="S2974" t="inlineStr">
        <is>
          <t>19.95</t>
        </is>
      </c>
      <c r="T2974" t="inlineStr">
        <is>
          <t>S17298</t>
        </is>
      </c>
    </row>
    <row r="2975" ht="75" customHeight="1">
      <c r="A2975" s="2">
        <f>HYPERLINK("https://www.soccerplususa.com/adidas/adidas-estro-15-jersey-youth-7852", "https://www.soccerplususa.com/adidas/adidas-estro-15-jersey-youth-7852")</f>
        <v/>
      </c>
      <c r="B2975" t="inlineStr">
        <is>
          <t>undefined</t>
        </is>
      </c>
      <c r="C2975" t="inlineStr">
        <is>
          <t>adidas Estro 15 Jersey Youth</t>
        </is>
      </c>
      <c r="D2975" t="inlineStr">
        <is>
          <t>adidas Estro 15 Short Sleeve Jersey - Youth - Red/White - Age 7-8</t>
        </is>
      </c>
      <c r="E2975" s="2">
        <f>HYPERLINK("https://www.amazon.com/adidas-Estro-Short-Sleeve-Jersey/dp/B00T7YORJ0/ref=sr_1_1?keywords=adidas+Estro+15+Jersey+Youth&amp;qid=1695171202&amp;sr=8-1", "https://www.amazon.com/adidas-Estro-Short-Sleeve-Jersey/dp/B00T7YORJ0/ref=sr_1_1?keywords=adidas+Estro+15+Jersey+Youth&amp;qid=1695171202&amp;sr=8-1")</f>
        <v/>
      </c>
      <c r="F2975" t="inlineStr">
        <is>
          <t>B00T7YORJ0</t>
        </is>
      </c>
      <c r="G2975">
        <f>_xlfn.IMAGE("https://www.soccerplususa.com/prodimages/5099-DEFAULT-l.jpg")</f>
        <v/>
      </c>
      <c r="H2975">
        <f>_xlfn.IMAGE("https://m.media-amazon.com/images/I/815FTmTIw8L._AC_UL320_.jpg")</f>
        <v/>
      </c>
      <c r="K2975" t="inlineStr">
        <is>
          <t>10.0</t>
        </is>
      </c>
      <c r="L2975" t="n">
        <v>79.98999999999999</v>
      </c>
      <c r="M2975" s="1" t="inlineStr">
        <is>
          <t>699.90%</t>
        </is>
      </c>
      <c r="N2975" s="3" t="n">
        <v>699.9</v>
      </c>
      <c r="O2975" t="n">
        <v>4</v>
      </c>
      <c r="P2975" t="n">
        <v>1</v>
      </c>
      <c r="R2975" t="inlineStr">
        <is>
          <t>InStock</t>
        </is>
      </c>
      <c r="S2975" t="inlineStr">
        <is>
          <t>19.95</t>
        </is>
      </c>
      <c r="T2975" t="inlineStr">
        <is>
          <t>S17299</t>
        </is>
      </c>
    </row>
    <row r="2976" ht="75" customHeight="1">
      <c r="A2976" s="2">
        <f>HYPERLINK("https://www.soccerplususa.com/nike/nike-challenge-jersey-youth-34517", "https://www.soccerplususa.com/nike/nike-challenge-jersey-youth-34517")</f>
        <v/>
      </c>
      <c r="B2976" t="inlineStr">
        <is>
          <t>undefined</t>
        </is>
      </c>
      <c r="C2976" t="inlineStr">
        <is>
          <t>Nike Challenge Jersey Youth</t>
        </is>
      </c>
      <c r="D2976" t="inlineStr">
        <is>
          <t>Nike US Away Youth Jersey Morgan #13</t>
        </is>
      </c>
      <c r="E2976" s="2">
        <f>HYPERLINK("https://www.amazon.com/Nike-Youth-Jersey-Morgan-X-Large/dp/B07T24NRRJ/ref=sr_1_8?keywords=Nike+Challenge+Jersey+Youth&amp;qid=1695171163&amp;sr=8-8", "https://www.amazon.com/Nike-Youth-Jersey-Morgan-X-Large/dp/B07T24NRRJ/ref=sr_1_8?keywords=Nike+Challenge+Jersey+Youth&amp;qid=1695171163&amp;sr=8-8")</f>
        <v/>
      </c>
      <c r="F2976" t="inlineStr">
        <is>
          <t>B07T24NRRJ</t>
        </is>
      </c>
      <c r="G2976">
        <f>_xlfn.IMAGE("https://www.soccerplususa.com/prodimages/7623-DEFAULT-l.jpg")</f>
        <v/>
      </c>
      <c r="H2976">
        <f>_xlfn.IMAGE("https://m.media-amazon.com/images/I/71mOYpufrLL._AC_UL320_.jpg")</f>
        <v/>
      </c>
      <c r="K2976" t="inlineStr">
        <is>
          <t>15.0</t>
        </is>
      </c>
      <c r="L2976" t="n">
        <v>99.98999999999999</v>
      </c>
      <c r="M2976" s="1" t="inlineStr">
        <is>
          <t>566.60%</t>
        </is>
      </c>
      <c r="N2976" s="3" t="n">
        <v>566.6</v>
      </c>
      <c r="O2976" t="n">
        <v>5</v>
      </c>
      <c r="P2976" t="n">
        <v>2</v>
      </c>
      <c r="R2976" t="inlineStr">
        <is>
          <t>InStock</t>
        </is>
      </c>
      <c r="S2976" t="inlineStr">
        <is>
          <t>29.95</t>
        </is>
      </c>
      <c r="T2976" t="inlineStr">
        <is>
          <t>645921-156</t>
        </is>
      </c>
    </row>
    <row r="2977" ht="75" customHeight="1">
      <c r="A2977" s="2">
        <f>HYPERLINK("https://www.soccerplususa.com/nike/nike-challenge-jersey-youth-22840", "https://www.soccerplususa.com/nike/nike-challenge-jersey-youth-22840")</f>
        <v/>
      </c>
      <c r="B2977" t="inlineStr">
        <is>
          <t>undefined</t>
        </is>
      </c>
      <c r="C2977" t="inlineStr">
        <is>
          <t>Nike Challenge Jersey Youth</t>
        </is>
      </c>
      <c r="D2977" t="inlineStr">
        <is>
          <t>Nike US Away Youth Jersey Morgan #13</t>
        </is>
      </c>
      <c r="E2977" s="2">
        <f>HYPERLINK("https://www.amazon.com/Nike-Youth-Jersey-Morgan-X-Large/dp/B07T24NRRJ/ref=sr_1_6?keywords=Nike+Challenge+Jersey+Youth&amp;qid=1695171191&amp;sr=8-6", "https://www.amazon.com/Nike-Youth-Jersey-Morgan-X-Large/dp/B07T24NRRJ/ref=sr_1_6?keywords=Nike+Challenge+Jersey+Youth&amp;qid=1695171191&amp;sr=8-6")</f>
        <v/>
      </c>
      <c r="F2977" t="inlineStr">
        <is>
          <t>B07T24NRRJ</t>
        </is>
      </c>
      <c r="G2977">
        <f>_xlfn.IMAGE("https://www.soccerplususa.com/prodimages/7622-DEFAULT-l.jpg")</f>
        <v/>
      </c>
      <c r="H2977">
        <f>_xlfn.IMAGE("https://m.media-amazon.com/images/I/71mOYpufrLL._AC_UL320_.jpg")</f>
        <v/>
      </c>
      <c r="K2977" t="inlineStr">
        <is>
          <t>15.0</t>
        </is>
      </c>
      <c r="L2977" t="n">
        <v>99.98999999999999</v>
      </c>
      <c r="M2977" s="1" t="inlineStr">
        <is>
          <t>566.60%</t>
        </is>
      </c>
      <c r="N2977" s="3" t="n">
        <v>566.6</v>
      </c>
      <c r="O2977" t="n">
        <v>5</v>
      </c>
      <c r="P2977" t="n">
        <v>2</v>
      </c>
      <c r="R2977" t="inlineStr">
        <is>
          <t>InStock</t>
        </is>
      </c>
      <c r="S2977" t="inlineStr">
        <is>
          <t>29.95</t>
        </is>
      </c>
      <c r="T2977" t="inlineStr">
        <is>
          <t>645921-010</t>
        </is>
      </c>
    </row>
    <row r="2978" ht="75" customHeight="1">
      <c r="A2978" s="2">
        <f>HYPERLINK("https://www.soccerplususa.com/nike/nike-striker-jersey-youth-21298", "https://www.soccerplususa.com/nike/nike-striker-jersey-youth-21298")</f>
        <v/>
      </c>
      <c r="B2978" t="inlineStr">
        <is>
          <t>undefined</t>
        </is>
      </c>
      <c r="C2978" t="inlineStr">
        <is>
          <t>Nike Striker Jersey Youth</t>
        </is>
      </c>
      <c r="D2978" t="inlineStr">
        <is>
          <t>Nike USA Youth Home Jersey (Youth X-Large) White</t>
        </is>
      </c>
      <c r="E2978" s="2">
        <f>HYPERLINK("https://www.amazon.com/Nike-United-States-Stadium-X-Large/dp/B01AC7XN4A/ref=sr_1_7?keywords=Nike+Striker+Jersey+Youth&amp;qid=1695171175&amp;sr=8-7", "https://www.amazon.com/Nike-United-States-Stadium-X-Large/dp/B01AC7XN4A/ref=sr_1_7?keywords=Nike+Striker+Jersey+Youth&amp;qid=1695171175&amp;sr=8-7")</f>
        <v/>
      </c>
      <c r="F2978" t="inlineStr">
        <is>
          <t>B01AC7XN4A</t>
        </is>
      </c>
      <c r="G2978">
        <f>_xlfn.IMAGE("https://www.soccerplususa.com/prodimages/7627-DEFAULT-l.jpg")</f>
        <v/>
      </c>
      <c r="H2978">
        <f>_xlfn.IMAGE("https://m.media-amazon.com/images/I/61H-zXzkwwL._AC_UL320_.jpg")</f>
        <v/>
      </c>
      <c r="K2978" t="inlineStr">
        <is>
          <t>12.5</t>
        </is>
      </c>
      <c r="L2978" t="n">
        <v>74.98999999999999</v>
      </c>
      <c r="M2978" s="1" t="inlineStr">
        <is>
          <t>499.92%</t>
        </is>
      </c>
      <c r="N2978" s="3" t="n">
        <v>499.92</v>
      </c>
      <c r="O2978" t="n">
        <v>4.7</v>
      </c>
      <c r="P2978" t="n">
        <v>5</v>
      </c>
      <c r="R2978" t="inlineStr">
        <is>
          <t>InStock</t>
        </is>
      </c>
      <c r="S2978" t="inlineStr">
        <is>
          <t>24.95</t>
        </is>
      </c>
      <c r="T2978" t="inlineStr">
        <is>
          <t>520590-888</t>
        </is>
      </c>
    </row>
    <row r="2979" ht="75" customHeight="1">
      <c r="A2979" s="2">
        <f>HYPERLINK("https://www.soccerplususa.com/nike/nike-striker-jersey-youth-21298", "https://www.soccerplususa.com/nike/nike-striker-jersey-youth-21298")</f>
        <v/>
      </c>
      <c r="B2979" t="inlineStr">
        <is>
          <t>undefined</t>
        </is>
      </c>
      <c r="C2979" t="inlineStr">
        <is>
          <t>Nike Striker Jersey Youth</t>
        </is>
      </c>
      <c r="D2979" t="inlineStr">
        <is>
          <t>Nike USA 2019 Youth Home Jersey (White, Youth Large)</t>
        </is>
      </c>
      <c r="E2979" s="2">
        <f>HYPERLINK("https://www.amazon.com/Nike-Youth-Jersey-White-Large/dp/B07RVDC42S/ref=sr_1_6?keywords=Nike+Striker+Jersey+Youth&amp;qid=1695171175&amp;sr=8-6", "https://www.amazon.com/Nike-Youth-Jersey-White-Large/dp/B07RVDC42S/ref=sr_1_6?keywords=Nike+Striker+Jersey+Youth&amp;qid=1695171175&amp;sr=8-6")</f>
        <v/>
      </c>
      <c r="F2979" t="inlineStr">
        <is>
          <t>B07RVDC42S</t>
        </is>
      </c>
      <c r="G2979">
        <f>_xlfn.IMAGE("https://www.soccerplususa.com/prodimages/7627-DEFAULT-l.jpg")</f>
        <v/>
      </c>
      <c r="H2979">
        <f>_xlfn.IMAGE("https://m.media-amazon.com/images/I/6135dLhWKDL._AC_UL320_.jpg")</f>
        <v/>
      </c>
      <c r="K2979" t="inlineStr">
        <is>
          <t>12.5</t>
        </is>
      </c>
      <c r="L2979" t="n">
        <v>74.98999999999999</v>
      </c>
      <c r="M2979" s="1" t="inlineStr">
        <is>
          <t>499.92%</t>
        </is>
      </c>
      <c r="N2979" s="3" t="n">
        <v>499.92</v>
      </c>
      <c r="O2979" t="n">
        <v>4.7</v>
      </c>
      <c r="P2979" t="n">
        <v>10</v>
      </c>
      <c r="R2979" t="inlineStr">
        <is>
          <t>InStock</t>
        </is>
      </c>
      <c r="S2979" t="inlineStr">
        <is>
          <t>24.95</t>
        </is>
      </c>
      <c r="T2979" t="inlineStr">
        <is>
          <t>520590-888</t>
        </is>
      </c>
    </row>
    <row r="2980" ht="75" customHeight="1">
      <c r="A2980" s="2">
        <f>HYPERLINK("https://www.soccerplususa.com/nike/nike-striker-jersey-youth-21298", "https://www.soccerplususa.com/nike/nike-striker-jersey-youth-21298")</f>
        <v/>
      </c>
      <c r="B2980" t="inlineStr">
        <is>
          <t>undefined</t>
        </is>
      </c>
      <c r="C2980" t="inlineStr">
        <is>
          <t>Nike Striker Jersey Youth</t>
        </is>
      </c>
      <c r="D2980" t="inlineStr">
        <is>
          <t>Nike 2020-21 USA Away Youth Jersey - Navy</t>
        </is>
      </c>
      <c r="E2980" s="2">
        <f>HYPERLINK("https://www.amazon.com/Nike-2020-21-Away-Youth-Jersey/dp/B088C5B7XQ/ref=sr_1_3?keywords=Nike+Striker+Jersey+Youth&amp;qid=1695171175&amp;sr=8-3", "https://www.amazon.com/Nike-2020-21-Away-Youth-Jersey/dp/B088C5B7XQ/ref=sr_1_3?keywords=Nike+Striker+Jersey+Youth&amp;qid=1695171175&amp;sr=8-3")</f>
        <v/>
      </c>
      <c r="F2980" t="inlineStr">
        <is>
          <t>B088C5B7XQ</t>
        </is>
      </c>
      <c r="G2980">
        <f>_xlfn.IMAGE("https://www.soccerplususa.com/prodimages/7627-DEFAULT-l.jpg")</f>
        <v/>
      </c>
      <c r="H2980">
        <f>_xlfn.IMAGE("https://m.media-amazon.com/images/I/6116LBkI6UL._AC_UL320_.jpg")</f>
        <v/>
      </c>
      <c r="K2980" t="inlineStr">
        <is>
          <t>12.5</t>
        </is>
      </c>
      <c r="L2980" t="n">
        <v>74.98999999999999</v>
      </c>
      <c r="M2980" s="1" t="inlineStr">
        <is>
          <t>499.92%</t>
        </is>
      </c>
      <c r="N2980" s="3" t="n">
        <v>499.92</v>
      </c>
      <c r="O2980" t="n">
        <v>4.8</v>
      </c>
      <c r="P2980" t="n">
        <v>22</v>
      </c>
      <c r="R2980" t="inlineStr">
        <is>
          <t>InStock</t>
        </is>
      </c>
      <c r="S2980" t="inlineStr">
        <is>
          <t>24.95</t>
        </is>
      </c>
      <c r="T2980" t="inlineStr">
        <is>
          <t>520590-888</t>
        </is>
      </c>
    </row>
    <row r="2981" ht="75" customHeight="1">
      <c r="A2981" s="2">
        <f>HYPERLINK("https://www.soccerplususa.com/nike/nike-striker-jersey-youth-21298", "https://www.soccerplususa.com/nike/nike-striker-jersey-youth-21298")</f>
        <v/>
      </c>
      <c r="B2981" t="inlineStr">
        <is>
          <t>undefined</t>
        </is>
      </c>
      <c r="C2981" t="inlineStr">
        <is>
          <t>Nike Striker Jersey Youth</t>
        </is>
      </c>
      <c r="D2981" t="inlineStr">
        <is>
          <t>Nike USA National Team Youth Home Jersey- 2019/20</t>
        </is>
      </c>
      <c r="E2981" s="2">
        <f>HYPERLINK("https://www.amazon.com/Nike-2019-Youth-Away-Jersey/dp/B00HAQUYAI/ref=sr_1_5?keywords=Nike+Striker+Jersey+Youth&amp;qid=1695171175&amp;sr=8-5", "https://www.amazon.com/Nike-2019-Youth-Away-Jersey/dp/B00HAQUYAI/ref=sr_1_5?keywords=Nike+Striker+Jersey+Youth&amp;qid=1695171175&amp;sr=8-5")</f>
        <v/>
      </c>
      <c r="F2981" t="inlineStr">
        <is>
          <t>B00HAQUYAI</t>
        </is>
      </c>
      <c r="G2981">
        <f>_xlfn.IMAGE("https://www.soccerplususa.com/prodimages/7627-DEFAULT-l.jpg")</f>
        <v/>
      </c>
      <c r="H2981">
        <f>_xlfn.IMAGE("https://m.media-amazon.com/images/I/61imL7A+ZaL._AC_UL320_.jpg")</f>
        <v/>
      </c>
      <c r="K2981" t="inlineStr">
        <is>
          <t>12.5</t>
        </is>
      </c>
      <c r="L2981" t="n">
        <v>74.98999999999999</v>
      </c>
      <c r="M2981" s="1" t="inlineStr">
        <is>
          <t>499.92%</t>
        </is>
      </c>
      <c r="N2981" s="3" t="n">
        <v>499.92</v>
      </c>
      <c r="O2981" t="n">
        <v>4.9</v>
      </c>
      <c r="P2981" t="n">
        <v>21</v>
      </c>
      <c r="R2981" t="inlineStr">
        <is>
          <t>InStock</t>
        </is>
      </c>
      <c r="S2981" t="inlineStr">
        <is>
          <t>24.95</t>
        </is>
      </c>
      <c r="T2981" t="inlineStr">
        <is>
          <t>520590-888</t>
        </is>
      </c>
    </row>
    <row r="2982" ht="75" customHeight="1">
      <c r="A2982" s="2">
        <f>HYPERLINK("https://www.soccerplususa.com/nike/nike-tiempo-jersey-youth-17487", "https://www.soccerplususa.com/nike/nike-tiempo-jersey-youth-17487")</f>
        <v/>
      </c>
      <c r="B2982" t="inlineStr">
        <is>
          <t>undefined</t>
        </is>
      </c>
      <c r="C2982" t="inlineStr">
        <is>
          <t>Nike Tiempo Jersey Youth</t>
        </is>
      </c>
      <c r="D2982" t="inlineStr">
        <is>
          <t>Nike France Youth Away Jersey</t>
        </is>
      </c>
      <c r="E2982" s="2">
        <f>HYPERLINK("https://www.amazon.com/Nike-France-Youth-Jersey-White/dp/B00IJ4M5DY/ref=sr_1_2?keywords=Nike+Tiempo+Jersey+Youth&amp;qid=1695171182&amp;sr=8-2", "https://www.amazon.com/Nike-France-Youth-Jersey-White/dp/B00IJ4M5DY/ref=sr_1_2?keywords=Nike+Tiempo+Jersey+Youth&amp;qid=1695171182&amp;sr=8-2")</f>
        <v/>
      </c>
      <c r="F2982" t="inlineStr">
        <is>
          <t>B00IJ4M5DY</t>
        </is>
      </c>
      <c r="G2982">
        <f>_xlfn.IMAGE("https://www.soccerplususa.com/prodimages/2423-DEFAULT-l.jpg")</f>
        <v/>
      </c>
      <c r="H2982">
        <f>_xlfn.IMAGE("https://m.media-amazon.com/images/I/814Qz-79rjL._AC_UL320_.jpg")</f>
        <v/>
      </c>
      <c r="K2982" t="inlineStr">
        <is>
          <t>8.5</t>
        </is>
      </c>
      <c r="L2982" t="n">
        <v>49.99</v>
      </c>
      <c r="M2982" s="1" t="inlineStr">
        <is>
          <t>488.12%</t>
        </is>
      </c>
      <c r="N2982" s="3" t="n">
        <v>488.12</v>
      </c>
      <c r="O2982" t="n">
        <v>5</v>
      </c>
      <c r="P2982" t="n">
        <v>6</v>
      </c>
      <c r="R2982" t="inlineStr">
        <is>
          <t>InStock</t>
        </is>
      </c>
      <c r="S2982" t="inlineStr">
        <is>
          <t>16.95</t>
        </is>
      </c>
      <c r="T2982" t="inlineStr">
        <is>
          <t>269753-494</t>
        </is>
      </c>
    </row>
    <row r="2983" ht="75" customHeight="1">
      <c r="A2983" s="2">
        <f>HYPERLINK("https://www.soccerplususa.com/nike/nike-challenge-jersey-youth-34517", "https://www.soccerplususa.com/nike/nike-challenge-jersey-youth-34517")</f>
        <v/>
      </c>
      <c r="B2983" t="inlineStr">
        <is>
          <t>undefined</t>
        </is>
      </c>
      <c r="C2983" t="inlineStr">
        <is>
          <t>Nike Challenge Jersey Youth</t>
        </is>
      </c>
      <c r="D2983" t="inlineStr">
        <is>
          <t>Nike USA Youth Short Sleeve Away Stadium Jersey (Game Royal/Royal Blue)</t>
        </is>
      </c>
      <c r="E2983" s="2">
        <f>HYPERLINK("https://www.amazon.com/Nike-Youth-Short-Sleeve-Stadium/dp/B00VGV9U6W/ref=sr_1_10?keywords=Nike+Challenge+Jersey+Youth&amp;qid=1695171163&amp;sr=8-10", "https://www.amazon.com/Nike-Youth-Short-Sleeve-Stadium/dp/B00VGV9U6W/ref=sr_1_10?keywords=Nike+Challenge+Jersey+Youth&amp;qid=1695171163&amp;sr=8-10")</f>
        <v/>
      </c>
      <c r="F2983" t="inlineStr">
        <is>
          <t>B00VGV9U6W</t>
        </is>
      </c>
      <c r="G2983">
        <f>_xlfn.IMAGE("https://www.soccerplususa.com/prodimages/7623-DEFAULT-l.jpg")</f>
        <v/>
      </c>
      <c r="H2983">
        <f>_xlfn.IMAGE("https://m.media-amazon.com/images/I/61G-nzAI0sL._AC_UL320_.jpg")</f>
        <v/>
      </c>
      <c r="K2983" t="inlineStr">
        <is>
          <t>15.0</t>
        </is>
      </c>
      <c r="L2983" t="n">
        <v>74.98999999999999</v>
      </c>
      <c r="M2983" s="1" t="inlineStr">
        <is>
          <t>399.93%</t>
        </is>
      </c>
      <c r="N2983" s="3" t="n">
        <v>399.93</v>
      </c>
      <c r="O2983" t="n">
        <v>3.8</v>
      </c>
      <c r="P2983" t="n">
        <v>31</v>
      </c>
      <c r="R2983" t="inlineStr">
        <is>
          <t>InStock</t>
        </is>
      </c>
      <c r="S2983" t="inlineStr">
        <is>
          <t>29.95</t>
        </is>
      </c>
      <c r="T2983" t="inlineStr">
        <is>
          <t>645921-156</t>
        </is>
      </c>
    </row>
    <row r="2984" ht="75" customHeight="1">
      <c r="A2984" s="2">
        <f>HYPERLINK("https://www.soccerplususa.com/nike/nike-challenge-jersey-youth-34517", "https://www.soccerplususa.com/nike/nike-challenge-jersey-youth-34517")</f>
        <v/>
      </c>
      <c r="B2984" t="inlineStr">
        <is>
          <t>undefined</t>
        </is>
      </c>
      <c r="C2984" t="inlineStr">
        <is>
          <t>Nike Challenge Jersey Youth</t>
        </is>
      </c>
      <c r="D2984" t="inlineStr">
        <is>
          <t>Nike 2020-21 USA Away Youth Jersey - Navy</t>
        </is>
      </c>
      <c r="E2984" s="2">
        <f>HYPERLINK("https://www.amazon.com/Nike-2020-21-Away-Youth-Jersey/dp/B088C5B7XQ/ref=sr_1_7?keywords=Nike+Challenge+Jersey+Youth&amp;qid=1695171163&amp;sr=8-7", "https://www.amazon.com/Nike-2020-21-Away-Youth-Jersey/dp/B088C5B7XQ/ref=sr_1_7?keywords=Nike+Challenge+Jersey+Youth&amp;qid=1695171163&amp;sr=8-7")</f>
        <v/>
      </c>
      <c r="F2984" t="inlineStr">
        <is>
          <t>B088C5B7XQ</t>
        </is>
      </c>
      <c r="G2984">
        <f>_xlfn.IMAGE("https://www.soccerplususa.com/prodimages/7623-DEFAULT-l.jpg")</f>
        <v/>
      </c>
      <c r="H2984">
        <f>_xlfn.IMAGE("https://m.media-amazon.com/images/I/6116LBkI6UL._AC_UL320_.jpg")</f>
        <v/>
      </c>
      <c r="K2984" t="inlineStr">
        <is>
          <t>15.0</t>
        </is>
      </c>
      <c r="L2984" t="n">
        <v>74.98999999999999</v>
      </c>
      <c r="M2984" s="1" t="inlineStr">
        <is>
          <t>399.93%</t>
        </is>
      </c>
      <c r="N2984" s="3" t="n">
        <v>399.93</v>
      </c>
      <c r="O2984" t="n">
        <v>4.8</v>
      </c>
      <c r="P2984" t="n">
        <v>22</v>
      </c>
      <c r="R2984" t="inlineStr">
        <is>
          <t>InStock</t>
        </is>
      </c>
      <c r="S2984" t="inlineStr">
        <is>
          <t>29.95</t>
        </is>
      </c>
      <c r="T2984" t="inlineStr">
        <is>
          <t>645921-156</t>
        </is>
      </c>
    </row>
    <row r="2985" ht="75" customHeight="1">
      <c r="A2985" s="2">
        <f>HYPERLINK("https://www.soccerplususa.com/nike/nike-challenge-jersey-youth-34517", "https://www.soccerplususa.com/nike/nike-challenge-jersey-youth-34517")</f>
        <v/>
      </c>
      <c r="B2985" t="inlineStr">
        <is>
          <t>undefined</t>
        </is>
      </c>
      <c r="C2985" t="inlineStr">
        <is>
          <t>Nike Challenge Jersey Youth</t>
        </is>
      </c>
      <c r="D2985" t="inlineStr">
        <is>
          <t>Nike USA 2019 Youth Home Jersey (White, Youth Large)</t>
        </is>
      </c>
      <c r="E2985" s="2">
        <f>HYPERLINK("https://www.amazon.com/Nike-Youth-Jersey-White-Large/dp/B07RVDC42S/ref=sr_1_9?keywords=Nike+Challenge+Jersey+Youth&amp;qid=1695171163&amp;sr=8-9", "https://www.amazon.com/Nike-Youth-Jersey-White-Large/dp/B07RVDC42S/ref=sr_1_9?keywords=Nike+Challenge+Jersey+Youth&amp;qid=1695171163&amp;sr=8-9")</f>
        <v/>
      </c>
      <c r="F2985" t="inlineStr">
        <is>
          <t>B07RVDC42S</t>
        </is>
      </c>
      <c r="G2985">
        <f>_xlfn.IMAGE("https://www.soccerplususa.com/prodimages/7623-DEFAULT-l.jpg")</f>
        <v/>
      </c>
      <c r="H2985">
        <f>_xlfn.IMAGE("https://m.media-amazon.com/images/I/6135dLhWKDL._AC_UL320_.jpg")</f>
        <v/>
      </c>
      <c r="K2985" t="inlineStr">
        <is>
          <t>15.0</t>
        </is>
      </c>
      <c r="L2985" t="n">
        <v>74.98999999999999</v>
      </c>
      <c r="M2985" s="1" t="inlineStr">
        <is>
          <t>399.93%</t>
        </is>
      </c>
      <c r="N2985" s="3" t="n">
        <v>399.93</v>
      </c>
      <c r="O2985" t="n">
        <v>4.7</v>
      </c>
      <c r="P2985" t="n">
        <v>10</v>
      </c>
      <c r="R2985" t="inlineStr">
        <is>
          <t>InStock</t>
        </is>
      </c>
      <c r="S2985" t="inlineStr">
        <is>
          <t>29.95</t>
        </is>
      </c>
      <c r="T2985" t="inlineStr">
        <is>
          <t>645921-156</t>
        </is>
      </c>
    </row>
    <row r="2986" ht="75" customHeight="1">
      <c r="A2986" s="2">
        <f>HYPERLINK("https://www.soccerplususa.com/nike/nike-challenge-jersey-youth-34517", "https://www.soccerplususa.com/nike/nike-challenge-jersey-youth-34517")</f>
        <v/>
      </c>
      <c r="B2986" t="inlineStr">
        <is>
          <t>undefined</t>
        </is>
      </c>
      <c r="C2986" t="inlineStr">
        <is>
          <t>Nike Challenge Jersey Youth</t>
        </is>
      </c>
      <c r="D2986" t="inlineStr">
        <is>
          <t>Nike USA National Team Youth Home Jersey- 2019/20</t>
        </is>
      </c>
      <c r="E2986" s="2">
        <f>HYPERLINK("https://www.amazon.com/Nike-2019-Youth-Away-Jersey/dp/B00HAQUYAI/ref=sr_1_4?keywords=Nike+Challenge+Jersey+Youth&amp;qid=1695171163&amp;sr=8-4", "https://www.amazon.com/Nike-2019-Youth-Away-Jersey/dp/B00HAQUYAI/ref=sr_1_4?keywords=Nike+Challenge+Jersey+Youth&amp;qid=1695171163&amp;sr=8-4")</f>
        <v/>
      </c>
      <c r="F2986" t="inlineStr">
        <is>
          <t>B00HAQUYAI</t>
        </is>
      </c>
      <c r="G2986">
        <f>_xlfn.IMAGE("https://www.soccerplususa.com/prodimages/7623-DEFAULT-l.jpg")</f>
        <v/>
      </c>
      <c r="H2986">
        <f>_xlfn.IMAGE("https://m.media-amazon.com/images/I/61imL7A+ZaL._AC_UL320_.jpg")</f>
        <v/>
      </c>
      <c r="K2986" t="inlineStr">
        <is>
          <t>15.0</t>
        </is>
      </c>
      <c r="L2986" t="n">
        <v>74.98999999999999</v>
      </c>
      <c r="M2986" s="1" t="inlineStr">
        <is>
          <t>399.93%</t>
        </is>
      </c>
      <c r="N2986" s="3" t="n">
        <v>399.93</v>
      </c>
      <c r="O2986" t="n">
        <v>4.9</v>
      </c>
      <c r="P2986" t="n">
        <v>21</v>
      </c>
      <c r="R2986" t="inlineStr">
        <is>
          <t>InStock</t>
        </is>
      </c>
      <c r="S2986" t="inlineStr">
        <is>
          <t>29.95</t>
        </is>
      </c>
      <c r="T2986" t="inlineStr">
        <is>
          <t>645921-156</t>
        </is>
      </c>
    </row>
    <row r="2987" ht="75" customHeight="1">
      <c r="A2987" s="2">
        <f>HYPERLINK("https://www.soccerplususa.com/nike/nike-challenge-jersey-youth-34517", "https://www.soccerplususa.com/nike/nike-challenge-jersey-youth-34517")</f>
        <v/>
      </c>
      <c r="B2987" t="inlineStr">
        <is>
          <t>undefined</t>
        </is>
      </c>
      <c r="C2987" t="inlineStr">
        <is>
          <t>Nike Challenge Jersey Youth</t>
        </is>
      </c>
      <c r="D2987" t="inlineStr">
        <is>
          <t>Nike Youth USA Home Soccer Jersey 2019-20 (White)</t>
        </is>
      </c>
      <c r="E2987" s="2">
        <f>HYPERLINK("https://www.amazon.com/Nike-Youth-Jersey-White-X-Large/dp/B00RRAMJFK/ref=sr_1_5?keywords=Nike+Challenge+Jersey+Youth&amp;qid=1695171163&amp;sr=8-5", "https://www.amazon.com/Nike-Youth-Jersey-White-X-Large/dp/B00RRAMJFK/ref=sr_1_5?keywords=Nike+Challenge+Jersey+Youth&amp;qid=1695171163&amp;sr=8-5")</f>
        <v/>
      </c>
      <c r="F2987" t="inlineStr">
        <is>
          <t>B00RRAMJFK</t>
        </is>
      </c>
      <c r="G2987">
        <f>_xlfn.IMAGE("https://www.soccerplususa.com/prodimages/7623-DEFAULT-l.jpg")</f>
        <v/>
      </c>
      <c r="H2987">
        <f>_xlfn.IMAGE("https://m.media-amazon.com/images/I/618SdS7wJJL._AC_UL320_.jpg")</f>
        <v/>
      </c>
      <c r="K2987" t="inlineStr">
        <is>
          <t>15.0</t>
        </is>
      </c>
      <c r="L2987" t="n">
        <v>74.98999999999999</v>
      </c>
      <c r="M2987" s="1" t="inlineStr">
        <is>
          <t>399.93%</t>
        </is>
      </c>
      <c r="N2987" s="3" t="n">
        <v>399.93</v>
      </c>
      <c r="O2987" t="n">
        <v>5</v>
      </c>
      <c r="P2987" t="n">
        <v>11</v>
      </c>
      <c r="R2987" t="inlineStr">
        <is>
          <t>InStock</t>
        </is>
      </c>
      <c r="S2987" t="inlineStr">
        <is>
          <t>29.95</t>
        </is>
      </c>
      <c r="T2987" t="inlineStr">
        <is>
          <t>645921-156</t>
        </is>
      </c>
    </row>
    <row r="2988" hidden="1" ht="15.75" customHeight="1">
      <c r="A2988" s="2">
        <f>HYPERLINK("https://www.soccerplususa.com/nike/nike-challenge-jersey-youth-22840", "https://www.soccerplususa.com/nike/nike-challenge-jersey-youth-22840")</f>
        <v/>
      </c>
      <c r="B2988" t="inlineStr">
        <is>
          <t>undefined</t>
        </is>
      </c>
      <c r="C2988" t="inlineStr">
        <is>
          <t>Nike Challenge Jersey Youth</t>
        </is>
      </c>
      <c r="D2988" t="inlineStr">
        <is>
          <t>Nike Youth Paris Saint-Germain Third Jersey 2019-2020</t>
        </is>
      </c>
      <c r="E2988" s="2">
        <f>HYPERLINK("https://www.amazon.com/Nike-2019-20-Youth-Third-Jersey/dp/B07WS17R28/ref=sr_1_9?keywords=Nike+Challenge+Jersey+Youth&amp;qid=1695171191&amp;sr=8-9", "https://www.amazon.com/Nike-2019-20-Youth-Third-Jersey/dp/B07WS17R28/ref=sr_1_9?keywords=Nike+Challenge+Jersey+Youth&amp;qid=1695171191&amp;sr=8-9")</f>
        <v/>
      </c>
      <c r="F2988" t="inlineStr">
        <is>
          <t>B07WS17R28</t>
        </is>
      </c>
      <c r="G2988">
        <f>_xludf.IMAGE("https://www.soccerplususa.com/prodimages/7622-DEFAULT-l.jpg")</f>
        <v/>
      </c>
      <c r="H2988">
        <f>_xludf.IMAGE("https://m.media-amazon.com/images/I/71o+UlCTxLL._AC_UL320_.jpg")</f>
        <v/>
      </c>
      <c r="K2988" t="inlineStr">
        <is>
          <t>15.0</t>
        </is>
      </c>
      <c r="L2988" t="n">
        <v>74.98999999999999</v>
      </c>
      <c r="M2988" s="1" t="inlineStr">
        <is>
          <t>399.93%</t>
        </is>
      </c>
      <c r="N2988" s="3" t="n">
        <v>399.93</v>
      </c>
      <c r="O2988" t="n">
        <v>3.6</v>
      </c>
      <c r="P2988" t="n">
        <v>59</v>
      </c>
      <c r="R2988" t="inlineStr">
        <is>
          <t>InStock</t>
        </is>
      </c>
      <c r="S2988" t="inlineStr">
        <is>
          <t>29.95</t>
        </is>
      </c>
      <c r="T2988" t="inlineStr">
        <is>
          <t>645921-010</t>
        </is>
      </c>
    </row>
    <row r="2989" ht="75" customHeight="1">
      <c r="A2989" s="2">
        <f>HYPERLINK("https://www.soccerplususa.com/nike/nike-challenge-jersey-youth-22840", "https://www.soccerplususa.com/nike/nike-challenge-jersey-youth-22840")</f>
        <v/>
      </c>
      <c r="B2989" t="inlineStr">
        <is>
          <t>undefined</t>
        </is>
      </c>
      <c r="C2989" t="inlineStr">
        <is>
          <t>Nike Challenge Jersey Youth</t>
        </is>
      </c>
      <c r="D2989" t="inlineStr">
        <is>
          <t>Nike 2020-21 USA Away Youth Jersey - Navy</t>
        </is>
      </c>
      <c r="E2989" s="2">
        <f>HYPERLINK("https://www.amazon.com/Nike-2020-21-Away-Youth-Jersey/dp/B088C5B7XQ/ref=sr_1_8?keywords=Nike+Challenge+Jersey+Youth&amp;qid=1695171191&amp;sr=8-8", "https://www.amazon.com/Nike-2020-21-Away-Youth-Jersey/dp/B088C5B7XQ/ref=sr_1_8?keywords=Nike+Challenge+Jersey+Youth&amp;qid=1695171191&amp;sr=8-8")</f>
        <v/>
      </c>
      <c r="F2989" t="inlineStr">
        <is>
          <t>B088C5B7XQ</t>
        </is>
      </c>
      <c r="G2989">
        <f>_xlfn.IMAGE("https://www.soccerplususa.com/prodimages/7622-DEFAULT-l.jpg")</f>
        <v/>
      </c>
      <c r="H2989">
        <f>_xlfn.IMAGE("https://m.media-amazon.com/images/I/6116LBkI6UL._AC_UL320_.jpg")</f>
        <v/>
      </c>
      <c r="K2989" t="inlineStr">
        <is>
          <t>15.0</t>
        </is>
      </c>
      <c r="L2989" t="n">
        <v>74.98999999999999</v>
      </c>
      <c r="M2989" s="1" t="inlineStr">
        <is>
          <t>399.93%</t>
        </is>
      </c>
      <c r="N2989" s="3" t="n">
        <v>399.93</v>
      </c>
      <c r="O2989" t="n">
        <v>4.8</v>
      </c>
      <c r="P2989" t="n">
        <v>22</v>
      </c>
      <c r="R2989" t="inlineStr">
        <is>
          <t>InStock</t>
        </is>
      </c>
      <c r="S2989" t="inlineStr">
        <is>
          <t>29.95</t>
        </is>
      </c>
      <c r="T2989" t="inlineStr">
        <is>
          <t>645921-010</t>
        </is>
      </c>
    </row>
    <row r="2990" ht="75" customHeight="1">
      <c r="A2990" s="2">
        <f>HYPERLINK("https://www.soccerplususa.com/nike/nike-challenge-jersey-youth-22840", "https://www.soccerplususa.com/nike/nike-challenge-jersey-youth-22840")</f>
        <v/>
      </c>
      <c r="B2990" t="inlineStr">
        <is>
          <t>undefined</t>
        </is>
      </c>
      <c r="C2990" t="inlineStr">
        <is>
          <t>Nike Challenge Jersey Youth</t>
        </is>
      </c>
      <c r="D2990" t="inlineStr">
        <is>
          <t>Nike USA 2019 Youth Home Jersey (White, Youth Large)</t>
        </is>
      </c>
      <c r="E2990" s="2">
        <f>HYPERLINK("https://www.amazon.com/Nike-Youth-Jersey-White-Large/dp/B07RVDC42S/ref=sr_1_10?keywords=Nike+Challenge+Jersey+Youth&amp;qid=1695171191&amp;sr=8-10", "https://www.amazon.com/Nike-Youth-Jersey-White-Large/dp/B07RVDC42S/ref=sr_1_10?keywords=Nike+Challenge+Jersey+Youth&amp;qid=1695171191&amp;sr=8-10")</f>
        <v/>
      </c>
      <c r="F2990" t="inlineStr">
        <is>
          <t>B07RVDC42S</t>
        </is>
      </c>
      <c r="G2990">
        <f>_xlfn.IMAGE("https://www.soccerplususa.com/prodimages/7622-DEFAULT-l.jpg")</f>
        <v/>
      </c>
      <c r="H2990">
        <f>_xlfn.IMAGE("https://m.media-amazon.com/images/I/6135dLhWKDL._AC_UL320_.jpg")</f>
        <v/>
      </c>
      <c r="K2990" t="inlineStr">
        <is>
          <t>15.0</t>
        </is>
      </c>
      <c r="L2990" t="n">
        <v>74.98999999999999</v>
      </c>
      <c r="M2990" s="1" t="inlineStr">
        <is>
          <t>399.93%</t>
        </is>
      </c>
      <c r="N2990" s="3" t="n">
        <v>399.93</v>
      </c>
      <c r="O2990" t="n">
        <v>4.7</v>
      </c>
      <c r="P2990" t="n">
        <v>10</v>
      </c>
      <c r="R2990" t="inlineStr">
        <is>
          <t>InStock</t>
        </is>
      </c>
      <c r="S2990" t="inlineStr">
        <is>
          <t>29.95</t>
        </is>
      </c>
      <c r="T2990" t="inlineStr">
        <is>
          <t>645921-010</t>
        </is>
      </c>
    </row>
    <row r="2991" ht="75" customHeight="1">
      <c r="A2991" s="2">
        <f>HYPERLINK("https://www.soccerplususa.com/nike/nike-challenge-jersey-youth-22840", "https://www.soccerplususa.com/nike/nike-challenge-jersey-youth-22840")</f>
        <v/>
      </c>
      <c r="B2991" t="inlineStr">
        <is>
          <t>undefined</t>
        </is>
      </c>
      <c r="C2991" t="inlineStr">
        <is>
          <t>Nike Challenge Jersey Youth</t>
        </is>
      </c>
      <c r="D2991" t="inlineStr">
        <is>
          <t>Nike USA National Team Youth Home Jersey- 2019/20</t>
        </is>
      </c>
      <c r="E2991" s="2">
        <f>HYPERLINK("https://www.amazon.com/Nike-2019-Youth-Away-Jersey/dp/B00HAQUYAI/ref=sr_1_7?keywords=Nike+Challenge+Jersey+Youth&amp;qid=1695171191&amp;sr=8-7", "https://www.amazon.com/Nike-2019-Youth-Away-Jersey/dp/B00HAQUYAI/ref=sr_1_7?keywords=Nike+Challenge+Jersey+Youth&amp;qid=1695171191&amp;sr=8-7")</f>
        <v/>
      </c>
      <c r="F2991" t="inlineStr">
        <is>
          <t>B00HAQUYAI</t>
        </is>
      </c>
      <c r="G2991">
        <f>_xlfn.IMAGE("https://www.soccerplususa.com/prodimages/7622-DEFAULT-l.jpg")</f>
        <v/>
      </c>
      <c r="H2991">
        <f>_xlfn.IMAGE("https://m.media-amazon.com/images/I/61imL7A+ZaL._AC_UL320_.jpg")</f>
        <v/>
      </c>
      <c r="K2991" t="inlineStr">
        <is>
          <t>15.0</t>
        </is>
      </c>
      <c r="L2991" t="n">
        <v>74.98999999999999</v>
      </c>
      <c r="M2991" s="1" t="inlineStr">
        <is>
          <t>399.93%</t>
        </is>
      </c>
      <c r="N2991" s="3" t="n">
        <v>399.93</v>
      </c>
      <c r="O2991" t="n">
        <v>4.9</v>
      </c>
      <c r="P2991" t="n">
        <v>21</v>
      </c>
      <c r="R2991" t="inlineStr">
        <is>
          <t>InStock</t>
        </is>
      </c>
      <c r="S2991" t="inlineStr">
        <is>
          <t>29.95</t>
        </is>
      </c>
      <c r="T2991" t="inlineStr">
        <is>
          <t>645921-010</t>
        </is>
      </c>
    </row>
    <row r="2992" hidden="1" ht="15.75" customHeight="1">
      <c r="A2992" s="2">
        <f>HYPERLINK("https://www.soccerplususa.com/nike/nike-challenge-jersey-youth-34517", "https://www.soccerplususa.com/nike/nike-challenge-jersey-youth-34517")</f>
        <v/>
      </c>
      <c r="B2992" t="inlineStr">
        <is>
          <t>undefined</t>
        </is>
      </c>
      <c r="C2992" t="inlineStr">
        <is>
          <t>Nike Challenge Jersey Youth</t>
        </is>
      </c>
      <c r="D2992" t="inlineStr">
        <is>
          <t>Nike Youth Paris Saint-Germain Third Jersey 2019-2020</t>
        </is>
      </c>
      <c r="E2992" s="2">
        <f>HYPERLINK("https://www.amazon.com/Nike-2019-20-Youth-Third-Jersey/dp/B07WS17R28/ref=sr_1_6?keywords=Nike+Challenge+Jersey+Youth&amp;qid=1695171163&amp;sr=8-6", "https://www.amazon.com/Nike-2019-20-Youth-Third-Jersey/dp/B07WS17R28/ref=sr_1_6?keywords=Nike+Challenge+Jersey+Youth&amp;qid=1695171163&amp;sr=8-6")</f>
        <v/>
      </c>
      <c r="F2992" t="inlineStr">
        <is>
          <t>B07WS17R28</t>
        </is>
      </c>
      <c r="G2992">
        <f>_xludf.IMAGE("https://www.soccerplususa.com/prodimages/7623-DEFAULT-l.jpg")</f>
        <v/>
      </c>
      <c r="H2992">
        <f>_xludf.IMAGE("https://m.media-amazon.com/images/I/71o+UlCTxLL._AC_UL320_.jpg")</f>
        <v/>
      </c>
      <c r="K2992" t="inlineStr">
        <is>
          <t>15.0</t>
        </is>
      </c>
      <c r="L2992" t="n">
        <v>74.98999999999999</v>
      </c>
      <c r="M2992" s="1" t="inlineStr">
        <is>
          <t>399.93%</t>
        </is>
      </c>
      <c r="N2992" s="3" t="n">
        <v>399.93</v>
      </c>
      <c r="O2992" t="n">
        <v>3.6</v>
      </c>
      <c r="P2992" t="n">
        <v>59</v>
      </c>
      <c r="R2992" t="inlineStr">
        <is>
          <t>InStock</t>
        </is>
      </c>
      <c r="S2992" t="inlineStr">
        <is>
          <t>29.95</t>
        </is>
      </c>
      <c r="T2992" t="inlineStr">
        <is>
          <t>645921-156</t>
        </is>
      </c>
    </row>
    <row r="2993" ht="75" customHeight="1">
      <c r="A2993" s="2">
        <f>HYPERLINK("https://www.soccerplususa.com/nike/nike-challenge-jersey-youth-22840", "https://www.soccerplususa.com/nike/nike-challenge-jersey-youth-22840")</f>
        <v/>
      </c>
      <c r="B2993" t="inlineStr">
        <is>
          <t>undefined</t>
        </is>
      </c>
      <c r="C2993" t="inlineStr">
        <is>
          <t>Nike Challenge Jersey Youth</t>
        </is>
      </c>
      <c r="D2993" t="inlineStr">
        <is>
          <t>Nike Youth USA Home Soccer Jersey 2019-20 (White)</t>
        </is>
      </c>
      <c r="E2993" s="2">
        <f>HYPERLINK("https://www.amazon.com/Nike-Youth-Jersey-White-X-Large/dp/B00RRAMJFK/ref=sr_1_5?keywords=Nike+Challenge+Jersey+Youth&amp;qid=1695171191&amp;sr=8-5", "https://www.amazon.com/Nike-Youth-Jersey-White-X-Large/dp/B00RRAMJFK/ref=sr_1_5?keywords=Nike+Challenge+Jersey+Youth&amp;qid=1695171191&amp;sr=8-5")</f>
        <v/>
      </c>
      <c r="F2993" t="inlineStr">
        <is>
          <t>B00RRAMJFK</t>
        </is>
      </c>
      <c r="G2993">
        <f>_xlfn.IMAGE("https://www.soccerplususa.com/prodimages/7622-DEFAULT-l.jpg")</f>
        <v/>
      </c>
      <c r="H2993">
        <f>_xlfn.IMAGE("https://m.media-amazon.com/images/I/618SdS7wJJL._AC_UL320_.jpg")</f>
        <v/>
      </c>
      <c r="K2993" t="inlineStr">
        <is>
          <t>15.0</t>
        </is>
      </c>
      <c r="L2993" t="n">
        <v>74.98999999999999</v>
      </c>
      <c r="M2993" s="1" t="inlineStr">
        <is>
          <t>399.93%</t>
        </is>
      </c>
      <c r="N2993" s="3" t="n">
        <v>399.93</v>
      </c>
      <c r="O2993" t="n">
        <v>5</v>
      </c>
      <c r="P2993" t="n">
        <v>11</v>
      </c>
      <c r="R2993" t="inlineStr">
        <is>
          <t>InStock</t>
        </is>
      </c>
      <c r="S2993" t="inlineStr">
        <is>
          <t>29.95</t>
        </is>
      </c>
      <c r="T2993" t="inlineStr">
        <is>
          <t>645921-010</t>
        </is>
      </c>
    </row>
    <row r="2994" ht="75" customHeight="1">
      <c r="A2994" s="2">
        <f>HYPERLINK("https://www.soccerplususa.com/nike/nike-academy-18-jacket-34570", "https://www.soccerplususa.com/nike/nike-academy-18-jacket-34570")</f>
        <v/>
      </c>
      <c r="B2994" t="inlineStr">
        <is>
          <t>undefined</t>
        </is>
      </c>
      <c r="C2994" t="inlineStr">
        <is>
          <t>Nike Academy 18 Jacket</t>
        </is>
      </c>
      <c r="D2994" t="inlineStr">
        <is>
          <t>Nike Academy 18 Men's Rain Jacket</t>
        </is>
      </c>
      <c r="E2994" s="2">
        <f>HYPERLINK("https://www.amazon.com/NIKE-Academy-Rain-Jacket-Black/dp/B079JWJH2N/ref=sr_1_3?keywords=Nike+Academy+18+Jacket&amp;qid=1695171165&amp;sr=8-3", "https://www.amazon.com/NIKE-Academy-Rain-Jacket-Black/dp/B079JWJH2N/ref=sr_1_3?keywords=Nike+Academy+18+Jacket&amp;qid=1695171165&amp;sr=8-3")</f>
        <v/>
      </c>
      <c r="F2994" t="inlineStr">
        <is>
          <t>B079JWJH2N</t>
        </is>
      </c>
      <c r="G2994">
        <f>_xlfn.IMAGE("https://www.soccerplususa.com/prodimages/30940-DEFAULT-l.jpg")</f>
        <v/>
      </c>
      <c r="H2994">
        <f>_xlfn.IMAGE("https://m.media-amazon.com/images/I/71Rdz0G284S._AC_UL320_.jpg")</f>
        <v/>
      </c>
      <c r="K2994" t="inlineStr">
        <is>
          <t>44.99</t>
        </is>
      </c>
      <c r="L2994" t="n">
        <v>189</v>
      </c>
      <c r="M2994" s="1" t="inlineStr">
        <is>
          <t>320.09%</t>
        </is>
      </c>
      <c r="N2994" s="3" t="n">
        <v>320.09</v>
      </c>
      <c r="O2994" t="n">
        <v>4.4</v>
      </c>
      <c r="P2994" t="n">
        <v>1446</v>
      </c>
      <c r="R2994" t="inlineStr">
        <is>
          <t>InStock</t>
        </is>
      </c>
      <c r="S2994" t="inlineStr">
        <is>
          <t>54.95</t>
        </is>
      </c>
      <c r="T2994" t="inlineStr">
        <is>
          <t>893701-010</t>
        </is>
      </c>
    </row>
    <row r="2995" ht="75" customHeight="1">
      <c r="A2995" s="2">
        <f>HYPERLINK("https://www.soccerplususa.com/adidas/adidas-tiro-15-jersey-womens-7896", "https://www.soccerplususa.com/adidas/adidas-tiro-15-jersey-womens-7896")</f>
        <v/>
      </c>
      <c r="B2995" t="inlineStr">
        <is>
          <t>undefined</t>
        </is>
      </c>
      <c r="C2995" t="inlineStr">
        <is>
          <t>adidas Tiro 15 Jersey Women's</t>
        </is>
      </c>
      <c r="D2995" t="inlineStr">
        <is>
          <t>adidas Tiro 19 Jersey- Women's Soccer M Power Red/White</t>
        </is>
      </c>
      <c r="E2995" s="2">
        <f>HYPERLINK("https://www.amazon.com/adidas-Jersey-Womens-Soccer-Power/dp/B07H44X7VW/ref=sr_1_10?keywords=adidas+Tiro+15+Jersey+Womens&amp;qid=1695171238&amp;sr=8-10", "https://www.amazon.com/adidas-Jersey-Womens-Soccer-Power/dp/B07H44X7VW/ref=sr_1_10?keywords=adidas+Tiro+15+Jersey+Womens&amp;qid=1695171238&amp;sr=8-10")</f>
        <v/>
      </c>
      <c r="F2995" t="inlineStr">
        <is>
          <t>B07H44X7VW</t>
        </is>
      </c>
      <c r="G2995">
        <f>_xlfn.IMAGE("https://www.soccerplususa.com/prodimages/10575-DEFAULT-l.jpg")</f>
        <v/>
      </c>
      <c r="H2995">
        <f>_xlfn.IMAGE("https://m.media-amazon.com/images/I/81rFb4p9ECL._AC_UL320_.jpg")</f>
        <v/>
      </c>
      <c r="K2995" t="inlineStr">
        <is>
          <t>20.0</t>
        </is>
      </c>
      <c r="L2995" t="n">
        <v>83.97</v>
      </c>
      <c r="M2995" s="1" t="inlineStr">
        <is>
          <t>319.85%</t>
        </is>
      </c>
      <c r="N2995" s="3" t="n">
        <v>319.85</v>
      </c>
      <c r="O2995" t="n">
        <v>4.5</v>
      </c>
      <c r="P2995" t="n">
        <v>2</v>
      </c>
      <c r="R2995" t="inlineStr">
        <is>
          <t>InStock</t>
        </is>
      </c>
      <c r="S2995" t="inlineStr">
        <is>
          <t>39.95</t>
        </is>
      </c>
      <c r="T2995" t="inlineStr">
        <is>
          <t>S22413</t>
        </is>
      </c>
    </row>
    <row r="2996" ht="75" customHeight="1">
      <c r="A2996" s="2">
        <f>HYPERLINK("https://www.soccerplususa.com/nike/nike-striker-jersey-youth-21298", "https://www.soccerplususa.com/nike/nike-striker-jersey-youth-21298")</f>
        <v/>
      </c>
      <c r="B2996" t="inlineStr">
        <is>
          <t>undefined</t>
        </is>
      </c>
      <c r="C2996" t="inlineStr">
        <is>
          <t>Nike Striker Jersey Youth</t>
        </is>
      </c>
      <c r="D2996" t="inlineStr">
        <is>
          <t>Nike France Youth Away Jersey</t>
        </is>
      </c>
      <c r="E2996" s="2">
        <f>HYPERLINK("https://www.amazon.com/Nike-France-Youth-Jersey-White/dp/B00IJ4M5DY/ref=sr_1_1?keywords=Nike+Striker+Jersey+Youth&amp;qid=1695171175&amp;sr=8-1", "https://www.amazon.com/Nike-France-Youth-Jersey-White/dp/B00IJ4M5DY/ref=sr_1_1?keywords=Nike+Striker+Jersey+Youth&amp;qid=1695171175&amp;sr=8-1")</f>
        <v/>
      </c>
      <c r="F2996" t="inlineStr">
        <is>
          <t>B00IJ4M5DY</t>
        </is>
      </c>
      <c r="G2996">
        <f>_xlfn.IMAGE("https://www.soccerplususa.com/prodimages/7627-DEFAULT-l.jpg")</f>
        <v/>
      </c>
      <c r="H2996">
        <f>_xlfn.IMAGE("https://m.media-amazon.com/images/I/814Qz-79rjL._AC_UL320_.jpg")</f>
        <v/>
      </c>
      <c r="K2996" t="inlineStr">
        <is>
          <t>12.5</t>
        </is>
      </c>
      <c r="L2996" t="n">
        <v>49.99</v>
      </c>
      <c r="M2996" s="1" t="inlineStr">
        <is>
          <t>299.92%</t>
        </is>
      </c>
      <c r="N2996" s="3" t="n">
        <v>299.92</v>
      </c>
      <c r="O2996" t="n">
        <v>5</v>
      </c>
      <c r="P2996" t="n">
        <v>6</v>
      </c>
      <c r="R2996" t="inlineStr">
        <is>
          <t>InStock</t>
        </is>
      </c>
      <c r="S2996" t="inlineStr">
        <is>
          <t>24.95</t>
        </is>
      </c>
      <c r="T2996" t="inlineStr">
        <is>
          <t>520590-888</t>
        </is>
      </c>
    </row>
    <row r="2997" ht="75" customHeight="1">
      <c r="A2997" s="2">
        <f>HYPERLINK("https://www.soccerplususa.com/adidas/adidas-squadra-13-jersey-8637", "https://www.soccerplususa.com/adidas/adidas-squadra-13-jersey-8637")</f>
        <v/>
      </c>
      <c r="B2997" t="inlineStr">
        <is>
          <t>undefined</t>
        </is>
      </c>
      <c r="C2997" t="inlineStr">
        <is>
          <t>adidas Squadra 13 Jersey</t>
        </is>
      </c>
      <c r="D2997" t="inlineStr">
        <is>
          <t>adidas Womens Squadra 17 Jersey</t>
        </is>
      </c>
      <c r="E2997" s="2">
        <f>HYPERLINK("https://www.amazon.com/adidas-Squadra-Jersey-Power-Red-White/dp/B06XQJT36S/ref=sr_1_6?keywords=adidas+Squadra+13+Jersey&amp;qid=1695171209&amp;sr=8-6", "https://www.amazon.com/adidas-Squadra-Jersey-Power-Red-White/dp/B06XQJT36S/ref=sr_1_6?keywords=adidas+Squadra+13+Jersey&amp;qid=1695171209&amp;sr=8-6")</f>
        <v/>
      </c>
      <c r="F2997" t="inlineStr">
        <is>
          <t>B06XQJT36S</t>
        </is>
      </c>
      <c r="G2997">
        <f>_xlfn.IMAGE("https://www.soccerplususa.com/prodimages/5162-DEFAULT-l.jpg")</f>
        <v/>
      </c>
      <c r="H2997">
        <f>_xlfn.IMAGE("https://m.media-amazon.com/images/I/61XjfmYgUhL._AC_UL320_.jpg")</f>
        <v/>
      </c>
      <c r="K2997" t="inlineStr">
        <is>
          <t>15.0</t>
        </is>
      </c>
      <c r="L2997" t="n">
        <v>59.05</v>
      </c>
      <c r="M2997" s="1" t="inlineStr">
        <is>
          <t>293.67%</t>
        </is>
      </c>
      <c r="N2997" s="3" t="n">
        <v>293.67</v>
      </c>
      <c r="O2997" t="n">
        <v>4.5</v>
      </c>
      <c r="P2997" t="n">
        <v>37</v>
      </c>
      <c r="R2997" t="inlineStr">
        <is>
          <t>InStock</t>
        </is>
      </c>
      <c r="S2997" t="inlineStr">
        <is>
          <t>29.95</t>
        </is>
      </c>
      <c r="T2997" t="inlineStr">
        <is>
          <t>W53405</t>
        </is>
      </c>
    </row>
    <row r="2998" ht="75" customHeight="1">
      <c r="A2998" s="2">
        <f>HYPERLINK("https://www.soccerplususa.com/adidas/adidas-squadra-17-jersey-4839", "https://www.soccerplususa.com/adidas/adidas-squadra-17-jersey-4839")</f>
        <v/>
      </c>
      <c r="B2998" t="inlineStr">
        <is>
          <t>undefined</t>
        </is>
      </c>
      <c r="C2998" t="inlineStr">
        <is>
          <t>adidas Squadra 17 Jersey</t>
        </is>
      </c>
      <c r="D2998" t="inlineStr">
        <is>
          <t>adidas Womens Squadra 17 Jersey</t>
        </is>
      </c>
      <c r="E2998" s="2">
        <f>HYPERLINK("https://www.amazon.com/adidas-Squadra-Jersey-Power-Red-White/dp/B06XQJT36S/ref=sr_1_2?keywords=adidas+Squadra+17+Jersey&amp;qid=1695171228&amp;sr=8-2", "https://www.amazon.com/adidas-Squadra-Jersey-Power-Red-White/dp/B06XQJT36S/ref=sr_1_2?keywords=adidas+Squadra+17+Jersey&amp;qid=1695171228&amp;sr=8-2")</f>
        <v/>
      </c>
      <c r="F2998" t="inlineStr">
        <is>
          <t>B06XQJT36S</t>
        </is>
      </c>
      <c r="G2998">
        <f>_xlfn.IMAGE("https://www.soccerplususa.com/prodimages/31721-DEFAULT-l.jpg")</f>
        <v/>
      </c>
      <c r="H2998">
        <f>_xlfn.IMAGE("https://m.media-amazon.com/images/I/61XjfmYgUhL._AC_UL320_.jpg")</f>
        <v/>
      </c>
      <c r="K2998" t="inlineStr">
        <is>
          <t>15.0</t>
        </is>
      </c>
      <c r="L2998" t="n">
        <v>59.05</v>
      </c>
      <c r="M2998" s="1" t="inlineStr">
        <is>
          <t>293.67%</t>
        </is>
      </c>
      <c r="N2998" s="3" t="n">
        <v>293.67</v>
      </c>
      <c r="O2998" t="n">
        <v>4.5</v>
      </c>
      <c r="P2998" t="n">
        <v>37</v>
      </c>
      <c r="R2998" t="inlineStr">
        <is>
          <t>InStock</t>
        </is>
      </c>
      <c r="S2998" t="inlineStr">
        <is>
          <t>29.95</t>
        </is>
      </c>
      <c r="T2998" t="inlineStr">
        <is>
          <t>BJ9176</t>
        </is>
      </c>
    </row>
    <row r="2999" ht="75" customHeight="1">
      <c r="A2999" s="2">
        <f>HYPERLINK("https://www.soccerplususa.com/adidas/adidas-squadra-13-jersey-9040", "https://www.soccerplususa.com/adidas/adidas-squadra-13-jersey-9040")</f>
        <v/>
      </c>
      <c r="B2999" t="inlineStr">
        <is>
          <t>undefined</t>
        </is>
      </c>
      <c r="C2999" t="inlineStr">
        <is>
          <t>adidas Squadra 13 Jersey</t>
        </is>
      </c>
      <c r="D2999" t="inlineStr">
        <is>
          <t>adidas Womens Squadra 17 Jersey</t>
        </is>
      </c>
      <c r="E2999" s="2">
        <f>HYPERLINK("https://www.amazon.com/adidas-Squadra-Jersey-Power-Red-White/dp/B06XQJT36S/ref=sr_1_6?keywords=adidas+Squadra+13+Jersey&amp;qid=1695171199&amp;sr=8-6", "https://www.amazon.com/adidas-Squadra-Jersey-Power-Red-White/dp/B06XQJT36S/ref=sr_1_6?keywords=adidas+Squadra+13+Jersey&amp;qid=1695171199&amp;sr=8-6")</f>
        <v/>
      </c>
      <c r="F2999" t="inlineStr">
        <is>
          <t>B06XQJT36S</t>
        </is>
      </c>
      <c r="G2999">
        <f>_xlfn.IMAGE("https://www.soccerplususa.com/prodimages/3208-DEFAULT-l.jpg")</f>
        <v/>
      </c>
      <c r="H2999">
        <f>_xlfn.IMAGE("https://m.media-amazon.com/images/I/61XjfmYgUhL._AC_UL320_.jpg")</f>
        <v/>
      </c>
      <c r="K2999" t="inlineStr">
        <is>
          <t>15.0</t>
        </is>
      </c>
      <c r="L2999" t="n">
        <v>59.05</v>
      </c>
      <c r="M2999" s="1" t="inlineStr">
        <is>
          <t>293.67%</t>
        </is>
      </c>
      <c r="N2999" s="3" t="n">
        <v>293.67</v>
      </c>
      <c r="O2999" t="n">
        <v>4.5</v>
      </c>
      <c r="P2999" t="n">
        <v>37</v>
      </c>
      <c r="R2999" t="inlineStr">
        <is>
          <t>InStock</t>
        </is>
      </c>
      <c r="S2999" t="inlineStr">
        <is>
          <t>29.95</t>
        </is>
      </c>
      <c r="T2999" t="inlineStr">
        <is>
          <t>Z20619</t>
        </is>
      </c>
    </row>
    <row r="3000" ht="75" customHeight="1">
      <c r="A3000" s="2">
        <f>HYPERLINK("https://www.soccerplususa.com/adidas/adidas-squadra-13-jersey-9043", "https://www.soccerplususa.com/adidas/adidas-squadra-13-jersey-9043")</f>
        <v/>
      </c>
      <c r="B3000" t="inlineStr">
        <is>
          <t>undefined</t>
        </is>
      </c>
      <c r="C3000" t="inlineStr">
        <is>
          <t>adidas Squadra 13 Jersey</t>
        </is>
      </c>
      <c r="D3000" t="inlineStr">
        <is>
          <t>adidas Womens Squadra 17 Jersey</t>
        </is>
      </c>
      <c r="E3000" s="2">
        <f>HYPERLINK("https://www.amazon.com/adidas-Squadra-Jersey-Power-Red-White/dp/B06XQJT36S/ref=sr_1_6?keywords=adidas+Squadra+13+Jersey&amp;qid=1695171201&amp;sr=8-6", "https://www.amazon.com/adidas-Squadra-Jersey-Power-Red-White/dp/B06XQJT36S/ref=sr_1_6?keywords=adidas+Squadra+13+Jersey&amp;qid=1695171201&amp;sr=8-6")</f>
        <v/>
      </c>
      <c r="F3000" t="inlineStr">
        <is>
          <t>B06XQJT36S</t>
        </is>
      </c>
      <c r="G3000">
        <f>_xlfn.IMAGE("https://www.soccerplususa.com/prodimages/5161-DEFAULT-l.jpg")</f>
        <v/>
      </c>
      <c r="H3000">
        <f>_xlfn.IMAGE("https://m.media-amazon.com/images/I/61XjfmYgUhL._AC_UL320_.jpg")</f>
        <v/>
      </c>
      <c r="K3000" t="inlineStr">
        <is>
          <t>15.0</t>
        </is>
      </c>
      <c r="L3000" t="n">
        <v>59.05</v>
      </c>
      <c r="M3000" s="1" t="inlineStr">
        <is>
          <t>293.67%</t>
        </is>
      </c>
      <c r="N3000" s="3" t="n">
        <v>293.67</v>
      </c>
      <c r="O3000" t="n">
        <v>4.5</v>
      </c>
      <c r="P3000" t="n">
        <v>37</v>
      </c>
      <c r="R3000" t="inlineStr">
        <is>
          <t>InStock</t>
        </is>
      </c>
      <c r="S3000" t="inlineStr">
        <is>
          <t>29.95</t>
        </is>
      </c>
      <c r="T3000" t="inlineStr">
        <is>
          <t>Z20621</t>
        </is>
      </c>
    </row>
    <row r="3001" ht="75" customHeight="1">
      <c r="A3001" s="2">
        <f>HYPERLINK("https://www.soccerplususa.com/adidas/adidas-squadra-13-jersey-9041", "https://www.soccerplususa.com/adidas/adidas-squadra-13-jersey-9041")</f>
        <v/>
      </c>
      <c r="B3001" t="inlineStr">
        <is>
          <t>undefined</t>
        </is>
      </c>
      <c r="C3001" t="inlineStr">
        <is>
          <t>adidas Squadra 13 Jersey</t>
        </is>
      </c>
      <c r="D3001" t="inlineStr">
        <is>
          <t>adidas Womens Squadra 17 Jersey</t>
        </is>
      </c>
      <c r="E3001" s="2">
        <f>HYPERLINK("https://www.amazon.com/adidas-Squadra-Jersey-Power-Red-White/dp/B06XQJT36S/ref=sr_1_6?keywords=adidas+Squadra+13+Jersey&amp;qid=1695171200&amp;sr=8-6", "https://www.amazon.com/adidas-Squadra-Jersey-Power-Red-White/dp/B06XQJT36S/ref=sr_1_6?keywords=adidas+Squadra+13+Jersey&amp;qid=1695171200&amp;sr=8-6")</f>
        <v/>
      </c>
      <c r="F3001" t="inlineStr">
        <is>
          <t>B06XQJT36S</t>
        </is>
      </c>
      <c r="G3001">
        <f>_xlfn.IMAGE("https://www.soccerplususa.com/prodimages/5160-DEFAULT-l.jpg")</f>
        <v/>
      </c>
      <c r="H3001">
        <f>_xlfn.IMAGE("https://m.media-amazon.com/images/I/61XjfmYgUhL._AC_UL320_.jpg")</f>
        <v/>
      </c>
      <c r="K3001" t="inlineStr">
        <is>
          <t>15.0</t>
        </is>
      </c>
      <c r="L3001" t="n">
        <v>59.05</v>
      </c>
      <c r="M3001" s="1" t="inlineStr">
        <is>
          <t>293.67%</t>
        </is>
      </c>
      <c r="N3001" s="3" t="n">
        <v>293.67</v>
      </c>
      <c r="O3001" t="n">
        <v>4.5</v>
      </c>
      <c r="P3001" t="n">
        <v>37</v>
      </c>
      <c r="R3001" t="inlineStr">
        <is>
          <t>InStock</t>
        </is>
      </c>
      <c r="S3001" t="inlineStr">
        <is>
          <t>29.95</t>
        </is>
      </c>
      <c r="T3001" t="inlineStr">
        <is>
          <t>Z20620</t>
        </is>
      </c>
    </row>
    <row r="3002" ht="75" customHeight="1">
      <c r="A3002" s="2">
        <f>HYPERLINK("https://www.soccerplususa.com/adidas/adidas-tiro-17-jersey-womens-35760", "https://www.soccerplususa.com/adidas/adidas-tiro-17-jersey-womens-35760")</f>
        <v/>
      </c>
      <c r="B3002" t="inlineStr">
        <is>
          <t>undefined</t>
        </is>
      </c>
      <c r="C3002" t="inlineStr">
        <is>
          <t>adidas Tiro 17 Jersey Women's</t>
        </is>
      </c>
      <c r="D3002" t="inlineStr">
        <is>
          <t>adidas Womens Tiro 17 Jersey</t>
        </is>
      </c>
      <c r="E3002" s="2">
        <f>HYPERLINK("https://www.amazon.com/Adidas-Womens-Jersey-Black-White/dp/B06XX6WVVL/ref=sr_1_1?keywords=adidas+Tiro+17+Jersey+Womens&amp;qid=1695171224&amp;sr=8-1", "https://www.amazon.com/Adidas-Womens-Jersey-Black-White/dp/B06XX6WVVL/ref=sr_1_1?keywords=adidas+Tiro+17+Jersey+Womens&amp;qid=1695171224&amp;sr=8-1")</f>
        <v/>
      </c>
      <c r="F3002" t="inlineStr">
        <is>
          <t>B06XX6WVVL</t>
        </is>
      </c>
      <c r="G3002">
        <f>_xlfn.IMAGE("https://www.soccerplususa.com/prodimages/9819-DEFAULT-l.jpg")</f>
        <v/>
      </c>
      <c r="H3002">
        <f>_xlfn.IMAGE("https://m.media-amazon.com/images/I/51IqxGOgPpL._AC_UL320_.jpg")</f>
        <v/>
      </c>
      <c r="K3002" t="inlineStr">
        <is>
          <t>20.0</t>
        </is>
      </c>
      <c r="L3002" t="n">
        <v>77.91</v>
      </c>
      <c r="M3002" s="1" t="inlineStr">
        <is>
          <t>289.55%</t>
        </is>
      </c>
      <c r="N3002" s="3" t="n">
        <v>289.55</v>
      </c>
      <c r="O3002" t="n">
        <v>5</v>
      </c>
      <c r="P3002" t="n">
        <v>4</v>
      </c>
      <c r="R3002" t="inlineStr">
        <is>
          <t>InStock</t>
        </is>
      </c>
      <c r="S3002" t="inlineStr">
        <is>
          <t>39.95</t>
        </is>
      </c>
      <c r="T3002" t="inlineStr">
        <is>
          <t>BJ9096</t>
        </is>
      </c>
    </row>
    <row r="3003" ht="75" customHeight="1">
      <c r="A3003" s="2">
        <f>HYPERLINK("https://www.soccerplususa.com/adidas/adidas-squadra-13-jersey-youth-9049", "https://www.soccerplususa.com/adidas/adidas-squadra-13-jersey-youth-9049")</f>
        <v/>
      </c>
      <c r="B3003" t="inlineStr">
        <is>
          <t>undefined</t>
        </is>
      </c>
      <c r="C3003" t="inlineStr">
        <is>
          <t>adidas Squadra 13 Jersey Youth</t>
        </is>
      </c>
      <c r="D3003" t="inlineStr">
        <is>
          <t>adidas Squadra 21 Youth Goalkeeper Jersey Navy-Bold Blue YL</t>
        </is>
      </c>
      <c r="E3003" s="2">
        <f>HYPERLINK("https://www.amazon.com/adidas-Squadra-Goalkeeper-Jersey-Navy-Bold/dp/B089K81CSF/ref=sr_1_1?keywords=adidas+Squadra+13+Jersey+Youth&amp;qid=1695171199&amp;sr=8-1", "https://www.amazon.com/adidas-Squadra-Goalkeeper-Jersey-Navy-Bold/dp/B089K81CSF/ref=sr_1_1?keywords=adidas+Squadra+13+Jersey+Youth&amp;qid=1695171199&amp;sr=8-1")</f>
        <v/>
      </c>
      <c r="F3003" t="inlineStr">
        <is>
          <t>B089K81CSF</t>
        </is>
      </c>
      <c r="G3003">
        <f>_xlfn.IMAGE("https://www.soccerplususa.com/prodimages/3210-DEFAULT-l.jpg")</f>
        <v/>
      </c>
      <c r="H3003">
        <f>_xlfn.IMAGE("https://m.media-amazon.com/images/I/71lYKWGwI0L._AC_UL320_.jpg")</f>
        <v/>
      </c>
      <c r="K3003" t="inlineStr">
        <is>
          <t>12.0</t>
        </is>
      </c>
      <c r="L3003" t="n">
        <v>46.48</v>
      </c>
      <c r="M3003" s="1" t="inlineStr">
        <is>
          <t>287.33%</t>
        </is>
      </c>
      <c r="N3003" s="3" t="n">
        <v>287.33</v>
      </c>
      <c r="O3003" t="n">
        <v>4</v>
      </c>
      <c r="P3003" t="n">
        <v>1</v>
      </c>
      <c r="R3003" t="inlineStr">
        <is>
          <t>InStock</t>
        </is>
      </c>
      <c r="S3003" t="inlineStr">
        <is>
          <t>24.95</t>
        </is>
      </c>
      <c r="T3003" t="inlineStr">
        <is>
          <t>Z20640</t>
        </is>
      </c>
    </row>
    <row r="3004" hidden="1" ht="15.75" customHeight="1">
      <c r="A3004" s="2">
        <f>HYPERLINK("https://www.soccerplususa.com/puma/puma-liga-training-1-4-zip-jacket-29028", "https://www.soccerplususa.com/puma/puma-liga-training-1-4-zip-jacket-29028")</f>
        <v/>
      </c>
      <c r="B3004" t="inlineStr">
        <is>
          <t>undefined</t>
        </is>
      </c>
      <c r="C3004" t="inlineStr">
        <is>
          <t>Puma Liga Training 1/4 Zip Jacket</t>
        </is>
      </c>
      <c r="D3004" t="inlineStr">
        <is>
          <t>PUMA Cup Training 1/4 Zip Top</t>
        </is>
      </c>
      <c r="E3004" s="2">
        <f>HYPERLINK("https://www.amazon.com/PUMA-Cup-Training-Zip-TOP/dp/B07NFR93S2/ref=sr_1_8?keywords=Puma+Liga+Training+1%2F4+Zip+Jacket&amp;qid=1695171178&amp;sr=8-8", "https://www.amazon.com/PUMA-Cup-Training-Zip-TOP/dp/B07NFR93S2/ref=sr_1_8?keywords=Puma+Liga+Training+1%2F4+Zip+Jacket&amp;qid=1695171178&amp;sr=8-8")</f>
        <v/>
      </c>
      <c r="F3004" t="inlineStr">
        <is>
          <t>B07NFR93S2</t>
        </is>
      </c>
      <c r="G3004">
        <f>_xludf.IMAGE("https://www.soccerplususa.com/prodimages/6871-DEFAULT-l.jpg")</f>
        <v/>
      </c>
      <c r="H3004">
        <f>_xludf.IMAGE("https://m.media-amazon.com/images/I/712paVRY+qL._AC_UL320_.jpg")</f>
        <v/>
      </c>
      <c r="K3004" t="inlineStr">
        <is>
          <t>38.0</t>
        </is>
      </c>
      <c r="L3004" t="n">
        <v>146.83</v>
      </c>
      <c r="M3004" s="1" t="inlineStr">
        <is>
          <t>286.39%</t>
        </is>
      </c>
      <c r="N3004" s="3" t="n">
        <v>286.39</v>
      </c>
      <c r="O3004" t="n">
        <v>2.5</v>
      </c>
      <c r="P3004" t="n">
        <v>3</v>
      </c>
      <c r="R3004" t="inlineStr">
        <is>
          <t>InStock</t>
        </is>
      </c>
      <c r="S3004" t="inlineStr">
        <is>
          <t>50.0</t>
        </is>
      </c>
      <c r="T3004" t="inlineStr">
        <is>
          <t>655606-06</t>
        </is>
      </c>
    </row>
    <row r="3005" ht="75" customHeight="1">
      <c r="A3005" s="2">
        <f>HYPERLINK("https://www.soccerplususa.com/adidas/adidas-squadra-13-jersey-youth-9050", "https://www.soccerplususa.com/adidas/adidas-squadra-13-jersey-youth-9050")</f>
        <v/>
      </c>
      <c r="B3005" t="inlineStr">
        <is>
          <t>undefined</t>
        </is>
      </c>
      <c r="C3005" t="inlineStr">
        <is>
          <t>adidas Squadra 13 Jersey Youth</t>
        </is>
      </c>
      <c r="D3005" t="inlineStr">
        <is>
          <t>adidas Squadra 21 Youth Goalkeeper Jersey Navy-Bold Blue YL</t>
        </is>
      </c>
      <c r="E3005" s="2">
        <f>HYPERLINK("https://www.amazon.com/adidas-Squadra-Goalkeeper-Jersey-Navy-Bold/dp/B089K81CSF/ref=sr_1_2?keywords=adidas+Squadra+13+Jersey+Youth&amp;qid=1695171188&amp;sr=8-2", "https://www.amazon.com/adidas-Squadra-Goalkeeper-Jersey-Navy-Bold/dp/B089K81CSF/ref=sr_1_2?keywords=adidas+Squadra+13+Jersey+Youth&amp;qid=1695171188&amp;sr=8-2")</f>
        <v/>
      </c>
      <c r="F3005" t="inlineStr">
        <is>
          <t>B089K81CSF</t>
        </is>
      </c>
      <c r="G3005">
        <f>_xlfn.IMAGE("https://www.soccerplususa.com/prodimages/5163-DEFAULT-l.jpg")</f>
        <v/>
      </c>
      <c r="H3005">
        <f>_xlfn.IMAGE("https://m.media-amazon.com/images/I/71lYKWGwI0L._AC_UL320_.jpg")</f>
        <v/>
      </c>
      <c r="K3005" t="inlineStr">
        <is>
          <t>12.5</t>
        </is>
      </c>
      <c r="L3005" t="n">
        <v>46.48</v>
      </c>
      <c r="M3005" s="1" t="inlineStr">
        <is>
          <t>271.84%</t>
        </is>
      </c>
      <c r="N3005" s="3" t="n">
        <v>271.84</v>
      </c>
      <c r="O3005" t="n">
        <v>4</v>
      </c>
      <c r="P3005" t="n">
        <v>1</v>
      </c>
      <c r="R3005" t="inlineStr">
        <is>
          <t>InStock</t>
        </is>
      </c>
      <c r="S3005" t="inlineStr">
        <is>
          <t>24.95</t>
        </is>
      </c>
      <c r="T3005" t="inlineStr">
        <is>
          <t>Z20641</t>
        </is>
      </c>
    </row>
    <row r="3006" ht="75" customHeight="1">
      <c r="A3006" s="2">
        <f>HYPERLINK("https://www.soccerplususa.com/nike/nike-tiempo-jersey-youth-17487", "https://www.soccerplususa.com/nike/nike-tiempo-jersey-youth-17487")</f>
        <v/>
      </c>
      <c r="B3006" t="inlineStr">
        <is>
          <t>undefined</t>
        </is>
      </c>
      <c r="C3006" t="inlineStr">
        <is>
          <t>Nike Tiempo Jersey Youth</t>
        </is>
      </c>
      <c r="D3006" t="inlineStr">
        <is>
          <t>Nike Challenge Youth Soccer Training Jersey</t>
        </is>
      </c>
      <c r="E3006" s="2">
        <f>HYPERLINK("https://www.amazon.com/Challenge-Short-Sleeve-Jersey-BLACK-FOOTBALL/dp/B00SLRI14Q/ref=sr_1_1?keywords=Nike+Tiempo+Jersey+Youth&amp;qid=1695171182&amp;sr=8-1", "https://www.amazon.com/Challenge-Short-Sleeve-Jersey-BLACK-FOOTBALL/dp/B00SLRI14Q/ref=sr_1_1?keywords=Nike+Tiempo+Jersey+Youth&amp;qid=1695171182&amp;sr=8-1")</f>
        <v/>
      </c>
      <c r="F3006" t="inlineStr">
        <is>
          <t>B00SLRI14Q</t>
        </is>
      </c>
      <c r="G3006">
        <f>_xlfn.IMAGE("https://www.soccerplususa.com/prodimages/2423-DEFAULT-l.jpg")</f>
        <v/>
      </c>
      <c r="H3006">
        <f>_xlfn.IMAGE("https://m.media-amazon.com/images/I/51kFfarZ0HL._AC_UL320_.jpg")</f>
        <v/>
      </c>
      <c r="K3006" t="inlineStr">
        <is>
          <t>8.5</t>
        </is>
      </c>
      <c r="L3006" t="n">
        <v>29.99</v>
      </c>
      <c r="M3006" s="1" t="inlineStr">
        <is>
          <t>252.82%</t>
        </is>
      </c>
      <c r="N3006" s="3" t="n">
        <v>252.82</v>
      </c>
      <c r="O3006" t="n">
        <v>5</v>
      </c>
      <c r="P3006" t="n">
        <v>3</v>
      </c>
      <c r="R3006" t="inlineStr">
        <is>
          <t>InStock</t>
        </is>
      </c>
      <c r="S3006" t="inlineStr">
        <is>
          <t>16.95</t>
        </is>
      </c>
      <c r="T3006" t="inlineStr">
        <is>
          <t>269753-494</t>
        </is>
      </c>
    </row>
    <row r="3007" ht="75" customHeight="1">
      <c r="A3007" s="2">
        <f>HYPERLINK("https://www.soccerplususa.com/adidas/adidas-tiro-15-jersey-youth-7891", "https://www.soccerplususa.com/adidas/adidas-tiro-15-jersey-youth-7891")</f>
        <v/>
      </c>
      <c r="B3007" t="inlineStr">
        <is>
          <t>undefined</t>
        </is>
      </c>
      <c r="C3007" t="inlineStr">
        <is>
          <t>adidas Tiro 15 Jersey Youth</t>
        </is>
      </c>
      <c r="D3007" t="inlineStr">
        <is>
          <t>adidas Youth Tiro 15 Training Pant</t>
        </is>
      </c>
      <c r="E3007" s="2">
        <f>HYPERLINK("https://www.amazon.com/adidas-KidsLittle-Training-Little-X-Large/dp/B00RW5FHJ0/ref=sr_1_5?keywords=adidas+Tiro+15+Jersey+Youth&amp;qid=1695171218&amp;sr=8-5", "https://www.amazon.com/adidas-KidsLittle-Training-Little-X-Large/dp/B00RW5FHJ0/ref=sr_1_5?keywords=adidas+Tiro+15+Jersey+Youth&amp;qid=1695171218&amp;sr=8-5")</f>
        <v/>
      </c>
      <c r="F3007" t="inlineStr">
        <is>
          <t>B00RW5FHJ0</t>
        </is>
      </c>
      <c r="G3007">
        <f>_xlfn.IMAGE("https://www.soccerplususa.com/prodimages/6931-DEFAULT-l.jpg")</f>
        <v/>
      </c>
      <c r="H3007">
        <f>_xlfn.IMAGE("https://m.media-amazon.com/images/I/8148xHfHumL._AC_UL320_.jpg")</f>
        <v/>
      </c>
      <c r="K3007" t="inlineStr">
        <is>
          <t>11.38</t>
        </is>
      </c>
      <c r="L3007" t="n">
        <v>39.99</v>
      </c>
      <c r="M3007" s="1" t="inlineStr">
        <is>
          <t>251.41%</t>
        </is>
      </c>
      <c r="N3007" s="3" t="n">
        <v>251.41</v>
      </c>
      <c r="O3007" t="n">
        <v>4.4</v>
      </c>
      <c r="P3007" t="n">
        <v>938</v>
      </c>
      <c r="R3007" t="inlineStr">
        <is>
          <t>InStock</t>
        </is>
      </c>
      <c r="S3007" t="inlineStr">
        <is>
          <t>34.95</t>
        </is>
      </c>
      <c r="T3007" t="inlineStr">
        <is>
          <t>S22374</t>
        </is>
      </c>
    </row>
    <row r="3008" ht="75" customHeight="1">
      <c r="A3008" s="2">
        <f>HYPERLINK("https://www.soccerplususa.com/adidas/adidas-regista-16-jersey-4149", "https://www.soccerplususa.com/adidas/adidas-regista-16-jersey-4149")</f>
        <v/>
      </c>
      <c r="B3008" t="inlineStr">
        <is>
          <t>undefined</t>
        </is>
      </c>
      <c r="C3008" t="inlineStr">
        <is>
          <t>adidas Regista 16 Jersey</t>
        </is>
      </c>
      <c r="D3008" t="inlineStr">
        <is>
          <t>adidas Regista 16 Youth Soccer Jersey S Power Red/White</t>
        </is>
      </c>
      <c r="E3008" s="2">
        <f>HYPERLINK("https://www.amazon.com/adidas-Regista-Soccer-Jersey-Red-White/dp/B018668Y66/ref=sr_1_10?keywords=adidas+Regista+16+Jersey&amp;qid=1695171233&amp;sr=8-10", "https://www.amazon.com/adidas-Regista-Soccer-Jersey-Red-White/dp/B018668Y66/ref=sr_1_10?keywords=adidas+Regista+16+Jersey&amp;qid=1695171233&amp;sr=8-10")</f>
        <v/>
      </c>
      <c r="F3008" t="inlineStr">
        <is>
          <t>B018668Y66</t>
        </is>
      </c>
      <c r="G3008">
        <f>_xlfn.IMAGE("https://www.soccerplususa.com/prodimages/32795-DEFAULT-l.jpg")</f>
        <v/>
      </c>
      <c r="H3008">
        <f>_xlfn.IMAGE("https://m.media-amazon.com/images/I/514dyYJa+IL._AC_UL320_.jpg")</f>
        <v/>
      </c>
      <c r="K3008" t="inlineStr">
        <is>
          <t>17.0</t>
        </is>
      </c>
      <c r="L3008" t="n">
        <v>57.13</v>
      </c>
      <c r="M3008" s="1" t="inlineStr">
        <is>
          <t>236.06%</t>
        </is>
      </c>
      <c r="N3008" s="3" t="n">
        <v>236.06</v>
      </c>
      <c r="O3008" t="n">
        <v>5</v>
      </c>
      <c r="P3008" t="n">
        <v>1</v>
      </c>
      <c r="R3008" t="inlineStr">
        <is>
          <t>InStock</t>
        </is>
      </c>
      <c r="S3008" t="inlineStr">
        <is>
          <t>34.95</t>
        </is>
      </c>
      <c r="T3008" t="inlineStr">
        <is>
          <t>AP0535</t>
        </is>
      </c>
    </row>
    <row r="3009" ht="75" customHeight="1">
      <c r="A3009" s="2">
        <f>HYPERLINK("https://www.soccerplususa.com/nike/nike-challenge-jersey-youth-34517", "https://www.soccerplususa.com/nike/nike-challenge-jersey-youth-34517")</f>
        <v/>
      </c>
      <c r="B3009" t="inlineStr">
        <is>
          <t>undefined</t>
        </is>
      </c>
      <c r="C3009" t="inlineStr">
        <is>
          <t>Nike Challenge Jersey Youth</t>
        </is>
      </c>
      <c r="D3009" t="inlineStr">
        <is>
          <t>Nike France Youth Away Jersey</t>
        </is>
      </c>
      <c r="E3009" s="2">
        <f>HYPERLINK("https://www.amazon.com/Nike-France-Youth-Jersey-White/dp/B00IJ4M5DY/ref=sr_1_3?keywords=Nike+Challenge+Jersey+Youth&amp;qid=1695171163&amp;sr=8-3", "https://www.amazon.com/Nike-France-Youth-Jersey-White/dp/B00IJ4M5DY/ref=sr_1_3?keywords=Nike+Challenge+Jersey+Youth&amp;qid=1695171163&amp;sr=8-3")</f>
        <v/>
      </c>
      <c r="F3009" t="inlineStr">
        <is>
          <t>B00IJ4M5DY</t>
        </is>
      </c>
      <c r="G3009">
        <f>_xlfn.IMAGE("https://www.soccerplususa.com/prodimages/7623-DEFAULT-l.jpg")</f>
        <v/>
      </c>
      <c r="H3009">
        <f>_xlfn.IMAGE("https://m.media-amazon.com/images/I/814Qz-79rjL._AC_UL320_.jpg")</f>
        <v/>
      </c>
      <c r="K3009" t="inlineStr">
        <is>
          <t>15.0</t>
        </is>
      </c>
      <c r="L3009" t="n">
        <v>49.99</v>
      </c>
      <c r="M3009" s="1" t="inlineStr">
        <is>
          <t>233.27%</t>
        </is>
      </c>
      <c r="N3009" s="3" t="n">
        <v>233.27</v>
      </c>
      <c r="O3009" t="n">
        <v>5</v>
      </c>
      <c r="P3009" t="n">
        <v>6</v>
      </c>
      <c r="R3009" t="inlineStr">
        <is>
          <t>InStock</t>
        </is>
      </c>
      <c r="S3009" t="inlineStr">
        <is>
          <t>29.95</t>
        </is>
      </c>
      <c r="T3009" t="inlineStr">
        <is>
          <t>645921-156</t>
        </is>
      </c>
    </row>
    <row r="3010" ht="75" customHeight="1">
      <c r="A3010" s="2">
        <f>HYPERLINK("https://www.soccerplususa.com/nike/nike-challenge-jersey-youth-22840", "https://www.soccerplususa.com/nike/nike-challenge-jersey-youth-22840")</f>
        <v/>
      </c>
      <c r="B3010" t="inlineStr">
        <is>
          <t>undefined</t>
        </is>
      </c>
      <c r="C3010" t="inlineStr">
        <is>
          <t>Nike Challenge Jersey Youth</t>
        </is>
      </c>
      <c r="D3010" t="inlineStr">
        <is>
          <t>Nike France Youth Away Jersey</t>
        </is>
      </c>
      <c r="E3010" s="2">
        <f>HYPERLINK("https://www.amazon.com/Nike-France-Youth-Jersey-White/dp/B00IJ4M5DY/ref=sr_1_4?keywords=Nike+Challenge+Jersey+Youth&amp;qid=1695171191&amp;sr=8-4", "https://www.amazon.com/Nike-France-Youth-Jersey-White/dp/B00IJ4M5DY/ref=sr_1_4?keywords=Nike+Challenge+Jersey+Youth&amp;qid=1695171191&amp;sr=8-4")</f>
        <v/>
      </c>
      <c r="F3010" t="inlineStr">
        <is>
          <t>B00IJ4M5DY</t>
        </is>
      </c>
      <c r="G3010">
        <f>_xlfn.IMAGE("https://www.soccerplususa.com/prodimages/7622-DEFAULT-l.jpg")</f>
        <v/>
      </c>
      <c r="H3010">
        <f>_xlfn.IMAGE("https://m.media-amazon.com/images/I/814Qz-79rjL._AC_UL320_.jpg")</f>
        <v/>
      </c>
      <c r="K3010" t="inlineStr">
        <is>
          <t>15.0</t>
        </is>
      </c>
      <c r="L3010" t="n">
        <v>49.99</v>
      </c>
      <c r="M3010" s="1" t="inlineStr">
        <is>
          <t>233.27%</t>
        </is>
      </c>
      <c r="N3010" s="3" t="n">
        <v>233.27</v>
      </c>
      <c r="O3010" t="n">
        <v>5</v>
      </c>
      <c r="P3010" t="n">
        <v>6</v>
      </c>
      <c r="R3010" t="inlineStr">
        <is>
          <t>InStock</t>
        </is>
      </c>
      <c r="S3010" t="inlineStr">
        <is>
          <t>29.95</t>
        </is>
      </c>
      <c r="T3010" t="inlineStr">
        <is>
          <t>645921-010</t>
        </is>
      </c>
    </row>
    <row r="3011" ht="75" customHeight="1">
      <c r="A3011" s="2">
        <f>HYPERLINK("https://www.soccerplususa.com/nike/nike-tiempo-jersey-youth-17487", "https://www.soccerplususa.com/nike/nike-tiempo-jersey-youth-17487")</f>
        <v/>
      </c>
      <c r="B3011" t="inlineStr">
        <is>
          <t>undefined</t>
        </is>
      </c>
      <c r="C3011" t="inlineStr">
        <is>
          <t>Nike Tiempo Jersey Youth</t>
        </is>
      </c>
      <c r="D3011" t="inlineStr">
        <is>
          <t>Nike Youth Park VII Short Sleeve Jersey, BV6742-010</t>
        </is>
      </c>
      <c r="E3011" s="2">
        <f>HYPERLINK("https://www.amazon.com/Nike-Youth-Sleeve-Jersey-BV6742-010/dp/B0B16HKH26/ref=sr_1_5?keywords=Nike+Tiempo+Jersey+Youth&amp;qid=1695171182&amp;sr=8-5", "https://www.amazon.com/Nike-Youth-Sleeve-Jersey-BV6742-010/dp/B0B16HKH26/ref=sr_1_5?keywords=Nike+Tiempo+Jersey+Youth&amp;qid=1695171182&amp;sr=8-5")</f>
        <v/>
      </c>
      <c r="F3011" t="inlineStr">
        <is>
          <t>B0B16HKH26</t>
        </is>
      </c>
      <c r="G3011">
        <f>_xlfn.IMAGE("https://www.soccerplususa.com/prodimages/2423-DEFAULT-l.jpg")</f>
        <v/>
      </c>
      <c r="H3011">
        <f>_xlfn.IMAGE("https://m.media-amazon.com/images/I/41uqZKvB6pL._AC_UL320_.jpg")</f>
        <v/>
      </c>
      <c r="K3011" t="inlineStr">
        <is>
          <t>8.5</t>
        </is>
      </c>
      <c r="L3011" t="n">
        <v>27.99</v>
      </c>
      <c r="M3011" s="1" t="inlineStr">
        <is>
          <t>229.29%</t>
        </is>
      </c>
      <c r="N3011" s="3" t="n">
        <v>229.29</v>
      </c>
      <c r="O3011" t="n">
        <v>4.4</v>
      </c>
      <c r="P3011" t="n">
        <v>7</v>
      </c>
      <c r="R3011" t="inlineStr">
        <is>
          <t>InStock</t>
        </is>
      </c>
      <c r="S3011" t="inlineStr">
        <is>
          <t>16.95</t>
        </is>
      </c>
      <c r="T3011" t="inlineStr">
        <is>
          <t>269753-494</t>
        </is>
      </c>
    </row>
    <row r="3012" ht="75" customHeight="1">
      <c r="A3012" s="2">
        <f>HYPERLINK("https://www.soccerplususa.com/adidas/adidas-regista-16-jersey-4147", "https://www.soccerplususa.com/adidas/adidas-regista-16-jersey-4147")</f>
        <v/>
      </c>
      <c r="B3012" t="inlineStr">
        <is>
          <t>undefined</t>
        </is>
      </c>
      <c r="C3012" t="inlineStr">
        <is>
          <t>adidas Regista 16 Jersey</t>
        </is>
      </c>
      <c r="D3012" t="inlineStr">
        <is>
          <t>adidas Regista 16 Youth Soccer Jersey S Power Red/White</t>
        </is>
      </c>
      <c r="E3012" s="2">
        <f>HYPERLINK("https://www.amazon.com/adidas-Regista-Soccer-Jersey-Red-White/dp/B018668Y66/ref=sr_1_10?keywords=adidas+Regista+16+Jersey&amp;qid=1695171233&amp;sr=8-10", "https://www.amazon.com/adidas-Regista-Soccer-Jersey-Red-White/dp/B018668Y66/ref=sr_1_10?keywords=adidas+Regista+16+Jersey&amp;qid=1695171233&amp;sr=8-10")</f>
        <v/>
      </c>
      <c r="F3012" t="inlineStr">
        <is>
          <t>B018668Y66</t>
        </is>
      </c>
      <c r="G3012">
        <f>_xlfn.IMAGE("https://www.soccerplususa.com/prodimages/7616-DEFAULT-l.jpg")</f>
        <v/>
      </c>
      <c r="H3012">
        <f>_xlfn.IMAGE("https://m.media-amazon.com/images/I/514dyYJa+IL._AC_UL320_.jpg")</f>
        <v/>
      </c>
      <c r="K3012" t="inlineStr">
        <is>
          <t>17.5</t>
        </is>
      </c>
      <c r="L3012" t="n">
        <v>57.13</v>
      </c>
      <c r="M3012" s="1" t="inlineStr">
        <is>
          <t>226.46%</t>
        </is>
      </c>
      <c r="N3012" s="3" t="n">
        <v>226.46</v>
      </c>
      <c r="O3012" t="n">
        <v>5</v>
      </c>
      <c r="P3012" t="n">
        <v>1</v>
      </c>
      <c r="R3012" t="inlineStr">
        <is>
          <t>InStock</t>
        </is>
      </c>
      <c r="S3012" t="inlineStr">
        <is>
          <t>34.95</t>
        </is>
      </c>
      <c r="T3012" t="inlineStr">
        <is>
          <t>AP0529</t>
        </is>
      </c>
    </row>
    <row r="3013" ht="75" customHeight="1">
      <c r="A3013" s="2">
        <f>HYPERLINK("https://www.soccerplususa.com/adidas/adidas-tiro-15-jersey-7888", "https://www.soccerplususa.com/adidas/adidas-tiro-15-jersey-7888")</f>
        <v/>
      </c>
      <c r="B3013" t="inlineStr">
        <is>
          <t>undefined</t>
        </is>
      </c>
      <c r="C3013" t="inlineStr">
        <is>
          <t>adidas Tiro 15 Jersey</t>
        </is>
      </c>
      <c r="D3013" t="inlineStr">
        <is>
          <t>adidas Men's Soccer Tiro 15 Training Jacket</t>
        </is>
      </c>
      <c r="E3013" s="2">
        <f>HYPERLINK("https://www.amazon.com/adidas-Soccer-Training-Jacket-Black/dp/B00QKRKDC2/ref=sr_1_5?keywords=adidas+Tiro+15+Jersey&amp;qid=1695171213&amp;sr=8-5", "https://www.amazon.com/adidas-Soccer-Training-Jacket-Black/dp/B00QKRKDC2/ref=sr_1_5?keywords=adidas+Tiro+15+Jersey&amp;qid=1695171213&amp;sr=8-5")</f>
        <v/>
      </c>
      <c r="F3013" t="inlineStr">
        <is>
          <t>B00QKRKDC2</t>
        </is>
      </c>
      <c r="G3013">
        <f>_xlfn.IMAGE("https://www.soccerplususa.com/prodimages/5430-DEFAULT-l.jpg")</f>
        <v/>
      </c>
      <c r="H3013">
        <f>_xlfn.IMAGE("https://m.media-amazon.com/images/I/31aSgvALGML._AC_UL320_.jpg")</f>
        <v/>
      </c>
      <c r="K3013" t="inlineStr">
        <is>
          <t>20.0</t>
        </is>
      </c>
      <c r="L3013" t="n">
        <v>64.98999999999999</v>
      </c>
      <c r="M3013" s="1" t="inlineStr">
        <is>
          <t>224.95%</t>
        </is>
      </c>
      <c r="N3013" s="3" t="n">
        <v>224.95</v>
      </c>
      <c r="O3013" t="n">
        <v>4.1</v>
      </c>
      <c r="P3013" t="n">
        <v>40</v>
      </c>
      <c r="R3013" t="inlineStr">
        <is>
          <t>InStock</t>
        </is>
      </c>
      <c r="S3013" t="inlineStr">
        <is>
          <t>39.95</t>
        </is>
      </c>
      <c r="T3013" t="inlineStr">
        <is>
          <t>S22363</t>
        </is>
      </c>
    </row>
    <row r="3014" ht="75" customHeight="1">
      <c r="A3014" s="2">
        <f>HYPERLINK("https://www.soccerplususa.com/adidas/adidas-tiro-15-jersey-7887", "https://www.soccerplususa.com/adidas/adidas-tiro-15-jersey-7887")</f>
        <v/>
      </c>
      <c r="B3014" t="inlineStr">
        <is>
          <t>undefined</t>
        </is>
      </c>
      <c r="C3014" t="inlineStr">
        <is>
          <t>adidas Tiro 15 Jersey</t>
        </is>
      </c>
      <c r="D3014" t="inlineStr">
        <is>
          <t>adidas Men's Soccer Tiro 15 Training Jacket</t>
        </is>
      </c>
      <c r="E3014" s="2">
        <f>HYPERLINK("https://www.amazon.com/adidas-Soccer-Training-Jacket-Black/dp/B00QKRKDC2/ref=sr_1_5?keywords=adidas+Tiro+15+Jersey&amp;qid=1695171209&amp;sr=8-5", "https://www.amazon.com/adidas-Soccer-Training-Jacket-Black/dp/B00QKRKDC2/ref=sr_1_5?keywords=adidas+Tiro+15+Jersey&amp;qid=1695171209&amp;sr=8-5")</f>
        <v/>
      </c>
      <c r="F3014" t="inlineStr">
        <is>
          <t>B00QKRKDC2</t>
        </is>
      </c>
      <c r="G3014">
        <f>_xlfn.IMAGE("https://www.soccerplususa.com/prodimages/6309-DEFAULT-l.jpg")</f>
        <v/>
      </c>
      <c r="H3014">
        <f>_xlfn.IMAGE("https://m.media-amazon.com/images/I/31aSgvALGML._AC_UL320_.jpg")</f>
        <v/>
      </c>
      <c r="K3014" t="inlineStr">
        <is>
          <t>20.0</t>
        </is>
      </c>
      <c r="L3014" t="n">
        <v>64.98999999999999</v>
      </c>
      <c r="M3014" s="1" t="inlineStr">
        <is>
          <t>224.95%</t>
        </is>
      </c>
      <c r="N3014" s="3" t="n">
        <v>224.95</v>
      </c>
      <c r="O3014" t="n">
        <v>4.1</v>
      </c>
      <c r="P3014" t="n">
        <v>40</v>
      </c>
      <c r="R3014" t="inlineStr">
        <is>
          <t>InStock</t>
        </is>
      </c>
      <c r="S3014" t="inlineStr">
        <is>
          <t>40.0</t>
        </is>
      </c>
      <c r="T3014" t="inlineStr">
        <is>
          <t>S22362</t>
        </is>
      </c>
    </row>
    <row r="3015" ht="75" customHeight="1">
      <c r="A3015" s="2">
        <f>HYPERLINK("https://www.soccerplususa.com/adidas/adidas-tiro-15-jersey-womens-7896", "https://www.soccerplususa.com/adidas/adidas-tiro-15-jersey-womens-7896")</f>
        <v/>
      </c>
      <c r="B3015" t="inlineStr">
        <is>
          <t>undefined</t>
        </is>
      </c>
      <c r="C3015" t="inlineStr">
        <is>
          <t>adidas Tiro 15 Jersey Women's</t>
        </is>
      </c>
      <c r="D3015" t="inlineStr">
        <is>
          <t>adidas Women's Soccer Tiro 15 Training Jacket</t>
        </is>
      </c>
      <c r="E3015" s="2">
        <f>HYPERLINK("https://www.amazon.com/adidas-S1506GHTT004W-Womens-Soccer-Training/dp/B00QKRJ3B4/ref=sr_1_1?keywords=adidas+Tiro+15+Jersey+Womens&amp;qid=1695171238&amp;sr=8-1", "https://www.amazon.com/adidas-S1506GHTT004W-Womens-Soccer-Training/dp/B00QKRJ3B4/ref=sr_1_1?keywords=adidas+Tiro+15+Jersey+Womens&amp;qid=1695171238&amp;sr=8-1")</f>
        <v/>
      </c>
      <c r="F3015" t="inlineStr">
        <is>
          <t>B00QKRJ3B4</t>
        </is>
      </c>
      <c r="G3015">
        <f>_xlfn.IMAGE("https://www.soccerplususa.com/prodimages/10575-DEFAULT-l.jpg")</f>
        <v/>
      </c>
      <c r="H3015">
        <f>_xlfn.IMAGE("https://m.media-amazon.com/images/I/61IAizuSsOL._AC_UL320_.jpg")</f>
        <v/>
      </c>
      <c r="K3015" t="inlineStr">
        <is>
          <t>20.0</t>
        </is>
      </c>
      <c r="L3015" t="n">
        <v>64.98999999999999</v>
      </c>
      <c r="M3015" s="1" t="inlineStr">
        <is>
          <t>224.95%</t>
        </is>
      </c>
      <c r="N3015" s="3" t="n">
        <v>224.95</v>
      </c>
      <c r="O3015" t="n">
        <v>4.6</v>
      </c>
      <c r="P3015" t="n">
        <v>317</v>
      </c>
      <c r="R3015" t="inlineStr">
        <is>
          <t>InStock</t>
        </is>
      </c>
      <c r="S3015" t="inlineStr">
        <is>
          <t>39.95</t>
        </is>
      </c>
      <c r="T3015" t="inlineStr">
        <is>
          <t>S22413</t>
        </is>
      </c>
    </row>
    <row r="3016" hidden="1" ht="15.75" customHeight="1">
      <c r="A3016" s="2">
        <f>HYPERLINK("https://www.soccerplususa.com/adidas/adidas-tiro-15-jersey-youth-7891", "https://www.soccerplususa.com/adidas/adidas-tiro-15-jersey-youth-7891")</f>
        <v/>
      </c>
      <c r="B3016" t="inlineStr">
        <is>
          <t>undefined</t>
        </is>
      </c>
      <c r="C3016" t="inlineStr">
        <is>
          <t>adidas Tiro 15 Jersey Youth</t>
        </is>
      </c>
      <c r="D3016" t="inlineStr">
        <is>
          <t>adidas Performance Youth Tiro 15 Three-Quarter Pant</t>
        </is>
      </c>
      <c r="E3016" s="2">
        <f>HYPERLINK("https://www.amazon.com/adidas-Performance-Youth-Three-Quarter-Medium/dp/B00LU8JOT4/ref=sr_1_1?keywords=adidas+Tiro+15+Jersey+Youth&amp;qid=1695171218&amp;sr=8-1", "https://www.amazon.com/adidas-Performance-Youth-Three-Quarter-Medium/dp/B00LU8JOT4/ref=sr_1_1?keywords=adidas+Tiro+15+Jersey+Youth&amp;qid=1695171218&amp;sr=8-1")</f>
        <v/>
      </c>
      <c r="F3016" t="inlineStr">
        <is>
          <t>B00LU8JOT4</t>
        </is>
      </c>
      <c r="G3016">
        <f>_xludf.IMAGE("https://www.soccerplususa.com/prodimages/6931-DEFAULT-l.jpg")</f>
        <v/>
      </c>
      <c r="H3016">
        <f>_xludf.IMAGE("https://m.media-amazon.com/images/I/81GyYh0GiZL._AC_UL320_.jpg")</f>
        <v/>
      </c>
      <c r="K3016" t="inlineStr">
        <is>
          <t>11.38</t>
        </is>
      </c>
      <c r="L3016" t="n">
        <v>35.75</v>
      </c>
      <c r="M3016" s="1" t="inlineStr">
        <is>
          <t>214.15%</t>
        </is>
      </c>
      <c r="N3016" s="3" t="n">
        <v>214.15</v>
      </c>
      <c r="O3016" t="n">
        <v>3.7</v>
      </c>
      <c r="P3016" t="n">
        <v>34</v>
      </c>
      <c r="R3016" t="inlineStr">
        <is>
          <t>InStock</t>
        </is>
      </c>
      <c r="S3016" t="inlineStr">
        <is>
          <t>34.95</t>
        </is>
      </c>
      <c r="T3016" t="inlineStr">
        <is>
          <t>S22374</t>
        </is>
      </c>
    </row>
    <row r="3017" ht="75" customHeight="1">
      <c r="A3017" s="2">
        <f>HYPERLINK("https://www.soccerplususa.com/adidas/adidas-squadra-17-jersey-youth-45935", "https://www.soccerplususa.com/adidas/adidas-squadra-17-jersey-youth-45935")</f>
        <v/>
      </c>
      <c r="B3017" t="inlineStr">
        <is>
          <t>undefined</t>
        </is>
      </c>
      <c r="C3017" t="inlineStr">
        <is>
          <t>adidas Squadra 17 Jersey Youth</t>
        </is>
      </c>
      <c r="D3017" t="inlineStr">
        <is>
          <t>adidas Womens Squadra 17 Jersey</t>
        </is>
      </c>
      <c r="E3017" s="2">
        <f>HYPERLINK("https://www.amazon.com/adidas-Squadra-Jersey-Power-Red-White/dp/B06XQJT36S/ref=sr_1_10?keywords=adidas+Squadra+17+Jersey+Youth&amp;qid=1695171144&amp;sr=8-10", "https://www.amazon.com/adidas-Squadra-Jersey-Power-Red-White/dp/B06XQJT36S/ref=sr_1_10?keywords=adidas+Squadra+17+Jersey+Youth&amp;qid=1695171144&amp;sr=8-10")</f>
        <v/>
      </c>
      <c r="F3017" t="inlineStr">
        <is>
          <t>B06XQJT36S</t>
        </is>
      </c>
      <c r="G3017">
        <f>_xlfn.IMAGE("https://www.soccerplususa.com/prodimages//37351-ORANGEWHITE-M.jpg")</f>
        <v/>
      </c>
      <c r="H3017">
        <f>_xlfn.IMAGE("https://m.media-amazon.com/images/I/61XjfmYgUhL._AC_UL320_.jpg")</f>
        <v/>
      </c>
      <c r="K3017" t="inlineStr">
        <is>
          <t>18.99</t>
        </is>
      </c>
      <c r="L3017" t="n">
        <v>59.05</v>
      </c>
      <c r="M3017" s="1" t="inlineStr">
        <is>
          <t>210.95%</t>
        </is>
      </c>
      <c r="N3017" s="3" t="n">
        <v>210.95</v>
      </c>
      <c r="O3017" t="n">
        <v>4.5</v>
      </c>
      <c r="P3017" t="n">
        <v>37</v>
      </c>
      <c r="R3017" t="inlineStr">
        <is>
          <t>InStock</t>
        </is>
      </c>
      <c r="S3017" t="inlineStr">
        <is>
          <t>25.0</t>
        </is>
      </c>
      <c r="T3017" t="inlineStr">
        <is>
          <t>BJ9198</t>
        </is>
      </c>
    </row>
    <row r="3018" ht="75" customHeight="1">
      <c r="A3018" s="2">
        <f>HYPERLINK("https://www.soccerplususa.com/adidas/adidas-tabela-11-jersey-youth-7245", "https://www.soccerplususa.com/adidas/adidas-tabela-11-jersey-youth-7245")</f>
        <v/>
      </c>
      <c r="B3018" t="inlineStr">
        <is>
          <t>undefined</t>
        </is>
      </c>
      <c r="C3018" t="inlineStr">
        <is>
          <t>adidas Tabela 11 Jersey Youth</t>
        </is>
      </c>
      <c r="D3018" t="inlineStr">
        <is>
          <t>adidas Performance Boys Youth Tabela 14 Short Sleeve Jersey</t>
        </is>
      </c>
      <c r="E3018" s="2">
        <f>HYPERLINK("https://www.amazon.com/adidas-Performance-Tabela-Jersey-X-Large/dp/B00J2GYF1I/ref=sr_1_2?keywords=adidas+Tabela+11+Jersey+Youth&amp;qid=1695171215&amp;sr=8-2", "https://www.amazon.com/adidas-Performance-Tabela-Jersey-X-Large/dp/B00J2GYF1I/ref=sr_1_2?keywords=adidas+Tabela+11+Jersey+Youth&amp;qid=1695171215&amp;sr=8-2")</f>
        <v/>
      </c>
      <c r="F3018" t="inlineStr">
        <is>
          <t>B00J2GYF1I</t>
        </is>
      </c>
      <c r="G3018">
        <f>_xlfn.IMAGE("https://www.soccerplususa.com/prodimages/3215-DEFAULT-l.jpg")</f>
        <v/>
      </c>
      <c r="H3018">
        <f>_xlfn.IMAGE("https://m.media-amazon.com/images/I/91YNKoolA4L._AC_UL320_.jpg")</f>
        <v/>
      </c>
      <c r="K3018" t="inlineStr">
        <is>
          <t>11.0</t>
        </is>
      </c>
      <c r="L3018" t="n">
        <v>34</v>
      </c>
      <c r="M3018" s="1" t="inlineStr">
        <is>
          <t>209.09%</t>
        </is>
      </c>
      <c r="N3018" s="3" t="n">
        <v>209.09</v>
      </c>
      <c r="O3018" t="n">
        <v>4.5</v>
      </c>
      <c r="P3018" t="n">
        <v>22</v>
      </c>
      <c r="R3018" t="inlineStr">
        <is>
          <t>InStock</t>
        </is>
      </c>
      <c r="S3018" t="inlineStr">
        <is>
          <t>22.95</t>
        </is>
      </c>
      <c r="T3018" t="inlineStr">
        <is>
          <t>O07579</t>
        </is>
      </c>
    </row>
    <row r="3019" ht="75" customHeight="1">
      <c r="A3019" s="2">
        <f>HYPERLINK("https://www.soccerplususa.com/adidas/adidas-tabela-11-jersey-youth-7248", "https://www.soccerplususa.com/adidas/adidas-tabela-11-jersey-youth-7248")</f>
        <v/>
      </c>
      <c r="B3019" t="inlineStr">
        <is>
          <t>undefined</t>
        </is>
      </c>
      <c r="C3019" t="inlineStr">
        <is>
          <t>adidas Tabela 11 Jersey Youth</t>
        </is>
      </c>
      <c r="D3019" t="inlineStr">
        <is>
          <t>adidas Performance Boys Youth Tabela 14 Short Sleeve Jersey</t>
        </is>
      </c>
      <c r="E3019" s="2">
        <f>HYPERLINK("https://www.amazon.com/adidas-Performance-Tabela-Jersey-X-Large/dp/B00J2GYF1I/ref=sr_1_2?keywords=adidas+Tabela+11+Jersey+Youth&amp;qid=1695171226&amp;sr=8-2", "https://www.amazon.com/adidas-Performance-Tabela-Jersey-X-Large/dp/B00J2GYF1I/ref=sr_1_2?keywords=adidas+Tabela+11+Jersey+Youth&amp;qid=1695171226&amp;sr=8-2")</f>
        <v/>
      </c>
      <c r="F3019" t="inlineStr">
        <is>
          <t>B00J2GYF1I</t>
        </is>
      </c>
      <c r="G3019">
        <f>_xlfn.IMAGE("https://www.soccerplususa.com/prodimages/3216-DEFAULT-l.jpg")</f>
        <v/>
      </c>
      <c r="H3019">
        <f>_xlfn.IMAGE("https://m.media-amazon.com/images/I/91YNKoolA4L._AC_UL320_.jpg")</f>
        <v/>
      </c>
      <c r="K3019" t="inlineStr">
        <is>
          <t>11.0</t>
        </is>
      </c>
      <c r="L3019" t="n">
        <v>34</v>
      </c>
      <c r="M3019" s="1" t="inlineStr">
        <is>
          <t>209.09%</t>
        </is>
      </c>
      <c r="N3019" s="3" t="n">
        <v>209.09</v>
      </c>
      <c r="O3019" t="n">
        <v>4.5</v>
      </c>
      <c r="P3019" t="n">
        <v>22</v>
      </c>
      <c r="R3019" t="inlineStr">
        <is>
          <t>InStock</t>
        </is>
      </c>
      <c r="S3019" t="inlineStr">
        <is>
          <t>22.95</t>
        </is>
      </c>
      <c r="T3019" t="inlineStr">
        <is>
          <t>O07581</t>
        </is>
      </c>
    </row>
    <row r="3020" ht="75" customHeight="1">
      <c r="A3020" s="2">
        <f>HYPERLINK("https://www.soccerplususa.com/adidas/adidas-tabela-11-jersey-youth-7242", "https://www.soccerplususa.com/adidas/adidas-tabela-11-jersey-youth-7242")</f>
        <v/>
      </c>
      <c r="B3020" t="inlineStr">
        <is>
          <t>undefined</t>
        </is>
      </c>
      <c r="C3020" t="inlineStr">
        <is>
          <t>adidas Tabela 11 Jersey Youth</t>
        </is>
      </c>
      <c r="D3020" t="inlineStr">
        <is>
          <t>adidas Performance Boys Youth Tabela 14 Short Sleeve Jersey</t>
        </is>
      </c>
      <c r="E3020" s="2">
        <f>HYPERLINK("https://www.amazon.com/adidas-Performance-Tabela-Jersey-X-Large/dp/B00J2GYF1I/ref=sr_1_2?keywords=adidas+Tabela+11+Jersey+Youth&amp;qid=1695171212&amp;sr=8-2", "https://www.amazon.com/adidas-Performance-Tabela-Jersey-X-Large/dp/B00J2GYF1I/ref=sr_1_2?keywords=adidas+Tabela+11+Jersey+Youth&amp;qid=1695171212&amp;sr=8-2")</f>
        <v/>
      </c>
      <c r="F3020" t="inlineStr">
        <is>
          <t>B00J2GYF1I</t>
        </is>
      </c>
      <c r="G3020">
        <f>_xlfn.IMAGE("https://www.soccerplususa.com/prodimages/3213-DEFAULT-l.jpg")</f>
        <v/>
      </c>
      <c r="H3020">
        <f>_xlfn.IMAGE("https://m.media-amazon.com/images/I/91YNKoolA4L._AC_UL320_.jpg")</f>
        <v/>
      </c>
      <c r="K3020" t="inlineStr">
        <is>
          <t>11.0</t>
        </is>
      </c>
      <c r="L3020" t="n">
        <v>34</v>
      </c>
      <c r="M3020" s="1" t="inlineStr">
        <is>
          <t>209.09%</t>
        </is>
      </c>
      <c r="N3020" s="3" t="n">
        <v>209.09</v>
      </c>
      <c r="O3020" t="n">
        <v>4.5</v>
      </c>
      <c r="P3020" t="n">
        <v>22</v>
      </c>
      <c r="R3020" t="inlineStr">
        <is>
          <t>InStock</t>
        </is>
      </c>
      <c r="S3020" t="inlineStr">
        <is>
          <t>22.95</t>
        </is>
      </c>
      <c r="T3020" t="inlineStr">
        <is>
          <t>O07577</t>
        </is>
      </c>
    </row>
    <row r="3021" ht="75" customHeight="1">
      <c r="A3021" s="2">
        <f>HYPERLINK("https://www.soccerplususa.com/under-armour/under-armour-coldgear-armour-fitted-mock-youth-41593", "https://www.soccerplususa.com/under-armour/under-armour-coldgear-armour-fitted-mock-youth-41593")</f>
        <v/>
      </c>
      <c r="B3021" t="inlineStr">
        <is>
          <t>undefined</t>
        </is>
      </c>
      <c r="C3021" t="inlineStr">
        <is>
          <t>Under Armour ColdGear Armour Fitted Mock Youth</t>
        </is>
      </c>
      <c r="D3021" t="inlineStr">
        <is>
          <t>Under Armour Boys ColdGear Evo Fitted Long Sleeve Mock T-Shirt</t>
        </is>
      </c>
      <c r="E3021" s="2">
        <f>HYPERLINK("https://www.amazon.com/Under-Armour-ColdGear-Fitted-X-Large/dp/B00GOGL4OK/ref=sr_1_3?keywords=Under+Armour+ColdGear+Armour+Fitted+Mock+Youth&amp;qid=1695171155&amp;sr=8-3", "https://www.amazon.com/Under-Armour-ColdGear-Fitted-X-Large/dp/B00GOGL4OK/ref=sr_1_3?keywords=Under+Armour+ColdGear+Armour+Fitted+Mock+Youth&amp;qid=1695171155&amp;sr=8-3")</f>
        <v/>
      </c>
      <c r="F3021" t="inlineStr">
        <is>
          <t>B00GOGL4OK</t>
        </is>
      </c>
      <c r="G3021">
        <f>_xlfn.IMAGE("https://www.soccerplususa.com/prodimages//36054-BLACK-M.jpg")</f>
        <v/>
      </c>
      <c r="H3021">
        <f>_xlfn.IMAGE("https://m.media-amazon.com/images/I/71Rkj2G7qwL._AC_UL320_.jpg")</f>
        <v/>
      </c>
      <c r="K3021" t="inlineStr">
        <is>
          <t>39.95</t>
        </is>
      </c>
      <c r="L3021" t="n">
        <v>122.24</v>
      </c>
      <c r="M3021" s="1" t="inlineStr">
        <is>
          <t>205.98%</t>
        </is>
      </c>
      <c r="N3021" s="3" t="n">
        <v>205.98</v>
      </c>
      <c r="O3021" t="n">
        <v>4.7</v>
      </c>
      <c r="P3021" t="n">
        <v>155</v>
      </c>
      <c r="R3021" t="inlineStr">
        <is>
          <t>InStock</t>
        </is>
      </c>
      <c r="S3021" t="inlineStr">
        <is>
          <t>undefined</t>
        </is>
      </c>
      <c r="T3021" t="inlineStr">
        <is>
          <t>1366373-001</t>
        </is>
      </c>
    </row>
    <row r="3022" ht="75" customHeight="1">
      <c r="A3022" s="2">
        <f>HYPERLINK("https://www.soccerplususa.com/under-armour/under-armour-coldgear-armour-fitted-mock-youth-41594", "https://www.soccerplususa.com/under-armour/under-armour-coldgear-armour-fitted-mock-youth-41594")</f>
        <v/>
      </c>
      <c r="B3022" t="inlineStr">
        <is>
          <t>undefined</t>
        </is>
      </c>
      <c r="C3022" t="inlineStr">
        <is>
          <t>Under Armour ColdGear Armour Fitted Mock Youth</t>
        </is>
      </c>
      <c r="D3022" t="inlineStr">
        <is>
          <t>Under Armour Boys ColdGear Evo Fitted Long Sleeve Mock T-Shirt</t>
        </is>
      </c>
      <c r="E3022" s="2">
        <f>HYPERLINK("https://www.amazon.com/Under-Armour-ColdGear-Fitted-X-Large/dp/B00GOGL4OK/ref=sr_1_5?keywords=Under+Armour+ColdGear+Armour+Fitted+Mock+Youth&amp;qid=1695171149&amp;sr=8-5", "https://www.amazon.com/Under-Armour-ColdGear-Fitted-X-Large/dp/B00GOGL4OK/ref=sr_1_5?keywords=Under+Armour+ColdGear+Armour+Fitted+Mock+Youth&amp;qid=1695171149&amp;sr=8-5")</f>
        <v/>
      </c>
      <c r="F3022" t="inlineStr">
        <is>
          <t>B00GOGL4OK</t>
        </is>
      </c>
      <c r="G3022">
        <f>_xlfn.IMAGE("https://www.soccerplususa.com/prodimages//36053-WHITE-M.jpg")</f>
        <v/>
      </c>
      <c r="H3022">
        <f>_xlfn.IMAGE("https://m.media-amazon.com/images/I/71Rkj2G7qwL._AC_UL320_.jpg")</f>
        <v/>
      </c>
      <c r="K3022" t="inlineStr">
        <is>
          <t>39.95</t>
        </is>
      </c>
      <c r="L3022" t="n">
        <v>122.24</v>
      </c>
      <c r="M3022" s="1" t="inlineStr">
        <is>
          <t>205.98%</t>
        </is>
      </c>
      <c r="N3022" s="3" t="n">
        <v>205.98</v>
      </c>
      <c r="O3022" t="n">
        <v>4.7</v>
      </c>
      <c r="P3022" t="n">
        <v>155</v>
      </c>
      <c r="R3022" t="inlineStr">
        <is>
          <t>InStock</t>
        </is>
      </c>
      <c r="S3022" t="inlineStr">
        <is>
          <t>undefined</t>
        </is>
      </c>
      <c r="T3022" t="inlineStr">
        <is>
          <t>1366373-100</t>
        </is>
      </c>
    </row>
    <row r="3023" ht="75" customHeight="1">
      <c r="A3023" s="2">
        <f>HYPERLINK("https://www.soccerplususa.com/adidas/adidas-tiro-15-jersey-7887", "https://www.soccerplususa.com/adidas/adidas-tiro-15-jersey-7887")</f>
        <v/>
      </c>
      <c r="B3023" t="inlineStr">
        <is>
          <t>undefined</t>
        </is>
      </c>
      <c r="C3023" t="inlineStr">
        <is>
          <t>adidas Tiro 15 Jersey</t>
        </is>
      </c>
      <c r="D3023" t="inlineStr">
        <is>
          <t>adidas Men's Soccer Tiro 15 Hoodie (Small) Red</t>
        </is>
      </c>
      <c r="E3023" s="2">
        <f>HYPERLINK("https://www.amazon.com/adidas-Tiro-Hoody-Top-Red/dp/B00SQ20PHW/ref=sr_1_9?keywords=adidas+Tiro+15+Jersey&amp;qid=1695171209&amp;sr=8-9", "https://www.amazon.com/adidas-Tiro-Hoody-Top-Red/dp/B00SQ20PHW/ref=sr_1_9?keywords=adidas+Tiro+15+Jersey&amp;qid=1695171209&amp;sr=8-9")</f>
        <v/>
      </c>
      <c r="F3023" t="inlineStr">
        <is>
          <t>B00SQ20PHW</t>
        </is>
      </c>
      <c r="G3023">
        <f>_xlfn.IMAGE("https://www.soccerplususa.com/prodimages/6309-DEFAULT-l.jpg")</f>
        <v/>
      </c>
      <c r="H3023">
        <f>_xlfn.IMAGE("https://m.media-amazon.com/images/I/61HJ1sieIjL._AC_UL320_.jpg")</f>
        <v/>
      </c>
      <c r="K3023" t="inlineStr">
        <is>
          <t>20.0</t>
        </is>
      </c>
      <c r="L3023" t="n">
        <v>59.99</v>
      </c>
      <c r="M3023" s="1" t="inlineStr">
        <is>
          <t>199.95%</t>
        </is>
      </c>
      <c r="N3023" s="3" t="n">
        <v>199.95</v>
      </c>
      <c r="O3023" t="n">
        <v>5</v>
      </c>
      <c r="P3023" t="n">
        <v>1</v>
      </c>
      <c r="R3023" t="inlineStr">
        <is>
          <t>InStock</t>
        </is>
      </c>
      <c r="S3023" t="inlineStr">
        <is>
          <t>40.0</t>
        </is>
      </c>
      <c r="T3023" t="inlineStr">
        <is>
          <t>S22362</t>
        </is>
      </c>
    </row>
    <row r="3024" ht="75" customHeight="1">
      <c r="A3024" s="2">
        <f>HYPERLINK("https://www.soccerplususa.com/adidas/adidas-tiro-15-jersey-7888", "https://www.soccerplususa.com/adidas/adidas-tiro-15-jersey-7888")</f>
        <v/>
      </c>
      <c r="B3024" t="inlineStr">
        <is>
          <t>undefined</t>
        </is>
      </c>
      <c r="C3024" t="inlineStr">
        <is>
          <t>adidas Tiro 15 Jersey</t>
        </is>
      </c>
      <c r="D3024" t="inlineStr">
        <is>
          <t>adidas Men's Soccer Tiro 15 Hoodie (Small) Red</t>
        </is>
      </c>
      <c r="E3024" s="2">
        <f>HYPERLINK("https://www.amazon.com/adidas-Tiro-Hoody-Top-Red/dp/B00SQ20PHW/ref=sr_1_9?keywords=adidas+Tiro+15+Jersey&amp;qid=1695171213&amp;sr=8-9", "https://www.amazon.com/adidas-Tiro-Hoody-Top-Red/dp/B00SQ20PHW/ref=sr_1_9?keywords=adidas+Tiro+15+Jersey&amp;qid=1695171213&amp;sr=8-9")</f>
        <v/>
      </c>
      <c r="F3024" t="inlineStr">
        <is>
          <t>B00SQ20PHW</t>
        </is>
      </c>
      <c r="G3024">
        <f>_xlfn.IMAGE("https://www.soccerplususa.com/prodimages/5430-DEFAULT-l.jpg")</f>
        <v/>
      </c>
      <c r="H3024">
        <f>_xlfn.IMAGE("https://m.media-amazon.com/images/I/61HJ1sieIjL._AC_UL320_.jpg")</f>
        <v/>
      </c>
      <c r="K3024" t="inlineStr">
        <is>
          <t>20.0</t>
        </is>
      </c>
      <c r="L3024" t="n">
        <v>59.99</v>
      </c>
      <c r="M3024" s="1" t="inlineStr">
        <is>
          <t>199.95%</t>
        </is>
      </c>
      <c r="N3024" s="3" t="n">
        <v>199.95</v>
      </c>
      <c r="O3024" t="n">
        <v>5</v>
      </c>
      <c r="P3024" t="n">
        <v>1</v>
      </c>
      <c r="R3024" t="inlineStr">
        <is>
          <t>InStock</t>
        </is>
      </c>
      <c r="S3024" t="inlineStr">
        <is>
          <t>39.95</t>
        </is>
      </c>
      <c r="T3024" t="inlineStr">
        <is>
          <t>S22363</t>
        </is>
      </c>
    </row>
    <row r="3025" ht="75" customHeight="1">
      <c r="A3025" s="2">
        <f>HYPERLINK("https://www.soccerplususa.com/adidas/adidas-estro-15-jersey-youth-7852", "https://www.soccerplususa.com/adidas/adidas-estro-15-jersey-youth-7852")</f>
        <v/>
      </c>
      <c r="B3025" t="inlineStr">
        <is>
          <t>undefined</t>
        </is>
      </c>
      <c r="C3025" t="inlineStr">
        <is>
          <t>adidas Estro 15 Jersey Youth</t>
        </is>
      </c>
      <c r="D3025" t="inlineStr">
        <is>
          <t>adidas Men's Estro 15 Soccer Jersey</t>
        </is>
      </c>
      <c r="E3025" s="2">
        <f>HYPERLINK("https://www.amazon.com/adidas-Soccer-Jersey-Yellow-Medium/dp/B00QKQSNM0/ref=sr_1_8?keywords=adidas+Estro+15+Jersey+Youth&amp;qid=1695171202&amp;sr=8-8", "https://www.amazon.com/adidas-Soccer-Jersey-Yellow-Medium/dp/B00QKQSNM0/ref=sr_1_8?keywords=adidas+Estro+15+Jersey+Youth&amp;qid=1695171202&amp;sr=8-8")</f>
        <v/>
      </c>
      <c r="F3025" t="inlineStr">
        <is>
          <t>B00QKQSNM0</t>
        </is>
      </c>
      <c r="G3025">
        <f>_xlfn.IMAGE("https://www.soccerplususa.com/prodimages/5099-DEFAULT-l.jpg")</f>
        <v/>
      </c>
      <c r="H3025">
        <f>_xlfn.IMAGE("https://m.media-amazon.com/images/I/41h+MOiWCeL._AC_UL320_.jpg")</f>
        <v/>
      </c>
      <c r="K3025" t="inlineStr">
        <is>
          <t>10.0</t>
        </is>
      </c>
      <c r="L3025" t="n">
        <v>29.95</v>
      </c>
      <c r="M3025" s="1" t="inlineStr">
        <is>
          <t>199.50%</t>
        </is>
      </c>
      <c r="N3025" s="3" t="n">
        <v>199.5</v>
      </c>
      <c r="O3025" t="n">
        <v>4.4</v>
      </c>
      <c r="P3025" t="n">
        <v>954</v>
      </c>
      <c r="R3025" t="inlineStr">
        <is>
          <t>InStock</t>
        </is>
      </c>
      <c r="S3025" t="inlineStr">
        <is>
          <t>19.95</t>
        </is>
      </c>
      <c r="T3025" t="inlineStr">
        <is>
          <t>S17299</t>
        </is>
      </c>
    </row>
    <row r="3026" ht="75" customHeight="1">
      <c r="A3026" s="2">
        <f>HYPERLINK("https://www.soccerplususa.com/adidas/adidas-tiro-17-training-jersey-4924", "https://www.soccerplususa.com/adidas/adidas-tiro-17-training-jersey-4924")</f>
        <v/>
      </c>
      <c r="B3026" t="inlineStr">
        <is>
          <t>undefined</t>
        </is>
      </c>
      <c r="C3026" t="inlineStr">
        <is>
          <t>adidas Tiro 17 Training Jersey</t>
        </is>
      </c>
      <c r="D3026" t="inlineStr">
        <is>
          <t>adidas Womens Tiro 17 Jersey</t>
        </is>
      </c>
      <c r="E3026" s="2">
        <f>HYPERLINK("https://www.amazon.com/Adidas-Womens-Jersey-Black-White/dp/B06XX6BX81/ref=sr_1_5?keywords=adidas+Tiro+17+Training+Jersey&amp;qid=1695171226&amp;sr=8-5", "https://www.amazon.com/Adidas-Womens-Jersey-Black-White/dp/B06XX6BX81/ref=sr_1_5?keywords=adidas+Tiro+17+Training+Jersey&amp;qid=1695171226&amp;sr=8-5")</f>
        <v/>
      </c>
      <c r="F3026" t="inlineStr">
        <is>
          <t>B06XX6BX81</t>
        </is>
      </c>
      <c r="G3026">
        <f>_xlfn.IMAGE("https://www.soccerplususa.com/prodimages/6626-DEFAULT-l.jpg")</f>
        <v/>
      </c>
      <c r="H3026">
        <f>_xlfn.IMAGE("https://m.media-amazon.com/images/I/51IqxGOgPpL._AC_UL320_.jpg")</f>
        <v/>
      </c>
      <c r="K3026" t="inlineStr">
        <is>
          <t>26.21</t>
        </is>
      </c>
      <c r="L3026" t="n">
        <v>77.91</v>
      </c>
      <c r="M3026" s="1" t="inlineStr">
        <is>
          <t>197.25%</t>
        </is>
      </c>
      <c r="N3026" s="3" t="n">
        <v>197.25</v>
      </c>
      <c r="O3026" t="n">
        <v>5</v>
      </c>
      <c r="P3026" t="n">
        <v>2</v>
      </c>
      <c r="R3026" t="inlineStr">
        <is>
          <t>InStock</t>
        </is>
      </c>
      <c r="S3026" t="inlineStr">
        <is>
          <t>34.95</t>
        </is>
      </c>
      <c r="T3026" t="inlineStr">
        <is>
          <t>BQ2806</t>
        </is>
      </c>
    </row>
    <row r="3027" hidden="1" ht="15.75" customHeight="1">
      <c r="A3027" s="2">
        <f>HYPERLINK("https://www.soccerplususa.com/adidas/adidas-squadra-13-jersey-youth-9049", "https://www.soccerplususa.com/adidas/adidas-squadra-13-jersey-youth-9049")</f>
        <v/>
      </c>
      <c r="B3027" t="inlineStr">
        <is>
          <t>undefined</t>
        </is>
      </c>
      <c r="C3027" t="inlineStr">
        <is>
          <t>adidas Squadra 13 Jersey Youth</t>
        </is>
      </c>
      <c r="D3027" t="inlineStr">
        <is>
          <t>adidas Squadra 21 Youth Goalkeeper Jersey Navy-Bold Blue YM</t>
        </is>
      </c>
      <c r="E3027" s="2">
        <f>HYPERLINK("https://www.amazon.com/adidas-Squadra-Goalkeeper-Jersey-Navy-Bold/dp/B089K1L3K9/ref=sr_1_2?keywords=adidas+Squadra+13+Jersey+Youth&amp;qid=1695171199&amp;sr=8-2", "https://www.amazon.com/adidas-Squadra-Goalkeeper-Jersey-Navy-Bold/dp/B089K1L3K9/ref=sr_1_2?keywords=adidas+Squadra+13+Jersey+Youth&amp;qid=1695171199&amp;sr=8-2")</f>
        <v/>
      </c>
      <c r="F3027" t="inlineStr">
        <is>
          <t>B089K1L3K9</t>
        </is>
      </c>
      <c r="G3027">
        <f>_xludf.IMAGE("https://www.soccerplususa.com/prodimages/3210-DEFAULT-l.jpg")</f>
        <v/>
      </c>
      <c r="H3027">
        <f>_xludf.IMAGE("https://m.media-amazon.com/images/I/71lYKWGwI0L._AC_UL320_.jpg")</f>
        <v/>
      </c>
      <c r="K3027" t="inlineStr">
        <is>
          <t>12.0</t>
        </is>
      </c>
      <c r="L3027" t="n">
        <v>35</v>
      </c>
      <c r="M3027" s="1" t="inlineStr">
        <is>
          <t>191.67%</t>
        </is>
      </c>
      <c r="N3027" s="3" t="n">
        <v>191.67</v>
      </c>
      <c r="O3027" t="n">
        <v>3.4</v>
      </c>
      <c r="P3027" t="n">
        <v>3</v>
      </c>
      <c r="R3027" t="inlineStr">
        <is>
          <t>InStock</t>
        </is>
      </c>
      <c r="S3027" t="inlineStr">
        <is>
          <t>24.95</t>
        </is>
      </c>
      <c r="T3027" t="inlineStr">
        <is>
          <t>Z20640</t>
        </is>
      </c>
    </row>
    <row r="3028" ht="75" customHeight="1">
      <c r="A3028" s="2">
        <f>HYPERLINK("https://www.soccerplususa.com/adidas/adidas-estro-15-jersey-7830", "https://www.soccerplususa.com/adidas/adidas-estro-15-jersey-7830")</f>
        <v/>
      </c>
      <c r="B3028" t="inlineStr">
        <is>
          <t>undefined</t>
        </is>
      </c>
      <c r="C3028" t="inlineStr">
        <is>
          <t>adidas Estro 15 Jersey</t>
        </is>
      </c>
      <c r="D3028" t="inlineStr">
        <is>
          <t>adidas Men's Estro 15 Soccer Jersey</t>
        </is>
      </c>
      <c r="E3028" s="2">
        <f>HYPERLINK("https://www.amazon.com/adidas-Estro-Soccer-Jersey-Yellow/dp/B00QKQSP0U/ref=sr_1_2?keywords=adidas+Estro+15+Jersey&amp;qid=1695171209&amp;sr=8-2", "https://www.amazon.com/adidas-Estro-Soccer-Jersey-Yellow/dp/B00QKQSP0U/ref=sr_1_2?keywords=adidas+Estro+15+Jersey&amp;qid=1695171209&amp;sr=8-2")</f>
        <v/>
      </c>
      <c r="F3028" t="inlineStr">
        <is>
          <t>B00QKQSP0U</t>
        </is>
      </c>
      <c r="G3028">
        <f>_xlfn.IMAGE("https://www.soccerplususa.com/prodimages/5088-DEFAULT-l.jpg")</f>
        <v/>
      </c>
      <c r="H3028">
        <f>_xlfn.IMAGE("https://m.media-amazon.com/images/I/41h+MOiWCeL._AC_UL320_.jpg")</f>
        <v/>
      </c>
      <c r="K3028" t="inlineStr">
        <is>
          <t>11.0</t>
        </is>
      </c>
      <c r="L3028" t="n">
        <v>31.95</v>
      </c>
      <c r="M3028" s="1" t="inlineStr">
        <is>
          <t>190.45%</t>
        </is>
      </c>
      <c r="N3028" s="3" t="n">
        <v>190.45</v>
      </c>
      <c r="O3028" t="n">
        <v>4.4</v>
      </c>
      <c r="P3028" t="n">
        <v>954</v>
      </c>
      <c r="R3028" t="inlineStr">
        <is>
          <t>InStock</t>
        </is>
      </c>
      <c r="S3028" t="inlineStr">
        <is>
          <t>21.95</t>
        </is>
      </c>
      <c r="T3028" t="inlineStr">
        <is>
          <t>S16147</t>
        </is>
      </c>
    </row>
    <row r="3029" ht="75" customHeight="1">
      <c r="A3029" s="2">
        <f>HYPERLINK("https://www.soccerplususa.com/adidas/adidas-estro-15-jersey-7834", "https://www.soccerplususa.com/adidas/adidas-estro-15-jersey-7834")</f>
        <v/>
      </c>
      <c r="B3029" t="inlineStr">
        <is>
          <t>undefined</t>
        </is>
      </c>
      <c r="C3029" t="inlineStr">
        <is>
          <t>adidas Estro 15 Jersey</t>
        </is>
      </c>
      <c r="D3029" t="inlineStr">
        <is>
          <t>adidas Men's Estro 15 Soccer Jersey</t>
        </is>
      </c>
      <c r="E3029" s="2">
        <f>HYPERLINK("https://www.amazon.com/adidas-Estro-Soccer-Jersey-Yellow/dp/B00QKQSP0U/ref=sr_1_2?keywords=adidas+Estro+15+Jersey&amp;qid=1695171208&amp;sr=8-2", "https://www.amazon.com/adidas-Estro-Soccer-Jersey-Yellow/dp/B00QKQSP0U/ref=sr_1_2?keywords=adidas+Estro+15+Jersey&amp;qid=1695171208&amp;sr=8-2")</f>
        <v/>
      </c>
      <c r="F3029" t="inlineStr">
        <is>
          <t>B00QKQSP0U</t>
        </is>
      </c>
      <c r="G3029">
        <f>_xlfn.IMAGE("https://www.soccerplususa.com/prodimages/4288-DEFAULT-l.jpg")</f>
        <v/>
      </c>
      <c r="H3029">
        <f>_xlfn.IMAGE("https://m.media-amazon.com/images/I/41h+MOiWCeL._AC_UL320_.jpg")</f>
        <v/>
      </c>
      <c r="K3029" t="inlineStr">
        <is>
          <t>11.0</t>
        </is>
      </c>
      <c r="L3029" t="n">
        <v>31.95</v>
      </c>
      <c r="M3029" s="1" t="inlineStr">
        <is>
          <t>190.45%</t>
        </is>
      </c>
      <c r="N3029" s="3" t="n">
        <v>190.45</v>
      </c>
      <c r="O3029" t="n">
        <v>4.4</v>
      </c>
      <c r="P3029" t="n">
        <v>954</v>
      </c>
      <c r="R3029" t="inlineStr">
        <is>
          <t>InStock</t>
        </is>
      </c>
      <c r="S3029" t="inlineStr">
        <is>
          <t>21.95</t>
        </is>
      </c>
      <c r="T3029" t="inlineStr">
        <is>
          <t>S16151</t>
        </is>
      </c>
    </row>
    <row r="3030" ht="75" customHeight="1">
      <c r="A3030" s="2">
        <f>HYPERLINK("https://www.soccerplususa.com/adidas/adidas-estro-15-jersey-7829", "https://www.soccerplususa.com/adidas/adidas-estro-15-jersey-7829")</f>
        <v/>
      </c>
      <c r="B3030" t="inlineStr">
        <is>
          <t>undefined</t>
        </is>
      </c>
      <c r="C3030" t="inlineStr">
        <is>
          <t>adidas Estro 15 Jersey</t>
        </is>
      </c>
      <c r="D3030" t="inlineStr">
        <is>
          <t>adidas Men's Estro 15 Soccer Jersey</t>
        </is>
      </c>
      <c r="E3030" s="2">
        <f>HYPERLINK("https://www.amazon.com/adidas-Estro-Soccer-Jersey-Yellow/dp/B00QKQSP0U/ref=sr_1_2?keywords=adidas+Estro+15+Jersey&amp;qid=1695171197&amp;sr=8-2", "https://www.amazon.com/adidas-Estro-Soccer-Jersey-Yellow/dp/B00QKQSP0U/ref=sr_1_2?keywords=adidas+Estro+15+Jersey&amp;qid=1695171197&amp;sr=8-2")</f>
        <v/>
      </c>
      <c r="F3030" t="inlineStr">
        <is>
          <t>B00QKQSP0U</t>
        </is>
      </c>
      <c r="G3030">
        <f>_xlfn.IMAGE("https://www.soccerplususa.com/prodimages/3069-DEFAULT-l.jpg")</f>
        <v/>
      </c>
      <c r="H3030">
        <f>_xlfn.IMAGE("https://m.media-amazon.com/images/I/41h+MOiWCeL._AC_UL320_.jpg")</f>
        <v/>
      </c>
      <c r="K3030" t="inlineStr">
        <is>
          <t>11.0</t>
        </is>
      </c>
      <c r="L3030" t="n">
        <v>31.95</v>
      </c>
      <c r="M3030" s="1" t="inlineStr">
        <is>
          <t>190.45%</t>
        </is>
      </c>
      <c r="N3030" s="3" t="n">
        <v>190.45</v>
      </c>
      <c r="O3030" t="n">
        <v>4.4</v>
      </c>
      <c r="P3030" t="n">
        <v>954</v>
      </c>
      <c r="R3030" t="inlineStr">
        <is>
          <t>InStock</t>
        </is>
      </c>
      <c r="S3030" t="inlineStr">
        <is>
          <t>21.95</t>
        </is>
      </c>
      <c r="T3030" t="inlineStr">
        <is>
          <t>S16146</t>
        </is>
      </c>
    </row>
    <row r="3031" hidden="1" ht="15.75" customHeight="1">
      <c r="A3031" s="2">
        <f>HYPERLINK("https://www.soccerplususa.com/adidas/adidas-squadra-13-jersey-youth-9050", "https://www.soccerplususa.com/adidas/adidas-squadra-13-jersey-youth-9050")</f>
        <v/>
      </c>
      <c r="B3031" t="inlineStr">
        <is>
          <t>undefined</t>
        </is>
      </c>
      <c r="C3031" t="inlineStr">
        <is>
          <t>adidas Squadra 13 Jersey Youth</t>
        </is>
      </c>
      <c r="D3031" t="inlineStr">
        <is>
          <t>adidas Squadra 21 Youth Goalkeeper Jersey Navy-Bold Blue YM</t>
        </is>
      </c>
      <c r="E3031" s="2">
        <f>HYPERLINK("https://www.amazon.com/adidas-Squadra-Goalkeeper-Jersey-Navy-Bold/dp/B089K1L3K9/ref=sr_1_4?keywords=adidas+Squadra+13+Jersey+Youth&amp;qid=1695171188&amp;sr=8-4", "https://www.amazon.com/adidas-Squadra-Goalkeeper-Jersey-Navy-Bold/dp/B089K1L3K9/ref=sr_1_4?keywords=adidas+Squadra+13+Jersey+Youth&amp;qid=1695171188&amp;sr=8-4")</f>
        <v/>
      </c>
      <c r="F3031" t="inlineStr">
        <is>
          <t>B089K1L3K9</t>
        </is>
      </c>
      <c r="G3031">
        <f>_xludf.IMAGE("https://www.soccerplususa.com/prodimages/5163-DEFAULT-l.jpg")</f>
        <v/>
      </c>
      <c r="H3031">
        <f>_xludf.IMAGE("https://m.media-amazon.com/images/I/71lYKWGwI0L._AC_UL320_.jpg")</f>
        <v/>
      </c>
      <c r="K3031" t="inlineStr">
        <is>
          <t>12.5</t>
        </is>
      </c>
      <c r="L3031" t="n">
        <v>35</v>
      </c>
      <c r="M3031" s="1" t="inlineStr">
        <is>
          <t>180.00%</t>
        </is>
      </c>
      <c r="N3031" s="3" t="n">
        <v>180</v>
      </c>
      <c r="O3031" t="n">
        <v>3.4</v>
      </c>
      <c r="P3031" t="n">
        <v>3</v>
      </c>
      <c r="R3031" t="inlineStr">
        <is>
          <t>InStock</t>
        </is>
      </c>
      <c r="S3031" t="inlineStr">
        <is>
          <t>24.95</t>
        </is>
      </c>
      <c r="T3031" t="inlineStr">
        <is>
          <t>Z20641</t>
        </is>
      </c>
    </row>
    <row r="3032" ht="75" customHeight="1">
      <c r="A3032" s="2">
        <f>HYPERLINK("https://www.soccerplususa.com/nike/nike-tiempo-ii-jersey-youth-22857", "https://www.soccerplususa.com/nike/nike-tiempo-ii-jersey-youth-22857")</f>
        <v/>
      </c>
      <c r="B3032" t="inlineStr">
        <is>
          <t>undefined</t>
        </is>
      </c>
      <c r="C3032" t="inlineStr">
        <is>
          <t>Nike Tiempo II Jersey Youth</t>
        </is>
      </c>
      <c r="D3032" t="inlineStr">
        <is>
          <t>Nike Youth Park VII Short Sleeve Jersey, BV6742-010</t>
        </is>
      </c>
      <c r="E3032" s="2">
        <f>HYPERLINK("https://www.amazon.com/Nike-Youth-Sleeve-Jersey-BV6742-010/dp/B0B16HKH26/ref=sr_1_1?keywords=Nike+Tiempo+II+Jersey+Youth&amp;qid=1695171179&amp;sr=8-1", "https://www.amazon.com/Nike-Youth-Sleeve-Jersey-BV6742-010/dp/B0B16HKH26/ref=sr_1_1?keywords=Nike+Tiempo+II+Jersey+Youth&amp;qid=1695171179&amp;sr=8-1")</f>
        <v/>
      </c>
      <c r="F3032" t="inlineStr">
        <is>
          <t>B0B16HKH26</t>
        </is>
      </c>
      <c r="G3032">
        <f>_xlfn.IMAGE("https://www.soccerplususa.com/prodimages/7630-DEFAULT-l.jpg")</f>
        <v/>
      </c>
      <c r="H3032">
        <f>_xlfn.IMAGE("https://m.media-amazon.com/images/I/41uqZKvB6pL._AC_UL320_.jpg")</f>
        <v/>
      </c>
      <c r="K3032" t="inlineStr">
        <is>
          <t>10.0</t>
        </is>
      </c>
      <c r="L3032" t="n">
        <v>27.99</v>
      </c>
      <c r="M3032" s="1" t="inlineStr">
        <is>
          <t>179.90%</t>
        </is>
      </c>
      <c r="N3032" s="3" t="n">
        <v>179.9</v>
      </c>
      <c r="O3032" t="n">
        <v>4.4</v>
      </c>
      <c r="P3032" t="n">
        <v>7</v>
      </c>
      <c r="R3032" t="inlineStr">
        <is>
          <t>InStock</t>
        </is>
      </c>
      <c r="S3032" t="inlineStr">
        <is>
          <t>19.0</t>
        </is>
      </c>
      <c r="T3032" t="inlineStr">
        <is>
          <t>646399-891</t>
        </is>
      </c>
    </row>
    <row r="3033" ht="75" customHeight="1">
      <c r="A3033" s="2">
        <f>HYPERLINK("https://www.soccerplususa.com/nike/nike-tiempo-ii-jersey-youth-22855", "https://www.soccerplususa.com/nike/nike-tiempo-ii-jersey-youth-22855")</f>
        <v/>
      </c>
      <c r="B3033" t="inlineStr">
        <is>
          <t>undefined</t>
        </is>
      </c>
      <c r="C3033" t="inlineStr">
        <is>
          <t>Nike Tiempo II Jersey Youth</t>
        </is>
      </c>
      <c r="D3033" t="inlineStr">
        <is>
          <t>Nike Youth Park VII Short Sleeve Jersey, BV6742-010</t>
        </is>
      </c>
      <c r="E3033" s="2">
        <f>HYPERLINK("https://www.amazon.com/Nike-Youth-Sleeve-Jersey-BV6742-010/dp/B0B16HKH26/ref=sr_1_1?keywords=Nike+Tiempo+II+Jersey+Youth&amp;qid=1695171185&amp;sr=8-1", "https://www.amazon.com/Nike-Youth-Sleeve-Jersey-BV6742-010/dp/B0B16HKH26/ref=sr_1_1?keywords=Nike+Tiempo+II+Jersey+Youth&amp;qid=1695171185&amp;sr=8-1")</f>
        <v/>
      </c>
      <c r="F3033" t="inlineStr">
        <is>
          <t>B0B16HKH26</t>
        </is>
      </c>
      <c r="G3033">
        <f>_xlfn.IMAGE("https://www.soccerplususa.com/prodimages/7676-DEFAULT-l.jpg")</f>
        <v/>
      </c>
      <c r="H3033">
        <f>_xlfn.IMAGE("https://m.media-amazon.com/images/I/41uqZKvB6pL._AC_UL320_.jpg")</f>
        <v/>
      </c>
      <c r="K3033" t="inlineStr">
        <is>
          <t>10.0</t>
        </is>
      </c>
      <c r="L3033" t="n">
        <v>27.99</v>
      </c>
      <c r="M3033" s="1" t="inlineStr">
        <is>
          <t>179.90%</t>
        </is>
      </c>
      <c r="N3033" s="3" t="n">
        <v>179.9</v>
      </c>
      <c r="O3033" t="n">
        <v>4.4</v>
      </c>
      <c r="P3033" t="n">
        <v>7</v>
      </c>
      <c r="R3033" t="inlineStr">
        <is>
          <t>InStock</t>
        </is>
      </c>
      <c r="S3033" t="inlineStr">
        <is>
          <t>19.0</t>
        </is>
      </c>
      <c r="T3033" t="inlineStr">
        <is>
          <t>646399-419</t>
        </is>
      </c>
    </row>
    <row r="3034" ht="75" customHeight="1">
      <c r="A3034" s="2">
        <f>HYPERLINK("https://www.soccerplususa.com/adidas/adidas-core-18-training-jersey-33847", "https://www.soccerplususa.com/adidas/adidas-core-18-training-jersey-33847")</f>
        <v/>
      </c>
      <c r="B3034" t="inlineStr">
        <is>
          <t>undefined</t>
        </is>
      </c>
      <c r="C3034" t="inlineStr">
        <is>
          <t>adidas Core 18 Training Jersey</t>
        </is>
      </c>
      <c r="D3034" t="inlineStr">
        <is>
          <t>adidas Men's Core 18 Training Top</t>
        </is>
      </c>
      <c r="E3034" s="2">
        <f>HYPERLINK("https://www.amazon.com/adidas-Core18-Training-Stone-X-Small/dp/B073H2DCSG/ref=sr_1_3?keywords=adidas+Core+18+Training+Jersey&amp;qid=1695171175&amp;sr=8-3", "https://www.amazon.com/adidas-Core18-Training-Stone-X-Small/dp/B073H2DCSG/ref=sr_1_3?keywords=adidas+Core+18+Training+Jersey&amp;qid=1695171175&amp;sr=8-3")</f>
        <v/>
      </c>
      <c r="F3034" t="inlineStr">
        <is>
          <t>B073H2DCSG</t>
        </is>
      </c>
      <c r="G3034">
        <f>_xlfn.IMAGE("https://www.soccerplususa.com/prodimages/32787-DEFAULT-l.jpg")</f>
        <v/>
      </c>
      <c r="H3034">
        <f>_xlfn.IMAGE("https://m.media-amazon.com/images/I/71GazaSNZmL._AC_UL320_.jpg")</f>
        <v/>
      </c>
      <c r="K3034" t="inlineStr">
        <is>
          <t>14.99</t>
        </is>
      </c>
      <c r="L3034" t="n">
        <v>39.56</v>
      </c>
      <c r="M3034" s="1" t="inlineStr">
        <is>
          <t>163.91%</t>
        </is>
      </c>
      <c r="N3034" s="3" t="n">
        <v>163.91</v>
      </c>
      <c r="O3034" t="n">
        <v>4.5</v>
      </c>
      <c r="P3034" t="n">
        <v>491</v>
      </c>
      <c r="R3034" t="inlineStr">
        <is>
          <t>InStock</t>
        </is>
      </c>
      <c r="S3034" t="inlineStr">
        <is>
          <t>19.95</t>
        </is>
      </c>
      <c r="T3034" t="inlineStr">
        <is>
          <t>CV3452</t>
        </is>
      </c>
    </row>
    <row r="3035" ht="75" customHeight="1">
      <c r="A3035" s="2">
        <f>HYPERLINK("https://www.soccerplususa.com/adidas/adidas-squadra-17-jersey-youth-4844", "https://www.soccerplususa.com/adidas/adidas-squadra-17-jersey-youth-4844")</f>
        <v/>
      </c>
      <c r="B3035" t="inlineStr">
        <is>
          <t>undefined</t>
        </is>
      </c>
      <c r="C3035" t="inlineStr">
        <is>
          <t>adidas Squadra 17 Jersey Youth</t>
        </is>
      </c>
      <c r="D3035" t="inlineStr">
        <is>
          <t>adidas Womens Squadra 17 Jersey</t>
        </is>
      </c>
      <c r="E3035" s="2">
        <f>HYPERLINK("https://www.amazon.com/adidas-Squadra-Jersey-Power-Red-White/dp/B06XQJT36S/ref=sr_1_10?keywords=adidas+Squadra+17+Jersey+Youth&amp;qid=1695171227&amp;sr=8-10", "https://www.amazon.com/adidas-Squadra-Jersey-Power-Red-White/dp/B06XQJT36S/ref=sr_1_10?keywords=adidas+Squadra+17+Jersey+Youth&amp;qid=1695171227&amp;sr=8-10")</f>
        <v/>
      </c>
      <c r="F3035" t="inlineStr">
        <is>
          <t>B06XQJT36S</t>
        </is>
      </c>
      <c r="G3035">
        <f>_xlfn.IMAGE("https://www.soccerplususa.com/prodimages//37069-WHITE-M.jpg")</f>
        <v/>
      </c>
      <c r="H3035">
        <f>_xlfn.IMAGE("https://m.media-amazon.com/images/I/61XjfmYgUhL._AC_UL320_.jpg")</f>
        <v/>
      </c>
      <c r="K3035" t="inlineStr">
        <is>
          <t>22.49</t>
        </is>
      </c>
      <c r="L3035" t="n">
        <v>59.05</v>
      </c>
      <c r="M3035" s="1" t="inlineStr">
        <is>
          <t>162.56%</t>
        </is>
      </c>
      <c r="N3035" s="3" t="n">
        <v>162.56</v>
      </c>
      <c r="O3035" t="n">
        <v>4.5</v>
      </c>
      <c r="P3035" t="n">
        <v>37</v>
      </c>
      <c r="R3035" t="inlineStr">
        <is>
          <t>InStock</t>
        </is>
      </c>
      <c r="S3035" t="inlineStr">
        <is>
          <t>29.95</t>
        </is>
      </c>
      <c r="T3035" t="inlineStr">
        <is>
          <t>BJ9197</t>
        </is>
      </c>
    </row>
    <row r="3036" ht="75" customHeight="1">
      <c r="A3036" s="2">
        <f>HYPERLINK("https://www.soccerplususa.com/adidas/adidas-tiro-17-jersey-womens-4818", "https://www.soccerplususa.com/adidas/adidas-tiro-17-jersey-womens-4818")</f>
        <v/>
      </c>
      <c r="B3036" t="inlineStr">
        <is>
          <t>undefined</t>
        </is>
      </c>
      <c r="C3036" t="inlineStr">
        <is>
          <t>adidas Tiro 17 Jersey Women's</t>
        </is>
      </c>
      <c r="D3036" t="inlineStr">
        <is>
          <t>adidas Womens Tiro 17 Jersey</t>
        </is>
      </c>
      <c r="E3036" s="2">
        <f>HYPERLINK("https://www.amazon.com/Adidas-Womens-Jersey-Black-White/dp/B06XX6WVVL/ref=sr_1_1?keywords=adidas+Tiro+17+Jersey+Women%27s&amp;qid=1695171228&amp;sr=8-1", "https://www.amazon.com/Adidas-Womens-Jersey-Black-White/dp/B06XX6WVVL/ref=sr_1_1?keywords=adidas+Tiro+17+Jersey+Women%27s&amp;qid=1695171228&amp;sr=8-1")</f>
        <v/>
      </c>
      <c r="F3036" t="inlineStr">
        <is>
          <t>B06XX6WVVL</t>
        </is>
      </c>
      <c r="G3036">
        <f>_xlfn.IMAGE("https://www.soccerplususa.com/prodimages/33189-DEFAULT-l.jpg")</f>
        <v/>
      </c>
      <c r="H3036">
        <f>_xlfn.IMAGE("https://m.media-amazon.com/images/I/51IqxGOgPpL._AC_UL320_.jpg")</f>
        <v/>
      </c>
      <c r="K3036" t="inlineStr">
        <is>
          <t>30.0</t>
        </is>
      </c>
      <c r="L3036" t="n">
        <v>77.91</v>
      </c>
      <c r="M3036" s="1" t="inlineStr">
        <is>
          <t>159.70%</t>
        </is>
      </c>
      <c r="N3036" s="3" t="n">
        <v>159.7</v>
      </c>
      <c r="O3036" t="n">
        <v>5</v>
      </c>
      <c r="P3036" t="n">
        <v>4</v>
      </c>
      <c r="R3036" t="inlineStr">
        <is>
          <t>InStock</t>
        </is>
      </c>
      <c r="S3036" t="inlineStr">
        <is>
          <t>39.95</t>
        </is>
      </c>
      <c r="T3036" t="inlineStr">
        <is>
          <t>BJ9095</t>
        </is>
      </c>
    </row>
    <row r="3037" ht="75" customHeight="1">
      <c r="A3037" s="2">
        <f>HYPERLINK("https://www.soccerplususa.com/adidas/adidas-tiro-15-jersey-7888", "https://www.soccerplususa.com/adidas/adidas-tiro-15-jersey-7888")</f>
        <v/>
      </c>
      <c r="B3037" t="inlineStr">
        <is>
          <t>undefined</t>
        </is>
      </c>
      <c r="C3037" t="inlineStr">
        <is>
          <t>adidas Tiro 15 Jersey</t>
        </is>
      </c>
      <c r="D3037" t="inlineStr">
        <is>
          <t>adidas Women's Soccer Tiro 15 Training Jacket</t>
        </is>
      </c>
      <c r="E3037" s="2">
        <f>HYPERLINK("https://www.amazon.com/adidas-Womens-Soccer-Training-Jacket/dp/B00QKRJ9XQ/ref=sr_1_6?keywords=adidas+Tiro+15+Jersey&amp;qid=1695171213&amp;sr=8-6", "https://www.amazon.com/adidas-Womens-Soccer-Training-Jacket/dp/B00QKRJ9XQ/ref=sr_1_6?keywords=adidas+Tiro+15+Jersey&amp;qid=1695171213&amp;sr=8-6")</f>
        <v/>
      </c>
      <c r="F3037" t="inlineStr">
        <is>
          <t>B00QKRJ9XQ</t>
        </is>
      </c>
      <c r="G3037">
        <f>_xlfn.IMAGE("https://www.soccerplususa.com/prodimages/5430-DEFAULT-l.jpg")</f>
        <v/>
      </c>
      <c r="H3037">
        <f>_xlfn.IMAGE("https://m.media-amazon.com/images/I/71Pgb4B0WaL._AC_UL320_.jpg")</f>
        <v/>
      </c>
      <c r="K3037" t="inlineStr">
        <is>
          <t>20.0</t>
        </is>
      </c>
      <c r="L3037" t="n">
        <v>49.99</v>
      </c>
      <c r="M3037" s="1" t="inlineStr">
        <is>
          <t>149.95%</t>
        </is>
      </c>
      <c r="N3037" s="3" t="n">
        <v>149.95</v>
      </c>
      <c r="O3037" t="n">
        <v>4.6</v>
      </c>
      <c r="P3037" t="n">
        <v>317</v>
      </c>
      <c r="R3037" t="inlineStr">
        <is>
          <t>InStock</t>
        </is>
      </c>
      <c r="S3037" t="inlineStr">
        <is>
          <t>39.95</t>
        </is>
      </c>
      <c r="T3037" t="inlineStr">
        <is>
          <t>S22363</t>
        </is>
      </c>
    </row>
    <row r="3038" ht="75" customHeight="1">
      <c r="A3038" s="2">
        <f>HYPERLINK("https://www.soccerplususa.com/adidas/adidas-tiro-15-jersey-7887", "https://www.soccerplususa.com/adidas/adidas-tiro-15-jersey-7887")</f>
        <v/>
      </c>
      <c r="B3038" t="inlineStr">
        <is>
          <t>undefined</t>
        </is>
      </c>
      <c r="C3038" t="inlineStr">
        <is>
          <t>adidas Tiro 15 Jersey</t>
        </is>
      </c>
      <c r="D3038" t="inlineStr">
        <is>
          <t>adidas Women's Soccer Tiro 15 Training Jacket</t>
        </is>
      </c>
      <c r="E3038" s="2">
        <f>HYPERLINK("https://www.amazon.com/adidas-Womens-Soccer-Training-Jacket/dp/B00QKRJ9XQ/ref=sr_1_6?keywords=adidas+Tiro+15+Jersey&amp;qid=1695171209&amp;sr=8-6", "https://www.amazon.com/adidas-Womens-Soccer-Training-Jacket/dp/B00QKRJ9XQ/ref=sr_1_6?keywords=adidas+Tiro+15+Jersey&amp;qid=1695171209&amp;sr=8-6")</f>
        <v/>
      </c>
      <c r="F3038" t="inlineStr">
        <is>
          <t>B00QKRJ9XQ</t>
        </is>
      </c>
      <c r="G3038">
        <f>_xlfn.IMAGE("https://www.soccerplususa.com/prodimages/6309-DEFAULT-l.jpg")</f>
        <v/>
      </c>
      <c r="H3038">
        <f>_xlfn.IMAGE("https://m.media-amazon.com/images/I/71Pgb4B0WaL._AC_UL320_.jpg")</f>
        <v/>
      </c>
      <c r="K3038" t="inlineStr">
        <is>
          <t>20.0</t>
        </is>
      </c>
      <c r="L3038" t="n">
        <v>49.99</v>
      </c>
      <c r="M3038" s="1" t="inlineStr">
        <is>
          <t>149.95%</t>
        </is>
      </c>
      <c r="N3038" s="3" t="n">
        <v>149.95</v>
      </c>
      <c r="O3038" t="n">
        <v>4.6</v>
      </c>
      <c r="P3038" t="n">
        <v>317</v>
      </c>
      <c r="R3038" t="inlineStr">
        <is>
          <t>InStock</t>
        </is>
      </c>
      <c r="S3038" t="inlineStr">
        <is>
          <t>40.0</t>
        </is>
      </c>
      <c r="T3038" t="inlineStr">
        <is>
          <t>S22362</t>
        </is>
      </c>
    </row>
    <row r="3039" ht="75" customHeight="1">
      <c r="A3039" s="2">
        <f>HYPERLINK("https://www.soccerplususa.com/adidas/adidas-estro-15-jersey-youth-7851", "https://www.soccerplususa.com/adidas/adidas-estro-15-jersey-youth-7851")</f>
        <v/>
      </c>
      <c r="B3039" t="inlineStr">
        <is>
          <t>undefined</t>
        </is>
      </c>
      <c r="C3039" t="inlineStr">
        <is>
          <t>adidas Estro 15 Jersey Youth</t>
        </is>
      </c>
      <c r="D3039" t="inlineStr">
        <is>
          <t>adidas Men's Estro 15 Soccer Jersey</t>
        </is>
      </c>
      <c r="E3039" s="2">
        <f>HYPERLINK("https://www.amazon.com/adidas-Estro-Soccer-Jersey-Light/dp/B00Q6ZNWA8/ref=sr_1_3?keywords=adidas+Estro+15+Jersey+Youth&amp;qid=1695171200&amp;sr=8-3", "https://www.amazon.com/adidas-Estro-Soccer-Jersey-Light/dp/B00Q6ZNWA8/ref=sr_1_3?keywords=adidas+Estro+15+Jersey+Youth&amp;qid=1695171200&amp;sr=8-3")</f>
        <v/>
      </c>
      <c r="F3039" t="inlineStr">
        <is>
          <t>B00Q6ZNWA8</t>
        </is>
      </c>
      <c r="G3039">
        <f>_xlfn.IMAGE("https://www.soccerplususa.com/prodimages/5098-DEFAULT-l.jpg")</f>
        <v/>
      </c>
      <c r="H3039">
        <f>_xlfn.IMAGE("https://m.media-amazon.com/images/I/71zZx0taoyS._AC_UL320_.jpg")</f>
        <v/>
      </c>
      <c r="K3039" t="inlineStr">
        <is>
          <t>10.0</t>
        </is>
      </c>
      <c r="L3039" t="n">
        <v>24.99</v>
      </c>
      <c r="M3039" s="1" t="inlineStr">
        <is>
          <t>149.90%</t>
        </is>
      </c>
      <c r="N3039" s="3" t="n">
        <v>149.9</v>
      </c>
      <c r="O3039" t="n">
        <v>4.4</v>
      </c>
      <c r="P3039" t="n">
        <v>954</v>
      </c>
      <c r="R3039" t="inlineStr">
        <is>
          <t>InStock</t>
        </is>
      </c>
      <c r="S3039" t="inlineStr">
        <is>
          <t>19.95</t>
        </is>
      </c>
      <c r="T3039" t="inlineStr">
        <is>
          <t>S17298</t>
        </is>
      </c>
    </row>
    <row r="3040" ht="75" customHeight="1">
      <c r="A3040" s="2">
        <f>HYPERLINK("https://www.soccerplususa.com/adidas/adidas-tiro-17-training-jersey-4924", "https://www.soccerplususa.com/adidas/adidas-tiro-17-training-jersey-4924")</f>
        <v/>
      </c>
      <c r="B3040" t="inlineStr">
        <is>
          <t>undefined</t>
        </is>
      </c>
      <c r="C3040" t="inlineStr">
        <is>
          <t>adidas Tiro 17 Training Jersey</t>
        </is>
      </c>
      <c r="D3040" t="inlineStr">
        <is>
          <t>adidas Mens Tiro 17 Training Jacket</t>
        </is>
      </c>
      <c r="E3040" s="2">
        <f>HYPERLINK("https://www.amazon.com/Adidas-Soccer-Training-Blue-Dark-Grey-White/dp/B01N75YCQG/ref=sr_1_6?keywords=adidas+Tiro+17+Training+Jersey&amp;qid=1695171226&amp;sr=8-6", "https://www.amazon.com/Adidas-Soccer-Training-Blue-Dark-Grey-White/dp/B01N75YCQG/ref=sr_1_6?keywords=adidas+Tiro+17+Training+Jersey&amp;qid=1695171226&amp;sr=8-6")</f>
        <v/>
      </c>
      <c r="F3040" t="inlineStr">
        <is>
          <t>B01N75YCQG</t>
        </is>
      </c>
      <c r="G3040">
        <f>_xlfn.IMAGE("https://www.soccerplususa.com/prodimages/6626-DEFAULT-l.jpg")</f>
        <v/>
      </c>
      <c r="H3040">
        <f>_xlfn.IMAGE("https://m.media-amazon.com/images/I/81y7zeoBW2L._AC_UL320_.jpg")</f>
        <v/>
      </c>
      <c r="K3040" t="inlineStr">
        <is>
          <t>26.21</t>
        </is>
      </c>
      <c r="L3040" t="n">
        <v>64.98999999999999</v>
      </c>
      <c r="M3040" s="1" t="inlineStr">
        <is>
          <t>147.96%</t>
        </is>
      </c>
      <c r="N3040" s="3" t="n">
        <v>147.96</v>
      </c>
      <c r="O3040" t="n">
        <v>4.2</v>
      </c>
      <c r="P3040" t="n">
        <v>18</v>
      </c>
      <c r="R3040" t="inlineStr">
        <is>
          <t>InStock</t>
        </is>
      </c>
      <c r="S3040" t="inlineStr">
        <is>
          <t>34.95</t>
        </is>
      </c>
      <c r="T3040" t="inlineStr">
        <is>
          <t>BQ2806</t>
        </is>
      </c>
    </row>
    <row r="3041" ht="75" customHeight="1">
      <c r="A3041" s="2">
        <f>HYPERLINK("https://www.soccerplususa.com/adidas/adidas-tiro-15-jersey-womens-7896", "https://www.soccerplususa.com/adidas/adidas-tiro-15-jersey-womens-7896")</f>
        <v/>
      </c>
      <c r="B3041" t="inlineStr">
        <is>
          <t>undefined</t>
        </is>
      </c>
      <c r="C3041" t="inlineStr">
        <is>
          <t>adidas Tiro 15 Jersey Women's</t>
        </is>
      </c>
      <c r="D3041" t="inlineStr">
        <is>
          <t>adidas Tiro 19 Jersey- Women's Soccer S Bold Blue/White</t>
        </is>
      </c>
      <c r="E3041" s="2">
        <f>HYPERLINK("https://www.amazon.com/adidas-Jersey-Womens-Soccer-White/dp/B07H431BVJ/ref=sr_1_8?keywords=adidas+Tiro+15+Jersey+Womens&amp;qid=1695171238&amp;sr=8-8", "https://www.amazon.com/adidas-Jersey-Womens-Soccer-White/dp/B07H431BVJ/ref=sr_1_8?keywords=adidas+Tiro+15+Jersey+Womens&amp;qid=1695171238&amp;sr=8-8")</f>
        <v/>
      </c>
      <c r="F3041" t="inlineStr">
        <is>
          <t>B07H431BVJ</t>
        </is>
      </c>
      <c r="G3041">
        <f>_xlfn.IMAGE("https://www.soccerplususa.com/prodimages/10575-DEFAULT-l.jpg")</f>
        <v/>
      </c>
      <c r="H3041">
        <f>_xlfn.IMAGE("https://m.media-amazon.com/images/I/61bovC-rAYS._AC_UL320_.jpg")</f>
        <v/>
      </c>
      <c r="K3041" t="inlineStr">
        <is>
          <t>20.0</t>
        </is>
      </c>
      <c r="L3041" t="n">
        <v>49.21</v>
      </c>
      <c r="M3041" s="1" t="inlineStr">
        <is>
          <t>146.05%</t>
        </is>
      </c>
      <c r="N3041" s="3" t="n">
        <v>146.05</v>
      </c>
      <c r="O3041" t="n">
        <v>5</v>
      </c>
      <c r="P3041" t="n">
        <v>3</v>
      </c>
      <c r="R3041" t="inlineStr">
        <is>
          <t>InStock</t>
        </is>
      </c>
      <c r="S3041" t="inlineStr">
        <is>
          <t>39.95</t>
        </is>
      </c>
      <c r="T3041" t="inlineStr">
        <is>
          <t>S22413</t>
        </is>
      </c>
    </row>
    <row r="3042" ht="75" customHeight="1">
      <c r="A3042" s="2">
        <f>HYPERLINK("https://www.soccerplususa.com/adidas/adidas-squadra-17-jersey-youth-45935", "https://www.soccerplususa.com/adidas/adidas-squadra-17-jersey-youth-45935")</f>
        <v/>
      </c>
      <c r="B3042" t="inlineStr">
        <is>
          <t>undefined</t>
        </is>
      </c>
      <c r="C3042" t="inlineStr">
        <is>
          <t>adidas Squadra 17 Jersey Youth</t>
        </is>
      </c>
      <c r="D3042" t="inlineStr">
        <is>
          <t>adidas Squadra 21 Youth Goalkeeper Jersey Navy-Bold Blue YL</t>
        </is>
      </c>
      <c r="E3042" s="2">
        <f>HYPERLINK("https://www.amazon.com/adidas-Squadra-Goalkeeper-Jersey-Navy-Bold/dp/B089K81CSF/ref=sr_1_8?keywords=adidas+Squadra+17+Jersey+Youth&amp;qid=1695171144&amp;sr=8-8", "https://www.amazon.com/adidas-Squadra-Goalkeeper-Jersey-Navy-Bold/dp/B089K81CSF/ref=sr_1_8?keywords=adidas+Squadra+17+Jersey+Youth&amp;qid=1695171144&amp;sr=8-8")</f>
        <v/>
      </c>
      <c r="F3042" t="inlineStr">
        <is>
          <t>B089K81CSF</t>
        </is>
      </c>
      <c r="G3042">
        <f>_xlfn.IMAGE("https://www.soccerplususa.com/prodimages//37351-ORANGEWHITE-M.jpg")</f>
        <v/>
      </c>
      <c r="H3042">
        <f>_xlfn.IMAGE("https://m.media-amazon.com/images/I/71lYKWGwI0L._AC_UL320_.jpg")</f>
        <v/>
      </c>
      <c r="K3042" t="inlineStr">
        <is>
          <t>18.99</t>
        </is>
      </c>
      <c r="L3042" t="n">
        <v>46.48</v>
      </c>
      <c r="M3042" s="1" t="inlineStr">
        <is>
          <t>144.76%</t>
        </is>
      </c>
      <c r="N3042" s="3" t="n">
        <v>144.76</v>
      </c>
      <c r="O3042" t="n">
        <v>4</v>
      </c>
      <c r="P3042" t="n">
        <v>1</v>
      </c>
      <c r="R3042" t="inlineStr">
        <is>
          <t>InStock</t>
        </is>
      </c>
      <c r="S3042" t="inlineStr">
        <is>
          <t>25.0</t>
        </is>
      </c>
      <c r="T3042" t="inlineStr">
        <is>
          <t>BJ9198</t>
        </is>
      </c>
    </row>
    <row r="3043" ht="75" customHeight="1">
      <c r="A3043" s="2">
        <f>HYPERLINK("https://www.soccerplususa.com/adidas/adidas-tiro-17-training-jacket-youth-4851", "https://www.soccerplususa.com/adidas/adidas-tiro-17-training-jacket-youth-4851")</f>
        <v/>
      </c>
      <c r="B3043" t="inlineStr">
        <is>
          <t>undefined</t>
        </is>
      </c>
      <c r="C3043" t="inlineStr">
        <is>
          <t>adidas Tiro 17 Training Jacket Youth</t>
        </is>
      </c>
      <c r="D3043" t="inlineStr">
        <is>
          <t>adidas Youth Tiro 17 Soccer Rain Jacket</t>
        </is>
      </c>
      <c r="E3043" s="2">
        <f>HYPERLINK("https://www.amazon.com/adidas-Youth-Soccer-Jacket-Black/dp/B01N8XCXBS/ref=sr_1_7?keywords=adidas+Tiro+17+Training+Jacket+Youth&amp;qid=1695171224&amp;sr=8-7", "https://www.amazon.com/adidas-Youth-Soccer-Jacket-Black/dp/B01N8XCXBS/ref=sr_1_7?keywords=adidas+Tiro+17+Training+Jacket+Youth&amp;qid=1695171224&amp;sr=8-7")</f>
        <v/>
      </c>
      <c r="F3043" t="inlineStr">
        <is>
          <t>B01N8XCXBS</t>
        </is>
      </c>
      <c r="G3043">
        <f>_xlfn.IMAGE("https://www.soccerplususa.com/prodimages/4535-DEFAULT-l.jpg")</f>
        <v/>
      </c>
      <c r="H3043">
        <f>_xlfn.IMAGE("https://m.media-amazon.com/images/I/71f5e4WfbZL._AC_UL320_.jpg")</f>
        <v/>
      </c>
      <c r="K3043" t="inlineStr">
        <is>
          <t>31.0</t>
        </is>
      </c>
      <c r="L3043" t="n">
        <v>74.98999999999999</v>
      </c>
      <c r="M3043" s="1" t="inlineStr">
        <is>
          <t>141.90%</t>
        </is>
      </c>
      <c r="N3043" s="3" t="n">
        <v>141.9</v>
      </c>
      <c r="O3043" t="n">
        <v>4.3</v>
      </c>
      <c r="P3043" t="n">
        <v>15</v>
      </c>
      <c r="R3043" t="inlineStr">
        <is>
          <t>InStock</t>
        </is>
      </c>
      <c r="S3043" t="inlineStr">
        <is>
          <t>59.95</t>
        </is>
      </c>
      <c r="T3043" t="inlineStr">
        <is>
          <t>BJ9296</t>
        </is>
      </c>
    </row>
    <row r="3044" ht="75" customHeight="1">
      <c r="A3044" s="2">
        <f>HYPERLINK("https://www.soccerplususa.com/adidas/adidas-tiro-17-training-jacket-youth-4975", "https://www.soccerplususa.com/adidas/adidas-tiro-17-training-jacket-youth-4975")</f>
        <v/>
      </c>
      <c r="B3044" t="inlineStr">
        <is>
          <t>undefined</t>
        </is>
      </c>
      <c r="C3044" t="inlineStr">
        <is>
          <t>adidas Tiro 17 Training Jacket Youth</t>
        </is>
      </c>
      <c r="D3044" t="inlineStr">
        <is>
          <t>adidas Youth Tiro 17 Soccer Rain Jacket</t>
        </is>
      </c>
      <c r="E3044" s="2">
        <f>HYPERLINK("https://www.amazon.com/adidas-Youth-Soccer-Jacket-Black/dp/B01N8XCXBS/ref=sr_1_7?keywords=adidas+Tiro+17+Training+Jacket+Youth&amp;qid=1695171246&amp;sr=8-7", "https://www.amazon.com/adidas-Youth-Soccer-Jacket-Black/dp/B01N8XCXBS/ref=sr_1_7?keywords=adidas+Tiro+17+Training+Jacket+Youth&amp;qid=1695171246&amp;sr=8-7")</f>
        <v/>
      </c>
      <c r="F3044" t="inlineStr">
        <is>
          <t>B01N8XCXBS</t>
        </is>
      </c>
      <c r="G3044">
        <f>_xlfn.IMAGE("https://www.soccerplususa.com/prodimages/4537-DEFAULT-l.jpg")</f>
        <v/>
      </c>
      <c r="H3044">
        <f>_xlfn.IMAGE("https://m.media-amazon.com/images/I/71f5e4WfbZL._AC_UL320_.jpg")</f>
        <v/>
      </c>
      <c r="K3044" t="inlineStr">
        <is>
          <t>31.0</t>
        </is>
      </c>
      <c r="L3044" t="n">
        <v>74.98999999999999</v>
      </c>
      <c r="M3044" s="1" t="inlineStr">
        <is>
          <t>141.90%</t>
        </is>
      </c>
      <c r="N3044" s="3" t="n">
        <v>141.9</v>
      </c>
      <c r="O3044" t="n">
        <v>4.3</v>
      </c>
      <c r="P3044" t="n">
        <v>15</v>
      </c>
      <c r="R3044" t="inlineStr">
        <is>
          <t>InStock</t>
        </is>
      </c>
      <c r="S3044" t="inlineStr">
        <is>
          <t>59.95</t>
        </is>
      </c>
      <c r="T3044" t="inlineStr">
        <is>
          <t>BR2704</t>
        </is>
      </c>
    </row>
    <row r="3045" hidden="1" ht="15.75" customHeight="1">
      <c r="A3045" s="2">
        <f>HYPERLINK("https://www.soccerplususa.com/adidas/adidas-squadra-13-jersey-8637", "https://www.soccerplususa.com/adidas/adidas-squadra-13-jersey-8637")</f>
        <v/>
      </c>
      <c r="B3045" t="inlineStr">
        <is>
          <t>undefined</t>
        </is>
      </c>
      <c r="C3045" t="inlineStr">
        <is>
          <t>adidas Squadra 13 Jersey</t>
        </is>
      </c>
      <c r="D3045" t="inlineStr">
        <is>
          <t>adidas Squadra 17 Long-Sleeve Jersey - Men's Soccer</t>
        </is>
      </c>
      <c r="E3045" s="2">
        <f>HYPERLINK("https://www.amazon.com/adidas-Squadra-Long-Power-Red-White/dp/B01N9DZZA1/ref=sr_1_3?keywords=adidas+Squadra+13+Jersey&amp;qid=1695171209&amp;sr=8-3", "https://www.amazon.com/adidas-Squadra-Long-Power-Red-White/dp/B01N9DZZA1/ref=sr_1_3?keywords=adidas+Squadra+13+Jersey&amp;qid=1695171209&amp;sr=8-3")</f>
        <v/>
      </c>
      <c r="F3045" t="inlineStr">
        <is>
          <t>B01N9DZZA1</t>
        </is>
      </c>
      <c r="G3045">
        <f>_xludf.IMAGE("https://www.soccerplususa.com/prodimages/5162-DEFAULT-l.jpg")</f>
        <v/>
      </c>
      <c r="H3045">
        <f>_xludf.IMAGE("https://m.media-amazon.com/images/I/616GZsJU3gL._AC_UL320_.jpg")</f>
        <v/>
      </c>
      <c r="K3045" t="inlineStr">
        <is>
          <t>15.0</t>
        </is>
      </c>
      <c r="L3045" t="n">
        <v>36</v>
      </c>
      <c r="M3045" s="1" t="inlineStr">
        <is>
          <t>140.00%</t>
        </is>
      </c>
      <c r="N3045" s="3" t="n">
        <v>140</v>
      </c>
      <c r="O3045" t="n">
        <v>3</v>
      </c>
      <c r="P3045" t="n">
        <v>4</v>
      </c>
      <c r="R3045" t="inlineStr">
        <is>
          <t>InStock</t>
        </is>
      </c>
      <c r="S3045" t="inlineStr">
        <is>
          <t>29.95</t>
        </is>
      </c>
      <c r="T3045" t="inlineStr">
        <is>
          <t>W53405</t>
        </is>
      </c>
    </row>
    <row r="3046" hidden="1" ht="15.75" customHeight="1">
      <c r="A3046" s="2">
        <f>HYPERLINK("https://www.soccerplususa.com/adidas/adidas-squadra-13-jersey-9041", "https://www.soccerplususa.com/adidas/adidas-squadra-13-jersey-9041")</f>
        <v/>
      </c>
      <c r="B3046" t="inlineStr">
        <is>
          <t>undefined</t>
        </is>
      </c>
      <c r="C3046" t="inlineStr">
        <is>
          <t>adidas Squadra 13 Jersey</t>
        </is>
      </c>
      <c r="D3046" t="inlineStr">
        <is>
          <t>adidas Squadra 17 Long-Sleeve Jersey - Men's Soccer</t>
        </is>
      </c>
      <c r="E3046" s="2">
        <f>HYPERLINK("https://www.amazon.com/adidas-Squadra-Long-Power-Red-White/dp/B01N9DZZA1/ref=sr_1_3?keywords=adidas+Squadra+13+Jersey&amp;qid=1695171200&amp;sr=8-3", "https://www.amazon.com/adidas-Squadra-Long-Power-Red-White/dp/B01N9DZZA1/ref=sr_1_3?keywords=adidas+Squadra+13+Jersey&amp;qid=1695171200&amp;sr=8-3")</f>
        <v/>
      </c>
      <c r="F3046" t="inlineStr">
        <is>
          <t>B01N9DZZA1</t>
        </is>
      </c>
      <c r="G3046">
        <f>_xludf.IMAGE("https://www.soccerplususa.com/prodimages/5160-DEFAULT-l.jpg")</f>
        <v/>
      </c>
      <c r="H3046">
        <f>_xludf.IMAGE("https://m.media-amazon.com/images/I/616GZsJU3gL._AC_UL320_.jpg")</f>
        <v/>
      </c>
      <c r="K3046" t="inlineStr">
        <is>
          <t>15.0</t>
        </is>
      </c>
      <c r="L3046" t="n">
        <v>36</v>
      </c>
      <c r="M3046" s="1" t="inlineStr">
        <is>
          <t>140.00%</t>
        </is>
      </c>
      <c r="N3046" s="3" t="n">
        <v>140</v>
      </c>
      <c r="O3046" t="n">
        <v>3</v>
      </c>
      <c r="P3046" t="n">
        <v>4</v>
      </c>
      <c r="R3046" t="inlineStr">
        <is>
          <t>InStock</t>
        </is>
      </c>
      <c r="S3046" t="inlineStr">
        <is>
          <t>29.95</t>
        </is>
      </c>
      <c r="T3046" t="inlineStr">
        <is>
          <t>Z20620</t>
        </is>
      </c>
    </row>
    <row r="3047" hidden="1" ht="15.75" customHeight="1">
      <c r="A3047" s="2">
        <f>HYPERLINK("https://www.soccerplususa.com/adidas/adidas-squadra-17-jersey-4839", "https://www.soccerplususa.com/adidas/adidas-squadra-17-jersey-4839")</f>
        <v/>
      </c>
      <c r="B3047" t="inlineStr">
        <is>
          <t>undefined</t>
        </is>
      </c>
      <c r="C3047" t="inlineStr">
        <is>
          <t>adidas Squadra 17 Jersey</t>
        </is>
      </c>
      <c r="D3047" t="inlineStr">
        <is>
          <t>adidas Squadra 17 Long-Sleeve Jersey - Men's Soccer</t>
        </is>
      </c>
      <c r="E3047" s="2">
        <f>HYPERLINK("https://www.amazon.com/adidas-Squadra-Long-Power-Red-White/dp/B01N9DZZA1/ref=sr_1_9?keywords=adidas+Squadra+17+Jersey&amp;qid=1695171228&amp;sr=8-9", "https://www.amazon.com/adidas-Squadra-Long-Power-Red-White/dp/B01N9DZZA1/ref=sr_1_9?keywords=adidas+Squadra+17+Jersey&amp;qid=1695171228&amp;sr=8-9")</f>
        <v/>
      </c>
      <c r="F3047" t="inlineStr">
        <is>
          <t>B01N9DZZA1</t>
        </is>
      </c>
      <c r="G3047">
        <f>_xludf.IMAGE("https://www.soccerplususa.com/prodimages/31721-DEFAULT-l.jpg")</f>
        <v/>
      </c>
      <c r="H3047">
        <f>_xludf.IMAGE("https://m.media-amazon.com/images/I/616GZsJU3gL._AC_UL320_.jpg")</f>
        <v/>
      </c>
      <c r="K3047" t="inlineStr">
        <is>
          <t>15.0</t>
        </is>
      </c>
      <c r="L3047" t="n">
        <v>36</v>
      </c>
      <c r="M3047" s="1" t="inlineStr">
        <is>
          <t>140.00%</t>
        </is>
      </c>
      <c r="N3047" s="3" t="n">
        <v>140</v>
      </c>
      <c r="O3047" t="n">
        <v>3</v>
      </c>
      <c r="P3047" t="n">
        <v>4</v>
      </c>
      <c r="R3047" t="inlineStr">
        <is>
          <t>InStock</t>
        </is>
      </c>
      <c r="S3047" t="inlineStr">
        <is>
          <t>29.95</t>
        </is>
      </c>
      <c r="T3047" t="inlineStr">
        <is>
          <t>BJ9176</t>
        </is>
      </c>
    </row>
    <row r="3048" hidden="1" ht="15.75" customHeight="1">
      <c r="A3048" s="2">
        <f>HYPERLINK("https://www.soccerplususa.com/adidas/adidas-squadra-13-jersey-9043", "https://www.soccerplususa.com/adidas/adidas-squadra-13-jersey-9043")</f>
        <v/>
      </c>
      <c r="B3048" t="inlineStr">
        <is>
          <t>undefined</t>
        </is>
      </c>
      <c r="C3048" t="inlineStr">
        <is>
          <t>adidas Squadra 13 Jersey</t>
        </is>
      </c>
      <c r="D3048" t="inlineStr">
        <is>
          <t>adidas Squadra 17 Long-Sleeve Jersey - Men's Soccer</t>
        </is>
      </c>
      <c r="E3048" s="2">
        <f>HYPERLINK("https://www.amazon.com/adidas-Squadra-Long-Power-Red-White/dp/B01N9DZZA1/ref=sr_1_3?keywords=adidas+Squadra+13+Jersey&amp;qid=1695171201&amp;sr=8-3", "https://www.amazon.com/adidas-Squadra-Long-Power-Red-White/dp/B01N9DZZA1/ref=sr_1_3?keywords=adidas+Squadra+13+Jersey&amp;qid=1695171201&amp;sr=8-3")</f>
        <v/>
      </c>
      <c r="F3048" t="inlineStr">
        <is>
          <t>B01N9DZZA1</t>
        </is>
      </c>
      <c r="G3048">
        <f>_xludf.IMAGE("https://www.soccerplususa.com/prodimages/5161-DEFAULT-l.jpg")</f>
        <v/>
      </c>
      <c r="H3048">
        <f>_xludf.IMAGE("https://m.media-amazon.com/images/I/616GZsJU3gL._AC_UL320_.jpg")</f>
        <v/>
      </c>
      <c r="K3048" t="inlineStr">
        <is>
          <t>15.0</t>
        </is>
      </c>
      <c r="L3048" t="n">
        <v>36</v>
      </c>
      <c r="M3048" s="1" t="inlineStr">
        <is>
          <t>140.00%</t>
        </is>
      </c>
      <c r="N3048" s="3" t="n">
        <v>140</v>
      </c>
      <c r="O3048" t="n">
        <v>3</v>
      </c>
      <c r="P3048" t="n">
        <v>4</v>
      </c>
      <c r="R3048" t="inlineStr">
        <is>
          <t>InStock</t>
        </is>
      </c>
      <c r="S3048" t="inlineStr">
        <is>
          <t>29.95</t>
        </is>
      </c>
      <c r="T3048" t="inlineStr">
        <is>
          <t>Z20621</t>
        </is>
      </c>
    </row>
    <row r="3049" hidden="1" ht="15.75" customHeight="1">
      <c r="A3049" s="2">
        <f>HYPERLINK("https://www.soccerplususa.com/adidas/adidas-squadra-13-jersey-9040", "https://www.soccerplususa.com/adidas/adidas-squadra-13-jersey-9040")</f>
        <v/>
      </c>
      <c r="B3049" t="inlineStr">
        <is>
          <t>undefined</t>
        </is>
      </c>
      <c r="C3049" t="inlineStr">
        <is>
          <t>adidas Squadra 13 Jersey</t>
        </is>
      </c>
      <c r="D3049" t="inlineStr">
        <is>
          <t>adidas Squadra 17 Long-Sleeve Jersey - Men's Soccer</t>
        </is>
      </c>
      <c r="E3049" s="2">
        <f>HYPERLINK("https://www.amazon.com/adidas-Squadra-Long-Power-Red-White/dp/B01N9DZZA1/ref=sr_1_3?keywords=adidas+Squadra+13+Jersey&amp;qid=1695171199&amp;sr=8-3", "https://www.amazon.com/adidas-Squadra-Long-Power-Red-White/dp/B01N9DZZA1/ref=sr_1_3?keywords=adidas+Squadra+13+Jersey&amp;qid=1695171199&amp;sr=8-3")</f>
        <v/>
      </c>
      <c r="F3049" t="inlineStr">
        <is>
          <t>B01N9DZZA1</t>
        </is>
      </c>
      <c r="G3049">
        <f>_xludf.IMAGE("https://www.soccerplususa.com/prodimages/3208-DEFAULT-l.jpg")</f>
        <v/>
      </c>
      <c r="H3049">
        <f>_xludf.IMAGE("https://m.media-amazon.com/images/I/616GZsJU3gL._AC_UL320_.jpg")</f>
        <v/>
      </c>
      <c r="K3049" t="inlineStr">
        <is>
          <t>15.0</t>
        </is>
      </c>
      <c r="L3049" t="n">
        <v>36</v>
      </c>
      <c r="M3049" s="1" t="inlineStr">
        <is>
          <t>140.00%</t>
        </is>
      </c>
      <c r="N3049" s="3" t="n">
        <v>140</v>
      </c>
      <c r="O3049" t="n">
        <v>3</v>
      </c>
      <c r="P3049" t="n">
        <v>4</v>
      </c>
      <c r="R3049" t="inlineStr">
        <is>
          <t>InStock</t>
        </is>
      </c>
      <c r="S3049" t="inlineStr">
        <is>
          <t>29.95</t>
        </is>
      </c>
      <c r="T3049" t="inlineStr">
        <is>
          <t>Z20619</t>
        </is>
      </c>
    </row>
    <row r="3050" ht="75" customHeight="1">
      <c r="A3050" s="2">
        <f>HYPERLINK("https://www.soccerplususa.com/adidas/adidas-tiro-17-jersey-youth-8176", "https://www.soccerplususa.com/adidas/adidas-tiro-17-jersey-youth-8176")</f>
        <v/>
      </c>
      <c r="B3050" t="inlineStr">
        <is>
          <t>undefined</t>
        </is>
      </c>
      <c r="C3050" t="inlineStr">
        <is>
          <t>adidas Tiro 17 Jersey Youth</t>
        </is>
      </c>
      <c r="D3050" t="inlineStr">
        <is>
          <t>adidas Youth Soccer Tiro 17 Warm Up Top (Large) Black</t>
        </is>
      </c>
      <c r="E3050" s="2">
        <f>HYPERLINK("https://www.amazon.com/Adidas-Youth-Tiro-Soccer-Grey-Black-White/dp/B01N65Y3UR/ref=sr_1_9?keywords=adidas+Tiro+17+Jersey+Youth&amp;qid=1695171210&amp;sr=8-9", "https://www.amazon.com/Adidas-Youth-Tiro-Soccer-Grey-Black-White/dp/B01N65Y3UR/ref=sr_1_9?keywords=adidas+Tiro+17+Jersey+Youth&amp;qid=1695171210&amp;sr=8-9")</f>
        <v/>
      </c>
      <c r="F3050" t="inlineStr">
        <is>
          <t>B01N65Y3UR</t>
        </is>
      </c>
      <c r="G3050">
        <f>_xlfn.IMAGE("https://www.soccerplususa.com/prodimages/7857-DEFAULT-l.jpg")</f>
        <v/>
      </c>
      <c r="H3050">
        <f>_xlfn.IMAGE("https://m.media-amazon.com/images/I/715VzyN2KwL._AC_UL320_.jpg")</f>
        <v/>
      </c>
      <c r="K3050" t="inlineStr">
        <is>
          <t>20.97</t>
        </is>
      </c>
      <c r="L3050" t="n">
        <v>49.99</v>
      </c>
      <c r="M3050" s="1" t="inlineStr">
        <is>
          <t>138.39%</t>
        </is>
      </c>
      <c r="N3050" s="3" t="n">
        <v>138.39</v>
      </c>
      <c r="O3050" t="n">
        <v>5</v>
      </c>
      <c r="P3050" t="n">
        <v>1</v>
      </c>
      <c r="R3050" t="inlineStr">
        <is>
          <t>InStock</t>
        </is>
      </c>
      <c r="S3050" t="inlineStr">
        <is>
          <t>34.95</t>
        </is>
      </c>
      <c r="T3050" t="inlineStr">
        <is>
          <t>S99148</t>
        </is>
      </c>
    </row>
    <row r="3051" ht="75" customHeight="1">
      <c r="A3051" s="2">
        <f>HYPERLINK("https://www.soccerplususa.com/nike/nike-park-vi-jersey-39538", "https://www.soccerplususa.com/nike/nike-park-vi-jersey-39538")</f>
        <v/>
      </c>
      <c r="B3051" t="inlineStr">
        <is>
          <t>undefined</t>
        </is>
      </c>
      <c r="C3051" t="inlineStr">
        <is>
          <t>Nike Park VI Jersey</t>
        </is>
      </c>
      <c r="D3051" t="inlineStr">
        <is>
          <t>Nike Team Dry Park VI Jersey</t>
        </is>
      </c>
      <c r="E3051" s="2">
        <f>HYPERLINK("https://www.amazon.com/Nike-Womens-Park-Jersey-Large/dp/B086Y9YD2S/ref=sr_1_4?keywords=Nike+Park+VI+Jersey&amp;qid=1695171168&amp;sr=8-4", "https://www.amazon.com/Nike-Womens-Park-Jersey-Large/dp/B086Y9YD2S/ref=sr_1_4?keywords=Nike+Park+VI+Jersey&amp;qid=1695171168&amp;sr=8-4")</f>
        <v/>
      </c>
      <c r="F3051" t="inlineStr">
        <is>
          <t>B086Y9YD2S</t>
        </is>
      </c>
      <c r="G3051">
        <f>_xlfn.IMAGE("https://www.soccerplususa.com/prodimages/32891-DEFAULT-l.jpg")</f>
        <v/>
      </c>
      <c r="H3051">
        <f>_xlfn.IMAGE("https://m.media-amazon.com/images/I/71SZKmJD1yL._AC_UL320_.jpg")</f>
        <v/>
      </c>
      <c r="K3051" t="inlineStr">
        <is>
          <t>14.99</t>
        </is>
      </c>
      <c r="L3051" t="n">
        <v>34.99</v>
      </c>
      <c r="M3051" s="1" t="inlineStr">
        <is>
          <t>133.42%</t>
        </is>
      </c>
      <c r="N3051" s="3" t="n">
        <v>133.42</v>
      </c>
      <c r="O3051" t="n">
        <v>4.9</v>
      </c>
      <c r="P3051" t="n">
        <v>16</v>
      </c>
      <c r="R3051" t="inlineStr">
        <is>
          <t>InStock</t>
        </is>
      </c>
      <c r="S3051" t="inlineStr">
        <is>
          <t>19.95</t>
        </is>
      </c>
      <c r="T3051" t="inlineStr">
        <is>
          <t>899915-100</t>
        </is>
      </c>
    </row>
    <row r="3052" ht="75" customHeight="1">
      <c r="A3052" s="2">
        <f>HYPERLINK("https://www.soccerplususa.com/adidas/adidas-tiro-17-training-jersey-4924", "https://www.soccerplususa.com/adidas/adidas-tiro-17-training-jersey-4924")</f>
        <v/>
      </c>
      <c r="B3052" t="inlineStr">
        <is>
          <t>undefined</t>
        </is>
      </c>
      <c r="C3052" t="inlineStr">
        <is>
          <t>adidas Tiro 17 Training Jersey</t>
        </is>
      </c>
      <c r="D3052" t="inlineStr">
        <is>
          <t>adidas Tiro 17 Training Shirt</t>
        </is>
      </c>
      <c r="E3052" s="2">
        <f>HYPERLINK("https://www.amazon.com/adidas-Tiro-Training-Long-Sleeve-Top/dp/B01MXLYJQI/ref=sr_1_3?keywords=adidas+Tiro+17+Training+Jersey&amp;qid=1695171226&amp;sr=8-3", "https://www.amazon.com/adidas-Tiro-Training-Long-Sleeve-Top/dp/B01MXLYJQI/ref=sr_1_3?keywords=adidas+Tiro+17+Training+Jersey&amp;qid=1695171226&amp;sr=8-3")</f>
        <v/>
      </c>
      <c r="F3052" t="inlineStr">
        <is>
          <t>B01MXLYJQI</t>
        </is>
      </c>
      <c r="G3052">
        <f>_xlfn.IMAGE("https://www.soccerplususa.com/prodimages/6626-DEFAULT-l.jpg")</f>
        <v/>
      </c>
      <c r="H3052">
        <f>_xlfn.IMAGE("https://m.media-amazon.com/images/I/81L2OkVUUoL._AC_UL320_.jpg")</f>
        <v/>
      </c>
      <c r="K3052" t="inlineStr">
        <is>
          <t>26.21</t>
        </is>
      </c>
      <c r="L3052" t="n">
        <v>60.95</v>
      </c>
      <c r="M3052" s="1" t="inlineStr">
        <is>
          <t>132.54%</t>
        </is>
      </c>
      <c r="N3052" s="3" t="n">
        <v>132.54</v>
      </c>
      <c r="O3052" t="n">
        <v>4.3</v>
      </c>
      <c r="P3052" t="n">
        <v>24</v>
      </c>
      <c r="R3052" t="inlineStr">
        <is>
          <t>InStock</t>
        </is>
      </c>
      <c r="S3052" t="inlineStr">
        <is>
          <t>34.95</t>
        </is>
      </c>
      <c r="T3052" t="inlineStr">
        <is>
          <t>BQ2806</t>
        </is>
      </c>
    </row>
    <row r="3053" ht="75" customHeight="1">
      <c r="A3053" s="2">
        <f>HYPERLINK("https://www.soccerplususa.com/adidas/adidas-condivo-16-jersey-youth-4210", "https://www.soccerplususa.com/adidas/adidas-condivo-16-jersey-youth-4210")</f>
        <v/>
      </c>
      <c r="B3053" t="inlineStr">
        <is>
          <t>undefined</t>
        </is>
      </c>
      <c r="C3053" t="inlineStr">
        <is>
          <t>adidas Condivo 16 Jersey Youth</t>
        </is>
      </c>
      <c r="D3053" t="inlineStr">
        <is>
          <t>adidas Condivo 16 Mens Soccer Jersey S White</t>
        </is>
      </c>
      <c r="E3053" s="2">
        <f>HYPERLINK("https://www.amazon.com/Adidas-Condivo-Soccer-Training-White-Black/dp/B01866MSEU/ref=sr_1_6?keywords=adidas+Condivo+16+Jersey+Youth&amp;qid=1695171233&amp;sr=8-6", "https://www.amazon.com/Adidas-Condivo-Soccer-Training-White-Black/dp/B01866MSEU/ref=sr_1_6?keywords=adidas+Condivo+16+Jersey+Youth&amp;qid=1695171233&amp;sr=8-6")</f>
        <v/>
      </c>
      <c r="F3053" t="inlineStr">
        <is>
          <t>B01866MSEU</t>
        </is>
      </c>
      <c r="G3053">
        <f>_xlfn.IMAGE("https://www.soccerplususa.com/prodimages/7805-DEFAULT-l.jpg")</f>
        <v/>
      </c>
      <c r="H3053">
        <f>_xlfn.IMAGE("https://m.media-amazon.com/images/I/51qvj+wPgyL._AC_UL320_.jpg")</f>
        <v/>
      </c>
      <c r="K3053" t="inlineStr">
        <is>
          <t>22.48</t>
        </is>
      </c>
      <c r="L3053" t="n">
        <v>52</v>
      </c>
      <c r="M3053" s="1" t="inlineStr">
        <is>
          <t>131.32%</t>
        </is>
      </c>
      <c r="N3053" s="3" t="n">
        <v>131.32</v>
      </c>
      <c r="O3053" t="n">
        <v>5</v>
      </c>
      <c r="P3053" t="n">
        <v>2</v>
      </c>
      <c r="R3053" t="inlineStr">
        <is>
          <t>InStock</t>
        </is>
      </c>
      <c r="S3053" t="inlineStr">
        <is>
          <t>44.95</t>
        </is>
      </c>
      <c r="T3053" t="inlineStr">
        <is>
          <t>AP4366</t>
        </is>
      </c>
    </row>
    <row r="3054" hidden="1" ht="15.75" customHeight="1">
      <c r="A3054" s="2">
        <f>HYPERLINK("https://www.soccerplususa.com/puma/puma-santiago-jersey-29026", "https://www.soccerplususa.com/puma/puma-santiago-jersey-29026")</f>
        <v/>
      </c>
      <c r="B3054" t="inlineStr">
        <is>
          <t>undefined</t>
        </is>
      </c>
      <c r="C3054" t="inlineStr">
        <is>
          <t>Puma Santiago Jersey</t>
        </is>
      </c>
      <c r="D3054" t="inlineStr">
        <is>
          <t>PUMA Men's Santiago Tg Jersey</t>
        </is>
      </c>
      <c r="E3054" s="2">
        <f>HYPERLINK("https://www.amazon.com/PUMA-Santiago-TG-Mens-Jersey/dp/B07L3VW9PW/ref=sr_1_6?keywords=Puma+Santiago+Jersey&amp;qid=1695171172&amp;sr=8-6", "https://www.amazon.com/PUMA-Santiago-TG-Mens-Jersey/dp/B07L3VW9PW/ref=sr_1_6?keywords=Puma+Santiago+Jersey&amp;qid=1695171172&amp;sr=8-6")</f>
        <v/>
      </c>
      <c r="F3054" t="inlineStr">
        <is>
          <t>B07L3VW9PW</t>
        </is>
      </c>
      <c r="G3054">
        <f>_xludf.IMAGE("https://www.soccerplususa.com/prodimages/32663-DEFAULT-l.jpg")</f>
        <v/>
      </c>
      <c r="H3054">
        <f>_xludf.IMAGE("https://m.media-amazon.com/images/I/817cmzqhJAL._AC_UL320_.jpg")</f>
        <v/>
      </c>
      <c r="K3054" t="inlineStr">
        <is>
          <t>16.0</t>
        </is>
      </c>
      <c r="L3054" t="n">
        <v>36.99</v>
      </c>
      <c r="M3054" s="1" t="inlineStr">
        <is>
          <t>131.19%</t>
        </is>
      </c>
      <c r="N3054" s="3" t="n">
        <v>131.19</v>
      </c>
      <c r="O3054" t="n">
        <v>3.2</v>
      </c>
      <c r="P3054" t="n">
        <v>28</v>
      </c>
      <c r="R3054" t="inlineStr">
        <is>
          <t>InStock</t>
        </is>
      </c>
      <c r="S3054" t="inlineStr">
        <is>
          <t>31.95</t>
        </is>
      </c>
      <c r="T3054" t="inlineStr">
        <is>
          <t>655501-06</t>
        </is>
      </c>
    </row>
    <row r="3055" ht="75" customHeight="1">
      <c r="A3055" s="2">
        <f>HYPERLINK("https://www.soccerplususa.com/adidas/adidas-condivo-16-jersey-youth-4211", "https://www.soccerplususa.com/adidas/adidas-condivo-16-jersey-youth-4211")</f>
        <v/>
      </c>
      <c r="B3055" t="inlineStr">
        <is>
          <t>undefined</t>
        </is>
      </c>
      <c r="C3055" t="inlineStr">
        <is>
          <t>adidas Condivo 16 Jersey Youth</t>
        </is>
      </c>
      <c r="D3055" t="inlineStr">
        <is>
          <t>adidas Condivo 16 Mens Soccer Jersey S White</t>
        </is>
      </c>
      <c r="E3055" s="2">
        <f>HYPERLINK("https://www.amazon.com/Adidas-Condivo-Soccer-Training-White-Black/dp/B01866MSEU/ref=sr_1_6?keywords=adidas+Condivo+16+Jersey+Youth&amp;qid=1695171230&amp;sr=8-6", "https://www.amazon.com/Adidas-Condivo-Soccer-Training-White-Black/dp/B01866MSEU/ref=sr_1_6?keywords=adidas+Condivo+16+Jersey+Youth&amp;qid=1695171230&amp;sr=8-6")</f>
        <v/>
      </c>
      <c r="F3055" t="inlineStr">
        <is>
          <t>B01866MSEU</t>
        </is>
      </c>
      <c r="G3055">
        <f>_xlfn.IMAGE("https://www.soccerplususa.com/prodimages/6944-DEFAULT-l.jpg")</f>
        <v/>
      </c>
      <c r="H3055">
        <f>_xlfn.IMAGE("https://m.media-amazon.com/images/I/51qvj+wPgyL._AC_UL320_.jpg")</f>
        <v/>
      </c>
      <c r="K3055" t="inlineStr">
        <is>
          <t>22.5</t>
        </is>
      </c>
      <c r="L3055" t="n">
        <v>52</v>
      </c>
      <c r="M3055" s="1" t="inlineStr">
        <is>
          <t>131.11%</t>
        </is>
      </c>
      <c r="N3055" s="3" t="n">
        <v>131.11</v>
      </c>
      <c r="O3055" t="n">
        <v>5</v>
      </c>
      <c r="P3055" t="n">
        <v>2</v>
      </c>
      <c r="R3055" t="inlineStr">
        <is>
          <t>InStock</t>
        </is>
      </c>
      <c r="S3055" t="inlineStr">
        <is>
          <t>44.95</t>
        </is>
      </c>
      <c r="T3055" t="inlineStr">
        <is>
          <t>AP4367</t>
        </is>
      </c>
    </row>
    <row r="3056" ht="75" customHeight="1">
      <c r="A3056" s="2">
        <f>HYPERLINK("https://www.soccerplususa.com/adidas/adidas-estro-15-jersey-7834", "https://www.soccerplususa.com/adidas/adidas-estro-15-jersey-7834")</f>
        <v/>
      </c>
      <c r="B3056" t="inlineStr">
        <is>
          <t>undefined</t>
        </is>
      </c>
      <c r="C3056" t="inlineStr">
        <is>
          <t>adidas Estro 15 Jersey</t>
        </is>
      </c>
      <c r="D3056" t="inlineStr">
        <is>
          <t>adidas Performance Men's Estro Jersey</t>
        </is>
      </c>
      <c r="E3056" s="2">
        <f>HYPERLINK("https://www.amazon.com/Adidas-Estro-Jersey-Black-white/dp/B00T7YNWH8/ref=sr_1_1?keywords=adidas+Estro+15+Jersey&amp;qid=1695171208&amp;sr=8-1", "https://www.amazon.com/Adidas-Estro-Jersey-Black-white/dp/B00T7YNWH8/ref=sr_1_1?keywords=adidas+Estro+15+Jersey&amp;qid=1695171208&amp;sr=8-1")</f>
        <v/>
      </c>
      <c r="F3056" t="inlineStr">
        <is>
          <t>B00T7YNWH8</t>
        </is>
      </c>
      <c r="G3056">
        <f>_xlfn.IMAGE("https://www.soccerplususa.com/prodimages/4288-DEFAULT-l.jpg")</f>
        <v/>
      </c>
      <c r="H3056">
        <f>_xlfn.IMAGE("https://m.media-amazon.com/images/I/61MrEyLj-kL._AC_UL320_.jpg")</f>
        <v/>
      </c>
      <c r="K3056" t="inlineStr">
        <is>
          <t>11.0</t>
        </is>
      </c>
      <c r="L3056" t="n">
        <v>25.3</v>
      </c>
      <c r="M3056" s="1" t="inlineStr">
        <is>
          <t>130.00%</t>
        </is>
      </c>
      <c r="N3056" s="3" t="n">
        <v>130</v>
      </c>
      <c r="O3056" t="n">
        <v>4.2</v>
      </c>
      <c r="P3056" t="n">
        <v>143</v>
      </c>
      <c r="R3056" t="inlineStr">
        <is>
          <t>InStock</t>
        </is>
      </c>
      <c r="S3056" t="inlineStr">
        <is>
          <t>21.95</t>
        </is>
      </c>
      <c r="T3056" t="inlineStr">
        <is>
          <t>S16151</t>
        </is>
      </c>
    </row>
    <row r="3057" ht="75" customHeight="1">
      <c r="A3057" s="2">
        <f>HYPERLINK("https://www.soccerplususa.com/adidas/adidas-estro-15-jersey-7829", "https://www.soccerplususa.com/adidas/adidas-estro-15-jersey-7829")</f>
        <v/>
      </c>
      <c r="B3057" t="inlineStr">
        <is>
          <t>undefined</t>
        </is>
      </c>
      <c r="C3057" t="inlineStr">
        <is>
          <t>adidas Estro 15 Jersey</t>
        </is>
      </c>
      <c r="D3057" t="inlineStr">
        <is>
          <t>adidas Performance Men's Estro Jersey</t>
        </is>
      </c>
      <c r="E3057" s="2">
        <f>HYPERLINK("https://www.amazon.com/Adidas-Estro-Jersey-Black-white/dp/B00T7YNWH8/ref=sr_1_1?keywords=adidas+Estro+15+Jersey&amp;qid=1695171197&amp;sr=8-1", "https://www.amazon.com/Adidas-Estro-Jersey-Black-white/dp/B00T7YNWH8/ref=sr_1_1?keywords=adidas+Estro+15+Jersey&amp;qid=1695171197&amp;sr=8-1")</f>
        <v/>
      </c>
      <c r="F3057" t="inlineStr">
        <is>
          <t>B00T7YNWH8</t>
        </is>
      </c>
      <c r="G3057">
        <f>_xlfn.IMAGE("https://www.soccerplususa.com/prodimages/3069-DEFAULT-l.jpg")</f>
        <v/>
      </c>
      <c r="H3057">
        <f>_xlfn.IMAGE("https://m.media-amazon.com/images/I/61MrEyLj-kL._AC_UL320_.jpg")</f>
        <v/>
      </c>
      <c r="K3057" t="inlineStr">
        <is>
          <t>11.0</t>
        </is>
      </c>
      <c r="L3057" t="n">
        <v>25.3</v>
      </c>
      <c r="M3057" s="1" t="inlineStr">
        <is>
          <t>130.00%</t>
        </is>
      </c>
      <c r="N3057" s="3" t="n">
        <v>130</v>
      </c>
      <c r="O3057" t="n">
        <v>4.2</v>
      </c>
      <c r="P3057" t="n">
        <v>143</v>
      </c>
      <c r="R3057" t="inlineStr">
        <is>
          <t>InStock</t>
        </is>
      </c>
      <c r="S3057" t="inlineStr">
        <is>
          <t>21.95</t>
        </is>
      </c>
      <c r="T3057" t="inlineStr">
        <is>
          <t>S16146</t>
        </is>
      </c>
    </row>
    <row r="3058" ht="75" customHeight="1">
      <c r="A3058" s="2">
        <f>HYPERLINK("https://www.soccerplususa.com/adidas/adidas-estro-15-jersey-7830", "https://www.soccerplususa.com/adidas/adidas-estro-15-jersey-7830")</f>
        <v/>
      </c>
      <c r="B3058" t="inlineStr">
        <is>
          <t>undefined</t>
        </is>
      </c>
      <c r="C3058" t="inlineStr">
        <is>
          <t>adidas Estro 15 Jersey</t>
        </is>
      </c>
      <c r="D3058" t="inlineStr">
        <is>
          <t>adidas Performance Men's Estro Jersey</t>
        </is>
      </c>
      <c r="E3058" s="2">
        <f>HYPERLINK("https://www.amazon.com/Adidas-Estro-Jersey-Black-white/dp/B00T7YNWH8/ref=sr_1_1?keywords=adidas+Estro+15+Jersey&amp;qid=1695171209&amp;sr=8-1", "https://www.amazon.com/Adidas-Estro-Jersey-Black-white/dp/B00T7YNWH8/ref=sr_1_1?keywords=adidas+Estro+15+Jersey&amp;qid=1695171209&amp;sr=8-1")</f>
        <v/>
      </c>
      <c r="F3058" t="inlineStr">
        <is>
          <t>B00T7YNWH8</t>
        </is>
      </c>
      <c r="G3058">
        <f>_xlfn.IMAGE("https://www.soccerplususa.com/prodimages/5088-DEFAULT-l.jpg")</f>
        <v/>
      </c>
      <c r="H3058">
        <f>_xlfn.IMAGE("https://m.media-amazon.com/images/I/61MrEyLj-kL._AC_UL320_.jpg")</f>
        <v/>
      </c>
      <c r="K3058" t="inlineStr">
        <is>
          <t>11.0</t>
        </is>
      </c>
      <c r="L3058" t="n">
        <v>25.3</v>
      </c>
      <c r="M3058" s="1" t="inlineStr">
        <is>
          <t>130.00%</t>
        </is>
      </c>
      <c r="N3058" s="3" t="n">
        <v>130</v>
      </c>
      <c r="O3058" t="n">
        <v>4.2</v>
      </c>
      <c r="P3058" t="n">
        <v>143</v>
      </c>
      <c r="R3058" t="inlineStr">
        <is>
          <t>InStock</t>
        </is>
      </c>
      <c r="S3058" t="inlineStr">
        <is>
          <t>21.95</t>
        </is>
      </c>
      <c r="T3058" t="inlineStr">
        <is>
          <t>S16147</t>
        </is>
      </c>
    </row>
    <row r="3059" ht="75" customHeight="1">
      <c r="A3059" s="2">
        <f>HYPERLINK("https://www.soccerplususa.com/adidas/adidas-tiro-15-jersey-youth-7892", "https://www.soccerplususa.com/adidas/adidas-tiro-15-jersey-youth-7892")</f>
        <v/>
      </c>
      <c r="B3059" t="inlineStr">
        <is>
          <t>undefined</t>
        </is>
      </c>
      <c r="C3059" t="inlineStr">
        <is>
          <t>adidas Tiro 15 Jersey Youth</t>
        </is>
      </c>
      <c r="D3059" t="inlineStr">
        <is>
          <t>adidas Youth Tiro 15 Training Pant</t>
        </is>
      </c>
      <c r="E3059" s="2">
        <f>HYPERLINK("https://www.amazon.com/adidas-KidsLittle-Training-Little-X-Large/dp/B00RW5FHJ0/ref=sr_1_5?keywords=adidas+Tiro+15+Jersey+Youth&amp;qid=1695171200&amp;sr=8-5", "https://www.amazon.com/adidas-KidsLittle-Training-Little-X-Large/dp/B00RW5FHJ0/ref=sr_1_5?keywords=adidas+Tiro+15+Jersey+Youth&amp;qid=1695171200&amp;sr=8-5")</f>
        <v/>
      </c>
      <c r="F3059" t="inlineStr">
        <is>
          <t>B00RW5FHJ0</t>
        </is>
      </c>
      <c r="G3059">
        <f>_xlfn.IMAGE("https://www.soccerplususa.com/prodimages/5431-DEFAULT-l.jpg")</f>
        <v/>
      </c>
      <c r="H3059">
        <f>_xlfn.IMAGE("https://m.media-amazon.com/images/I/8148xHfHumL._AC_UL320_.jpg")</f>
        <v/>
      </c>
      <c r="K3059" t="inlineStr">
        <is>
          <t>17.5</t>
        </is>
      </c>
      <c r="L3059" t="n">
        <v>39.99</v>
      </c>
      <c r="M3059" s="1" t="inlineStr">
        <is>
          <t>128.51%</t>
        </is>
      </c>
      <c r="N3059" s="3" t="n">
        <v>128.51</v>
      </c>
      <c r="O3059" t="n">
        <v>4.4</v>
      </c>
      <c r="P3059" t="n">
        <v>938</v>
      </c>
      <c r="R3059" t="inlineStr">
        <is>
          <t>InStock</t>
        </is>
      </c>
      <c r="S3059" t="inlineStr">
        <is>
          <t>34.95</t>
        </is>
      </c>
      <c r="T3059" t="inlineStr">
        <is>
          <t>S22375</t>
        </is>
      </c>
    </row>
    <row r="3060" ht="75" customHeight="1">
      <c r="A3060" s="2">
        <f>HYPERLINK("https://www.soccerplususa.com/adidas/adidas-tabela-14-jersey-youth-6083", "https://www.soccerplususa.com/adidas/adidas-tabela-14-jersey-youth-6083")</f>
        <v/>
      </c>
      <c r="B3060" t="inlineStr">
        <is>
          <t>undefined</t>
        </is>
      </c>
      <c r="C3060" t="inlineStr">
        <is>
          <t>adidas Tabela 14 Jersey Youth</t>
        </is>
      </c>
      <c r="D3060" t="inlineStr">
        <is>
          <t>adidas Performance Boys Youth Tabela 14 Short Sleeve Jersey</t>
        </is>
      </c>
      <c r="E3060" s="2">
        <f>HYPERLINK("https://www.amazon.com/adidas-Performance-Tabela-Jersey-X-Large/dp/B00J2GYF1I/ref=sr_1_2?keywords=adidas+Tabela+14+Jersey+Youth&amp;qid=1695171215&amp;sr=8-2", "https://www.amazon.com/adidas-Performance-Tabela-Jersey-X-Large/dp/B00J2GYF1I/ref=sr_1_2?keywords=adidas+Tabela+14+Jersey+Youth&amp;qid=1695171215&amp;sr=8-2")</f>
        <v/>
      </c>
      <c r="F3060" t="inlineStr">
        <is>
          <t>B00J2GYF1I</t>
        </is>
      </c>
      <c r="G3060">
        <f>_xlfn.IMAGE("https://www.soccerplususa.com/prodimages/4490-DEFAULT-l.jpg")</f>
        <v/>
      </c>
      <c r="H3060">
        <f>_xlfn.IMAGE("https://m.media-amazon.com/images/I/91YNKoolA4L._AC_UL320_.jpg")</f>
        <v/>
      </c>
      <c r="K3060" t="inlineStr">
        <is>
          <t>15.0</t>
        </is>
      </c>
      <c r="L3060" t="n">
        <v>34</v>
      </c>
      <c r="M3060" s="1" t="inlineStr">
        <is>
          <t>126.67%</t>
        </is>
      </c>
      <c r="N3060" s="3" t="n">
        <v>126.67</v>
      </c>
      <c r="O3060" t="n">
        <v>4.5</v>
      </c>
      <c r="P3060" t="n">
        <v>22</v>
      </c>
      <c r="R3060" t="inlineStr">
        <is>
          <t>InStock</t>
        </is>
      </c>
      <c r="S3060" t="inlineStr">
        <is>
          <t>29.95</t>
        </is>
      </c>
      <c r="T3060" t="inlineStr">
        <is>
          <t>F50451</t>
        </is>
      </c>
    </row>
    <row r="3061" ht="75" customHeight="1">
      <c r="A3061" s="2">
        <f>HYPERLINK("https://www.soccerplususa.com/adidas/adidas-tabela-14-jersey-youth-6086", "https://www.soccerplususa.com/adidas/adidas-tabela-14-jersey-youth-6086")</f>
        <v/>
      </c>
      <c r="B3061" t="inlineStr">
        <is>
          <t>undefined</t>
        </is>
      </c>
      <c r="C3061" t="inlineStr">
        <is>
          <t>adidas Tabela 14 Jersey Youth</t>
        </is>
      </c>
      <c r="D3061" t="inlineStr">
        <is>
          <t>adidas Performance Boys Youth Tabela 14 Short Sleeve Jersey</t>
        </is>
      </c>
      <c r="E3061" s="2">
        <f>HYPERLINK("https://www.amazon.com/adidas-Performance-Tabela-Jersey-X-Large/dp/B00J2GYF1I/ref=sr_1_1?keywords=adidas+Tabela+14+Jersey+Youth&amp;qid=1695171222&amp;sr=8-1", "https://www.amazon.com/adidas-Performance-Tabela-Jersey-X-Large/dp/B00J2GYF1I/ref=sr_1_1?keywords=adidas+Tabela+14+Jersey+Youth&amp;qid=1695171222&amp;sr=8-1")</f>
        <v/>
      </c>
      <c r="F3061" t="inlineStr">
        <is>
          <t>B00J2GYF1I</t>
        </is>
      </c>
      <c r="G3061">
        <f>_xlfn.IMAGE("https://www.soccerplususa.com/prodimages/2640-DEFAULT-l.jpg")</f>
        <v/>
      </c>
      <c r="H3061">
        <f>_xlfn.IMAGE("https://m.media-amazon.com/images/I/91YNKoolA4L._AC_UL320_.jpg")</f>
        <v/>
      </c>
      <c r="K3061" t="inlineStr">
        <is>
          <t>15.0</t>
        </is>
      </c>
      <c r="L3061" t="n">
        <v>34</v>
      </c>
      <c r="M3061" s="1" t="inlineStr">
        <is>
          <t>126.67%</t>
        </is>
      </c>
      <c r="N3061" s="3" t="n">
        <v>126.67</v>
      </c>
      <c r="O3061" t="n">
        <v>4.5</v>
      </c>
      <c r="P3061" t="n">
        <v>22</v>
      </c>
      <c r="R3061" t="inlineStr">
        <is>
          <t>InStock</t>
        </is>
      </c>
      <c r="S3061" t="inlineStr">
        <is>
          <t>29.95</t>
        </is>
      </c>
      <c r="T3061" t="inlineStr">
        <is>
          <t>F50455</t>
        </is>
      </c>
    </row>
    <row r="3062" ht="75" customHeight="1">
      <c r="A3062" s="2">
        <f>HYPERLINK("https://www.soccerplususa.com/adidas/adidas-tabela-14-jersey-youth-6085", "https://www.soccerplususa.com/adidas/adidas-tabela-14-jersey-youth-6085")</f>
        <v/>
      </c>
      <c r="B3062" t="inlineStr">
        <is>
          <t>undefined</t>
        </is>
      </c>
      <c r="C3062" t="inlineStr">
        <is>
          <t>adidas Tabela 14 Jersey Youth</t>
        </is>
      </c>
      <c r="D3062" t="inlineStr">
        <is>
          <t>adidas Performance Boys Youth Tabela 14 Short Sleeve Jersey</t>
        </is>
      </c>
      <c r="E3062" s="2">
        <f>HYPERLINK("https://www.amazon.com/adidas-Performance-Tabela-Jersey-X-Large/dp/B00J2GYF1I/ref=sr_1_1?keywords=adidas+Tabela+14+Jersey+Youth&amp;qid=1695171219&amp;sr=8-1", "https://www.amazon.com/adidas-Performance-Tabela-Jersey-X-Large/dp/B00J2GYF1I/ref=sr_1_1?keywords=adidas+Tabela+14+Jersey+Youth&amp;qid=1695171219&amp;sr=8-1")</f>
        <v/>
      </c>
      <c r="F3062" t="inlineStr">
        <is>
          <t>B00J2GYF1I</t>
        </is>
      </c>
      <c r="G3062">
        <f>_xlfn.IMAGE("https://www.soccerplususa.com/prodimages/2639-DEFAULT-l.jpg")</f>
        <v/>
      </c>
      <c r="H3062">
        <f>_xlfn.IMAGE("https://m.media-amazon.com/images/I/91YNKoolA4L._AC_UL320_.jpg")</f>
        <v/>
      </c>
      <c r="K3062" t="inlineStr">
        <is>
          <t>15.0</t>
        </is>
      </c>
      <c r="L3062" t="n">
        <v>34</v>
      </c>
      <c r="M3062" s="1" t="inlineStr">
        <is>
          <t>126.67%</t>
        </is>
      </c>
      <c r="N3062" s="3" t="n">
        <v>126.67</v>
      </c>
      <c r="O3062" t="n">
        <v>4.5</v>
      </c>
      <c r="P3062" t="n">
        <v>22</v>
      </c>
      <c r="R3062" t="inlineStr">
        <is>
          <t>InStock</t>
        </is>
      </c>
      <c r="S3062" t="inlineStr">
        <is>
          <t>29.95</t>
        </is>
      </c>
      <c r="T3062" t="inlineStr">
        <is>
          <t>F50454</t>
        </is>
      </c>
    </row>
    <row r="3063" ht="75" customHeight="1">
      <c r="A3063" s="2">
        <f>HYPERLINK("https://www.soccerplususa.com/adidas/adidas-tabela-14-jersey-youth-6087", "https://www.soccerplususa.com/adidas/adidas-tabela-14-jersey-youth-6087")</f>
        <v/>
      </c>
      <c r="B3063" t="inlineStr">
        <is>
          <t>undefined</t>
        </is>
      </c>
      <c r="C3063" t="inlineStr">
        <is>
          <t>adidas Tabela 14 Jersey Youth</t>
        </is>
      </c>
      <c r="D3063" t="inlineStr">
        <is>
          <t>adidas Performance Boys Youth Tabela 14 Short Sleeve Jersey</t>
        </is>
      </c>
      <c r="E3063" s="2">
        <f>HYPERLINK("https://www.amazon.com/adidas-Performance-Tabela-Jersey-X-Large/dp/B00J2GYF1I/ref=sr_1_1?keywords=adidas+Tabela+14+Jersey+Youth&amp;qid=1695171213&amp;sr=8-1", "https://www.amazon.com/adidas-Performance-Tabela-Jersey-X-Large/dp/B00J2GYF1I/ref=sr_1_1?keywords=adidas+Tabela+14+Jersey+Youth&amp;qid=1695171213&amp;sr=8-1")</f>
        <v/>
      </c>
      <c r="F3063" t="inlineStr">
        <is>
          <t>B00J2GYF1I</t>
        </is>
      </c>
      <c r="G3063">
        <f>_xlfn.IMAGE("https://www.soccerplususa.com/prodimages/4590-DEFAULT-l.jpg")</f>
        <v/>
      </c>
      <c r="H3063">
        <f>_xlfn.IMAGE("https://m.media-amazon.com/images/I/91YNKoolA4L._AC_UL320_.jpg")</f>
        <v/>
      </c>
      <c r="K3063" t="inlineStr">
        <is>
          <t>15.0</t>
        </is>
      </c>
      <c r="L3063" t="n">
        <v>34</v>
      </c>
      <c r="M3063" s="1" t="inlineStr">
        <is>
          <t>126.67%</t>
        </is>
      </c>
      <c r="N3063" s="3" t="n">
        <v>126.67</v>
      </c>
      <c r="O3063" t="n">
        <v>4.5</v>
      </c>
      <c r="P3063" t="n">
        <v>22</v>
      </c>
      <c r="R3063" t="inlineStr">
        <is>
          <t>InStock</t>
        </is>
      </c>
      <c r="S3063" t="inlineStr">
        <is>
          <t>29.95</t>
        </is>
      </c>
      <c r="T3063" t="inlineStr">
        <is>
          <t>F50459</t>
        </is>
      </c>
    </row>
    <row r="3064" ht="75" customHeight="1">
      <c r="A3064" s="2">
        <f>HYPERLINK("https://www.soccerplususa.com/adidas/adidas-tiro-15-jersey-womens-7896", "https://www.soccerplususa.com/adidas/adidas-tiro-15-jersey-womens-7896")</f>
        <v/>
      </c>
      <c r="B3064" t="inlineStr">
        <is>
          <t>undefined</t>
        </is>
      </c>
      <c r="C3064" t="inlineStr">
        <is>
          <t>adidas Tiro 15 Jersey Women's</t>
        </is>
      </c>
      <c r="D3064" t="inlineStr">
        <is>
          <t>adidas Tiro 19 Jersey- Women's Soccer S White</t>
        </is>
      </c>
      <c r="E3064" s="2">
        <f>HYPERLINK("https://www.amazon.com/adidas-Jersey-Womens-Soccer-White/dp/B07H4531J2/ref=sr_1_9?keywords=adidas+Tiro+15+Jersey+Womens&amp;qid=1695171238&amp;sr=8-9", "https://www.amazon.com/adidas-Jersey-Womens-Soccer-White/dp/B07H4531J2/ref=sr_1_9?keywords=adidas+Tiro+15+Jersey+Womens&amp;qid=1695171238&amp;sr=8-9")</f>
        <v/>
      </c>
      <c r="F3064" t="inlineStr">
        <is>
          <t>B07H4531J2</t>
        </is>
      </c>
      <c r="G3064">
        <f>_xlfn.IMAGE("https://www.soccerplususa.com/prodimages/10575-DEFAULT-l.jpg")</f>
        <v/>
      </c>
      <c r="H3064">
        <f>_xlfn.IMAGE("https://m.media-amazon.com/images/I/31ngh8aJskL._AC_UL320_.jpg")</f>
        <v/>
      </c>
      <c r="K3064" t="inlineStr">
        <is>
          <t>20.0</t>
        </is>
      </c>
      <c r="L3064" t="n">
        <v>44.99</v>
      </c>
      <c r="M3064" s="1" t="inlineStr">
        <is>
          <t>124.95%</t>
        </is>
      </c>
      <c r="N3064" s="3" t="n">
        <v>124.95</v>
      </c>
      <c r="O3064" t="n">
        <v>5</v>
      </c>
      <c r="P3064" t="n">
        <v>3</v>
      </c>
      <c r="R3064" t="inlineStr">
        <is>
          <t>InStock</t>
        </is>
      </c>
      <c r="S3064" t="inlineStr">
        <is>
          <t>39.95</t>
        </is>
      </c>
      <c r="T3064" t="inlineStr">
        <is>
          <t>S22413</t>
        </is>
      </c>
    </row>
    <row r="3065" ht="75" customHeight="1">
      <c r="A3065" s="2">
        <f>HYPERLINK("https://www.soccerplususa.com/nike/nike-striker-jersey-youth-21298", "https://www.soccerplususa.com/nike/nike-striker-jersey-youth-21298")</f>
        <v/>
      </c>
      <c r="B3065" t="inlineStr">
        <is>
          <t>undefined</t>
        </is>
      </c>
      <c r="C3065" t="inlineStr">
        <is>
          <t>Nike Striker Jersey Youth</t>
        </is>
      </c>
      <c r="D3065" t="inlineStr">
        <is>
          <t>Nike Youth Park VII Short Sleeve Jersey, BV6742-010</t>
        </is>
      </c>
      <c r="E3065" s="2">
        <f>HYPERLINK("https://www.amazon.com/Nike-Youth-Sleeve-Jersey-BV6742-010/dp/B0B16HKH26/ref=sr_1_9?keywords=Nike+Striker+Jersey+Youth&amp;qid=1695171175&amp;sr=8-9", "https://www.amazon.com/Nike-Youth-Sleeve-Jersey-BV6742-010/dp/B0B16HKH26/ref=sr_1_9?keywords=Nike+Striker+Jersey+Youth&amp;qid=1695171175&amp;sr=8-9")</f>
        <v/>
      </c>
      <c r="F3065" t="inlineStr">
        <is>
          <t>B0B16HKH26</t>
        </is>
      </c>
      <c r="G3065">
        <f>_xlfn.IMAGE("https://www.soccerplususa.com/prodimages/7627-DEFAULT-l.jpg")</f>
        <v/>
      </c>
      <c r="H3065">
        <f>_xlfn.IMAGE("https://m.media-amazon.com/images/I/41uqZKvB6pL._AC_UL320_.jpg")</f>
        <v/>
      </c>
      <c r="K3065" t="inlineStr">
        <is>
          <t>12.5</t>
        </is>
      </c>
      <c r="L3065" t="n">
        <v>27.99</v>
      </c>
      <c r="M3065" s="1" t="inlineStr">
        <is>
          <t>123.92%</t>
        </is>
      </c>
      <c r="N3065" s="3" t="n">
        <v>123.92</v>
      </c>
      <c r="O3065" t="n">
        <v>4.4</v>
      </c>
      <c r="P3065" t="n">
        <v>7</v>
      </c>
      <c r="R3065" t="inlineStr">
        <is>
          <t>InStock</t>
        </is>
      </c>
      <c r="S3065" t="inlineStr">
        <is>
          <t>24.95</t>
        </is>
      </c>
      <c r="T3065" t="inlineStr">
        <is>
          <t>520590-888</t>
        </is>
      </c>
    </row>
    <row r="3066" ht="75" customHeight="1">
      <c r="A3066" s="2">
        <f>HYPERLINK("https://www.soccerplususa.com/nike/nike-park-derby-jersey-youth-22411", "https://www.soccerplususa.com/nike/nike-park-derby-jersey-youth-22411")</f>
        <v/>
      </c>
      <c r="B3066" t="inlineStr">
        <is>
          <t>undefined</t>
        </is>
      </c>
      <c r="C3066" t="inlineStr">
        <is>
          <t>Nike Park Derby Jersey Youth</t>
        </is>
      </c>
      <c r="D3066" t="inlineStr">
        <is>
          <t>Nike Youth Park VII Short Sleeve Jersey, BV6742-010</t>
        </is>
      </c>
      <c r="E3066" s="2">
        <f>HYPERLINK("https://www.amazon.com/Nike-Youth-Sleeve-Jersey-BV6742-010/dp/B0B16HKH26/ref=sr_1_2?keywords=Nike+Park+Derby+Jersey+Youth&amp;qid=1695171209&amp;sr=8-2", "https://www.amazon.com/Nike-Youth-Sleeve-Jersey-BV6742-010/dp/B0B16HKH26/ref=sr_1_2?keywords=Nike+Park+Derby+Jersey+Youth&amp;qid=1695171209&amp;sr=8-2")</f>
        <v/>
      </c>
      <c r="F3066" t="inlineStr">
        <is>
          <t>B0B16HKH26</t>
        </is>
      </c>
      <c r="G3066">
        <f>_xlfn.IMAGE("https://www.soccerplususa.com/prodimages/7672-DEFAULT-l.jpg")</f>
        <v/>
      </c>
      <c r="H3066">
        <f>_xlfn.IMAGE("https://m.media-amazon.com/images/I/41uqZKvB6pL._AC_UL320_.jpg")</f>
        <v/>
      </c>
      <c r="K3066" t="inlineStr">
        <is>
          <t>12.5</t>
        </is>
      </c>
      <c r="L3066" t="n">
        <v>27.99</v>
      </c>
      <c r="M3066" s="1" t="inlineStr">
        <is>
          <t>123.92%</t>
        </is>
      </c>
      <c r="N3066" s="3" t="n">
        <v>123.92</v>
      </c>
      <c r="O3066" t="n">
        <v>4.4</v>
      </c>
      <c r="P3066" t="n">
        <v>7</v>
      </c>
      <c r="R3066" t="inlineStr">
        <is>
          <t>InStock</t>
        </is>
      </c>
      <c r="S3066" t="inlineStr">
        <is>
          <t>24.95</t>
        </is>
      </c>
      <c r="T3066" t="inlineStr">
        <is>
          <t>620877-419</t>
        </is>
      </c>
    </row>
    <row r="3067" ht="75" customHeight="1">
      <c r="A3067" s="2">
        <f>HYPERLINK("https://www.soccerplususa.com/nike/nike-challenge-jersey-22801", "https://www.soccerplususa.com/nike/nike-challenge-jersey-22801")</f>
        <v/>
      </c>
      <c r="B3067" t="inlineStr">
        <is>
          <t>undefined</t>
        </is>
      </c>
      <c r="C3067" t="inlineStr">
        <is>
          <t>Nike Challenge Jersey</t>
        </is>
      </c>
      <c r="D3067" t="inlineStr">
        <is>
          <t>Nike Dri-Fit Challenge 3 Soccer Jersey Shirt L White</t>
        </is>
      </c>
      <c r="E3067" s="2">
        <f>HYPERLINK("https://www.amazon.com/Nike-Dri-Fit-Challenge-Soccer-Jersey/dp/B0B9HPGSSV/ref=sr_1_4?keywords=Nike+Challenge+Jersey&amp;qid=1695171181&amp;sr=8-4", "https://www.amazon.com/Nike-Dri-Fit-Challenge-Soccer-Jersey/dp/B0B9HPGSSV/ref=sr_1_4?keywords=Nike+Challenge+Jersey&amp;qid=1695171181&amp;sr=8-4")</f>
        <v/>
      </c>
      <c r="F3067" t="inlineStr">
        <is>
          <t>B0B9HPGSSV</t>
        </is>
      </c>
      <c r="G3067">
        <f>_xlfn.IMAGE("https://www.soccerplususa.com/prodimages/7621-DEFAULT-l.jpg")</f>
        <v/>
      </c>
      <c r="H3067">
        <f>_xlfn.IMAGE("https://m.media-amazon.com/images/I/41DtONJS4uL._AC_UL320_.jpg")</f>
        <v/>
      </c>
      <c r="K3067" t="inlineStr">
        <is>
          <t>17.5</t>
        </is>
      </c>
      <c r="L3067" t="n">
        <v>37.99</v>
      </c>
      <c r="M3067" s="1" t="inlineStr">
        <is>
          <t>117.09%</t>
        </is>
      </c>
      <c r="N3067" s="3" t="n">
        <v>117.09</v>
      </c>
      <c r="O3067" t="n">
        <v>4</v>
      </c>
      <c r="P3067" t="n">
        <v>1</v>
      </c>
      <c r="R3067" t="inlineStr">
        <is>
          <t>InStock</t>
        </is>
      </c>
      <c r="S3067" t="inlineStr">
        <is>
          <t>34.95</t>
        </is>
      </c>
      <c r="T3067" t="inlineStr">
        <is>
          <t>645500-891</t>
        </is>
      </c>
    </row>
    <row r="3068" ht="75" customHeight="1">
      <c r="A3068" s="2">
        <f>HYPERLINK("https://www.soccerplususa.com/nike/nike-challenge-jersey-22799", "https://www.soccerplususa.com/nike/nike-challenge-jersey-22799")</f>
        <v/>
      </c>
      <c r="B3068" t="inlineStr">
        <is>
          <t>undefined</t>
        </is>
      </c>
      <c r="C3068" t="inlineStr">
        <is>
          <t>Nike Challenge Jersey</t>
        </is>
      </c>
      <c r="D3068" t="inlineStr">
        <is>
          <t>Nike Dri-Fit Challenge 3 Soccer Jersey Shirt L White</t>
        </is>
      </c>
      <c r="E3068" s="2">
        <f>HYPERLINK("https://www.amazon.com/Nike-Dri-Fit-Challenge-Soccer-Jersey/dp/B0B9HPGSSV/ref=sr_1_3?keywords=Nike+Challenge+Jersey&amp;qid=1695171185&amp;sr=8-3", "https://www.amazon.com/Nike-Dri-Fit-Challenge-Soccer-Jersey/dp/B0B9HPGSSV/ref=sr_1_3?keywords=Nike+Challenge+Jersey&amp;qid=1695171185&amp;sr=8-3")</f>
        <v/>
      </c>
      <c r="F3068" t="inlineStr">
        <is>
          <t>B0B9HPGSSV</t>
        </is>
      </c>
      <c r="G3068">
        <f>_xlfn.IMAGE("https://www.soccerplususa.com/prodimages/7620-DEFAULT-l.jpg")</f>
        <v/>
      </c>
      <c r="H3068">
        <f>_xlfn.IMAGE("https://m.media-amazon.com/images/I/41DtONJS4uL._AC_UL320_.jpg")</f>
        <v/>
      </c>
      <c r="K3068" t="inlineStr">
        <is>
          <t>17.5</t>
        </is>
      </c>
      <c r="L3068" t="n">
        <v>37.99</v>
      </c>
      <c r="M3068" s="1" t="inlineStr">
        <is>
          <t>117.09%</t>
        </is>
      </c>
      <c r="N3068" s="3" t="n">
        <v>117.09</v>
      </c>
      <c r="O3068" t="n">
        <v>4</v>
      </c>
      <c r="P3068" t="n">
        <v>1</v>
      </c>
      <c r="R3068" t="inlineStr">
        <is>
          <t>InStock</t>
        </is>
      </c>
      <c r="S3068" t="inlineStr">
        <is>
          <t>34.95</t>
        </is>
      </c>
      <c r="T3068" t="inlineStr">
        <is>
          <t>645500-493</t>
        </is>
      </c>
    </row>
    <row r="3069" ht="75" customHeight="1">
      <c r="A3069" s="2">
        <f>HYPERLINK("https://www.soccerplususa.com/adidas/adidas-tiro-13-jersey-9163", "https://www.soccerplususa.com/adidas/adidas-tiro-13-jersey-9163")</f>
        <v/>
      </c>
      <c r="B3069" t="inlineStr">
        <is>
          <t>undefined</t>
        </is>
      </c>
      <c r="C3069" t="inlineStr">
        <is>
          <t>adidas Tiro 13 Jersey</t>
        </is>
      </c>
      <c r="D3069" t="inlineStr">
        <is>
          <t>adidas Men's Alphaskin Tiro Jersey</t>
        </is>
      </c>
      <c r="E3069" s="2">
        <f>HYPERLINK("https://www.amazon.com/adidas-Mens-Jersey-Black-Large/dp/B0B64CGFHT/ref=sr_1_10?keywords=adidas+Tiro+13+Jersey&amp;qid=1695171187&amp;sr=8-10", "https://www.amazon.com/adidas-Mens-Jersey-Black-Large/dp/B0B64CGFHT/ref=sr_1_10?keywords=adidas+Tiro+13+Jersey&amp;qid=1695171187&amp;sr=8-10")</f>
        <v/>
      </c>
      <c r="F3069" t="inlineStr">
        <is>
          <t>B0B64CGFHT</t>
        </is>
      </c>
      <c r="G3069">
        <f>_xlfn.IMAGE("https://www.soccerplususa.com/prodimages/3224-DEFAULT-l.jpg")</f>
        <v/>
      </c>
      <c r="H3069">
        <f>_xlfn.IMAGE("https://m.media-amazon.com/images/I/91W78OxUW0L._AC_UL320_.jpg")</f>
        <v/>
      </c>
      <c r="K3069" t="inlineStr">
        <is>
          <t>20.0</t>
        </is>
      </c>
      <c r="L3069" t="n">
        <v>43.41</v>
      </c>
      <c r="M3069" s="1" t="inlineStr">
        <is>
          <t>117.05%</t>
        </is>
      </c>
      <c r="N3069" s="3" t="n">
        <v>117.05</v>
      </c>
      <c r="O3069" t="n">
        <v>4.6</v>
      </c>
      <c r="P3069" t="n">
        <v>534</v>
      </c>
      <c r="R3069" t="inlineStr">
        <is>
          <t>InStock</t>
        </is>
      </c>
      <c r="S3069" t="inlineStr">
        <is>
          <t>39.95</t>
        </is>
      </c>
      <c r="T3069" t="inlineStr">
        <is>
          <t>Z69160</t>
        </is>
      </c>
    </row>
    <row r="3070" ht="75" customHeight="1">
      <c r="A3070" s="2">
        <f>HYPERLINK("https://www.soccerplususa.com/adidas/adidas-tiro-15-jersey-7888", "https://www.soccerplususa.com/adidas/adidas-tiro-15-jersey-7888")</f>
        <v/>
      </c>
      <c r="B3070" t="inlineStr">
        <is>
          <t>undefined</t>
        </is>
      </c>
      <c r="C3070" t="inlineStr">
        <is>
          <t>adidas Tiro 15 Jersey</t>
        </is>
      </c>
      <c r="D3070" t="inlineStr">
        <is>
          <t>adidas Men's Alphaskin Tiro Jersey</t>
        </is>
      </c>
      <c r="E3070" s="2">
        <f>HYPERLINK("https://www.amazon.com/adidas-Mens-Jersey-Black-Large/dp/B0B64CGFHT/ref=sr_1_10?keywords=adidas+Tiro+15+Jersey&amp;qid=1695171213&amp;sr=8-10", "https://www.amazon.com/adidas-Mens-Jersey-Black-Large/dp/B0B64CGFHT/ref=sr_1_10?keywords=adidas+Tiro+15+Jersey&amp;qid=1695171213&amp;sr=8-10")</f>
        <v/>
      </c>
      <c r="F3070" t="inlineStr">
        <is>
          <t>B0B64CGFHT</t>
        </is>
      </c>
      <c r="G3070">
        <f>_xlfn.IMAGE("https://www.soccerplususa.com/prodimages/5430-DEFAULT-l.jpg")</f>
        <v/>
      </c>
      <c r="H3070">
        <f>_xlfn.IMAGE("https://m.media-amazon.com/images/I/91W78OxUW0L._AC_UL320_.jpg")</f>
        <v/>
      </c>
      <c r="K3070" t="inlineStr">
        <is>
          <t>20.0</t>
        </is>
      </c>
      <c r="L3070" t="n">
        <v>43.41</v>
      </c>
      <c r="M3070" s="1" t="inlineStr">
        <is>
          <t>117.05%</t>
        </is>
      </c>
      <c r="N3070" s="3" t="n">
        <v>117.05</v>
      </c>
      <c r="O3070" t="n">
        <v>4.6</v>
      </c>
      <c r="P3070" t="n">
        <v>534</v>
      </c>
      <c r="R3070" t="inlineStr">
        <is>
          <t>InStock</t>
        </is>
      </c>
      <c r="S3070" t="inlineStr">
        <is>
          <t>39.95</t>
        </is>
      </c>
      <c r="T3070" t="inlineStr">
        <is>
          <t>S22363</t>
        </is>
      </c>
    </row>
    <row r="3071" ht="75" customHeight="1">
      <c r="A3071" s="2">
        <f>HYPERLINK("https://www.soccerplususa.com/adidas/adidas-tiro-13-jersey-8642", "https://www.soccerplususa.com/adidas/adidas-tiro-13-jersey-8642")</f>
        <v/>
      </c>
      <c r="B3071" t="inlineStr">
        <is>
          <t>undefined</t>
        </is>
      </c>
      <c r="C3071" t="inlineStr">
        <is>
          <t>adidas Tiro 13 Jersey</t>
        </is>
      </c>
      <c r="D3071" t="inlineStr">
        <is>
          <t>adidas Men's Alphaskin Tiro Jersey</t>
        </is>
      </c>
      <c r="E3071" s="2">
        <f>HYPERLINK("https://www.amazon.com/adidas-Mens-Jersey-Black-Large/dp/B0B64CGFHT/ref=sr_1_10?keywords=adidas+Tiro+13+Jersey&amp;qid=1695171197&amp;sr=8-10", "https://www.amazon.com/adidas-Mens-Jersey-Black-Large/dp/B0B64CGFHT/ref=sr_1_10?keywords=adidas+Tiro+13+Jersey&amp;qid=1695171197&amp;sr=8-10")</f>
        <v/>
      </c>
      <c r="F3071" t="inlineStr">
        <is>
          <t>B0B64CGFHT</t>
        </is>
      </c>
      <c r="G3071">
        <f>_xlfn.IMAGE("https://www.soccerplususa.com/prodimages/3217-DEFAULT-l.jpg")</f>
        <v/>
      </c>
      <c r="H3071">
        <f>_xlfn.IMAGE("https://m.media-amazon.com/images/I/91W78OxUW0L._AC_UL320_.jpg")</f>
        <v/>
      </c>
      <c r="K3071" t="inlineStr">
        <is>
          <t>20.0</t>
        </is>
      </c>
      <c r="L3071" t="n">
        <v>43.41</v>
      </c>
      <c r="M3071" s="1" t="inlineStr">
        <is>
          <t>117.05%</t>
        </is>
      </c>
      <c r="N3071" s="3" t="n">
        <v>117.05</v>
      </c>
      <c r="O3071" t="n">
        <v>4.6</v>
      </c>
      <c r="P3071" t="n">
        <v>534</v>
      </c>
      <c r="R3071" t="inlineStr">
        <is>
          <t>InStock</t>
        </is>
      </c>
      <c r="S3071" t="inlineStr">
        <is>
          <t>39.95</t>
        </is>
      </c>
      <c r="T3071" t="inlineStr">
        <is>
          <t>W53887</t>
        </is>
      </c>
    </row>
    <row r="3072" ht="75" customHeight="1">
      <c r="A3072" s="2">
        <f>HYPERLINK("https://www.soccerplususa.com/adidas/adidas-tiro-13-jersey-8992", "https://www.soccerplususa.com/adidas/adidas-tiro-13-jersey-8992")</f>
        <v/>
      </c>
      <c r="B3072" t="inlineStr">
        <is>
          <t>undefined</t>
        </is>
      </c>
      <c r="C3072" t="inlineStr">
        <is>
          <t>adidas Tiro 13 Jersey</t>
        </is>
      </c>
      <c r="D3072" t="inlineStr">
        <is>
          <t>adidas Men's Alphaskin Tiro Jersey</t>
        </is>
      </c>
      <c r="E3072" s="2">
        <f>HYPERLINK("https://www.amazon.com/adidas-Mens-Jersey-Black-Large/dp/B0B64CGFHT/ref=sr_1_10?keywords=adidas+Tiro+13+Jersey&amp;qid=1695171210&amp;sr=8-10", "https://www.amazon.com/adidas-Mens-Jersey-Black-Large/dp/B0B64CGFHT/ref=sr_1_10?keywords=adidas+Tiro+13+Jersey&amp;qid=1695171210&amp;sr=8-10")</f>
        <v/>
      </c>
      <c r="F3072" t="inlineStr">
        <is>
          <t>B0B64CGFHT</t>
        </is>
      </c>
      <c r="G3072">
        <f>_xlfn.IMAGE("https://www.soccerplususa.com/prodimages/10768-DEFAULT-l.jpg")</f>
        <v/>
      </c>
      <c r="H3072">
        <f>_xlfn.IMAGE("https://m.media-amazon.com/images/I/91W78OxUW0L._AC_UL320_.jpg")</f>
        <v/>
      </c>
      <c r="K3072" t="inlineStr">
        <is>
          <t>20.0</t>
        </is>
      </c>
      <c r="L3072" t="n">
        <v>43.41</v>
      </c>
      <c r="M3072" s="1" t="inlineStr">
        <is>
          <t>117.05%</t>
        </is>
      </c>
      <c r="N3072" s="3" t="n">
        <v>117.05</v>
      </c>
      <c r="O3072" t="n">
        <v>4.6</v>
      </c>
      <c r="P3072" t="n">
        <v>534</v>
      </c>
      <c r="R3072" t="inlineStr">
        <is>
          <t>InStock</t>
        </is>
      </c>
      <c r="S3072" t="inlineStr">
        <is>
          <t>39.95</t>
        </is>
      </c>
      <c r="T3072" t="inlineStr">
        <is>
          <t>Z20252</t>
        </is>
      </c>
    </row>
    <row r="3073" ht="75" customHeight="1">
      <c r="A3073" s="2">
        <f>HYPERLINK("https://www.soccerplususa.com/adidas/adidas-tiro-15-jersey-7887", "https://www.soccerplususa.com/adidas/adidas-tiro-15-jersey-7887")</f>
        <v/>
      </c>
      <c r="B3073" t="inlineStr">
        <is>
          <t>undefined</t>
        </is>
      </c>
      <c r="C3073" t="inlineStr">
        <is>
          <t>adidas Tiro 15 Jersey</t>
        </is>
      </c>
      <c r="D3073" t="inlineStr">
        <is>
          <t>adidas Men's Alphaskin Tiro Jersey</t>
        </is>
      </c>
      <c r="E3073" s="2">
        <f>HYPERLINK("https://www.amazon.com/adidas-Mens-Jersey-Black-Large/dp/B0B64CGFHT/ref=sr_1_10?keywords=adidas+Tiro+15+Jersey&amp;qid=1695171209&amp;sr=8-10", "https://www.amazon.com/adidas-Mens-Jersey-Black-Large/dp/B0B64CGFHT/ref=sr_1_10?keywords=adidas+Tiro+15+Jersey&amp;qid=1695171209&amp;sr=8-10")</f>
        <v/>
      </c>
      <c r="F3073" t="inlineStr">
        <is>
          <t>B0B64CGFHT</t>
        </is>
      </c>
      <c r="G3073">
        <f>_xlfn.IMAGE("https://www.soccerplususa.com/prodimages/6309-DEFAULT-l.jpg")</f>
        <v/>
      </c>
      <c r="H3073">
        <f>_xlfn.IMAGE("https://m.media-amazon.com/images/I/91W78OxUW0L._AC_UL320_.jpg")</f>
        <v/>
      </c>
      <c r="K3073" t="inlineStr">
        <is>
          <t>20.0</t>
        </is>
      </c>
      <c r="L3073" t="n">
        <v>43.41</v>
      </c>
      <c r="M3073" s="1" t="inlineStr">
        <is>
          <t>117.05%</t>
        </is>
      </c>
      <c r="N3073" s="3" t="n">
        <v>117.05</v>
      </c>
      <c r="O3073" t="n">
        <v>4.6</v>
      </c>
      <c r="P3073" t="n">
        <v>534</v>
      </c>
      <c r="R3073" t="inlineStr">
        <is>
          <t>InStock</t>
        </is>
      </c>
      <c r="S3073" t="inlineStr">
        <is>
          <t>40.0</t>
        </is>
      </c>
      <c r="T3073" t="inlineStr">
        <is>
          <t>S22362</t>
        </is>
      </c>
    </row>
    <row r="3074" ht="75" customHeight="1">
      <c r="A3074" s="2">
        <f>HYPERLINK("https://www.soccerplususa.com/nike/nike-dry-football-top-24043", "https://www.soccerplususa.com/nike/nike-dry-football-top-24043")</f>
        <v/>
      </c>
      <c r="B3074" t="inlineStr">
        <is>
          <t>undefined</t>
        </is>
      </c>
      <c r="C3074" t="inlineStr">
        <is>
          <t>Nike Dry Football Top</t>
        </is>
      </c>
      <c r="D3074" t="inlineStr">
        <is>
          <t>Nike Men's Dry Academy 18 Drill Football Top</t>
        </is>
      </c>
      <c r="E3074" s="2">
        <f>HYPERLINK("https://www.amazon.com/NIKE-Academy-Drill-Football-Obsidian/dp/B0797N1F33/ref=sr_1_3?keywords=Nike+Dry+Football+Top&amp;qid=1695171187&amp;sr=8-3", "https://www.amazon.com/NIKE-Academy-Drill-Football-Obsidian/dp/B0797N1F33/ref=sr_1_3?keywords=Nike+Dry+Football+Top&amp;qid=1695171187&amp;sr=8-3")</f>
        <v/>
      </c>
      <c r="F3074" t="inlineStr">
        <is>
          <t>B0797N1F33</t>
        </is>
      </c>
      <c r="G3074">
        <f>_xlfn.IMAGE("https://www.soccerplususa.com/prodimages/3528-DEFAULT-l.jpg")</f>
        <v/>
      </c>
      <c r="H3074">
        <f>_xlfn.IMAGE("https://m.media-amazon.com/images/I/51u34ue996L._AC_UL320_.jpg")</f>
        <v/>
      </c>
      <c r="K3074" t="inlineStr">
        <is>
          <t>29.95</t>
        </is>
      </c>
      <c r="L3074" t="n">
        <v>64.90000000000001</v>
      </c>
      <c r="M3074" s="1" t="inlineStr">
        <is>
          <t>116.69%</t>
        </is>
      </c>
      <c r="N3074" s="3" t="n">
        <v>116.69</v>
      </c>
      <c r="O3074" t="n">
        <v>4.5</v>
      </c>
      <c r="P3074" t="n">
        <v>2673</v>
      </c>
      <c r="R3074" t="inlineStr">
        <is>
          <t>InStock</t>
        </is>
      </c>
      <c r="S3074" t="inlineStr">
        <is>
          <t>49.95</t>
        </is>
      </c>
      <c r="T3074" t="inlineStr">
        <is>
          <t>807073-702</t>
        </is>
      </c>
    </row>
    <row r="3075" ht="75" customHeight="1">
      <c r="A3075" s="2">
        <f>HYPERLINK("https://www.soccerplususa.com/adidas/adidas-tiro-15-training-jacket-youth-7110", "https://www.soccerplususa.com/adidas/adidas-tiro-15-training-jacket-youth-7110")</f>
        <v/>
      </c>
      <c r="B3075" t="inlineStr">
        <is>
          <t>undefined</t>
        </is>
      </c>
      <c r="C3075" t="inlineStr">
        <is>
          <t>adidas Tiro 15 Training Jacket Youth</t>
        </is>
      </c>
      <c r="D3075" t="inlineStr">
        <is>
          <t>adidas Men's Soccer Tiro 15 Training Jacket</t>
        </is>
      </c>
      <c r="E3075" s="2">
        <f>HYPERLINK("https://www.amazon.com/adidas-Soccer-Training-Jacket-Black/dp/B00QKRKDC2/ref=sr_1_4?keywords=adidas+Tiro+15+Training+Jacket+Youth&amp;qid=1695171218&amp;sr=8-4", "https://www.amazon.com/adidas-Soccer-Training-Jacket-Black/dp/B00QKRKDC2/ref=sr_1_4?keywords=adidas+Tiro+15+Training+Jacket+Youth&amp;qid=1695171218&amp;sr=8-4")</f>
        <v/>
      </c>
      <c r="F3075" t="inlineStr">
        <is>
          <t>B00QKRKDC2</t>
        </is>
      </c>
      <c r="G3075">
        <f>_xlfn.IMAGE("https://www.soccerplususa.com/prodimages/2008-DEFAULT-l.jpg")</f>
        <v/>
      </c>
      <c r="H3075">
        <f>_xlfn.IMAGE("https://m.media-amazon.com/images/I/31aSgvALGML._AC_UL320_.jpg")</f>
        <v/>
      </c>
      <c r="K3075" t="inlineStr">
        <is>
          <t>30.0</t>
        </is>
      </c>
      <c r="L3075" t="n">
        <v>64.98999999999999</v>
      </c>
      <c r="M3075" s="1" t="inlineStr">
        <is>
          <t>116.63%</t>
        </is>
      </c>
      <c r="N3075" s="3" t="n">
        <v>116.63</v>
      </c>
      <c r="O3075" t="n">
        <v>4.1</v>
      </c>
      <c r="P3075" t="n">
        <v>40</v>
      </c>
      <c r="R3075" t="inlineStr">
        <is>
          <t>InStock</t>
        </is>
      </c>
      <c r="S3075" t="inlineStr">
        <is>
          <t>59.95</t>
        </is>
      </c>
      <c r="T3075" t="inlineStr">
        <is>
          <t>M64059</t>
        </is>
      </c>
    </row>
    <row r="3076" ht="75" customHeight="1">
      <c r="A3076" s="2">
        <f>HYPERLINK("https://www.soccerplususa.com/nike/nike-tiempo-jersey-17463", "https://www.soccerplususa.com/nike/nike-tiempo-jersey-17463")</f>
        <v/>
      </c>
      <c r="B3076" t="inlineStr">
        <is>
          <t>undefined</t>
        </is>
      </c>
      <c r="C3076" t="inlineStr">
        <is>
          <t>Nike Tiempo Jersey</t>
        </is>
      </c>
      <c r="D3076" t="inlineStr">
        <is>
          <t>Nike Womens Tiempo Premier Soccer Jersey</t>
        </is>
      </c>
      <c r="E3076" s="2">
        <f>HYPERLINK("https://www.amazon.com/Nike-Womens-Sleeve-Tiempo-Premier/dp/B07VP5XTZN/ref=sr_1_3?keywords=Nike+Tiempo+Jersey&amp;qid=1695171197&amp;sr=8-3", "https://www.amazon.com/Nike-Womens-Sleeve-Tiempo-Premier/dp/B07VP5XTZN/ref=sr_1_3?keywords=Nike+Tiempo+Jersey&amp;qid=1695171197&amp;sr=8-3")</f>
        <v/>
      </c>
      <c r="F3076" t="inlineStr">
        <is>
          <t>B07VP5XTZN</t>
        </is>
      </c>
      <c r="G3076">
        <f>_xlfn.IMAGE("https://www.soccerplususa.com/prodimages/2421-DEFAULT-l.jpg")</f>
        <v/>
      </c>
      <c r="H3076">
        <f>_xlfn.IMAGE("https://m.media-amazon.com/images/I/61tZE1LZq-L._AC_UL320_.jpg")</f>
        <v/>
      </c>
      <c r="K3076" t="inlineStr">
        <is>
          <t>9.0</t>
        </is>
      </c>
      <c r="L3076" t="n">
        <v>19.1</v>
      </c>
      <c r="M3076" s="1" t="inlineStr">
        <is>
          <t>112.22%</t>
        </is>
      </c>
      <c r="N3076" s="3" t="n">
        <v>112.22</v>
      </c>
      <c r="O3076" t="n">
        <v>3.8</v>
      </c>
      <c r="P3076" t="n">
        <v>7</v>
      </c>
      <c r="R3076" t="inlineStr">
        <is>
          <t>InStock</t>
        </is>
      </c>
      <c r="S3076" t="inlineStr">
        <is>
          <t>17.95</t>
        </is>
      </c>
      <c r="T3076" t="inlineStr">
        <is>
          <t>269751-494</t>
        </is>
      </c>
    </row>
    <row r="3077" ht="75" customHeight="1">
      <c r="A3077" s="2">
        <f>HYPERLINK("https://www.soccerplususa.com/adidas/adidas-tiro-17-training-jacket-youth-4975", "https://www.soccerplususa.com/adidas/adidas-tiro-17-training-jacket-youth-4975")</f>
        <v/>
      </c>
      <c r="B3077" t="inlineStr">
        <is>
          <t>undefined</t>
        </is>
      </c>
      <c r="C3077" t="inlineStr">
        <is>
          <t>adidas Tiro 17 Training Jacket Youth</t>
        </is>
      </c>
      <c r="D3077" t="inlineStr">
        <is>
          <t>adidas Mens Tiro 17 Training Jacket</t>
        </is>
      </c>
      <c r="E3077" s="2">
        <f>HYPERLINK("https://www.amazon.com/Adidas-Soccer-Training-Blue-Dark-Grey-White/dp/B01N75YCQG/ref=sr_1_8?keywords=adidas+Tiro+17+Training+Jacket+Youth&amp;qid=1695171246&amp;sr=8-8", "https://www.amazon.com/Adidas-Soccer-Training-Blue-Dark-Grey-White/dp/B01N75YCQG/ref=sr_1_8?keywords=adidas+Tiro+17+Training+Jacket+Youth&amp;qid=1695171246&amp;sr=8-8")</f>
        <v/>
      </c>
      <c r="F3077" t="inlineStr">
        <is>
          <t>B01N75YCQG</t>
        </is>
      </c>
      <c r="G3077">
        <f>_xlfn.IMAGE("https://www.soccerplususa.com/prodimages/4537-DEFAULT-l.jpg")</f>
        <v/>
      </c>
      <c r="H3077">
        <f>_xlfn.IMAGE("https://m.media-amazon.com/images/I/81y7zeoBW2L._AC_UL320_.jpg")</f>
        <v/>
      </c>
      <c r="K3077" t="inlineStr">
        <is>
          <t>31.0</t>
        </is>
      </c>
      <c r="L3077" t="n">
        <v>64.98999999999999</v>
      </c>
      <c r="M3077" s="1" t="inlineStr">
        <is>
          <t>109.65%</t>
        </is>
      </c>
      <c r="N3077" s="3" t="n">
        <v>109.65</v>
      </c>
      <c r="O3077" t="n">
        <v>4.2</v>
      </c>
      <c r="P3077" t="n">
        <v>18</v>
      </c>
      <c r="R3077" t="inlineStr">
        <is>
          <t>InStock</t>
        </is>
      </c>
      <c r="S3077" t="inlineStr">
        <is>
          <t>59.95</t>
        </is>
      </c>
      <c r="T3077" t="inlineStr">
        <is>
          <t>BR2704</t>
        </is>
      </c>
    </row>
    <row r="3078" ht="75" customHeight="1">
      <c r="A3078" s="2">
        <f>HYPERLINK("https://www.soccerplususa.com/adidas/adidas-tiro-17-training-jacket-youth-4851", "https://www.soccerplususa.com/adidas/adidas-tiro-17-training-jacket-youth-4851")</f>
        <v/>
      </c>
      <c r="B3078" t="inlineStr">
        <is>
          <t>undefined</t>
        </is>
      </c>
      <c r="C3078" t="inlineStr">
        <is>
          <t>adidas Tiro 17 Training Jacket Youth</t>
        </is>
      </c>
      <c r="D3078" t="inlineStr">
        <is>
          <t>adidas Mens Tiro 17 Training Jacket</t>
        </is>
      </c>
      <c r="E3078" s="2">
        <f>HYPERLINK("https://www.amazon.com/Adidas-Soccer-Training-Blue-Dark-Grey-White/dp/B01N75YCQG/ref=sr_1_8?keywords=adidas+Tiro+17+Training+Jacket+Youth&amp;qid=1695171224&amp;sr=8-8", "https://www.amazon.com/Adidas-Soccer-Training-Blue-Dark-Grey-White/dp/B01N75YCQG/ref=sr_1_8?keywords=adidas+Tiro+17+Training+Jacket+Youth&amp;qid=1695171224&amp;sr=8-8")</f>
        <v/>
      </c>
      <c r="F3078" t="inlineStr">
        <is>
          <t>B01N75YCQG</t>
        </is>
      </c>
      <c r="G3078">
        <f>_xlfn.IMAGE("https://www.soccerplususa.com/prodimages/4535-DEFAULT-l.jpg")</f>
        <v/>
      </c>
      <c r="H3078">
        <f>_xlfn.IMAGE("https://m.media-amazon.com/images/I/81y7zeoBW2L._AC_UL320_.jpg")</f>
        <v/>
      </c>
      <c r="K3078" t="inlineStr">
        <is>
          <t>31.0</t>
        </is>
      </c>
      <c r="L3078" t="n">
        <v>64.98999999999999</v>
      </c>
      <c r="M3078" s="1" t="inlineStr">
        <is>
          <t>109.65%</t>
        </is>
      </c>
      <c r="N3078" s="3" t="n">
        <v>109.65</v>
      </c>
      <c r="O3078" t="n">
        <v>4.2</v>
      </c>
      <c r="P3078" t="n">
        <v>18</v>
      </c>
      <c r="R3078" t="inlineStr">
        <is>
          <t>InStock</t>
        </is>
      </c>
      <c r="S3078" t="inlineStr">
        <is>
          <t>59.95</t>
        </is>
      </c>
      <c r="T3078" t="inlineStr">
        <is>
          <t>BJ9296</t>
        </is>
      </c>
    </row>
    <row r="3079" ht="75" customHeight="1">
      <c r="A3079" s="2">
        <f>HYPERLINK("https://www.soccerplususa.com/adidas/adidas-tabela-11-jersey-youth-7242", "https://www.soccerplususa.com/adidas/adidas-tabela-11-jersey-youth-7242")</f>
        <v/>
      </c>
      <c r="B3079" t="inlineStr">
        <is>
          <t>undefined</t>
        </is>
      </c>
      <c r="C3079" t="inlineStr">
        <is>
          <t>adidas Tabela 11 Jersey Youth</t>
        </is>
      </c>
      <c r="D3079" t="inlineStr">
        <is>
          <t>adidas Big Boys' Youth Tabela 11 Jersey</t>
        </is>
      </c>
      <c r="E3079" s="2">
        <f>HYPERLINK("https://www.amazon.com/adidas-Youth-Tabela-Jersey-Silver/dp/B007K39HPY/ref=sr_1_1?keywords=adidas+Tabela+11+Jersey+Youth&amp;qid=1695171212&amp;sr=8-1", "https://www.amazon.com/adidas-Youth-Tabela-Jersey-Silver/dp/B007K39HPY/ref=sr_1_1?keywords=adidas+Tabela+11+Jersey+Youth&amp;qid=1695171212&amp;sr=8-1")</f>
        <v/>
      </c>
      <c r="F3079" t="inlineStr">
        <is>
          <t>B007K39HPY</t>
        </is>
      </c>
      <c r="G3079">
        <f>_xlfn.IMAGE("https://www.soccerplususa.com/prodimages/3213-DEFAULT-l.jpg")</f>
        <v/>
      </c>
      <c r="H3079">
        <f>_xlfn.IMAGE("https://m.media-amazon.com/images/I/81x-ZWOocBL._AC_UL320_.jpg")</f>
        <v/>
      </c>
      <c r="K3079" t="inlineStr">
        <is>
          <t>11.0</t>
        </is>
      </c>
      <c r="L3079" t="n">
        <v>22.99</v>
      </c>
      <c r="M3079" s="1" t="inlineStr">
        <is>
          <t>109.00%</t>
        </is>
      </c>
      <c r="N3079" s="3" t="n">
        <v>109</v>
      </c>
      <c r="O3079" t="n">
        <v>4.7</v>
      </c>
      <c r="P3079" t="n">
        <v>5</v>
      </c>
      <c r="R3079" t="inlineStr">
        <is>
          <t>InStock</t>
        </is>
      </c>
      <c r="S3079" t="inlineStr">
        <is>
          <t>22.95</t>
        </is>
      </c>
      <c r="T3079" t="inlineStr">
        <is>
          <t>O07577</t>
        </is>
      </c>
    </row>
    <row r="3080" ht="75" customHeight="1">
      <c r="A3080" s="2">
        <f>HYPERLINK("https://www.soccerplususa.com/adidas/adidas-tabela-11-jersey-youth-7245", "https://www.soccerplususa.com/adidas/adidas-tabela-11-jersey-youth-7245")</f>
        <v/>
      </c>
      <c r="B3080" t="inlineStr">
        <is>
          <t>undefined</t>
        </is>
      </c>
      <c r="C3080" t="inlineStr">
        <is>
          <t>adidas Tabela 11 Jersey Youth</t>
        </is>
      </c>
      <c r="D3080" t="inlineStr">
        <is>
          <t>adidas Big Boys' Youth Tabela 11 Jersey</t>
        </is>
      </c>
      <c r="E3080" s="2">
        <f>HYPERLINK("https://www.amazon.com/adidas-Youth-Tabela-Jersey-Silver/dp/B007K39HPY/ref=sr_1_1?keywords=adidas+Tabela+11+Jersey+Youth&amp;qid=1695171215&amp;sr=8-1", "https://www.amazon.com/adidas-Youth-Tabela-Jersey-Silver/dp/B007K39HPY/ref=sr_1_1?keywords=adidas+Tabela+11+Jersey+Youth&amp;qid=1695171215&amp;sr=8-1")</f>
        <v/>
      </c>
      <c r="F3080" t="inlineStr">
        <is>
          <t>B007K39HPY</t>
        </is>
      </c>
      <c r="G3080">
        <f>_xlfn.IMAGE("https://www.soccerplususa.com/prodimages/3215-DEFAULT-l.jpg")</f>
        <v/>
      </c>
      <c r="H3080">
        <f>_xlfn.IMAGE("https://m.media-amazon.com/images/I/81x-ZWOocBL._AC_UL320_.jpg")</f>
        <v/>
      </c>
      <c r="K3080" t="inlineStr">
        <is>
          <t>11.0</t>
        </is>
      </c>
      <c r="L3080" t="n">
        <v>22.99</v>
      </c>
      <c r="M3080" s="1" t="inlineStr">
        <is>
          <t>109.00%</t>
        </is>
      </c>
      <c r="N3080" s="3" t="n">
        <v>109</v>
      </c>
      <c r="O3080" t="n">
        <v>4.7</v>
      </c>
      <c r="P3080" t="n">
        <v>5</v>
      </c>
      <c r="R3080" t="inlineStr">
        <is>
          <t>InStock</t>
        </is>
      </c>
      <c r="S3080" t="inlineStr">
        <is>
          <t>22.95</t>
        </is>
      </c>
      <c r="T3080" t="inlineStr">
        <is>
          <t>O07579</t>
        </is>
      </c>
    </row>
    <row r="3081" ht="75" customHeight="1">
      <c r="A3081" s="2">
        <f>HYPERLINK("https://www.soccerplususa.com/adidas/adidas-tabela-11-jersey-youth-7248", "https://www.soccerplususa.com/adidas/adidas-tabela-11-jersey-youth-7248")</f>
        <v/>
      </c>
      <c r="B3081" t="inlineStr">
        <is>
          <t>undefined</t>
        </is>
      </c>
      <c r="C3081" t="inlineStr">
        <is>
          <t>adidas Tabela 11 Jersey Youth</t>
        </is>
      </c>
      <c r="D3081" t="inlineStr">
        <is>
          <t>adidas Big Boys' Youth Tabela 11 Jersey</t>
        </is>
      </c>
      <c r="E3081" s="2">
        <f>HYPERLINK("https://www.amazon.com/adidas-Youth-Tabela-Jersey-Silver/dp/B007K39HPY/ref=sr_1_1?keywords=adidas+Tabela+11+Jersey+Youth&amp;qid=1695171226&amp;sr=8-1", "https://www.amazon.com/adidas-Youth-Tabela-Jersey-Silver/dp/B007K39HPY/ref=sr_1_1?keywords=adidas+Tabela+11+Jersey+Youth&amp;qid=1695171226&amp;sr=8-1")</f>
        <v/>
      </c>
      <c r="F3081" t="inlineStr">
        <is>
          <t>B007K39HPY</t>
        </is>
      </c>
      <c r="G3081">
        <f>_xlfn.IMAGE("https://www.soccerplususa.com/prodimages/3216-DEFAULT-l.jpg")</f>
        <v/>
      </c>
      <c r="H3081">
        <f>_xlfn.IMAGE("https://m.media-amazon.com/images/I/81x-ZWOocBL._AC_UL320_.jpg")</f>
        <v/>
      </c>
      <c r="K3081" t="inlineStr">
        <is>
          <t>11.0</t>
        </is>
      </c>
      <c r="L3081" t="n">
        <v>22.99</v>
      </c>
      <c r="M3081" s="1" t="inlineStr">
        <is>
          <t>109.00%</t>
        </is>
      </c>
      <c r="N3081" s="3" t="n">
        <v>109</v>
      </c>
      <c r="O3081" t="n">
        <v>4.7</v>
      </c>
      <c r="P3081" t="n">
        <v>5</v>
      </c>
      <c r="R3081" t="inlineStr">
        <is>
          <t>InStock</t>
        </is>
      </c>
      <c r="S3081" t="inlineStr">
        <is>
          <t>22.95</t>
        </is>
      </c>
      <c r="T3081" t="inlineStr">
        <is>
          <t>O07581</t>
        </is>
      </c>
    </row>
    <row r="3082" ht="75" customHeight="1">
      <c r="A3082" s="2">
        <f>HYPERLINK("https://www.soccerplususa.com/adidas/adidas-squadra-17-jersey-youth-4844", "https://www.soccerplususa.com/adidas/adidas-squadra-17-jersey-youth-4844")</f>
        <v/>
      </c>
      <c r="B3082" t="inlineStr">
        <is>
          <t>undefined</t>
        </is>
      </c>
      <c r="C3082" t="inlineStr">
        <is>
          <t>adidas Squadra 17 Jersey Youth</t>
        </is>
      </c>
      <c r="D3082" t="inlineStr">
        <is>
          <t>adidas Squadra 21 Youth Goalkeeper Jersey Navy-Bold Blue YL</t>
        </is>
      </c>
      <c r="E3082" s="2">
        <f>HYPERLINK("https://www.amazon.com/adidas-Squadra-Goalkeeper-Jersey-Navy-Bold/dp/B089K81CSF/ref=sr_1_9?keywords=adidas+Squadra+17+Jersey+Youth&amp;qid=1695171227&amp;sr=8-9", "https://www.amazon.com/adidas-Squadra-Goalkeeper-Jersey-Navy-Bold/dp/B089K81CSF/ref=sr_1_9?keywords=adidas+Squadra+17+Jersey+Youth&amp;qid=1695171227&amp;sr=8-9")</f>
        <v/>
      </c>
      <c r="F3082" t="inlineStr">
        <is>
          <t>B089K81CSF</t>
        </is>
      </c>
      <c r="G3082">
        <f>_xlfn.IMAGE("https://www.soccerplususa.com/prodimages//37069-WHITE-M.jpg")</f>
        <v/>
      </c>
      <c r="H3082">
        <f>_xlfn.IMAGE("https://m.media-amazon.com/images/I/71lYKWGwI0L._AC_UL320_.jpg")</f>
        <v/>
      </c>
      <c r="K3082" t="inlineStr">
        <is>
          <t>22.49</t>
        </is>
      </c>
      <c r="L3082" t="n">
        <v>46.48</v>
      </c>
      <c r="M3082" s="1" t="inlineStr">
        <is>
          <t>106.67%</t>
        </is>
      </c>
      <c r="N3082" s="3" t="n">
        <v>106.67</v>
      </c>
      <c r="O3082" t="n">
        <v>4</v>
      </c>
      <c r="P3082" t="n">
        <v>1</v>
      </c>
      <c r="R3082" t="inlineStr">
        <is>
          <t>InStock</t>
        </is>
      </c>
      <c r="S3082" t="inlineStr">
        <is>
          <t>29.95</t>
        </is>
      </c>
      <c r="T3082" t="inlineStr">
        <is>
          <t>BJ9197</t>
        </is>
      </c>
    </row>
    <row r="3083" hidden="1" ht="15.75" customHeight="1">
      <c r="A3083" s="2">
        <f>HYPERLINK("https://www.soccerplususa.com/adidas/adidas-tiro-15-jersey-youth-7892", "https://www.soccerplususa.com/adidas/adidas-tiro-15-jersey-youth-7892")</f>
        <v/>
      </c>
      <c r="B3083" t="inlineStr">
        <is>
          <t>undefined</t>
        </is>
      </c>
      <c r="C3083" t="inlineStr">
        <is>
          <t>adidas Tiro 15 Jersey Youth</t>
        </is>
      </c>
      <c r="D3083" t="inlineStr">
        <is>
          <t>adidas Performance Youth Tiro 15 Three-Quarter Pant</t>
        </is>
      </c>
      <c r="E3083" s="2">
        <f>HYPERLINK("https://www.amazon.com/adidas-Performance-Youth-Three-Quarter-Medium/dp/B00LU8JOT4/ref=sr_1_1?keywords=adidas+Tiro+15+Jersey+Youth&amp;qid=1695171200&amp;sr=8-1", "https://www.amazon.com/adidas-Performance-Youth-Three-Quarter-Medium/dp/B00LU8JOT4/ref=sr_1_1?keywords=adidas+Tiro+15+Jersey+Youth&amp;qid=1695171200&amp;sr=8-1")</f>
        <v/>
      </c>
      <c r="F3083" t="inlineStr">
        <is>
          <t>B00LU8JOT4</t>
        </is>
      </c>
      <c r="G3083">
        <f>_xludf.IMAGE("https://www.soccerplususa.com/prodimages/5431-DEFAULT-l.jpg")</f>
        <v/>
      </c>
      <c r="H3083">
        <f>_xludf.IMAGE("https://m.media-amazon.com/images/I/81GyYh0GiZL._AC_UL320_.jpg")</f>
        <v/>
      </c>
      <c r="K3083" t="inlineStr">
        <is>
          <t>17.5</t>
        </is>
      </c>
      <c r="L3083" t="n">
        <v>35.75</v>
      </c>
      <c r="M3083" s="1" t="inlineStr">
        <is>
          <t>104.29%</t>
        </is>
      </c>
      <c r="N3083" s="3" t="n">
        <v>104.29</v>
      </c>
      <c r="O3083" t="n">
        <v>3.7</v>
      </c>
      <c r="P3083" t="n">
        <v>34</v>
      </c>
      <c r="R3083" t="inlineStr">
        <is>
          <t>InStock</t>
        </is>
      </c>
      <c r="S3083" t="inlineStr">
        <is>
          <t>34.95</t>
        </is>
      </c>
      <c r="T3083" t="inlineStr">
        <is>
          <t>S22375</t>
        </is>
      </c>
    </row>
    <row r="3084" ht="75" customHeight="1">
      <c r="A3084" s="2">
        <f>HYPERLINK("https://www.soccerplususa.com/adidas/adidas-regista-14-jersey-youth-6072", "https://www.soccerplususa.com/adidas/adidas-regista-14-jersey-youth-6072")</f>
        <v/>
      </c>
      <c r="B3084" t="inlineStr">
        <is>
          <t>undefined</t>
        </is>
      </c>
      <c r="C3084" t="inlineStr">
        <is>
          <t>adidas Regista 14 Jersey Youth</t>
        </is>
      </c>
      <c r="D3084" t="inlineStr">
        <is>
          <t>adidas Big Boys Climacool Regista 14 Soccer Jersey</t>
        </is>
      </c>
      <c r="E3084" s="2">
        <f>HYPERLINK("https://www.amazon.com/Adidas-Climacool-Regista-Soccer-Jersey/dp/B00I0BFX6M/ref=sr_1_3?keywords=adidas+Regista+14+Jersey+Youth&amp;qid=1695171215&amp;sr=8-3", "https://www.amazon.com/Adidas-Climacool-Regista-Soccer-Jersey/dp/B00I0BFX6M/ref=sr_1_3?keywords=adidas+Regista+14+Jersey+Youth&amp;qid=1695171215&amp;sr=8-3")</f>
        <v/>
      </c>
      <c r="F3084" t="inlineStr">
        <is>
          <t>B00I0BFX6M</t>
        </is>
      </c>
      <c r="G3084">
        <f>_xlfn.IMAGE("https://www.soccerplususa.com/prodimages/31720-DEFAULT-l.jpg")</f>
        <v/>
      </c>
      <c r="H3084">
        <f>_xlfn.IMAGE("https://m.media-amazon.com/images/I/61n8tfK52kL._AC_UL320_.jpg")</f>
        <v/>
      </c>
      <c r="K3084" t="inlineStr">
        <is>
          <t>20.0</t>
        </is>
      </c>
      <c r="L3084" t="n">
        <v>40</v>
      </c>
      <c r="M3084" s="1" t="inlineStr">
        <is>
          <t>100.00%</t>
        </is>
      </c>
      <c r="N3084" s="3" t="n">
        <v>100</v>
      </c>
      <c r="O3084" t="n">
        <v>4</v>
      </c>
      <c r="P3084" t="n">
        <v>1</v>
      </c>
      <c r="R3084" t="inlineStr">
        <is>
          <t>InStock</t>
        </is>
      </c>
      <c r="S3084" t="inlineStr">
        <is>
          <t>39.95</t>
        </is>
      </c>
      <c r="T3084" t="inlineStr">
        <is>
          <t>F50034</t>
        </is>
      </c>
    </row>
    <row r="3085" ht="75" customHeight="1">
      <c r="A3085" s="2">
        <f>HYPERLINK("https://www.soccerplususa.com/adidas/adidas-regista-14-jersey-youth-6677", "https://www.soccerplususa.com/adidas/adidas-regista-14-jersey-youth-6677")</f>
        <v/>
      </c>
      <c r="B3085" t="inlineStr">
        <is>
          <t>undefined</t>
        </is>
      </c>
      <c r="C3085" t="inlineStr">
        <is>
          <t>adidas Regista 14 Jersey Youth</t>
        </is>
      </c>
      <c r="D3085" t="inlineStr">
        <is>
          <t>adidas Big Boys Climacool Regista 14 Soccer Jersey</t>
        </is>
      </c>
      <c r="E3085" s="2">
        <f>HYPERLINK("https://www.amazon.com/Adidas-Climacool-Regista-Soccer-Jersey/dp/B00I0BFX6M/ref=sr_1_3?keywords=adidas+Regista+14+Jersey+Youth&amp;qid=1695171214&amp;sr=8-3", "https://www.amazon.com/Adidas-Climacool-Regista-Soccer-Jersey/dp/B00I0BFX6M/ref=sr_1_3?keywords=adidas+Regista+14+Jersey+Youth&amp;qid=1695171214&amp;sr=8-3")</f>
        <v/>
      </c>
      <c r="F3085" t="inlineStr">
        <is>
          <t>B00I0BFX6M</t>
        </is>
      </c>
      <c r="G3085">
        <f>_xlfn.IMAGE("https://www.soccerplususa.com/prodimages/32791-DEFAULT-l.jpg")</f>
        <v/>
      </c>
      <c r="H3085">
        <f>_xlfn.IMAGE("https://m.media-amazon.com/images/I/61n8tfK52kL._AC_UL320_.jpg")</f>
        <v/>
      </c>
      <c r="K3085" t="inlineStr">
        <is>
          <t>20.0</t>
        </is>
      </c>
      <c r="L3085" t="n">
        <v>40</v>
      </c>
      <c r="M3085" s="1" t="inlineStr">
        <is>
          <t>100.00%</t>
        </is>
      </c>
      <c r="N3085" s="3" t="n">
        <v>100</v>
      </c>
      <c r="O3085" t="n">
        <v>4</v>
      </c>
      <c r="P3085" t="n">
        <v>1</v>
      </c>
      <c r="R3085" t="inlineStr">
        <is>
          <t>InStock</t>
        </is>
      </c>
      <c r="S3085" t="inlineStr">
        <is>
          <t>39.95</t>
        </is>
      </c>
      <c r="T3085" t="inlineStr">
        <is>
          <t>G70837</t>
        </is>
      </c>
    </row>
    <row r="3086" ht="75" customHeight="1">
      <c r="A3086" s="2">
        <f>HYPERLINK("https://www.soccerplususa.com/adidas/adidas-regista-14-jersey-youth-6073", "https://www.soccerplususa.com/adidas/adidas-regista-14-jersey-youth-6073")</f>
        <v/>
      </c>
      <c r="B3086" t="inlineStr">
        <is>
          <t>undefined</t>
        </is>
      </c>
      <c r="C3086" t="inlineStr">
        <is>
          <t>adidas Regista 14 Jersey Youth</t>
        </is>
      </c>
      <c r="D3086" t="inlineStr">
        <is>
          <t>adidas Big Boys Climacool Regista 14 Soccer Jersey</t>
        </is>
      </c>
      <c r="E3086" s="2">
        <f>HYPERLINK("https://www.amazon.com/Adidas-Climacool-Regista-Soccer-Jersey/dp/B00I0BFX6M/ref=sr_1_3?keywords=adidas+Regista+14+Jersey+Youth&amp;qid=1695171211&amp;sr=8-3", "https://www.amazon.com/Adidas-Climacool-Regista-Soccer-Jersey/dp/B00I0BFX6M/ref=sr_1_3?keywords=adidas+Regista+14+Jersey+Youth&amp;qid=1695171211&amp;sr=8-3")</f>
        <v/>
      </c>
      <c r="F3086" t="inlineStr">
        <is>
          <t>B00I0BFX6M</t>
        </is>
      </c>
      <c r="G3086">
        <f>_xlfn.IMAGE("https://www.soccerplususa.com/prodimages/32794-DEFAULT-l.jpg")</f>
        <v/>
      </c>
      <c r="H3086">
        <f>_xlfn.IMAGE("https://m.media-amazon.com/images/I/61n8tfK52kL._AC_UL320_.jpg")</f>
        <v/>
      </c>
      <c r="K3086" t="inlineStr">
        <is>
          <t>20.0</t>
        </is>
      </c>
      <c r="L3086" t="n">
        <v>40</v>
      </c>
      <c r="M3086" s="1" t="inlineStr">
        <is>
          <t>100.00%</t>
        </is>
      </c>
      <c r="N3086" s="3" t="n">
        <v>100</v>
      </c>
      <c r="O3086" t="n">
        <v>4</v>
      </c>
      <c r="P3086" t="n">
        <v>1</v>
      </c>
      <c r="R3086" t="inlineStr">
        <is>
          <t>InStock</t>
        </is>
      </c>
      <c r="S3086" t="inlineStr">
        <is>
          <t>39.95</t>
        </is>
      </c>
      <c r="T3086" t="inlineStr">
        <is>
          <t>F50035</t>
        </is>
      </c>
    </row>
    <row r="3087" ht="75" customHeight="1">
      <c r="A3087" s="2">
        <f>HYPERLINK("https://www.soccerplususa.com/adidas/adidas-tiro-17-training-top-youth-4923", "https://www.soccerplususa.com/adidas/adidas-tiro-17-training-top-youth-4923")</f>
        <v/>
      </c>
      <c r="B3087" t="inlineStr">
        <is>
          <t>undefined</t>
        </is>
      </c>
      <c r="C3087" t="inlineStr">
        <is>
          <t>adidas Tiro 17 Training Top Youth</t>
        </is>
      </c>
      <c r="D3087" t="inlineStr">
        <is>
          <t>adidas Youth Soccer Tiro 17 Warm Up Top (Large) Black</t>
        </is>
      </c>
      <c r="E3087" s="2">
        <f>HYPERLINK("https://www.amazon.com/Adidas-Youth-Tiro-Soccer-Grey-Black-White/dp/B01N65Y3UR/ref=sr_1_1?keywords=adidas+Tiro+17+Training+Top+Youth&amp;qid=1695171246&amp;sr=8-1", "https://www.amazon.com/Adidas-Youth-Tiro-Soccer-Grey-Black-White/dp/B01N65Y3UR/ref=sr_1_1?keywords=adidas+Tiro+17+Training+Top+Youth&amp;qid=1695171246&amp;sr=8-1")</f>
        <v/>
      </c>
      <c r="F3087" t="inlineStr">
        <is>
          <t>B01N65Y3UR</t>
        </is>
      </c>
      <c r="G3087">
        <f>_xlfn.IMAGE("https://www.soccerplususa.com/prodimages/6930-DEFAULT-l.jpg")</f>
        <v/>
      </c>
      <c r="H3087">
        <f>_xlfn.IMAGE("https://m.media-amazon.com/images/I/715VzyN2KwL._AC_UL320_.jpg")</f>
        <v/>
      </c>
      <c r="K3087" t="inlineStr">
        <is>
          <t>25.0</t>
        </is>
      </c>
      <c r="L3087" t="n">
        <v>49.99</v>
      </c>
      <c r="M3087" s="1" t="inlineStr">
        <is>
          <t>99.96%</t>
        </is>
      </c>
      <c r="N3087" s="3" t="n">
        <v>99.95999999999999</v>
      </c>
      <c r="O3087" t="n">
        <v>5</v>
      </c>
      <c r="P3087" t="n">
        <v>1</v>
      </c>
      <c r="R3087" t="inlineStr">
        <is>
          <t>InStock</t>
        </is>
      </c>
      <c r="S3087" t="inlineStr">
        <is>
          <t>54.95</t>
        </is>
      </c>
      <c r="T3087" t="inlineStr">
        <is>
          <t>BQ2763</t>
        </is>
      </c>
    </row>
    <row r="3088" ht="75" customHeight="1">
      <c r="A3088" s="2">
        <f>HYPERLINK("https://www.soccerplususa.com/nike/nike-challenge-jersey-youth-34517", "https://www.soccerplususa.com/nike/nike-challenge-jersey-youth-34517")</f>
        <v/>
      </c>
      <c r="B3088" t="inlineStr">
        <is>
          <t>undefined</t>
        </is>
      </c>
      <c r="C3088" t="inlineStr">
        <is>
          <t>Nike Challenge Jersey Youth</t>
        </is>
      </c>
      <c r="D3088" t="inlineStr">
        <is>
          <t>Nike Challenge Youth Soccer Training Jersey</t>
        </is>
      </c>
      <c r="E3088" s="2">
        <f>HYPERLINK("https://www.amazon.com/Challenge-Short-Sleeve-Jersey-BLACK-FOOTBALL/dp/B00SLRI14Q/ref=sr_1_1?keywords=Nike+Challenge+Jersey+Youth&amp;qid=1695171163&amp;sr=8-1", "https://www.amazon.com/Challenge-Short-Sleeve-Jersey-BLACK-FOOTBALL/dp/B00SLRI14Q/ref=sr_1_1?keywords=Nike+Challenge+Jersey+Youth&amp;qid=1695171163&amp;sr=8-1")</f>
        <v/>
      </c>
      <c r="F3088" t="inlineStr">
        <is>
          <t>B00SLRI14Q</t>
        </is>
      </c>
      <c r="G3088">
        <f>_xlfn.IMAGE("https://www.soccerplususa.com/prodimages/7623-DEFAULT-l.jpg")</f>
        <v/>
      </c>
      <c r="H3088">
        <f>_xlfn.IMAGE("https://m.media-amazon.com/images/I/51kFfarZ0HL._AC_UL320_.jpg")</f>
        <v/>
      </c>
      <c r="K3088" t="inlineStr">
        <is>
          <t>15.0</t>
        </is>
      </c>
      <c r="L3088" t="n">
        <v>29.99</v>
      </c>
      <c r="M3088" s="1" t="inlineStr">
        <is>
          <t>99.93%</t>
        </is>
      </c>
      <c r="N3088" s="3" t="n">
        <v>99.93000000000001</v>
      </c>
      <c r="O3088" t="n">
        <v>5</v>
      </c>
      <c r="P3088" t="n">
        <v>3</v>
      </c>
      <c r="R3088" t="inlineStr">
        <is>
          <t>InStock</t>
        </is>
      </c>
      <c r="S3088" t="inlineStr">
        <is>
          <t>29.95</t>
        </is>
      </c>
      <c r="T3088" t="inlineStr">
        <is>
          <t>645921-156</t>
        </is>
      </c>
    </row>
    <row r="3089" ht="75" customHeight="1">
      <c r="A3089" s="2">
        <f>HYPERLINK("https://www.soccerplususa.com/nike/nike-challenge-jersey-youth-22840", "https://www.soccerplususa.com/nike/nike-challenge-jersey-youth-22840")</f>
        <v/>
      </c>
      <c r="B3089" t="inlineStr">
        <is>
          <t>undefined</t>
        </is>
      </c>
      <c r="C3089" t="inlineStr">
        <is>
          <t>Nike Challenge Jersey Youth</t>
        </is>
      </c>
      <c r="D3089" t="inlineStr">
        <is>
          <t>Nike Challenge Youth Soccer Training Jersey</t>
        </is>
      </c>
      <c r="E3089" s="2">
        <f>HYPERLINK("https://www.amazon.com/Challenge-Short-Sleeve-Jersey-BLACK-FOOTBALL/dp/B00SLRI14Q/ref=sr_1_2?keywords=Nike+Challenge+Jersey+Youth&amp;qid=1695171191&amp;sr=8-2", "https://www.amazon.com/Challenge-Short-Sleeve-Jersey-BLACK-FOOTBALL/dp/B00SLRI14Q/ref=sr_1_2?keywords=Nike+Challenge+Jersey+Youth&amp;qid=1695171191&amp;sr=8-2")</f>
        <v/>
      </c>
      <c r="F3089" t="inlineStr">
        <is>
          <t>B00SLRI14Q</t>
        </is>
      </c>
      <c r="G3089">
        <f>_xlfn.IMAGE("https://www.soccerplususa.com/prodimages/7622-DEFAULT-l.jpg")</f>
        <v/>
      </c>
      <c r="H3089">
        <f>_xlfn.IMAGE("https://m.media-amazon.com/images/I/51kFfarZ0HL._AC_UL320_.jpg")</f>
        <v/>
      </c>
      <c r="K3089" t="inlineStr">
        <is>
          <t>15.0</t>
        </is>
      </c>
      <c r="L3089" t="n">
        <v>29.99</v>
      </c>
      <c r="M3089" s="1" t="inlineStr">
        <is>
          <t>99.93%</t>
        </is>
      </c>
      <c r="N3089" s="3" t="n">
        <v>99.93000000000001</v>
      </c>
      <c r="O3089" t="n">
        <v>5</v>
      </c>
      <c r="P3089" t="n">
        <v>3</v>
      </c>
      <c r="R3089" t="inlineStr">
        <is>
          <t>InStock</t>
        </is>
      </c>
      <c r="S3089" t="inlineStr">
        <is>
          <t>29.95</t>
        </is>
      </c>
      <c r="T3089" t="inlineStr">
        <is>
          <t>645921-010</t>
        </is>
      </c>
    </row>
    <row r="3090" ht="75" customHeight="1">
      <c r="A3090" s="2">
        <f>HYPERLINK("https://www.soccerplususa.com/nike/nike-striker-iii-jersey-youth-21295", "https://www.soccerplususa.com/nike/nike-striker-iii-jersey-youth-21295")</f>
        <v/>
      </c>
      <c r="B3090" t="inlineStr">
        <is>
          <t>undefined</t>
        </is>
      </c>
      <c r="C3090" t="inlineStr">
        <is>
          <t>Nike Striker III Jersey Youth</t>
        </is>
      </c>
      <c r="D3090" t="inlineStr">
        <is>
          <t>Nike Short-Sleeve Striker III Us Jersey [White/White/Black]</t>
        </is>
      </c>
      <c r="E3090" s="2">
        <f>HYPERLINK("https://www.amazon.com/Short-Sleeve-Striker-Jersey-WHITE-BLACK/dp/B00AX6IGZ2/ref=sr_1_3?keywords=Nike+Striker+III+Jersey+Youth&amp;qid=1695171190&amp;sr=8-3", "https://www.amazon.com/Short-Sleeve-Striker-Jersey-WHITE-BLACK/dp/B00AX6IGZ2/ref=sr_1_3?keywords=Nike+Striker+III+Jersey+Youth&amp;qid=1695171190&amp;sr=8-3")</f>
        <v/>
      </c>
      <c r="F3090" t="inlineStr">
        <is>
          <t>B00AX6IGZ2</t>
        </is>
      </c>
      <c r="G3090">
        <f>_xlfn.IMAGE("https://www.soccerplususa.com/prodimages/7626-DEFAULT-l.jpg")</f>
        <v/>
      </c>
      <c r="H3090">
        <f>_xlfn.IMAGE("https://m.media-amazon.com/images/I/31BgPqXbPbL._AC_UL320_.jpg")</f>
        <v/>
      </c>
      <c r="K3090" t="inlineStr">
        <is>
          <t>12.5</t>
        </is>
      </c>
      <c r="L3090" t="n">
        <v>24.99</v>
      </c>
      <c r="M3090" s="1" t="inlineStr">
        <is>
          <t>99.92%</t>
        </is>
      </c>
      <c r="N3090" s="3" t="n">
        <v>99.92</v>
      </c>
      <c r="O3090" t="n">
        <v>5</v>
      </c>
      <c r="P3090" t="n">
        <v>1</v>
      </c>
      <c r="R3090" t="inlineStr">
        <is>
          <t>InStock</t>
        </is>
      </c>
      <c r="S3090" t="inlineStr">
        <is>
          <t>24.95</t>
        </is>
      </c>
      <c r="T3090" t="inlineStr">
        <is>
          <t>520590-493</t>
        </is>
      </c>
    </row>
    <row r="3091" ht="75" customHeight="1">
      <c r="A3091" s="2">
        <f>HYPERLINK("https://www.soccerplususa.com/adidas/adidas-tabella-11-jersey-youth-7247", "https://www.soccerplususa.com/adidas/adidas-tabella-11-jersey-youth-7247")</f>
        <v/>
      </c>
      <c r="B3091" t="inlineStr">
        <is>
          <t>undefined</t>
        </is>
      </c>
      <c r="C3091" t="inlineStr">
        <is>
          <t>adidas Tabella 11 Jersey Youth</t>
        </is>
      </c>
      <c r="D3091" t="inlineStr">
        <is>
          <t>adidas Big Boys' Youth Tabela 11 Jersey</t>
        </is>
      </c>
      <c r="E3091" s="2">
        <f>HYPERLINK("https://www.amazon.com/adidas-Youth-Tabela-Jersey-Silver/dp/B007K39HPY/ref=sr_1_1?keywords=adidas+tabela+11+jersey+youth&amp;qid=1695171214&amp;sr=8-1", "https://www.amazon.com/adidas-Youth-Tabela-Jersey-Silver/dp/B007K39HPY/ref=sr_1_1?keywords=adidas+tabela+11+jersey+youth&amp;qid=1695171214&amp;sr=8-1")</f>
        <v/>
      </c>
      <c r="F3091" t="inlineStr">
        <is>
          <t>B007K39HPY</t>
        </is>
      </c>
      <c r="G3091">
        <f>_xlfn.IMAGE("https://www.soccerplususa.com/prodimages/32498-DEFAULT-l.jpg")</f>
        <v/>
      </c>
      <c r="H3091">
        <f>_xlfn.IMAGE("https://m.media-amazon.com/images/I/81x-ZWOocBL._AC_UL320_.jpg")</f>
        <v/>
      </c>
      <c r="K3091" t="inlineStr">
        <is>
          <t>11.5</t>
        </is>
      </c>
      <c r="L3091" t="n">
        <v>22.99</v>
      </c>
      <c r="M3091" s="1" t="inlineStr">
        <is>
          <t>99.91%</t>
        </is>
      </c>
      <c r="N3091" s="3" t="n">
        <v>99.91</v>
      </c>
      <c r="O3091" t="n">
        <v>4.7</v>
      </c>
      <c r="P3091" t="n">
        <v>5</v>
      </c>
      <c r="R3091" t="inlineStr">
        <is>
          <t>InStock</t>
        </is>
      </c>
      <c r="S3091" t="inlineStr">
        <is>
          <t>22.95</t>
        </is>
      </c>
      <c r="T3091" t="inlineStr">
        <is>
          <t>O07580</t>
        </is>
      </c>
    </row>
    <row r="3092" ht="75" customHeight="1">
      <c r="A3092" s="2">
        <f>HYPERLINK("https://www.soccerplususa.com/adidas/adidas-regista-16-jersey-youth-4152", "https://www.soccerplususa.com/adidas/adidas-regista-16-jersey-youth-4152")</f>
        <v/>
      </c>
      <c r="B3092" t="inlineStr">
        <is>
          <t>undefined</t>
        </is>
      </c>
      <c r="C3092" t="inlineStr">
        <is>
          <t>adidas Regista 16 Jersey Youth</t>
        </is>
      </c>
      <c r="D3092" t="inlineStr">
        <is>
          <t>adidas Womens Regista 16 Jersey (Royal Blue/White, L)</t>
        </is>
      </c>
      <c r="E3092" s="2">
        <f>HYPERLINK("https://www.amazon.com/Adidas-Regista-Womens-Soccer-Blue-White/dp/B01866BWCY/ref=sr_1_4?keywords=adidas+Regista+16+Jersey+Youth&amp;qid=1695171229&amp;sr=8-4", "https://www.amazon.com/Adidas-Regista-Womens-Soccer-Blue-White/dp/B01866BWCY/ref=sr_1_4?keywords=adidas+Regista+16+Jersey+Youth&amp;qid=1695171229&amp;sr=8-4")</f>
        <v/>
      </c>
      <c r="F3092" t="inlineStr">
        <is>
          <t>B01866BWCY</t>
        </is>
      </c>
      <c r="G3092">
        <f>_xlfn.IMAGE("https://www.soccerplususa.com/prodimages/7617-DEFAULT-l.jpg")</f>
        <v/>
      </c>
      <c r="H3092">
        <f>_xlfn.IMAGE("https://m.media-amazon.com/images/I/816eD-1k6ZL._AC_UL320_.jpg")</f>
        <v/>
      </c>
      <c r="K3092" t="inlineStr">
        <is>
          <t>15.0</t>
        </is>
      </c>
      <c r="L3092" t="n">
        <v>29.87</v>
      </c>
      <c r="M3092" s="1" t="inlineStr">
        <is>
          <t>99.13%</t>
        </is>
      </c>
      <c r="N3092" s="3" t="n">
        <v>99.13</v>
      </c>
      <c r="O3092" t="n">
        <v>5</v>
      </c>
      <c r="P3092" t="n">
        <v>1</v>
      </c>
      <c r="R3092" t="inlineStr">
        <is>
          <t>InStock</t>
        </is>
      </c>
      <c r="S3092" t="inlineStr">
        <is>
          <t>29.95</t>
        </is>
      </c>
      <c r="T3092" t="inlineStr">
        <is>
          <t>AP0543</t>
        </is>
      </c>
    </row>
    <row r="3093" ht="75" customHeight="1">
      <c r="A3093" s="2">
        <f>HYPERLINK("https://www.soccerplususa.com/adidas/adidas-regista-16-jersey-youth-4195", "https://www.soccerplususa.com/adidas/adidas-regista-16-jersey-youth-4195")</f>
        <v/>
      </c>
      <c r="B3093" t="inlineStr">
        <is>
          <t>undefined</t>
        </is>
      </c>
      <c r="C3093" t="inlineStr">
        <is>
          <t>adidas Regista 16 Jersey Youth</t>
        </is>
      </c>
      <c r="D3093" t="inlineStr">
        <is>
          <t>adidas Womens Regista 16 Jersey (Royal Blue/White, L)</t>
        </is>
      </c>
      <c r="E3093" s="2">
        <f>HYPERLINK("https://www.amazon.com/Adidas-Regista-Womens-Soccer-Blue-White/dp/B01866BWCY/ref=sr_1_4?keywords=adidas+Regista+16+Jersey+Youth&amp;qid=1695171236&amp;sr=8-4", "https://www.amazon.com/Adidas-Regista-Womens-Soccer-Blue-White/dp/B01866BWCY/ref=sr_1_4?keywords=adidas+Regista+16+Jersey+Youth&amp;qid=1695171236&amp;sr=8-4")</f>
        <v/>
      </c>
      <c r="F3093" t="inlineStr">
        <is>
          <t>B01866BWCY</t>
        </is>
      </c>
      <c r="G3093">
        <f>_xlfn.IMAGE("https://www.soccerplususa.com/prodimages/9533-DEFAULT-l.jpg")</f>
        <v/>
      </c>
      <c r="H3093">
        <f>_xlfn.IMAGE("https://m.media-amazon.com/images/I/816eD-1k6ZL._AC_UL320_.jpg")</f>
        <v/>
      </c>
      <c r="K3093" t="inlineStr">
        <is>
          <t>15.0</t>
        </is>
      </c>
      <c r="L3093" t="n">
        <v>29.87</v>
      </c>
      <c r="M3093" s="1" t="inlineStr">
        <is>
          <t>99.13%</t>
        </is>
      </c>
      <c r="N3093" s="3" t="n">
        <v>99.13</v>
      </c>
      <c r="O3093" t="n">
        <v>5</v>
      </c>
      <c r="P3093" t="n">
        <v>1</v>
      </c>
      <c r="R3093" t="inlineStr">
        <is>
          <t>InStock</t>
        </is>
      </c>
      <c r="S3093" t="inlineStr">
        <is>
          <t>30.0</t>
        </is>
      </c>
      <c r="T3093" t="inlineStr">
        <is>
          <t>AP1863</t>
        </is>
      </c>
    </row>
    <row r="3094" ht="75" customHeight="1">
      <c r="A3094" s="2">
        <f>HYPERLINK("https://www.soccerplususa.com/adidas/adidas-tabela-14-jersey-6078", "https://www.soccerplususa.com/adidas/adidas-tabela-14-jersey-6078")</f>
        <v/>
      </c>
      <c r="B3094" t="inlineStr">
        <is>
          <t>undefined</t>
        </is>
      </c>
      <c r="C3094" t="inlineStr">
        <is>
          <t>adidas Tabela 14 Jersey</t>
        </is>
      </c>
      <c r="D3094" t="inlineStr">
        <is>
          <t>adidas Performance Boys Youth Tabela 14 Short Sleeve Jersey</t>
        </is>
      </c>
      <c r="E3094" s="2">
        <f>HYPERLINK("https://www.amazon.com/adidas-Performance-Tabela-Jersey-X-Large/dp/B00J2GYF1I/ref=sr_1_3?keywords=adidas+Tabela+14+Jersey&amp;qid=1695171215&amp;sr=8-3", "https://www.amazon.com/adidas-Performance-Tabela-Jersey-X-Large/dp/B00J2GYF1I/ref=sr_1_3?keywords=adidas+Tabela+14+Jersey&amp;qid=1695171215&amp;sr=8-3")</f>
        <v/>
      </c>
      <c r="F3094" t="inlineStr">
        <is>
          <t>B00J2GYF1I</t>
        </is>
      </c>
      <c r="G3094">
        <f>_xlfn.IMAGE("https://www.soccerplususa.com/prodimages/4489-DEFAULT-l.jpg")</f>
        <v/>
      </c>
      <c r="H3094">
        <f>_xlfn.IMAGE("https://m.media-amazon.com/images/I/91YNKoolA4L._AC_UL320_.jpg")</f>
        <v/>
      </c>
      <c r="K3094" t="inlineStr">
        <is>
          <t>17.5</t>
        </is>
      </c>
      <c r="L3094" t="n">
        <v>34</v>
      </c>
      <c r="M3094" s="1" t="inlineStr">
        <is>
          <t>94.29%</t>
        </is>
      </c>
      <c r="N3094" s="3" t="n">
        <v>94.29000000000001</v>
      </c>
      <c r="O3094" t="n">
        <v>4.5</v>
      </c>
      <c r="P3094" t="n">
        <v>22</v>
      </c>
      <c r="R3094" t="inlineStr">
        <is>
          <t>InStock</t>
        </is>
      </c>
      <c r="S3094" t="inlineStr">
        <is>
          <t>34.95</t>
        </is>
      </c>
      <c r="T3094" t="inlineStr">
        <is>
          <t>F50269</t>
        </is>
      </c>
    </row>
    <row r="3095" ht="75" customHeight="1">
      <c r="A3095" s="2">
        <f>HYPERLINK("https://www.soccerplususa.com/adidas/adidas-tabela-14-jersey-6152", "https://www.soccerplususa.com/adidas/adidas-tabela-14-jersey-6152")</f>
        <v/>
      </c>
      <c r="B3095" t="inlineStr">
        <is>
          <t>undefined</t>
        </is>
      </c>
      <c r="C3095" t="inlineStr">
        <is>
          <t>adidas Tabela 14 Jersey</t>
        </is>
      </c>
      <c r="D3095" t="inlineStr">
        <is>
          <t>adidas Performance Boys Youth Tabela 14 Short Sleeve Jersey</t>
        </is>
      </c>
      <c r="E3095" s="2">
        <f>HYPERLINK("https://www.amazon.com/adidas-Performance-Tabela-Jersey-X-Large/dp/B00J2GYF1I/ref=sr_1_3?keywords=adidas+Tabela+14+Jersey&amp;qid=1695171217&amp;sr=8-3", "https://www.amazon.com/adidas-Performance-Tabela-Jersey-X-Large/dp/B00J2GYF1I/ref=sr_1_3?keywords=adidas+Tabela+14+Jersey&amp;qid=1695171217&amp;sr=8-3")</f>
        <v/>
      </c>
      <c r="F3095" t="inlineStr">
        <is>
          <t>B00J2GYF1I</t>
        </is>
      </c>
      <c r="G3095">
        <f>_xlfn.IMAGE("https://www.soccerplususa.com/prodimages/4589-DEFAULT-l.jpg")</f>
        <v/>
      </c>
      <c r="H3095">
        <f>_xlfn.IMAGE("https://m.media-amazon.com/images/I/91YNKoolA4L._AC_UL320_.jpg")</f>
        <v/>
      </c>
      <c r="K3095" t="inlineStr">
        <is>
          <t>17.5</t>
        </is>
      </c>
      <c r="L3095" t="n">
        <v>34</v>
      </c>
      <c r="M3095" s="1" t="inlineStr">
        <is>
          <t>94.29%</t>
        </is>
      </c>
      <c r="N3095" s="3" t="n">
        <v>94.29000000000001</v>
      </c>
      <c r="O3095" t="n">
        <v>4.5</v>
      </c>
      <c r="P3095" t="n">
        <v>22</v>
      </c>
      <c r="R3095" t="inlineStr">
        <is>
          <t>InStock</t>
        </is>
      </c>
      <c r="S3095" t="inlineStr">
        <is>
          <t>34.95</t>
        </is>
      </c>
      <c r="T3095" t="inlineStr">
        <is>
          <t>F84836</t>
        </is>
      </c>
    </row>
    <row r="3096" ht="75" customHeight="1">
      <c r="A3096" s="2">
        <f>HYPERLINK("https://www.soccerplususa.com/adidas/adidas-tabela-14-jersey-6151", "https://www.soccerplususa.com/adidas/adidas-tabela-14-jersey-6151")</f>
        <v/>
      </c>
      <c r="B3096" t="inlineStr">
        <is>
          <t>undefined</t>
        </is>
      </c>
      <c r="C3096" t="inlineStr">
        <is>
          <t>adidas Tabela 14 Jersey</t>
        </is>
      </c>
      <c r="D3096" t="inlineStr">
        <is>
          <t>adidas Performance Boys Youth Tabela 14 Short Sleeve Jersey</t>
        </is>
      </c>
      <c r="E3096" s="2">
        <f>HYPERLINK("https://www.amazon.com/adidas-Performance-Tabela-Jersey-X-Large/dp/B00J2GYF1I/ref=sr_1_3?keywords=adidas+Tabela+14+Jersey&amp;qid=1695171220&amp;sr=8-3", "https://www.amazon.com/adidas-Performance-Tabela-Jersey-X-Large/dp/B00J2GYF1I/ref=sr_1_3?keywords=adidas+Tabela+14+Jersey&amp;qid=1695171220&amp;sr=8-3")</f>
        <v/>
      </c>
      <c r="F3096" t="inlineStr">
        <is>
          <t>B00J2GYF1I</t>
        </is>
      </c>
      <c r="G3096">
        <f>_xlfn.IMAGE("https://www.soccerplususa.com/prodimages/4588-DEFAULT-l.jpg")</f>
        <v/>
      </c>
      <c r="H3096">
        <f>_xlfn.IMAGE("https://m.media-amazon.com/images/I/91YNKoolA4L._AC_UL320_.jpg")</f>
        <v/>
      </c>
      <c r="K3096" t="inlineStr">
        <is>
          <t>17.5</t>
        </is>
      </c>
      <c r="L3096" t="n">
        <v>34</v>
      </c>
      <c r="M3096" s="1" t="inlineStr">
        <is>
          <t>94.29%</t>
        </is>
      </c>
      <c r="N3096" s="3" t="n">
        <v>94.29000000000001</v>
      </c>
      <c r="O3096" t="n">
        <v>4.5</v>
      </c>
      <c r="P3096" t="n">
        <v>22</v>
      </c>
      <c r="R3096" t="inlineStr">
        <is>
          <t>InStock</t>
        </is>
      </c>
      <c r="S3096" t="inlineStr">
        <is>
          <t>34.95</t>
        </is>
      </c>
      <c r="T3096" t="inlineStr">
        <is>
          <t>F84835</t>
        </is>
      </c>
    </row>
    <row r="3097" ht="75" customHeight="1">
      <c r="A3097" s="2">
        <f>HYPERLINK("https://www.soccerplususa.com/adidas/adidas-tabela-14-jersey-6082", "https://www.soccerplususa.com/adidas/adidas-tabela-14-jersey-6082")</f>
        <v/>
      </c>
      <c r="B3097" t="inlineStr">
        <is>
          <t>undefined</t>
        </is>
      </c>
      <c r="C3097" t="inlineStr">
        <is>
          <t>adidas Tabela 14 Jersey</t>
        </is>
      </c>
      <c r="D3097" t="inlineStr">
        <is>
          <t>adidas Performance Boys Youth Tabela 14 Short Sleeve Jersey</t>
        </is>
      </c>
      <c r="E3097" s="2">
        <f>HYPERLINK("https://www.amazon.com/adidas-Performance-Tabela-Jersey-X-Large/dp/B00J2GYF1I/ref=sr_1_4?keywords=adidas+Tabela+14+Jersey&amp;qid=1695171211&amp;sr=8-4", "https://www.amazon.com/adidas-Performance-Tabela-Jersey-X-Large/dp/B00J2GYF1I/ref=sr_1_4?keywords=adidas+Tabela+14+Jersey&amp;qid=1695171211&amp;sr=8-4")</f>
        <v/>
      </c>
      <c r="F3097" t="inlineStr">
        <is>
          <t>B00J2GYF1I</t>
        </is>
      </c>
      <c r="G3097">
        <f>_xlfn.IMAGE("https://www.soccerplususa.com/prodimages/2638-DEFAULT-l.jpg")</f>
        <v/>
      </c>
      <c r="H3097">
        <f>_xlfn.IMAGE("https://m.media-amazon.com/images/I/91YNKoolA4L._AC_UL320_.jpg")</f>
        <v/>
      </c>
      <c r="K3097" t="inlineStr">
        <is>
          <t>17.5</t>
        </is>
      </c>
      <c r="L3097" t="n">
        <v>34</v>
      </c>
      <c r="M3097" s="1" t="inlineStr">
        <is>
          <t>94.29%</t>
        </is>
      </c>
      <c r="N3097" s="3" t="n">
        <v>94.29000000000001</v>
      </c>
      <c r="O3097" t="n">
        <v>4.5</v>
      </c>
      <c r="P3097" t="n">
        <v>22</v>
      </c>
      <c r="R3097" t="inlineStr">
        <is>
          <t>InStock</t>
        </is>
      </c>
      <c r="S3097" t="inlineStr">
        <is>
          <t>34.95</t>
        </is>
      </c>
      <c r="T3097" t="inlineStr">
        <is>
          <t>F50284</t>
        </is>
      </c>
    </row>
    <row r="3098" ht="75" customHeight="1">
      <c r="A3098" s="2">
        <f>HYPERLINK("https://www.soccerplususa.com/adidas/adidas-tabela-14-jersey-youth-6084", "https://www.soccerplususa.com/adidas/adidas-tabela-14-jersey-youth-6084")</f>
        <v/>
      </c>
      <c r="B3098" t="inlineStr">
        <is>
          <t>undefined</t>
        </is>
      </c>
      <c r="C3098" t="inlineStr">
        <is>
          <t>adidas Tabela 14 Jersey Youth</t>
        </is>
      </c>
      <c r="D3098" t="inlineStr">
        <is>
          <t>adidas Performance Boys Youth Tabela 14 Short Sleeve Jersey</t>
        </is>
      </c>
      <c r="E3098" s="2">
        <f>HYPERLINK("https://www.amazon.com/adidas-Performance-Tabela-Jersey-X-Large/dp/B00J2GYF1I/ref=sr_1_1?keywords=adidas+Tabela+14+Jersey+Youth&amp;qid=1695171219&amp;sr=8-1", "https://www.amazon.com/adidas-Performance-Tabela-Jersey-X-Large/dp/B00J2GYF1I/ref=sr_1_1?keywords=adidas+Tabela+14+Jersey+Youth&amp;qid=1695171219&amp;sr=8-1")</f>
        <v/>
      </c>
      <c r="F3098" t="inlineStr">
        <is>
          <t>B00J2GYF1I</t>
        </is>
      </c>
      <c r="G3098">
        <f>_xlfn.IMAGE("https://www.soccerplususa.com/prodimages/10331-DEFAULT-l.jpg")</f>
        <v/>
      </c>
      <c r="H3098">
        <f>_xlfn.IMAGE("https://m.media-amazon.com/images/I/91YNKoolA4L._AC_UL320_.jpg")</f>
        <v/>
      </c>
      <c r="K3098" t="inlineStr">
        <is>
          <t>17.5</t>
        </is>
      </c>
      <c r="L3098" t="n">
        <v>34</v>
      </c>
      <c r="M3098" s="1" t="inlineStr">
        <is>
          <t>94.29%</t>
        </is>
      </c>
      <c r="N3098" s="3" t="n">
        <v>94.29000000000001</v>
      </c>
      <c r="O3098" t="n">
        <v>4.5</v>
      </c>
      <c r="P3098" t="n">
        <v>22</v>
      </c>
      <c r="R3098" t="inlineStr">
        <is>
          <t>InStock</t>
        </is>
      </c>
      <c r="S3098" t="inlineStr">
        <is>
          <t>34.95</t>
        </is>
      </c>
      <c r="T3098" t="inlineStr">
        <is>
          <t>F50452</t>
        </is>
      </c>
    </row>
    <row r="3099" ht="75" customHeight="1">
      <c r="A3099" s="2">
        <f>HYPERLINK("https://www.soccerplususa.com/adidas/adidas-tiro-17-training-jacket-womens-4954", "https://www.soccerplususa.com/adidas/adidas-tiro-17-training-jacket-womens-4954")</f>
        <v/>
      </c>
      <c r="B3099" t="inlineStr">
        <is>
          <t>undefined</t>
        </is>
      </c>
      <c r="C3099" t="inlineStr">
        <is>
          <t>adidas Tiro 17 Training Jacket Women's</t>
        </is>
      </c>
      <c r="D3099" t="inlineStr">
        <is>
          <t>adidas Womens Tiro 17 Training Jacket</t>
        </is>
      </c>
      <c r="E3099" s="2">
        <f>HYPERLINK("https://www.amazon.com/adidas-Womens-Training-Jacket-Black/dp/B01N41JXC9/ref=sr_1_1?keywords=adidas+Tiro+17+Training+Jacket+Womens&amp;qid=1695171243&amp;sr=8-1", "https://www.amazon.com/adidas-Womens-Training-Jacket-Black/dp/B01N41JXC9/ref=sr_1_1?keywords=adidas+Tiro+17+Training+Jacket+Womens&amp;qid=1695171243&amp;sr=8-1")</f>
        <v/>
      </c>
      <c r="F3099" t="inlineStr">
        <is>
          <t>B01N41JXC9</t>
        </is>
      </c>
      <c r="G3099">
        <f>_xlfn.IMAGE("https://www.soccerplususa.com/prodimages/4534-DEFAULT-l.jpg")</f>
        <v/>
      </c>
      <c r="H3099">
        <f>_xlfn.IMAGE("https://m.media-amazon.com/images/I/71nZvYsJu-L._AC_UL320_.jpg")</f>
        <v/>
      </c>
      <c r="K3099" t="inlineStr">
        <is>
          <t>34.0</t>
        </is>
      </c>
      <c r="L3099" t="n">
        <v>65.93000000000001</v>
      </c>
      <c r="M3099" s="1" t="inlineStr">
        <is>
          <t>93.91%</t>
        </is>
      </c>
      <c r="N3099" s="3" t="n">
        <v>93.91</v>
      </c>
      <c r="O3099" t="n">
        <v>4.4</v>
      </c>
      <c r="P3099" t="n">
        <v>23</v>
      </c>
      <c r="R3099" t="inlineStr">
        <is>
          <t>InStock</t>
        </is>
      </c>
      <c r="S3099" t="inlineStr">
        <is>
          <t>64.95</t>
        </is>
      </c>
      <c r="T3099" t="inlineStr">
        <is>
          <t>BQ8248</t>
        </is>
      </c>
    </row>
    <row r="3100" ht="75" customHeight="1">
      <c r="A3100" s="2">
        <f>HYPERLINK("https://www.soccerplususa.com/adidas/adidas-tiro-17-training-jacket-womens-4952", "https://www.soccerplususa.com/adidas/adidas-tiro-17-training-jacket-womens-4952")</f>
        <v/>
      </c>
      <c r="B3100" t="inlineStr">
        <is>
          <t>undefined</t>
        </is>
      </c>
      <c r="C3100" t="inlineStr">
        <is>
          <t>adidas Tiro 17 Training Jacket Women's</t>
        </is>
      </c>
      <c r="D3100" t="inlineStr">
        <is>
          <t>adidas Womens Tiro 17 Training Jacket</t>
        </is>
      </c>
      <c r="E3100" s="2">
        <f>HYPERLINK("https://www.amazon.com/adidas-Womens-Training-Jacket-Black/dp/B01N41JXC9/ref=sr_1_1?keywords=adidas+Tiro+17+Training+Jacket+Women%27s&amp;qid=1695171231&amp;sr=8-1", "https://www.amazon.com/adidas-Womens-Training-Jacket-Black/dp/B01N41JXC9/ref=sr_1_1?keywords=adidas+Tiro+17+Training+Jacket+Women%27s&amp;qid=1695171231&amp;sr=8-1")</f>
        <v/>
      </c>
      <c r="F3100" t="inlineStr">
        <is>
          <t>B01N41JXC9</t>
        </is>
      </c>
      <c r="G3100">
        <f>_xlfn.IMAGE("https://www.soccerplususa.com/prodimages/4532-DEFAULT-l.jpg")</f>
        <v/>
      </c>
      <c r="H3100">
        <f>_xlfn.IMAGE("https://m.media-amazon.com/images/I/71nZvYsJu-L._AC_UL320_.jpg")</f>
        <v/>
      </c>
      <c r="K3100" t="inlineStr">
        <is>
          <t>34.0</t>
        </is>
      </c>
      <c r="L3100" t="n">
        <v>65.93000000000001</v>
      </c>
      <c r="M3100" s="1" t="inlineStr">
        <is>
          <t>93.91%</t>
        </is>
      </c>
      <c r="N3100" s="3" t="n">
        <v>93.91</v>
      </c>
      <c r="O3100" t="n">
        <v>4.4</v>
      </c>
      <c r="P3100" t="n">
        <v>23</v>
      </c>
      <c r="R3100" t="inlineStr">
        <is>
          <t>InStock</t>
        </is>
      </c>
      <c r="S3100" t="inlineStr">
        <is>
          <t>64.95</t>
        </is>
      </c>
      <c r="T3100" t="inlineStr">
        <is>
          <t>BQ8243</t>
        </is>
      </c>
    </row>
    <row r="3101" ht="75" customHeight="1">
      <c r="A3101" s="2">
        <f>HYPERLINK("https://www.soccerplususa.com/adidas/adidas-tabela-11-jersey-7260", "https://www.soccerplususa.com/adidas/adidas-tabela-11-jersey-7260")</f>
        <v/>
      </c>
      <c r="B3101" t="inlineStr">
        <is>
          <t>undefined</t>
        </is>
      </c>
      <c r="C3101" t="inlineStr">
        <is>
          <t>adidas Tabela 11 Jersey</t>
        </is>
      </c>
      <c r="D3101" t="inlineStr">
        <is>
          <t>adidas Big Boys' Youth Tabela 11 Jersey</t>
        </is>
      </c>
      <c r="E3101" s="2">
        <f>HYPERLINK("https://www.amazon.com/adidas-Youth-Tabela-Jersey-Silver/dp/B007K39HPY/ref=sr_1_1?keywords=adidas+Tabela+11+Jersey&amp;qid=1695171198&amp;sr=8-1", "https://www.amazon.com/adidas-Youth-Tabela-Jersey-Silver/dp/B007K39HPY/ref=sr_1_1?keywords=adidas+Tabela+11+Jersey&amp;qid=1695171198&amp;sr=8-1")</f>
        <v/>
      </c>
      <c r="F3101" t="inlineStr">
        <is>
          <t>B007K39HPY</t>
        </is>
      </c>
      <c r="G3101">
        <f>_xlfn.IMAGE("https://www.soccerplususa.com/prodimages/3223-DEFAULT-l.jpg")</f>
        <v/>
      </c>
      <c r="H3101">
        <f>_xlfn.IMAGE("https://m.media-amazon.com/images/I/81x-ZWOocBL._AC_UL320_.jpg")</f>
        <v/>
      </c>
      <c r="K3101" t="inlineStr">
        <is>
          <t>12.0</t>
        </is>
      </c>
      <c r="L3101" t="n">
        <v>22.99</v>
      </c>
      <c r="M3101" s="1" t="inlineStr">
        <is>
          <t>91.58%</t>
        </is>
      </c>
      <c r="N3101" s="3" t="n">
        <v>91.58</v>
      </c>
      <c r="O3101" t="n">
        <v>4.7</v>
      </c>
      <c r="P3101" t="n">
        <v>5</v>
      </c>
      <c r="R3101" t="inlineStr">
        <is>
          <t>InStock</t>
        </is>
      </c>
      <c r="S3101" t="inlineStr">
        <is>
          <t>24.95</t>
        </is>
      </c>
      <c r="T3101" t="inlineStr">
        <is>
          <t>O07611</t>
        </is>
      </c>
    </row>
    <row r="3102" ht="75" customHeight="1">
      <c r="A3102" s="2">
        <f>HYPERLINK("https://www.soccerplususa.com/adidas/adidas-tabela-11-jersey-7257", "https://www.soccerplususa.com/adidas/adidas-tabela-11-jersey-7257")</f>
        <v/>
      </c>
      <c r="B3102" t="inlineStr">
        <is>
          <t>undefined</t>
        </is>
      </c>
      <c r="C3102" t="inlineStr">
        <is>
          <t>adidas Tabela 11 Jersey</t>
        </is>
      </c>
      <c r="D3102" t="inlineStr">
        <is>
          <t>adidas Big Boys' Youth Tabela 11 Jersey</t>
        </is>
      </c>
      <c r="E3102" s="2">
        <f>HYPERLINK("https://www.amazon.com/adidas-Youth-Tabela-Jersey-Silver/dp/B007K39HPY/ref=sr_1_1?keywords=adidas+Tabela+11+Jersey&amp;qid=1695171216&amp;sr=8-1", "https://www.amazon.com/adidas-Youth-Tabela-Jersey-Silver/dp/B007K39HPY/ref=sr_1_1?keywords=adidas+Tabela+11+Jersey&amp;qid=1695171216&amp;sr=8-1")</f>
        <v/>
      </c>
      <c r="F3102" t="inlineStr">
        <is>
          <t>B007K39HPY</t>
        </is>
      </c>
      <c r="G3102">
        <f>_xlfn.IMAGE("https://www.soccerplususa.com/prodimages/3212-DEFAULT-l.jpg")</f>
        <v/>
      </c>
      <c r="H3102">
        <f>_xlfn.IMAGE("https://m.media-amazon.com/images/I/81x-ZWOocBL._AC_UL320_.jpg")</f>
        <v/>
      </c>
      <c r="K3102" t="inlineStr">
        <is>
          <t>12.0</t>
        </is>
      </c>
      <c r="L3102" t="n">
        <v>22.99</v>
      </c>
      <c r="M3102" s="1" t="inlineStr">
        <is>
          <t>91.58%</t>
        </is>
      </c>
      <c r="N3102" s="3" t="n">
        <v>91.58</v>
      </c>
      <c r="O3102" t="n">
        <v>4.7</v>
      </c>
      <c r="P3102" t="n">
        <v>5</v>
      </c>
      <c r="R3102" t="inlineStr">
        <is>
          <t>InStock</t>
        </is>
      </c>
      <c r="S3102" t="inlineStr">
        <is>
          <t>24.95</t>
        </is>
      </c>
      <c r="T3102" t="inlineStr">
        <is>
          <t>O07609</t>
        </is>
      </c>
    </row>
    <row r="3103" ht="75" customHeight="1">
      <c r="A3103" s="2">
        <f>HYPERLINK("https://www.soccerplususa.com/adidas/adidas-tiro-17-training-jacket-womens-4954", "https://www.soccerplususa.com/adidas/adidas-tiro-17-training-jacket-womens-4954")</f>
        <v/>
      </c>
      <c r="B3103" t="inlineStr">
        <is>
          <t>undefined</t>
        </is>
      </c>
      <c r="C3103" t="inlineStr">
        <is>
          <t>adidas Tiro 17 Training Jacket Women's</t>
        </is>
      </c>
      <c r="D3103" t="inlineStr">
        <is>
          <t>adidas Women's Soccer Tiro 15 Training Jacket</t>
        </is>
      </c>
      <c r="E3103" s="2">
        <f>HYPERLINK("https://www.amazon.com/adidas-S1506GHTT004W-Womens-Soccer-Training/dp/B00QKRJ3B4/ref=sr_1_8?keywords=adidas+Tiro+17+Training+Jacket+Womens&amp;qid=1695171243&amp;sr=8-8", "https://www.amazon.com/adidas-S1506GHTT004W-Womens-Soccer-Training/dp/B00QKRJ3B4/ref=sr_1_8?keywords=adidas+Tiro+17+Training+Jacket+Womens&amp;qid=1695171243&amp;sr=8-8")</f>
        <v/>
      </c>
      <c r="F3103" t="inlineStr">
        <is>
          <t>B00QKRJ3B4</t>
        </is>
      </c>
      <c r="G3103">
        <f>_xlfn.IMAGE("https://www.soccerplususa.com/prodimages/4534-DEFAULT-l.jpg")</f>
        <v/>
      </c>
      <c r="H3103">
        <f>_xlfn.IMAGE("https://m.media-amazon.com/images/I/61IAizuSsOL._AC_UL320_.jpg")</f>
        <v/>
      </c>
      <c r="K3103" t="inlineStr">
        <is>
          <t>34.0</t>
        </is>
      </c>
      <c r="L3103" t="n">
        <v>64.98999999999999</v>
      </c>
      <c r="M3103" s="1" t="inlineStr">
        <is>
          <t>91.15%</t>
        </is>
      </c>
      <c r="N3103" s="3" t="n">
        <v>91.15000000000001</v>
      </c>
      <c r="O3103" t="n">
        <v>4.6</v>
      </c>
      <c r="P3103" t="n">
        <v>317</v>
      </c>
      <c r="R3103" t="inlineStr">
        <is>
          <t>InStock</t>
        </is>
      </c>
      <c r="S3103" t="inlineStr">
        <is>
          <t>64.95</t>
        </is>
      </c>
      <c r="T3103" t="inlineStr">
        <is>
          <t>BQ8248</t>
        </is>
      </c>
    </row>
    <row r="3104" ht="75" customHeight="1">
      <c r="A3104" s="2">
        <f>HYPERLINK("https://www.soccerplususa.com/adidas/adidas-tiro-17-training-jacket-womens-4952", "https://www.soccerplususa.com/adidas/adidas-tiro-17-training-jacket-womens-4952")</f>
        <v/>
      </c>
      <c r="B3104" t="inlineStr">
        <is>
          <t>undefined</t>
        </is>
      </c>
      <c r="C3104" t="inlineStr">
        <is>
          <t>adidas Tiro 17 Training Jacket Women's</t>
        </is>
      </c>
      <c r="D3104" t="inlineStr">
        <is>
          <t>adidas Women's Soccer Tiro 15 Training Jacket</t>
        </is>
      </c>
      <c r="E3104" s="2">
        <f>HYPERLINK("https://www.amazon.com/adidas-S1506GHTT004W-Womens-Soccer-Training/dp/B00QKRJ3B4/ref=sr_1_8?keywords=adidas+Tiro+17+Training+Jacket+Women%27s&amp;qid=1695171231&amp;sr=8-8", "https://www.amazon.com/adidas-S1506GHTT004W-Womens-Soccer-Training/dp/B00QKRJ3B4/ref=sr_1_8?keywords=adidas+Tiro+17+Training+Jacket+Women%27s&amp;qid=1695171231&amp;sr=8-8")</f>
        <v/>
      </c>
      <c r="F3104" t="inlineStr">
        <is>
          <t>B00QKRJ3B4</t>
        </is>
      </c>
      <c r="G3104">
        <f>_xlfn.IMAGE("https://www.soccerplususa.com/prodimages/4532-DEFAULT-l.jpg")</f>
        <v/>
      </c>
      <c r="H3104">
        <f>_xlfn.IMAGE("https://m.media-amazon.com/images/I/61IAizuSsOL._AC_UL320_.jpg")</f>
        <v/>
      </c>
      <c r="K3104" t="inlineStr">
        <is>
          <t>34.0</t>
        </is>
      </c>
      <c r="L3104" t="n">
        <v>64.98999999999999</v>
      </c>
      <c r="M3104" s="1" t="inlineStr">
        <is>
          <t>91.15%</t>
        </is>
      </c>
      <c r="N3104" s="3" t="n">
        <v>91.15000000000001</v>
      </c>
      <c r="O3104" t="n">
        <v>4.6</v>
      </c>
      <c r="P3104" t="n">
        <v>317</v>
      </c>
      <c r="R3104" t="inlineStr">
        <is>
          <t>InStock</t>
        </is>
      </c>
      <c r="S3104" t="inlineStr">
        <is>
          <t>64.95</t>
        </is>
      </c>
      <c r="T3104" t="inlineStr">
        <is>
          <t>BQ8243</t>
        </is>
      </c>
    </row>
    <row r="3105" ht="75" customHeight="1">
      <c r="A3105" s="2">
        <f>HYPERLINK("https://www.soccerplususa.com/adidas/adidas-tiro-17-jersey-youth-8176", "https://www.soccerplususa.com/adidas/adidas-tiro-17-jersey-youth-8176")</f>
        <v/>
      </c>
      <c r="B3105" t="inlineStr">
        <is>
          <t>undefined</t>
        </is>
      </c>
      <c r="C3105" t="inlineStr">
        <is>
          <t>adidas Tiro 17 Jersey Youth</t>
        </is>
      </c>
      <c r="D3105" t="inlineStr">
        <is>
          <t>adidas Womens Tiro 17 Jersey</t>
        </is>
      </c>
      <c r="E3105" s="2">
        <f>HYPERLINK("https://www.amazon.com/adidas-Womens-Soccer-Jersey-Blue-White/dp/B06Y66G458/ref=sr_1_3?keywords=adidas+Tiro+17+Jersey+Youth&amp;qid=1695171210&amp;sr=8-3", "https://www.amazon.com/adidas-Womens-Soccer-Jersey-Blue-White/dp/B06Y66G458/ref=sr_1_3?keywords=adidas+Tiro+17+Jersey+Youth&amp;qid=1695171210&amp;sr=8-3")</f>
        <v/>
      </c>
      <c r="F3105" t="inlineStr">
        <is>
          <t>B06Y66G458</t>
        </is>
      </c>
      <c r="G3105">
        <f>_xlfn.IMAGE("https://www.soccerplususa.com/prodimages/7857-DEFAULT-l.jpg")</f>
        <v/>
      </c>
      <c r="H3105">
        <f>_xlfn.IMAGE("https://m.media-amazon.com/images/I/612YdXtQm3L._AC_UL320_.jpg")</f>
        <v/>
      </c>
      <c r="K3105" t="inlineStr">
        <is>
          <t>20.97</t>
        </is>
      </c>
      <c r="L3105" t="n">
        <v>39.99</v>
      </c>
      <c r="M3105" s="1" t="inlineStr">
        <is>
          <t>90.70%</t>
        </is>
      </c>
      <c r="N3105" s="3" t="n">
        <v>90.7</v>
      </c>
      <c r="O3105" t="n">
        <v>5</v>
      </c>
      <c r="P3105" t="n">
        <v>3</v>
      </c>
      <c r="R3105" t="inlineStr">
        <is>
          <t>InStock</t>
        </is>
      </c>
      <c r="S3105" t="inlineStr">
        <is>
          <t>34.95</t>
        </is>
      </c>
      <c r="T3105" t="inlineStr">
        <is>
          <t>S99148</t>
        </is>
      </c>
    </row>
    <row r="3106" ht="75" customHeight="1">
      <c r="A3106" s="2">
        <f>HYPERLINK("https://www.soccerplususa.com/adidas/adidas-condivo-14-training-top-36188", "https://www.soccerplususa.com/adidas/adidas-condivo-14-training-top-36188")</f>
        <v/>
      </c>
      <c r="B3106" t="inlineStr">
        <is>
          <t>undefined</t>
        </is>
      </c>
      <c r="C3106" t="inlineStr">
        <is>
          <t>adidas Condivo 14 Training Top</t>
        </is>
      </c>
      <c r="D3106" t="inlineStr">
        <is>
          <t>adidas Men's Condivo 22 Training Top</t>
        </is>
      </c>
      <c r="E3106" s="2">
        <f>HYPERLINK("https://www.amazon.com/adidas-Standard-Condivo-Training-Medium/dp/B09HJB6MR6/ref=sr_1_3?keywords=adidas+Condivo+14+Training+Top&amp;qid=1695171163&amp;sr=8-3", "https://www.amazon.com/adidas-Standard-Condivo-Training-Medium/dp/B09HJB6MR6/ref=sr_1_3?keywords=adidas+Condivo+14+Training+Top&amp;qid=1695171163&amp;sr=8-3")</f>
        <v/>
      </c>
      <c r="F3106" t="inlineStr">
        <is>
          <t>B09HJB6MR6</t>
        </is>
      </c>
      <c r="G3106">
        <f>_xlfn.IMAGE("https://www.soccerplususa.com/prodimages/10436-DEFAULT-l.jpg")</f>
        <v/>
      </c>
      <c r="H3106">
        <f>_xlfn.IMAGE("https://m.media-amazon.com/images/I/51Y3kBjKu5L._AC_UL320_.jpg")</f>
        <v/>
      </c>
      <c r="K3106" t="inlineStr">
        <is>
          <t>30.0</t>
        </is>
      </c>
      <c r="L3106" t="n">
        <v>56.94</v>
      </c>
      <c r="M3106" s="1" t="inlineStr">
        <is>
          <t>89.80%</t>
        </is>
      </c>
      <c r="N3106" s="3" t="n">
        <v>89.8</v>
      </c>
      <c r="O3106" t="n">
        <v>5</v>
      </c>
      <c r="P3106" t="n">
        <v>5</v>
      </c>
      <c r="R3106" t="inlineStr">
        <is>
          <t>InStock</t>
        </is>
      </c>
      <c r="S3106" t="inlineStr">
        <is>
          <t>59.95</t>
        </is>
      </c>
      <c r="T3106" t="inlineStr">
        <is>
          <t>G80802</t>
        </is>
      </c>
    </row>
    <row r="3107" ht="75" customHeight="1">
      <c r="A3107" s="2">
        <f>HYPERLINK("https://www.soccerplususa.com/adidas/adidas-core-18-training-jersey-33847", "https://www.soccerplususa.com/adidas/adidas-core-18-training-jersey-33847")</f>
        <v/>
      </c>
      <c r="B3107" t="inlineStr">
        <is>
          <t>undefined</t>
        </is>
      </c>
      <c r="C3107" t="inlineStr">
        <is>
          <t>adidas Core 18 Training Jersey</t>
        </is>
      </c>
      <c r="D3107" t="inlineStr">
        <is>
          <t>adidas Women's Core 18 Training Top</t>
        </is>
      </c>
      <c r="E3107" s="2">
        <f>HYPERLINK("https://www.amazon.com/adidas-Womens-Soccer-Training-Power/dp/B073H7KW5X/ref=sr_1_2?keywords=adidas+Core+18+Training+Jersey&amp;qid=1695171175&amp;sr=8-2", "https://www.amazon.com/adidas-Womens-Soccer-Training-Power/dp/B073H7KW5X/ref=sr_1_2?keywords=adidas+Core+18+Training+Jersey&amp;qid=1695171175&amp;sr=8-2")</f>
        <v/>
      </c>
      <c r="F3107" t="inlineStr">
        <is>
          <t>B073H7KW5X</t>
        </is>
      </c>
      <c r="G3107">
        <f>_xlfn.IMAGE("https://www.soccerplususa.com/prodimages/32787-DEFAULT-l.jpg")</f>
        <v/>
      </c>
      <c r="H3107">
        <f>_xlfn.IMAGE("https://m.media-amazon.com/images/I/413h3bK5GeL._AC_UL320_.jpg")</f>
        <v/>
      </c>
      <c r="K3107" t="inlineStr">
        <is>
          <t>14.99</t>
        </is>
      </c>
      <c r="L3107" t="n">
        <v>28.02</v>
      </c>
      <c r="M3107" s="1" t="inlineStr">
        <is>
          <t>86.92%</t>
        </is>
      </c>
      <c r="N3107" s="3" t="n">
        <v>86.92</v>
      </c>
      <c r="O3107" t="n">
        <v>4.5</v>
      </c>
      <c r="P3107" t="n">
        <v>323</v>
      </c>
      <c r="R3107" t="inlineStr">
        <is>
          <t>InStock</t>
        </is>
      </c>
      <c r="S3107" t="inlineStr">
        <is>
          <t>19.95</t>
        </is>
      </c>
      <c r="T3107" t="inlineStr">
        <is>
          <t>CV3452</t>
        </is>
      </c>
    </row>
    <row r="3108" ht="75" customHeight="1">
      <c r="A3108" s="2">
        <f>HYPERLINK("https://www.soccerplususa.com/nike/nike-park-vi-jersey-39538", "https://www.soccerplususa.com/nike/nike-park-vi-jersey-39538")</f>
        <v/>
      </c>
      <c r="B3108" t="inlineStr">
        <is>
          <t>undefined</t>
        </is>
      </c>
      <c r="C3108" t="inlineStr">
        <is>
          <t>Nike Park VI Jersey</t>
        </is>
      </c>
      <c r="D3108" t="inlineStr">
        <is>
          <t>Nike Youth Park VII Short Sleeve Jersey, BV6742-010</t>
        </is>
      </c>
      <c r="E3108" s="2">
        <f>HYPERLINK("https://www.amazon.com/Nike-Youth-Jersey-Turquoise-Medium/dp/B09Y94CJWS/ref=sr_1_10?keywords=Nike+Park+VI+Jersey&amp;qid=1695171168&amp;sr=8-10", "https://www.amazon.com/Nike-Youth-Jersey-Turquoise-Medium/dp/B09Y94CJWS/ref=sr_1_10?keywords=Nike+Park+VI+Jersey&amp;qid=1695171168&amp;sr=8-10")</f>
        <v/>
      </c>
      <c r="F3108" t="inlineStr">
        <is>
          <t>B09Y94CJWS</t>
        </is>
      </c>
      <c r="G3108">
        <f>_xlfn.IMAGE("https://www.soccerplususa.com/prodimages/32891-DEFAULT-l.jpg")</f>
        <v/>
      </c>
      <c r="H3108">
        <f>_xlfn.IMAGE("https://m.media-amazon.com/images/I/51QV5Uq5l-L._AC_UL320_.jpg")</f>
        <v/>
      </c>
      <c r="K3108" t="inlineStr">
        <is>
          <t>14.99</t>
        </is>
      </c>
      <c r="L3108" t="n">
        <v>27.99</v>
      </c>
      <c r="M3108" s="1" t="inlineStr">
        <is>
          <t>86.72%</t>
        </is>
      </c>
      <c r="N3108" s="3" t="n">
        <v>86.72</v>
      </c>
      <c r="O3108" t="n">
        <v>4.4</v>
      </c>
      <c r="P3108" t="n">
        <v>7</v>
      </c>
      <c r="R3108" t="inlineStr">
        <is>
          <t>InStock</t>
        </is>
      </c>
      <c r="S3108" t="inlineStr">
        <is>
          <t>19.95</t>
        </is>
      </c>
      <c r="T3108" t="inlineStr">
        <is>
          <t>899915-100</t>
        </is>
      </c>
    </row>
    <row r="3109" ht="75" customHeight="1">
      <c r="A3109" s="2">
        <f>HYPERLINK("https://www.soccerplususa.com/adidas/adidas-condivo-16-jersey-youth-4210", "https://www.soccerplususa.com/adidas/adidas-condivo-16-jersey-youth-4210")</f>
        <v/>
      </c>
      <c r="B3109" t="inlineStr">
        <is>
          <t>undefined</t>
        </is>
      </c>
      <c r="C3109" t="inlineStr">
        <is>
          <t>adidas Condivo 16 Jersey Youth</t>
        </is>
      </c>
      <c r="D3109" t="inlineStr">
        <is>
          <t>adidas Condivo 16 Mens Soccer Jersey XL White</t>
        </is>
      </c>
      <c r="E3109" s="2">
        <f>HYPERLINK("https://www.amazon.com/Adidas-Condivo-Soccer-Jersey-White/dp/B018663OV6/ref=sr_1_4?keywords=adidas+Condivo+16+Jersey+Youth&amp;qid=1695171233&amp;sr=8-4", "https://www.amazon.com/Adidas-Condivo-Soccer-Jersey-White/dp/B018663OV6/ref=sr_1_4?keywords=adidas+Condivo+16+Jersey+Youth&amp;qid=1695171233&amp;sr=8-4")</f>
        <v/>
      </c>
      <c r="F3109" t="inlineStr">
        <is>
          <t>B018663OV6</t>
        </is>
      </c>
      <c r="G3109">
        <f>_xlfn.IMAGE("https://www.soccerplususa.com/prodimages/7805-DEFAULT-l.jpg")</f>
        <v/>
      </c>
      <c r="H3109">
        <f>_xlfn.IMAGE("https://m.media-amazon.com/images/I/61xsIztW9yL._AC_UL320_.jpg")</f>
        <v/>
      </c>
      <c r="K3109" t="inlineStr">
        <is>
          <t>22.48</t>
        </is>
      </c>
      <c r="L3109" t="n">
        <v>41.91</v>
      </c>
      <c r="M3109" s="1" t="inlineStr">
        <is>
          <t>86.43%</t>
        </is>
      </c>
      <c r="N3109" s="3" t="n">
        <v>86.43000000000001</v>
      </c>
      <c r="O3109" t="n">
        <v>4.6</v>
      </c>
      <c r="P3109" t="n">
        <v>2</v>
      </c>
      <c r="R3109" t="inlineStr">
        <is>
          <t>InStock</t>
        </is>
      </c>
      <c r="S3109" t="inlineStr">
        <is>
          <t>44.95</t>
        </is>
      </c>
      <c r="T3109" t="inlineStr">
        <is>
          <t>AP4366</t>
        </is>
      </c>
    </row>
    <row r="3110" ht="75" customHeight="1">
      <c r="A3110" s="2">
        <f>HYPERLINK("https://www.soccerplususa.com/adidas/adidas-condivo-16-jersey-youth-4211", "https://www.soccerplususa.com/adidas/adidas-condivo-16-jersey-youth-4211")</f>
        <v/>
      </c>
      <c r="B3110" t="inlineStr">
        <is>
          <t>undefined</t>
        </is>
      </c>
      <c r="C3110" t="inlineStr">
        <is>
          <t>adidas Condivo 16 Jersey Youth</t>
        </is>
      </c>
      <c r="D3110" t="inlineStr">
        <is>
          <t>adidas Condivo 16 Mens Soccer Jersey XL White</t>
        </is>
      </c>
      <c r="E3110" s="2">
        <f>HYPERLINK("https://www.amazon.com/Adidas-Condivo-Soccer-Jersey-White/dp/B018663OV6/ref=sr_1_4?keywords=adidas+Condivo+16+Jersey+Youth&amp;qid=1695171230&amp;sr=8-4", "https://www.amazon.com/Adidas-Condivo-Soccer-Jersey-White/dp/B018663OV6/ref=sr_1_4?keywords=adidas+Condivo+16+Jersey+Youth&amp;qid=1695171230&amp;sr=8-4")</f>
        <v/>
      </c>
      <c r="F3110" t="inlineStr">
        <is>
          <t>B018663OV6</t>
        </is>
      </c>
      <c r="G3110">
        <f>_xlfn.IMAGE("https://www.soccerplususa.com/prodimages/6944-DEFAULT-l.jpg")</f>
        <v/>
      </c>
      <c r="H3110">
        <f>_xlfn.IMAGE("https://m.media-amazon.com/images/I/61xsIztW9yL._AC_UL320_.jpg")</f>
        <v/>
      </c>
      <c r="K3110" t="inlineStr">
        <is>
          <t>22.5</t>
        </is>
      </c>
      <c r="L3110" t="n">
        <v>41.91</v>
      </c>
      <c r="M3110" s="1" t="inlineStr">
        <is>
          <t>86.27%</t>
        </is>
      </c>
      <c r="N3110" s="3" t="n">
        <v>86.27</v>
      </c>
      <c r="O3110" t="n">
        <v>4.6</v>
      </c>
      <c r="P3110" t="n">
        <v>2</v>
      </c>
      <c r="R3110" t="inlineStr">
        <is>
          <t>InStock</t>
        </is>
      </c>
      <c r="S3110" t="inlineStr">
        <is>
          <t>44.95</t>
        </is>
      </c>
      <c r="T3110" t="inlineStr">
        <is>
          <t>AP4367</t>
        </is>
      </c>
    </row>
    <row r="3111" hidden="1" ht="15.75" customHeight="1">
      <c r="A3111" s="2">
        <f>HYPERLINK("https://www.soccerplususa.com/adidas/adidas-regista-16-jersey-4149", "https://www.soccerplususa.com/adidas/adidas-regista-16-jersey-4149")</f>
        <v/>
      </c>
      <c r="B3111" t="inlineStr">
        <is>
          <t>undefined</t>
        </is>
      </c>
      <c r="C3111" t="inlineStr">
        <is>
          <t>adidas Regista 16 Jersey</t>
        </is>
      </c>
      <c r="D3111" t="inlineStr">
        <is>
          <t>adidas Mens Regista 16 Soccer Jersey</t>
        </is>
      </c>
      <c r="E3111" s="2">
        <f>HYPERLINK("https://www.amazon.com/adidas-Regista-Soccer-Jersey-Black-White/dp/B018666YJ0/ref=sr_1_2?keywords=adidas+Regista+16+Jersey&amp;qid=1695171233&amp;sr=8-2", "https://www.amazon.com/adidas-Regista-Soccer-Jersey-Black-White/dp/B018666YJ0/ref=sr_1_2?keywords=adidas+Regista+16+Jersey&amp;qid=1695171233&amp;sr=8-2")</f>
        <v/>
      </c>
      <c r="F3111" t="inlineStr">
        <is>
          <t>B018666YJ0</t>
        </is>
      </c>
      <c r="G3111">
        <f>_xludf.IMAGE("https://www.soccerplususa.com/prodimages/32795-DEFAULT-l.jpg")</f>
        <v/>
      </c>
      <c r="H3111">
        <f>_xludf.IMAGE("https://m.media-amazon.com/images/I/71nBc5U8ysL._AC_UL320_.jpg")</f>
        <v/>
      </c>
      <c r="K3111" t="inlineStr">
        <is>
          <t>17.0</t>
        </is>
      </c>
      <c r="L3111" t="n">
        <v>31.42</v>
      </c>
      <c r="M3111" s="1" t="inlineStr">
        <is>
          <t>84.82%</t>
        </is>
      </c>
      <c r="N3111" s="3" t="n">
        <v>84.81999999999999</v>
      </c>
      <c r="O3111" t="n">
        <v>3.5</v>
      </c>
      <c r="P3111" t="n">
        <v>9</v>
      </c>
      <c r="R3111" t="inlineStr">
        <is>
          <t>InStock</t>
        </is>
      </c>
      <c r="S3111" t="inlineStr">
        <is>
          <t>34.95</t>
        </is>
      </c>
      <c r="T3111" t="inlineStr">
        <is>
          <t>AP0535</t>
        </is>
      </c>
    </row>
    <row r="3112" hidden="1" ht="15.75" customHeight="1">
      <c r="A3112" s="2">
        <f>HYPERLINK("https://www.soccerplususa.com/adidas/adidas-tiro-15-training-jacket-youth-7875", "https://www.soccerplususa.com/adidas/adidas-tiro-15-training-jacket-youth-7875")</f>
        <v/>
      </c>
      <c r="B3112" t="inlineStr">
        <is>
          <t>undefined</t>
        </is>
      </c>
      <c r="C3112" t="inlineStr">
        <is>
          <t>adidas Tiro 15 Training Jacket Youth</t>
        </is>
      </c>
      <c r="D3112" t="inlineStr">
        <is>
          <t>adidas mens Youth Tiro 17 Soccer Training Jacket</t>
        </is>
      </c>
      <c r="E3112" s="2">
        <f>HYPERLINK("https://www.amazon.com/Adidas-Soccer-Training-Jacket-Red-Black-White/dp/B01MG8Q0PJ/ref=sr_1_5?keywords=adidas+Tiro+15+Training+Jacket+Youth&amp;qid=1695171217&amp;sr=8-5", "https://www.amazon.com/Adidas-Soccer-Training-Jacket-Red-Black-White/dp/B01MG8Q0PJ/ref=sr_1_5?keywords=adidas+Tiro+15+Training+Jacket+Youth&amp;qid=1695171217&amp;sr=8-5")</f>
        <v/>
      </c>
      <c r="F3112" t="inlineStr">
        <is>
          <t>B01MG8Q0PJ</t>
        </is>
      </c>
      <c r="G3112">
        <f>_xludf.IMAGE("https://www.soccerplususa.com/prodimages/1954-DEFAULT-l.jpg")</f>
        <v/>
      </c>
      <c r="H3112">
        <f>_xludf.IMAGE("https://m.media-amazon.com/images/I/71vhAIEa4+L._AC_UL320_.jpg")</f>
        <v/>
      </c>
      <c r="K3112" t="inlineStr">
        <is>
          <t>30.0</t>
        </is>
      </c>
      <c r="L3112" t="n">
        <v>54.95</v>
      </c>
      <c r="M3112" s="1" t="inlineStr">
        <is>
          <t>83.17%</t>
        </is>
      </c>
      <c r="N3112" s="3" t="n">
        <v>83.17</v>
      </c>
      <c r="O3112" t="n">
        <v>3.6</v>
      </c>
      <c r="P3112" t="n">
        <v>37</v>
      </c>
      <c r="R3112" t="inlineStr">
        <is>
          <t>InStock</t>
        </is>
      </c>
      <c r="S3112" t="inlineStr">
        <is>
          <t>59.95</t>
        </is>
      </c>
      <c r="T3112" t="inlineStr">
        <is>
          <t>S22328</t>
        </is>
      </c>
    </row>
    <row r="3113" hidden="1" ht="15.75" customHeight="1">
      <c r="A3113" s="2">
        <f>HYPERLINK("https://www.soccerplususa.com/adidas/adidas-tiro-15-training-jacket-youth-7110", "https://www.soccerplususa.com/adidas/adidas-tiro-15-training-jacket-youth-7110")</f>
        <v/>
      </c>
      <c r="B3113" t="inlineStr">
        <is>
          <t>undefined</t>
        </is>
      </c>
      <c r="C3113" t="inlineStr">
        <is>
          <t>adidas Tiro 15 Training Jacket Youth</t>
        </is>
      </c>
      <c r="D3113" t="inlineStr">
        <is>
          <t>adidas mens Youth Tiro 17 Soccer Training Jacket</t>
        </is>
      </c>
      <c r="E3113" s="2">
        <f>HYPERLINK("https://www.amazon.com/Adidas-Soccer-Training-Jacket-Red-Black-White/dp/B01MG8Q0PJ/ref=sr_1_2?keywords=adidas+Tiro+15+Training+Jacket+Youth&amp;qid=1695171218&amp;sr=8-2", "https://www.amazon.com/Adidas-Soccer-Training-Jacket-Red-Black-White/dp/B01MG8Q0PJ/ref=sr_1_2?keywords=adidas+Tiro+15+Training+Jacket+Youth&amp;qid=1695171218&amp;sr=8-2")</f>
        <v/>
      </c>
      <c r="F3113" t="inlineStr">
        <is>
          <t>B01MG8Q0PJ</t>
        </is>
      </c>
      <c r="G3113">
        <f>_xludf.IMAGE("https://www.soccerplususa.com/prodimages/2008-DEFAULT-l.jpg")</f>
        <v/>
      </c>
      <c r="H3113">
        <f>_xludf.IMAGE("https://m.media-amazon.com/images/I/71vhAIEa4+L._AC_UL320_.jpg")</f>
        <v/>
      </c>
      <c r="K3113" t="inlineStr">
        <is>
          <t>30.0</t>
        </is>
      </c>
      <c r="L3113" t="n">
        <v>54.95</v>
      </c>
      <c r="M3113" s="1" t="inlineStr">
        <is>
          <t>83.17%</t>
        </is>
      </c>
      <c r="N3113" s="3" t="n">
        <v>83.17</v>
      </c>
      <c r="O3113" t="n">
        <v>3.6</v>
      </c>
      <c r="P3113" t="n">
        <v>37</v>
      </c>
      <c r="R3113" t="inlineStr">
        <is>
          <t>InStock</t>
        </is>
      </c>
      <c r="S3113" t="inlineStr">
        <is>
          <t>59.95</t>
        </is>
      </c>
      <c r="T3113" t="inlineStr">
        <is>
          <t>M64059</t>
        </is>
      </c>
    </row>
    <row r="3114" ht="75" customHeight="1">
      <c r="A3114" s="2">
        <f>HYPERLINK("https://www.soccerplususa.com/puma/puma-liga-training-jacket-35519", "https://www.soccerplususa.com/puma/puma-liga-training-jacket-35519")</f>
        <v/>
      </c>
      <c r="B3114" t="inlineStr">
        <is>
          <t>undefined</t>
        </is>
      </c>
      <c r="C3114" t="inlineStr">
        <is>
          <t>Puma Liga Training Jacket</t>
        </is>
      </c>
      <c r="D3114" t="inlineStr">
        <is>
          <t>PUMA Men's Liga Casuals Padded Jacket</t>
        </is>
      </c>
      <c r="E3114" s="2">
        <f>HYPERLINK("https://www.amazon.com/PUMA-Casuals-Padded-Electric-Lemonade/dp/B07DXXKLZG/ref=sr_1_10?keywords=Puma+Liga+Training+Jacket&amp;qid=1695171164&amp;sr=8-10", "https://www.amazon.com/PUMA-Casuals-Padded-Electric-Lemonade/dp/B07DXXKLZG/ref=sr_1_10?keywords=Puma+Liga+Training+Jacket&amp;qid=1695171164&amp;sr=8-10")</f>
        <v/>
      </c>
      <c r="F3114" t="inlineStr">
        <is>
          <t>B07DXXKLZG</t>
        </is>
      </c>
      <c r="G3114">
        <f>_xlfn.IMAGE("https://www.soccerplususa.com/prodimages/32207-DEFAULT-l.jpg")</f>
        <v/>
      </c>
      <c r="H3114">
        <f>_xlfn.IMAGE("https://m.media-amazon.com/images/I/61s8A+ujqCL._AC_UL320_.jpg")</f>
        <v/>
      </c>
      <c r="K3114" t="inlineStr">
        <is>
          <t>45.0</t>
        </is>
      </c>
      <c r="L3114" t="n">
        <v>81.01000000000001</v>
      </c>
      <c r="M3114" s="1" t="inlineStr">
        <is>
          <t>80.02%</t>
        </is>
      </c>
      <c r="N3114" s="3" t="n">
        <v>80.02</v>
      </c>
      <c r="O3114" t="n">
        <v>4.4</v>
      </c>
      <c r="P3114" t="n">
        <v>109</v>
      </c>
      <c r="R3114" t="inlineStr">
        <is>
          <t>InStock</t>
        </is>
      </c>
      <c r="S3114" t="inlineStr">
        <is>
          <t>59.95</t>
        </is>
      </c>
      <c r="T3114" t="inlineStr">
        <is>
          <t>655687-02</t>
        </is>
      </c>
    </row>
    <row r="3115" hidden="1" ht="15.75" customHeight="1">
      <c r="A3115" s="2">
        <f>HYPERLINK("https://www.soccerplususa.com/adidas/adidas-regista-16-jersey-4147", "https://www.soccerplususa.com/adidas/adidas-regista-16-jersey-4147")</f>
        <v/>
      </c>
      <c r="B3115" t="inlineStr">
        <is>
          <t>undefined</t>
        </is>
      </c>
      <c r="C3115" t="inlineStr">
        <is>
          <t>adidas Regista 16 Jersey</t>
        </is>
      </c>
      <c r="D3115" t="inlineStr">
        <is>
          <t>adidas Mens Regista 16 Soccer Jersey</t>
        </is>
      </c>
      <c r="E3115" s="2">
        <f>HYPERLINK("https://www.amazon.com/adidas-Regista-Soccer-Jersey-Black-White/dp/B018666YJ0/ref=sr_1_2?keywords=adidas+Regista+16+Jersey&amp;qid=1695171233&amp;sr=8-2", "https://www.amazon.com/adidas-Regista-Soccer-Jersey-Black-White/dp/B018666YJ0/ref=sr_1_2?keywords=adidas+Regista+16+Jersey&amp;qid=1695171233&amp;sr=8-2")</f>
        <v/>
      </c>
      <c r="F3115" t="inlineStr">
        <is>
          <t>B018666YJ0</t>
        </is>
      </c>
      <c r="G3115">
        <f>_xludf.IMAGE("https://www.soccerplususa.com/prodimages/7616-DEFAULT-l.jpg")</f>
        <v/>
      </c>
      <c r="H3115">
        <f>_xludf.IMAGE("https://m.media-amazon.com/images/I/71nBc5U8ysL._AC_UL320_.jpg")</f>
        <v/>
      </c>
      <c r="K3115" t="inlineStr">
        <is>
          <t>17.5</t>
        </is>
      </c>
      <c r="L3115" t="n">
        <v>31.42</v>
      </c>
      <c r="M3115" s="1" t="inlineStr">
        <is>
          <t>79.54%</t>
        </is>
      </c>
      <c r="N3115" s="3" t="n">
        <v>79.54000000000001</v>
      </c>
      <c r="O3115" t="n">
        <v>3.5</v>
      </c>
      <c r="P3115" t="n">
        <v>9</v>
      </c>
      <c r="R3115" t="inlineStr">
        <is>
          <t>InStock</t>
        </is>
      </c>
      <c r="S3115" t="inlineStr">
        <is>
          <t>34.95</t>
        </is>
      </c>
      <c r="T3115" t="inlineStr">
        <is>
          <t>AP0529</t>
        </is>
      </c>
    </row>
    <row r="3116" ht="75" customHeight="1">
      <c r="A3116" s="2">
        <f>HYPERLINK("https://www.soccerplususa.com/nike/nike-park-vi-jersey-39538", "https://www.soccerplususa.com/nike/nike-park-vi-jersey-39538")</f>
        <v/>
      </c>
      <c r="B3116" t="inlineStr">
        <is>
          <t>undefined</t>
        </is>
      </c>
      <c r="C3116" t="inlineStr">
        <is>
          <t>Nike Park VI Jersey</t>
        </is>
      </c>
      <c r="D3116" t="inlineStr">
        <is>
          <t>Nike Mens Park VII Soccer Jersey</t>
        </is>
      </c>
      <c r="E3116" s="2">
        <f>HYPERLINK("https://www.amazon.com/Nike-Mens-Park-Jersey-X-Large/dp/B08NY2B7VY/ref=sr_1_9?keywords=Nike+Park+VI+Jersey&amp;qid=1695171168&amp;sr=8-9", "https://www.amazon.com/Nike-Mens-Park-Jersey-X-Large/dp/B08NY2B7VY/ref=sr_1_9?keywords=Nike+Park+VI+Jersey&amp;qid=1695171168&amp;sr=8-9")</f>
        <v/>
      </c>
      <c r="F3116" t="inlineStr">
        <is>
          <t>B08NY2B7VY</t>
        </is>
      </c>
      <c r="G3116">
        <f>_xlfn.IMAGE("https://www.soccerplususa.com/prodimages/32891-DEFAULT-l.jpg")</f>
        <v/>
      </c>
      <c r="H3116">
        <f>_xlfn.IMAGE("https://m.media-amazon.com/images/I/51sxf+1TT+L._AC_UL320_.jpg")</f>
        <v/>
      </c>
      <c r="K3116" t="inlineStr">
        <is>
          <t>14.99</t>
        </is>
      </c>
      <c r="L3116" t="n">
        <v>26.89</v>
      </c>
      <c r="M3116" s="1" t="inlineStr">
        <is>
          <t>79.39%</t>
        </is>
      </c>
      <c r="N3116" s="3" t="n">
        <v>79.39</v>
      </c>
      <c r="O3116" t="n">
        <v>4.4</v>
      </c>
      <c r="P3116" t="n">
        <v>2268</v>
      </c>
      <c r="R3116" t="inlineStr">
        <is>
          <t>InStock</t>
        </is>
      </c>
      <c r="S3116" t="inlineStr">
        <is>
          <t>19.95</t>
        </is>
      </c>
      <c r="T3116" t="inlineStr">
        <is>
          <t>899915-100</t>
        </is>
      </c>
    </row>
    <row r="3117" ht="75" customHeight="1">
      <c r="A3117" s="2">
        <f>HYPERLINK("https://www.soccerplususa.com/adidas/adidas-tabela-18-jersey-youth-5111", "https://www.soccerplususa.com/adidas/adidas-tabela-18-jersey-youth-5111")</f>
        <v/>
      </c>
      <c r="B3117" t="inlineStr">
        <is>
          <t>undefined</t>
        </is>
      </c>
      <c r="C3117" t="inlineStr">
        <is>
          <t>adidas Tabela 18 Jersey Youth</t>
        </is>
      </c>
      <c r="D3117" t="inlineStr">
        <is>
          <t>adidas Performance Boys Youth Tabela 14 Short Sleeve Jersey</t>
        </is>
      </c>
      <c r="E3117" s="2">
        <f>HYPERLINK("https://www.amazon.com/adidas-Performance-Tabela-Jersey-X-Large/dp/B00J2GYF1I/ref=sr_1_4?keywords=adidas+Tabela+18+Jersey+Youth&amp;qid=1695171222&amp;sr=8-4", "https://www.amazon.com/adidas-Performance-Tabela-Jersey-X-Large/dp/B00J2GYF1I/ref=sr_1_4?keywords=adidas+Tabela+18+Jersey+Youth&amp;qid=1695171222&amp;sr=8-4")</f>
        <v/>
      </c>
      <c r="F3117" t="inlineStr">
        <is>
          <t>B00J2GYF1I</t>
        </is>
      </c>
      <c r="G3117">
        <f>_xlfn.IMAGE("https://www.soccerplususa.com/prodimages//31714-YELLOW-M.jpg")</f>
        <v/>
      </c>
      <c r="H3117">
        <f>_xlfn.IMAGE("https://m.media-amazon.com/images/I/91YNKoolA4L._AC_UL320_.jpg")</f>
        <v/>
      </c>
      <c r="K3117" t="inlineStr">
        <is>
          <t>18.99</t>
        </is>
      </c>
      <c r="L3117" t="n">
        <v>34</v>
      </c>
      <c r="M3117" s="1" t="inlineStr">
        <is>
          <t>79.04%</t>
        </is>
      </c>
      <c r="N3117" s="3" t="n">
        <v>79.04000000000001</v>
      </c>
      <c r="O3117" t="n">
        <v>4.5</v>
      </c>
      <c r="P3117" t="n">
        <v>22</v>
      </c>
      <c r="R3117" t="inlineStr">
        <is>
          <t>InStock</t>
        </is>
      </c>
      <c r="S3117" t="inlineStr">
        <is>
          <t>24.95</t>
        </is>
      </c>
      <c r="T3117" t="inlineStr">
        <is>
          <t>CE8921</t>
        </is>
      </c>
    </row>
    <row r="3118" ht="75" customHeight="1">
      <c r="A3118" s="2">
        <f>HYPERLINK("https://www.soccerplususa.com/adidas/adidas-tabela-18-jersey-youth-33803", "https://www.soccerplususa.com/adidas/adidas-tabela-18-jersey-youth-33803")</f>
        <v/>
      </c>
      <c r="B3118" t="inlineStr">
        <is>
          <t>undefined</t>
        </is>
      </c>
      <c r="C3118" t="inlineStr">
        <is>
          <t>adidas Tabela 18 Jersey Youth</t>
        </is>
      </c>
      <c r="D3118" t="inlineStr">
        <is>
          <t>adidas Performance Boys Youth Tabela 14 Short Sleeve Jersey</t>
        </is>
      </c>
      <c r="E3118" s="2">
        <f>HYPERLINK("https://www.amazon.com/adidas-Performance-Tabela-Jersey-X-Large/dp/B00J2GYF1I/ref=sr_1_4?keywords=adidas+Tabela+18+Jersey+Youth&amp;qid=1695171168&amp;sr=8-4", "https://www.amazon.com/adidas-Performance-Tabela-Jersey-X-Large/dp/B00J2GYF1I/ref=sr_1_4?keywords=adidas+Tabela+18+Jersey+Youth&amp;qid=1695171168&amp;sr=8-4")</f>
        <v/>
      </c>
      <c r="F3118" t="inlineStr">
        <is>
          <t>B00J2GYF1I</t>
        </is>
      </c>
      <c r="G3118">
        <f>_xlfn.IMAGE("https://www.soccerplususa.com/prodimages//35354-WHITE-M.jpg")</f>
        <v/>
      </c>
      <c r="H3118">
        <f>_xlfn.IMAGE("https://m.media-amazon.com/images/I/91YNKoolA4L._AC_UL320_.jpg")</f>
        <v/>
      </c>
      <c r="K3118" t="inlineStr">
        <is>
          <t>18.99</t>
        </is>
      </c>
      <c r="L3118" t="n">
        <v>34</v>
      </c>
      <c r="M3118" s="1" t="inlineStr">
        <is>
          <t>79.04%</t>
        </is>
      </c>
      <c r="N3118" s="3" t="n">
        <v>79.04000000000001</v>
      </c>
      <c r="O3118" t="n">
        <v>4.5</v>
      </c>
      <c r="P3118" t="n">
        <v>22</v>
      </c>
      <c r="R3118" t="inlineStr">
        <is>
          <t>InStock</t>
        </is>
      </c>
      <c r="S3118" t="inlineStr">
        <is>
          <t>24.95</t>
        </is>
      </c>
      <c r="T3118" t="inlineStr">
        <is>
          <t>CE8919</t>
        </is>
      </c>
    </row>
    <row r="3119" ht="75" customHeight="1">
      <c r="A3119" s="2">
        <f>HYPERLINK("https://www.soccerplususa.com/adidas/adidas-tabela-18-jersey-youth-5109", "https://www.soccerplususa.com/adidas/adidas-tabela-18-jersey-youth-5109")</f>
        <v/>
      </c>
      <c r="B3119" t="inlineStr">
        <is>
          <t>undefined</t>
        </is>
      </c>
      <c r="C3119" t="inlineStr">
        <is>
          <t>adidas Tabela 18 Jersey Youth</t>
        </is>
      </c>
      <c r="D3119" t="inlineStr">
        <is>
          <t>adidas Performance Boys Youth Tabela 14 Short Sleeve Jersey</t>
        </is>
      </c>
      <c r="E3119" s="2">
        <f>HYPERLINK("https://www.amazon.com/adidas-Performance-Tabela-Jersey-X-Large/dp/B00J2GYF1I/ref=sr_1_6?keywords=adidas+Tabela+18+Jersey+Youth&amp;qid=1695171237&amp;sr=8-6", "https://www.amazon.com/adidas-Performance-Tabela-Jersey-X-Large/dp/B00J2GYF1I/ref=sr_1_6?keywords=adidas+Tabela+18+Jersey+Youth&amp;qid=1695171237&amp;sr=8-6")</f>
        <v/>
      </c>
      <c r="F3119" t="inlineStr">
        <is>
          <t>B00J2GYF1I</t>
        </is>
      </c>
      <c r="G3119">
        <f>_xlfn.IMAGE("https://www.soccerplususa.com/prodimages//31738-BLACK-M.jpg")</f>
        <v/>
      </c>
      <c r="H3119">
        <f>_xlfn.IMAGE("https://m.media-amazon.com/images/I/91YNKoolA4L._AC_UL320_.jpg")</f>
        <v/>
      </c>
      <c r="K3119" t="inlineStr">
        <is>
          <t>18.99</t>
        </is>
      </c>
      <c r="L3119" t="n">
        <v>34</v>
      </c>
      <c r="M3119" s="1" t="inlineStr">
        <is>
          <t>79.04%</t>
        </is>
      </c>
      <c r="N3119" s="3" t="n">
        <v>79.04000000000001</v>
      </c>
      <c r="O3119" t="n">
        <v>4.5</v>
      </c>
      <c r="P3119" t="n">
        <v>22</v>
      </c>
      <c r="R3119" t="inlineStr">
        <is>
          <t>InStock</t>
        </is>
      </c>
      <c r="S3119" t="inlineStr">
        <is>
          <t>24.95</t>
        </is>
      </c>
      <c r="T3119" t="inlineStr">
        <is>
          <t>CE8918</t>
        </is>
      </c>
    </row>
    <row r="3120" ht="75" customHeight="1">
      <c r="A3120" s="2">
        <f>HYPERLINK("https://www.soccerplususa.com/adidas/adidas-tabela-18-jersey-youth-33801", "https://www.soccerplususa.com/adidas/adidas-tabela-18-jersey-youth-33801")</f>
        <v/>
      </c>
      <c r="B3120" t="inlineStr">
        <is>
          <t>undefined</t>
        </is>
      </c>
      <c r="C3120" t="inlineStr">
        <is>
          <t>adidas Tabela 18 Jersey Youth</t>
        </is>
      </c>
      <c r="D3120" t="inlineStr">
        <is>
          <t>adidas Performance Boys Youth Tabela 14 Short Sleeve Jersey</t>
        </is>
      </c>
      <c r="E3120" s="2">
        <f>HYPERLINK("https://www.amazon.com/adidas-Performance-Tabela-Jersey-X-Large/dp/B00J2GYF1I/ref=sr_1_4?keywords=adidas+Tabela+18+Jersey+Youth&amp;qid=1695171174&amp;sr=8-4", "https://www.amazon.com/adidas-Performance-Tabela-Jersey-X-Large/dp/B00J2GYF1I/ref=sr_1_4?keywords=adidas+Tabela+18+Jersey+Youth&amp;qid=1695171174&amp;sr=8-4")</f>
        <v/>
      </c>
      <c r="F3120" t="inlineStr">
        <is>
          <t>B00J2GYF1I</t>
        </is>
      </c>
      <c r="G3120">
        <f>_xlfn.IMAGE("https://www.soccerplususa.com/prodimages//35352-REDWHITE-M.jpg")</f>
        <v/>
      </c>
      <c r="H3120">
        <f>_xlfn.IMAGE("https://m.media-amazon.com/images/I/91YNKoolA4L._AC_UL320_.jpg")</f>
        <v/>
      </c>
      <c r="K3120" t="inlineStr">
        <is>
          <t>18.99</t>
        </is>
      </c>
      <c r="L3120" t="n">
        <v>34</v>
      </c>
      <c r="M3120" s="1" t="inlineStr">
        <is>
          <t>79.04%</t>
        </is>
      </c>
      <c r="N3120" s="3" t="n">
        <v>79.04000000000001</v>
      </c>
      <c r="O3120" t="n">
        <v>4.5</v>
      </c>
      <c r="P3120" t="n">
        <v>22</v>
      </c>
      <c r="R3120" t="inlineStr">
        <is>
          <t>InStock</t>
        </is>
      </c>
      <c r="S3120" t="inlineStr">
        <is>
          <t>24.95</t>
        </is>
      </c>
      <c r="T3120" t="inlineStr">
        <is>
          <t>CE8914</t>
        </is>
      </c>
    </row>
    <row r="3121" ht="75" customHeight="1">
      <c r="A3121" s="2">
        <f>HYPERLINK("https://www.soccerplususa.com/adidas/adidas-tabela-18-jersey-youth-5110", "https://www.soccerplususa.com/adidas/adidas-tabela-18-jersey-youth-5110")</f>
        <v/>
      </c>
      <c r="B3121" t="inlineStr">
        <is>
          <t>undefined</t>
        </is>
      </c>
      <c r="C3121" t="inlineStr">
        <is>
          <t>adidas Tabela 18 Jersey Youth</t>
        </is>
      </c>
      <c r="D3121" t="inlineStr">
        <is>
          <t>adidas Performance Boys Youth Tabela 14 Short Sleeve Jersey</t>
        </is>
      </c>
      <c r="E3121" s="2">
        <f>HYPERLINK("https://www.amazon.com/adidas-Performance-Tabela-Jersey-X-Large/dp/B00J2GYF1I/ref=sr_1_6?keywords=adidas+Tabela+18+Jersey+Youth&amp;qid=1695171223&amp;sr=8-6", "https://www.amazon.com/adidas-Performance-Tabela-Jersey-X-Large/dp/B00J2GYF1I/ref=sr_1_6?keywords=adidas+Tabela+18+Jersey+Youth&amp;qid=1695171223&amp;sr=8-6")</f>
        <v/>
      </c>
      <c r="F3121" t="inlineStr">
        <is>
          <t>B00J2GYF1I</t>
        </is>
      </c>
      <c r="G3121">
        <f>_xlfn.IMAGE("https://www.soccerplususa.com/prodimages//31722-GRAY-M.jpg")</f>
        <v/>
      </c>
      <c r="H3121">
        <f>_xlfn.IMAGE("https://m.media-amazon.com/images/I/91YNKoolA4L._AC_UL320_.jpg")</f>
        <v/>
      </c>
      <c r="K3121" t="inlineStr">
        <is>
          <t>18.99</t>
        </is>
      </c>
      <c r="L3121" t="n">
        <v>34</v>
      </c>
      <c r="M3121" s="1" t="inlineStr">
        <is>
          <t>79.04%</t>
        </is>
      </c>
      <c r="N3121" s="3" t="n">
        <v>79.04000000000001</v>
      </c>
      <c r="O3121" t="n">
        <v>4.5</v>
      </c>
      <c r="P3121" t="n">
        <v>22</v>
      </c>
      <c r="R3121" t="inlineStr">
        <is>
          <t>InStock</t>
        </is>
      </c>
      <c r="S3121" t="inlineStr">
        <is>
          <t>24.95</t>
        </is>
      </c>
      <c r="T3121" t="inlineStr">
        <is>
          <t>CE8920</t>
        </is>
      </c>
    </row>
    <row r="3122" ht="75" customHeight="1">
      <c r="A3122" s="2">
        <f>HYPERLINK("https://www.soccerplususa.com/nike/nike-epic-training-jacket-youth-24431", "https://www.soccerplususa.com/nike/nike-epic-training-jacket-youth-24431")</f>
        <v/>
      </c>
      <c r="B3122" t="inlineStr">
        <is>
          <t>undefined</t>
        </is>
      </c>
      <c r="C3122" t="inlineStr">
        <is>
          <t>Nike Epic Training Jacket Youth</t>
        </is>
      </c>
      <c r="D3122" t="inlineStr">
        <is>
          <t>Nike Dri-FIT Epic Men's Full-Zip Knit Training Jacket</t>
        </is>
      </c>
      <c r="E3122" s="2">
        <f>HYPERLINK("https://www.amazon.com/Nike-Dri-FIT-Full-Zip-Training-Jacket/dp/B0B7CRZWK9/ref=sr_1_7?keywords=Nike+Epic+Training+Jacket+Youth&amp;qid=1695171179&amp;sr=8-7", "https://www.amazon.com/Nike-Dri-FIT-Full-Zip-Training-Jacket/dp/B0B7CRZWK9/ref=sr_1_7?keywords=Nike+Epic+Training+Jacket+Youth&amp;qid=1695171179&amp;sr=8-7")</f>
        <v/>
      </c>
      <c r="F3122" t="inlineStr">
        <is>
          <t>B0B7CRZWK9</t>
        </is>
      </c>
      <c r="G3122">
        <f>_xlfn.IMAGE("https://www.soccerplususa.com/prodimages/6288-DEFAULT-l.jpg")</f>
        <v/>
      </c>
      <c r="H3122">
        <f>_xlfn.IMAGE("https://m.media-amazon.com/images/I/51VlXS8UzhL._AC_UL320_.jpg")</f>
        <v/>
      </c>
      <c r="K3122" t="inlineStr">
        <is>
          <t>36.99</t>
        </is>
      </c>
      <c r="L3122" t="n">
        <v>66</v>
      </c>
      <c r="M3122" s="1" t="inlineStr">
        <is>
          <t>78.43%</t>
        </is>
      </c>
      <c r="N3122" s="3" t="n">
        <v>78.43000000000001</v>
      </c>
      <c r="O3122" t="n">
        <v>4.8</v>
      </c>
      <c r="P3122" t="n">
        <v>17</v>
      </c>
      <c r="R3122" t="inlineStr">
        <is>
          <t>InStock</t>
        </is>
      </c>
      <c r="S3122" t="inlineStr">
        <is>
          <t>49.95</t>
        </is>
      </c>
      <c r="T3122" t="inlineStr">
        <is>
          <t>836306-494</t>
        </is>
      </c>
    </row>
    <row r="3123" ht="75" customHeight="1">
      <c r="A3123" s="2">
        <f>HYPERLINK("https://www.soccerplususa.com/adidas/adidas-tiro-17-jersey-4871", "https://www.soccerplususa.com/adidas/adidas-tiro-17-jersey-4871")</f>
        <v/>
      </c>
      <c r="B3123" t="inlineStr">
        <is>
          <t>undefined</t>
        </is>
      </c>
      <c r="C3123" t="inlineStr">
        <is>
          <t>adidas Tiro 17 Jersey</t>
        </is>
      </c>
      <c r="D3123" t="inlineStr">
        <is>
          <t>adidas Men's Tiro 23 Jersey</t>
        </is>
      </c>
      <c r="E3123" s="2">
        <f>HYPERLINK("https://www.amazon.com/adidas-Jersey-Shirt-Black-X-Small/dp/B09YG5GTJB/ref=sr_1_2?keywords=adidas+Tiro+17+Jersey&amp;qid=1695171224&amp;sr=8-2", "https://www.amazon.com/adidas-Jersey-Shirt-Black-X-Small/dp/B09YG5GTJB/ref=sr_1_2?keywords=adidas+Tiro+17+Jersey&amp;qid=1695171224&amp;sr=8-2")</f>
        <v/>
      </c>
      <c r="F3123" t="inlineStr">
        <is>
          <t>B09YG5GTJB</t>
        </is>
      </c>
      <c r="G3123">
        <f>_xlfn.IMAGE("https://www.soccerplususa.com/prodimages/31717-DEFAULT-l.jpg")</f>
        <v/>
      </c>
      <c r="H3123">
        <f>_xlfn.IMAGE("https://m.media-amazon.com/images/I/410bSxr-tiL._AC_UL320_.jpg")</f>
        <v/>
      </c>
      <c r="K3123" t="inlineStr">
        <is>
          <t>20.0</t>
        </is>
      </c>
      <c r="L3123" t="n">
        <v>35</v>
      </c>
      <c r="M3123" s="1" t="inlineStr">
        <is>
          <t>75.00%</t>
        </is>
      </c>
      <c r="N3123" s="3" t="n">
        <v>75</v>
      </c>
      <c r="O3123" t="n">
        <v>4.6</v>
      </c>
      <c r="P3123" t="n">
        <v>46</v>
      </c>
      <c r="R3123" t="inlineStr">
        <is>
          <t>InStock</t>
        </is>
      </c>
      <c r="S3123" t="inlineStr">
        <is>
          <t>39.95</t>
        </is>
      </c>
      <c r="T3123" t="inlineStr">
        <is>
          <t>BK5439</t>
        </is>
      </c>
    </row>
    <row r="3124" ht="75" customHeight="1">
      <c r="A3124" s="2">
        <f>HYPERLINK("https://www.soccerplususa.com/adidas/adidas-tiro-13-jersey-8642", "https://www.soccerplususa.com/adidas/adidas-tiro-13-jersey-8642")</f>
        <v/>
      </c>
      <c r="B3124" t="inlineStr">
        <is>
          <t>undefined</t>
        </is>
      </c>
      <c r="C3124" t="inlineStr">
        <is>
          <t>adidas Tiro 13 Jersey</t>
        </is>
      </c>
      <c r="D3124" t="inlineStr">
        <is>
          <t>adidas Men's Tiro 13 Training Jacket</t>
        </is>
      </c>
      <c r="E3124" s="2">
        <f>HYPERLINK("https://www.amazon.com/adidas-Training-Jacket-White-Medium/dp/B00CEFSM0Y/ref=sr_1_1?keywords=adidas+Tiro+13+Jersey&amp;qid=1695171197&amp;sr=8-1", "https://www.amazon.com/adidas-Training-Jacket-White-Medium/dp/B00CEFSM0Y/ref=sr_1_1?keywords=adidas+Tiro+13+Jersey&amp;qid=1695171197&amp;sr=8-1")</f>
        <v/>
      </c>
      <c r="F3124" t="inlineStr">
        <is>
          <t>B00CEFSM0Y</t>
        </is>
      </c>
      <c r="G3124">
        <f>_xlfn.IMAGE("https://www.soccerplususa.com/prodimages/3217-DEFAULT-l.jpg")</f>
        <v/>
      </c>
      <c r="H3124">
        <f>_xlfn.IMAGE("https://m.media-amazon.com/images/I/71n8r8VqWZL._AC_UL320_.jpg")</f>
        <v/>
      </c>
      <c r="K3124" t="inlineStr">
        <is>
          <t>20.0</t>
        </is>
      </c>
      <c r="L3124" t="n">
        <v>35</v>
      </c>
      <c r="M3124" s="1" t="inlineStr">
        <is>
          <t>75.00%</t>
        </is>
      </c>
      <c r="N3124" s="3" t="n">
        <v>75</v>
      </c>
      <c r="O3124" t="n">
        <v>4.5</v>
      </c>
      <c r="P3124" t="n">
        <v>15</v>
      </c>
      <c r="R3124" t="inlineStr">
        <is>
          <t>InStock</t>
        </is>
      </c>
      <c r="S3124" t="inlineStr">
        <is>
          <t>39.95</t>
        </is>
      </c>
      <c r="T3124" t="inlineStr">
        <is>
          <t>W53887</t>
        </is>
      </c>
    </row>
    <row r="3125" ht="75" customHeight="1">
      <c r="A3125" s="2">
        <f>HYPERLINK("https://www.soccerplususa.com/adidas/adidas-tiro-13-jersey-9163", "https://www.soccerplususa.com/adidas/adidas-tiro-13-jersey-9163")</f>
        <v/>
      </c>
      <c r="B3125" t="inlineStr">
        <is>
          <t>undefined</t>
        </is>
      </c>
      <c r="C3125" t="inlineStr">
        <is>
          <t>adidas Tiro 13 Jersey</t>
        </is>
      </c>
      <c r="D3125" t="inlineStr">
        <is>
          <t>adidas Men's Tiro 13 Training Jacket</t>
        </is>
      </c>
      <c r="E3125" s="2">
        <f>HYPERLINK("https://www.amazon.com/adidas-Training-Jacket-White-Medium/dp/B00CEFSM0Y/ref=sr_1_1?keywords=adidas+Tiro+13+Jersey&amp;qid=1695171187&amp;sr=8-1", "https://www.amazon.com/adidas-Training-Jacket-White-Medium/dp/B00CEFSM0Y/ref=sr_1_1?keywords=adidas+Tiro+13+Jersey&amp;qid=1695171187&amp;sr=8-1")</f>
        <v/>
      </c>
      <c r="F3125" t="inlineStr">
        <is>
          <t>B00CEFSM0Y</t>
        </is>
      </c>
      <c r="G3125">
        <f>_xlfn.IMAGE("https://www.soccerplususa.com/prodimages/3224-DEFAULT-l.jpg")</f>
        <v/>
      </c>
      <c r="H3125">
        <f>_xlfn.IMAGE("https://m.media-amazon.com/images/I/71n8r8VqWZL._AC_UL320_.jpg")</f>
        <v/>
      </c>
      <c r="K3125" t="inlineStr">
        <is>
          <t>20.0</t>
        </is>
      </c>
      <c r="L3125" t="n">
        <v>35</v>
      </c>
      <c r="M3125" s="1" t="inlineStr">
        <is>
          <t>75.00%</t>
        </is>
      </c>
      <c r="N3125" s="3" t="n">
        <v>75</v>
      </c>
      <c r="O3125" t="n">
        <v>4.5</v>
      </c>
      <c r="P3125" t="n">
        <v>15</v>
      </c>
      <c r="R3125" t="inlineStr">
        <is>
          <t>InStock</t>
        </is>
      </c>
      <c r="S3125" t="inlineStr">
        <is>
          <t>39.95</t>
        </is>
      </c>
      <c r="T3125" t="inlineStr">
        <is>
          <t>Z69160</t>
        </is>
      </c>
    </row>
    <row r="3126" ht="75" customHeight="1">
      <c r="A3126" s="2">
        <f>HYPERLINK("https://www.soccerplususa.com/adidas/adidas-tiro-13-jersey-8992", "https://www.soccerplususa.com/adidas/adidas-tiro-13-jersey-8992")</f>
        <v/>
      </c>
      <c r="B3126" t="inlineStr">
        <is>
          <t>undefined</t>
        </is>
      </c>
      <c r="C3126" t="inlineStr">
        <is>
          <t>adidas Tiro 13 Jersey</t>
        </is>
      </c>
      <c r="D3126" t="inlineStr">
        <is>
          <t>adidas Men's Tiro 13 Training Jacket</t>
        </is>
      </c>
      <c r="E3126" s="2">
        <f>HYPERLINK("https://www.amazon.com/adidas-Training-Jacket-White-Medium/dp/B00CEFSM0Y/ref=sr_1_1?keywords=adidas+Tiro+13+Jersey&amp;qid=1695171210&amp;sr=8-1", "https://www.amazon.com/adidas-Training-Jacket-White-Medium/dp/B00CEFSM0Y/ref=sr_1_1?keywords=adidas+Tiro+13+Jersey&amp;qid=1695171210&amp;sr=8-1")</f>
        <v/>
      </c>
      <c r="F3126" t="inlineStr">
        <is>
          <t>B00CEFSM0Y</t>
        </is>
      </c>
      <c r="G3126">
        <f>_xlfn.IMAGE("https://www.soccerplususa.com/prodimages/10768-DEFAULT-l.jpg")</f>
        <v/>
      </c>
      <c r="H3126">
        <f>_xlfn.IMAGE("https://m.media-amazon.com/images/I/71n8r8VqWZL._AC_UL320_.jpg")</f>
        <v/>
      </c>
      <c r="K3126" t="inlineStr">
        <is>
          <t>20.0</t>
        </is>
      </c>
      <c r="L3126" t="n">
        <v>35</v>
      </c>
      <c r="M3126" s="1" t="inlineStr">
        <is>
          <t>75.00%</t>
        </is>
      </c>
      <c r="N3126" s="3" t="n">
        <v>75</v>
      </c>
      <c r="O3126" t="n">
        <v>4.5</v>
      </c>
      <c r="P3126" t="n">
        <v>15</v>
      </c>
      <c r="R3126" t="inlineStr">
        <is>
          <t>InStock</t>
        </is>
      </c>
      <c r="S3126" t="inlineStr">
        <is>
          <t>39.95</t>
        </is>
      </c>
      <c r="T3126" t="inlineStr">
        <is>
          <t>Z20252</t>
        </is>
      </c>
    </row>
    <row r="3127" ht="75" customHeight="1">
      <c r="A3127" s="2">
        <f>HYPERLINK("https://www.soccerplususa.com/adidas/adidas-tiro-17-jersey-womens-35760", "https://www.soccerplususa.com/adidas/adidas-tiro-17-jersey-womens-35760")</f>
        <v/>
      </c>
      <c r="B3127" t="inlineStr">
        <is>
          <t>undefined</t>
        </is>
      </c>
      <c r="C3127" t="inlineStr">
        <is>
          <t>adidas Tiro 17 Jersey Women's</t>
        </is>
      </c>
      <c r="D3127" t="inlineStr">
        <is>
          <t>adidas Tiro 19 Jersey- Women's Soccer M Dark Grey/White</t>
        </is>
      </c>
      <c r="E3127" s="2">
        <f>HYPERLINK("https://www.amazon.com/adidas-Jersey-Womens-Soccer-White/dp/B07H3VS5D7/ref=sr_1_9?keywords=adidas+Tiro+17+Jersey+Womens&amp;qid=1695171224&amp;sr=8-9", "https://www.amazon.com/adidas-Jersey-Womens-Soccer-White/dp/B07H3VS5D7/ref=sr_1_9?keywords=adidas+Tiro+17+Jersey+Womens&amp;qid=1695171224&amp;sr=8-9")</f>
        <v/>
      </c>
      <c r="F3127" t="inlineStr">
        <is>
          <t>B07H3VS5D7</t>
        </is>
      </c>
      <c r="G3127">
        <f>_xlfn.IMAGE("https://www.soccerplususa.com/prodimages/9819-DEFAULT-l.jpg")</f>
        <v/>
      </c>
      <c r="H3127">
        <f>_xlfn.IMAGE("https://m.media-amazon.com/images/I/61ASNTLz-dL._AC_UL320_.jpg")</f>
        <v/>
      </c>
      <c r="K3127" t="inlineStr">
        <is>
          <t>20.0</t>
        </is>
      </c>
      <c r="L3127" t="n">
        <v>34.98</v>
      </c>
      <c r="M3127" s="1" t="inlineStr">
        <is>
          <t>74.90%</t>
        </is>
      </c>
      <c r="N3127" s="3" t="n">
        <v>74.90000000000001</v>
      </c>
      <c r="O3127" t="n">
        <v>5</v>
      </c>
      <c r="P3127" t="n">
        <v>3</v>
      </c>
      <c r="R3127" t="inlineStr">
        <is>
          <t>InStock</t>
        </is>
      </c>
      <c r="S3127" t="inlineStr">
        <is>
          <t>39.95</t>
        </is>
      </c>
      <c r="T3127" t="inlineStr">
        <is>
          <t>BJ9096</t>
        </is>
      </c>
    </row>
    <row r="3128" ht="75" customHeight="1">
      <c r="A3128" s="2">
        <f>HYPERLINK("https://www.soccerplususa.com/adidas/adidas-tiro-15-jersey-womens-7896", "https://www.soccerplususa.com/adidas/adidas-tiro-15-jersey-womens-7896")</f>
        <v/>
      </c>
      <c r="B3128" t="inlineStr">
        <is>
          <t>undefined</t>
        </is>
      </c>
      <c r="C3128" t="inlineStr">
        <is>
          <t>adidas Tiro 15 Jersey Women's</t>
        </is>
      </c>
      <c r="D3128" t="inlineStr">
        <is>
          <t>adidas Tiro 19 Jersey- Women's Soccer M Dark Grey/White</t>
        </is>
      </c>
      <c r="E3128" s="2">
        <f>HYPERLINK("https://www.amazon.com/adidas-Jersey-Womens-Soccer-White/dp/B07H3VS5D7/ref=sr_1_2?keywords=adidas+Tiro+15+Jersey+Womens&amp;qid=1695171238&amp;sr=8-2", "https://www.amazon.com/adidas-Jersey-Womens-Soccer-White/dp/B07H3VS5D7/ref=sr_1_2?keywords=adidas+Tiro+15+Jersey+Womens&amp;qid=1695171238&amp;sr=8-2")</f>
        <v/>
      </c>
      <c r="F3128" t="inlineStr">
        <is>
          <t>B07H3VS5D7</t>
        </is>
      </c>
      <c r="G3128">
        <f>_xlfn.IMAGE("https://www.soccerplususa.com/prodimages/10575-DEFAULT-l.jpg")</f>
        <v/>
      </c>
      <c r="H3128">
        <f>_xlfn.IMAGE("https://m.media-amazon.com/images/I/61ASNTLz-dL._AC_UL320_.jpg")</f>
        <v/>
      </c>
      <c r="K3128" t="inlineStr">
        <is>
          <t>20.0</t>
        </is>
      </c>
      <c r="L3128" t="n">
        <v>34.98</v>
      </c>
      <c r="M3128" s="1" t="inlineStr">
        <is>
          <t>74.90%</t>
        </is>
      </c>
      <c r="N3128" s="3" t="n">
        <v>74.90000000000001</v>
      </c>
      <c r="O3128" t="n">
        <v>5</v>
      </c>
      <c r="P3128" t="n">
        <v>3</v>
      </c>
      <c r="R3128" t="inlineStr">
        <is>
          <t>InStock</t>
        </is>
      </c>
      <c r="S3128" t="inlineStr">
        <is>
          <t>39.95</t>
        </is>
      </c>
      <c r="T3128" t="inlineStr">
        <is>
          <t>S22413</t>
        </is>
      </c>
    </row>
    <row r="3129" ht="75" customHeight="1">
      <c r="A3129" s="2">
        <f>HYPERLINK("https://www.soccerplususa.com/adidas/adidas-tiro-15-jersey-7887", "https://www.soccerplususa.com/adidas/adidas-tiro-15-jersey-7887")</f>
        <v/>
      </c>
      <c r="B3129" t="inlineStr">
        <is>
          <t>undefined</t>
        </is>
      </c>
      <c r="C3129" t="inlineStr">
        <is>
          <t>adidas Tiro 15 Jersey</t>
        </is>
      </c>
      <c r="D3129" t="inlineStr">
        <is>
          <t>adidas Performance Youth Tiro 15 Three-Quarter Pant</t>
        </is>
      </c>
      <c r="E3129" s="2">
        <f>HYPERLINK("https://www.amazon.com/adidas-Performance-Three-Quarter-Small-Black/dp/B00LU8JMU0/ref=sr_1_4?keywords=adidas+Tiro+15+Jersey&amp;qid=1695171209&amp;sr=8-4", "https://www.amazon.com/adidas-Performance-Three-Quarter-Small-Black/dp/B00LU8JMU0/ref=sr_1_4?keywords=adidas+Tiro+15+Jersey&amp;qid=1695171209&amp;sr=8-4")</f>
        <v/>
      </c>
      <c r="F3129" t="inlineStr">
        <is>
          <t>B00LU8JMU0</t>
        </is>
      </c>
      <c r="G3129">
        <f>_xlfn.IMAGE("https://www.soccerplususa.com/prodimages/6309-DEFAULT-l.jpg")</f>
        <v/>
      </c>
      <c r="H3129">
        <f>_xlfn.IMAGE("https://m.media-amazon.com/images/I/81GyYh0GiZL._AC_UL320_.jpg")</f>
        <v/>
      </c>
      <c r="K3129" t="inlineStr">
        <is>
          <t>20.0</t>
        </is>
      </c>
      <c r="L3129" t="n">
        <v>34.95</v>
      </c>
      <c r="M3129" s="1" t="inlineStr">
        <is>
          <t>74.75%</t>
        </is>
      </c>
      <c r="N3129" s="3" t="n">
        <v>74.75</v>
      </c>
      <c r="O3129" t="n">
        <v>3.8</v>
      </c>
      <c r="P3129" t="n">
        <v>15</v>
      </c>
      <c r="R3129" t="inlineStr">
        <is>
          <t>InStock</t>
        </is>
      </c>
      <c r="S3129" t="inlineStr">
        <is>
          <t>40.0</t>
        </is>
      </c>
      <c r="T3129" t="inlineStr">
        <is>
          <t>S22362</t>
        </is>
      </c>
    </row>
    <row r="3130" ht="75" customHeight="1">
      <c r="A3130" s="2">
        <f>HYPERLINK("https://www.soccerplususa.com/adidas/adidas-tiro-15-jersey-7888", "https://www.soccerplususa.com/adidas/adidas-tiro-15-jersey-7888")</f>
        <v/>
      </c>
      <c r="B3130" t="inlineStr">
        <is>
          <t>undefined</t>
        </is>
      </c>
      <c r="C3130" t="inlineStr">
        <is>
          <t>adidas Tiro 15 Jersey</t>
        </is>
      </c>
      <c r="D3130" t="inlineStr">
        <is>
          <t>adidas Performance Youth Tiro 15 Three-Quarter Pant</t>
        </is>
      </c>
      <c r="E3130" s="2">
        <f>HYPERLINK("https://www.amazon.com/adidas-Performance-Three-Quarter-Small-Black/dp/B00LU8JMU0/ref=sr_1_4?keywords=adidas+Tiro+15+Jersey&amp;qid=1695171213&amp;sr=8-4", "https://www.amazon.com/adidas-Performance-Three-Quarter-Small-Black/dp/B00LU8JMU0/ref=sr_1_4?keywords=adidas+Tiro+15+Jersey&amp;qid=1695171213&amp;sr=8-4")</f>
        <v/>
      </c>
      <c r="F3130" t="inlineStr">
        <is>
          <t>B00LU8JMU0</t>
        </is>
      </c>
      <c r="G3130">
        <f>_xlfn.IMAGE("https://www.soccerplususa.com/prodimages/5430-DEFAULT-l.jpg")</f>
        <v/>
      </c>
      <c r="H3130">
        <f>_xlfn.IMAGE("https://m.media-amazon.com/images/I/81GyYh0GiZL._AC_UL320_.jpg")</f>
        <v/>
      </c>
      <c r="K3130" t="inlineStr">
        <is>
          <t>20.0</t>
        </is>
      </c>
      <c r="L3130" t="n">
        <v>34.95</v>
      </c>
      <c r="M3130" s="1" t="inlineStr">
        <is>
          <t>74.75%</t>
        </is>
      </c>
      <c r="N3130" s="3" t="n">
        <v>74.75</v>
      </c>
      <c r="O3130" t="n">
        <v>3.8</v>
      </c>
      <c r="P3130" t="n">
        <v>15</v>
      </c>
      <c r="R3130" t="inlineStr">
        <is>
          <t>InStock</t>
        </is>
      </c>
      <c r="S3130" t="inlineStr">
        <is>
          <t>39.95</t>
        </is>
      </c>
      <c r="T3130" t="inlineStr">
        <is>
          <t>S22363</t>
        </is>
      </c>
    </row>
    <row r="3131" ht="75" customHeight="1">
      <c r="A3131" s="2">
        <f>HYPERLINK("https://www.soccerplususa.com/nike/nike-challenge-jersey-22799", "https://www.soccerplususa.com/nike/nike-challenge-jersey-22799")</f>
        <v/>
      </c>
      <c r="B3131" t="inlineStr">
        <is>
          <t>undefined</t>
        </is>
      </c>
      <c r="C3131" t="inlineStr">
        <is>
          <t>Nike Challenge Jersey</t>
        </is>
      </c>
      <c r="D3131" t="inlineStr">
        <is>
          <t>Nike Challenge Youth Soccer Training Jersey</t>
        </is>
      </c>
      <c r="E3131" s="2">
        <f>HYPERLINK("https://www.amazon.com/Challenge-Short-Sleeve-Jersey-BLACK-FOOTBALL/dp/B00SLRI14Q/ref=sr_1_5?keywords=Nike+Challenge+Jersey&amp;qid=1695171185&amp;sr=8-5", "https://www.amazon.com/Challenge-Short-Sleeve-Jersey-BLACK-FOOTBALL/dp/B00SLRI14Q/ref=sr_1_5?keywords=Nike+Challenge+Jersey&amp;qid=1695171185&amp;sr=8-5")</f>
        <v/>
      </c>
      <c r="F3131" t="inlineStr">
        <is>
          <t>B00SLRI14Q</t>
        </is>
      </c>
      <c r="G3131">
        <f>_xlfn.IMAGE("https://www.soccerplususa.com/prodimages/7620-DEFAULT-l.jpg")</f>
        <v/>
      </c>
      <c r="H3131">
        <f>_xlfn.IMAGE("https://m.media-amazon.com/images/I/51kFfarZ0HL._AC_UL320_.jpg")</f>
        <v/>
      </c>
      <c r="K3131" t="inlineStr">
        <is>
          <t>17.5</t>
        </is>
      </c>
      <c r="L3131" t="n">
        <v>29.99</v>
      </c>
      <c r="M3131" s="1" t="inlineStr">
        <is>
          <t>71.37%</t>
        </is>
      </c>
      <c r="N3131" s="3" t="n">
        <v>71.37</v>
      </c>
      <c r="O3131" t="n">
        <v>5</v>
      </c>
      <c r="P3131" t="n">
        <v>3</v>
      </c>
      <c r="R3131" t="inlineStr">
        <is>
          <t>InStock</t>
        </is>
      </c>
      <c r="S3131" t="inlineStr">
        <is>
          <t>34.95</t>
        </is>
      </c>
      <c r="T3131" t="inlineStr">
        <is>
          <t>645500-493</t>
        </is>
      </c>
    </row>
    <row r="3132" ht="75" customHeight="1">
      <c r="A3132" s="2">
        <f>HYPERLINK("https://www.soccerplususa.com/nike/nike-challenge-jersey-22799", "https://www.soccerplususa.com/nike/nike-challenge-jersey-22799")</f>
        <v/>
      </c>
      <c r="B3132" t="inlineStr">
        <is>
          <t>undefined</t>
        </is>
      </c>
      <c r="C3132" t="inlineStr">
        <is>
          <t>Nike Challenge Jersey</t>
        </is>
      </c>
      <c r="D3132" t="inlineStr">
        <is>
          <t>Nike Challenge II Soccer Jersey White Womens</t>
        </is>
      </c>
      <c r="E3132" s="2">
        <f>HYPERLINK("https://www.amazon.com/Nike-Challenge-Soccer-Jersey-Womens/dp/B087WNLLV9/ref=sr_1_1?keywords=Nike+Challenge+Jersey&amp;qid=1695171185&amp;sr=8-1", "https://www.amazon.com/Nike-Challenge-Soccer-Jersey-Womens/dp/B087WNLLV9/ref=sr_1_1?keywords=Nike+Challenge+Jersey&amp;qid=1695171185&amp;sr=8-1")</f>
        <v/>
      </c>
      <c r="F3132" t="inlineStr">
        <is>
          <t>B087WNLLV9</t>
        </is>
      </c>
      <c r="G3132">
        <f>_xlfn.IMAGE("https://www.soccerplususa.com/prodimages/7620-DEFAULT-l.jpg")</f>
        <v/>
      </c>
      <c r="H3132">
        <f>_xlfn.IMAGE("https://m.media-amazon.com/images/I/517wx+xrFML._AC_UL320_.jpg")</f>
        <v/>
      </c>
      <c r="K3132" t="inlineStr">
        <is>
          <t>17.5</t>
        </is>
      </c>
      <c r="L3132" t="n">
        <v>29.99</v>
      </c>
      <c r="M3132" s="1" t="inlineStr">
        <is>
          <t>71.37%</t>
        </is>
      </c>
      <c r="N3132" s="3" t="n">
        <v>71.37</v>
      </c>
      <c r="O3132" t="n">
        <v>4.7</v>
      </c>
      <c r="P3132" t="n">
        <v>20</v>
      </c>
      <c r="R3132" t="inlineStr">
        <is>
          <t>InStock</t>
        </is>
      </c>
      <c r="S3132" t="inlineStr">
        <is>
          <t>34.95</t>
        </is>
      </c>
      <c r="T3132" t="inlineStr">
        <is>
          <t>645500-493</t>
        </is>
      </c>
    </row>
    <row r="3133" ht="75" customHeight="1">
      <c r="A3133" s="2">
        <f>HYPERLINK("https://www.soccerplususa.com/nike/nike-challenge-jersey-22801", "https://www.soccerplususa.com/nike/nike-challenge-jersey-22801")</f>
        <v/>
      </c>
      <c r="B3133" t="inlineStr">
        <is>
          <t>undefined</t>
        </is>
      </c>
      <c r="C3133" t="inlineStr">
        <is>
          <t>Nike Challenge Jersey</t>
        </is>
      </c>
      <c r="D3133" t="inlineStr">
        <is>
          <t>Nike Challenge Youth Soccer Training Jersey</t>
        </is>
      </c>
      <c r="E3133" s="2">
        <f>HYPERLINK("https://www.amazon.com/Challenge-Short-Sleeve-Jersey-BLACK-FOOTBALL/dp/B00SLRI14Q/ref=sr_1_6?keywords=Nike+Challenge+Jersey&amp;qid=1695171181&amp;sr=8-6", "https://www.amazon.com/Challenge-Short-Sleeve-Jersey-BLACK-FOOTBALL/dp/B00SLRI14Q/ref=sr_1_6?keywords=Nike+Challenge+Jersey&amp;qid=1695171181&amp;sr=8-6")</f>
        <v/>
      </c>
      <c r="F3133" t="inlineStr">
        <is>
          <t>B00SLRI14Q</t>
        </is>
      </c>
      <c r="G3133">
        <f>_xlfn.IMAGE("https://www.soccerplususa.com/prodimages/7621-DEFAULT-l.jpg")</f>
        <v/>
      </c>
      <c r="H3133">
        <f>_xlfn.IMAGE("https://m.media-amazon.com/images/I/51kFfarZ0HL._AC_UL320_.jpg")</f>
        <v/>
      </c>
      <c r="K3133" t="inlineStr">
        <is>
          <t>17.5</t>
        </is>
      </c>
      <c r="L3133" t="n">
        <v>29.99</v>
      </c>
      <c r="M3133" s="1" t="inlineStr">
        <is>
          <t>71.37%</t>
        </is>
      </c>
      <c r="N3133" s="3" t="n">
        <v>71.37</v>
      </c>
      <c r="O3133" t="n">
        <v>5</v>
      </c>
      <c r="P3133" t="n">
        <v>3</v>
      </c>
      <c r="R3133" t="inlineStr">
        <is>
          <t>InStock</t>
        </is>
      </c>
      <c r="S3133" t="inlineStr">
        <is>
          <t>34.95</t>
        </is>
      </c>
      <c r="T3133" t="inlineStr">
        <is>
          <t>645500-891</t>
        </is>
      </c>
    </row>
    <row r="3134" ht="75" customHeight="1">
      <c r="A3134" s="2">
        <f>HYPERLINK("https://www.soccerplususa.com/nike/nike-challenge-jersey-22799", "https://www.soccerplususa.com/nike/nike-challenge-jersey-22799")</f>
        <v/>
      </c>
      <c r="B3134" t="inlineStr">
        <is>
          <t>undefined</t>
        </is>
      </c>
      <c r="C3134" t="inlineStr">
        <is>
          <t>Nike Challenge Jersey</t>
        </is>
      </c>
      <c r="D3134" t="inlineStr">
        <is>
          <t>Nike Team Challenge Jersey</t>
        </is>
      </c>
      <c r="E3134" s="2">
        <f>HYPERLINK("https://www.amazon.com/Nike-Challenge-Jersey-Black-Medium/dp/B00SLQVXQ0/ref=sr_1_6?keywords=Nike+Challenge+Jersey&amp;qid=1695171185&amp;sr=8-6", "https://www.amazon.com/Nike-Challenge-Jersey-Black-Medium/dp/B00SLQVXQ0/ref=sr_1_6?keywords=Nike+Challenge+Jersey&amp;qid=1695171185&amp;sr=8-6")</f>
        <v/>
      </c>
      <c r="F3134" t="inlineStr">
        <is>
          <t>B00SLQVXQ0</t>
        </is>
      </c>
      <c r="G3134">
        <f>_xlfn.IMAGE("https://www.soccerplususa.com/prodimages/7620-DEFAULT-l.jpg")</f>
        <v/>
      </c>
      <c r="H3134">
        <f>_xlfn.IMAGE("https://m.media-amazon.com/images/I/513o6aAVMtL._AC_UL320_.jpg")</f>
        <v/>
      </c>
      <c r="K3134" t="inlineStr">
        <is>
          <t>17.5</t>
        </is>
      </c>
      <c r="L3134" t="n">
        <v>29.99</v>
      </c>
      <c r="M3134" s="1" t="inlineStr">
        <is>
          <t>71.37%</t>
        </is>
      </c>
      <c r="N3134" s="3" t="n">
        <v>71.37</v>
      </c>
      <c r="O3134" t="n">
        <v>5</v>
      </c>
      <c r="P3134" t="n">
        <v>2</v>
      </c>
      <c r="R3134" t="inlineStr">
        <is>
          <t>InStock</t>
        </is>
      </c>
      <c r="S3134" t="inlineStr">
        <is>
          <t>34.95</t>
        </is>
      </c>
      <c r="T3134" t="inlineStr">
        <is>
          <t>645500-493</t>
        </is>
      </c>
    </row>
    <row r="3135" ht="75" customHeight="1">
      <c r="A3135" s="2">
        <f>HYPERLINK("https://www.soccerplususa.com/nike/nike-challenge-jersey-22801", "https://www.soccerplususa.com/nike/nike-challenge-jersey-22801")</f>
        <v/>
      </c>
      <c r="B3135" t="inlineStr">
        <is>
          <t>undefined</t>
        </is>
      </c>
      <c r="C3135" t="inlineStr">
        <is>
          <t>Nike Challenge Jersey</t>
        </is>
      </c>
      <c r="D3135" t="inlineStr">
        <is>
          <t>Nike Challenge II Soccer Jersey White Womens</t>
        </is>
      </c>
      <c r="E3135" s="2">
        <f>HYPERLINK("https://www.amazon.com/Nike-Challenge-Soccer-Jersey-Womens/dp/B087WNLLV9/ref=sr_1_2?keywords=Nike+Challenge+Jersey&amp;qid=1695171181&amp;sr=8-2", "https://www.amazon.com/Nike-Challenge-Soccer-Jersey-Womens/dp/B087WNLLV9/ref=sr_1_2?keywords=Nike+Challenge+Jersey&amp;qid=1695171181&amp;sr=8-2")</f>
        <v/>
      </c>
      <c r="F3135" t="inlineStr">
        <is>
          <t>B087WNLLV9</t>
        </is>
      </c>
      <c r="G3135">
        <f>_xlfn.IMAGE("https://www.soccerplususa.com/prodimages/7621-DEFAULT-l.jpg")</f>
        <v/>
      </c>
      <c r="H3135">
        <f>_xlfn.IMAGE("https://m.media-amazon.com/images/I/517wx+xrFML._AC_UL320_.jpg")</f>
        <v/>
      </c>
      <c r="K3135" t="inlineStr">
        <is>
          <t>17.5</t>
        </is>
      </c>
      <c r="L3135" t="n">
        <v>29.99</v>
      </c>
      <c r="M3135" s="1" t="inlineStr">
        <is>
          <t>71.37%</t>
        </is>
      </c>
      <c r="N3135" s="3" t="n">
        <v>71.37</v>
      </c>
      <c r="O3135" t="n">
        <v>4.7</v>
      </c>
      <c r="P3135" t="n">
        <v>20</v>
      </c>
      <c r="R3135" t="inlineStr">
        <is>
          <t>InStock</t>
        </is>
      </c>
      <c r="S3135" t="inlineStr">
        <is>
          <t>34.95</t>
        </is>
      </c>
      <c r="T3135" t="inlineStr">
        <is>
          <t>645500-891</t>
        </is>
      </c>
    </row>
    <row r="3136" ht="75" customHeight="1">
      <c r="A3136" s="2">
        <f>HYPERLINK("https://www.soccerplususa.com/new-balance/new-balance-thermal-half-zip-top-womens-39182", "https://www.soccerplususa.com/new-balance/new-balance-thermal-half-zip-top-womens-39182")</f>
        <v/>
      </c>
      <c r="B3136" t="inlineStr">
        <is>
          <t>undefined</t>
        </is>
      </c>
      <c r="C3136" t="inlineStr">
        <is>
          <t>New Balance Thermal Half Zip Top Women's</t>
        </is>
      </c>
      <c r="D3136" t="inlineStr">
        <is>
          <t>New Balance Women's Nb Heat Grid Half Zip 22</t>
        </is>
      </c>
      <c r="E3136" s="2">
        <f>HYPERLINK("https://www.amazon.com/New-Balance-Womens-Heather-X-Large/dp/B09M7RHZLT/ref=sr_1_3?keywords=New+Balance+Thermal+Half+Zip+Top+Womens&amp;qid=1695171153&amp;sr=8-3", "https://www.amazon.com/New-Balance-Womens-Heather-X-Large/dp/B09M7RHZLT/ref=sr_1_3?keywords=New+Balance+Thermal+Half+Zip+Top+Womens&amp;qid=1695171153&amp;sr=8-3")</f>
        <v/>
      </c>
      <c r="F3136" t="inlineStr">
        <is>
          <t>B09M7RHZLT</t>
        </is>
      </c>
      <c r="G3136">
        <f>_xlfn.IMAGE("https://www.soccerplususa.com/prodimages/35277-DEFAULT-l.jpg")</f>
        <v/>
      </c>
      <c r="H3136">
        <f>_xlfn.IMAGE("https://m.media-amazon.com/images/I/51Dwx2nFbaL._AC_UL320_.jpg")</f>
        <v/>
      </c>
      <c r="K3136" t="inlineStr">
        <is>
          <t>48.99</t>
        </is>
      </c>
      <c r="L3136" t="n">
        <v>83.69</v>
      </c>
      <c r="M3136" s="1" t="inlineStr">
        <is>
          <t>70.83%</t>
        </is>
      </c>
      <c r="N3136" s="3" t="n">
        <v>70.83</v>
      </c>
      <c r="O3136" t="n">
        <v>5</v>
      </c>
      <c r="P3136" t="n">
        <v>2</v>
      </c>
      <c r="R3136" t="inlineStr">
        <is>
          <t>InStock</t>
        </is>
      </c>
      <c r="S3136" t="inlineStr">
        <is>
          <t>65.0</t>
        </is>
      </c>
      <c r="T3136" t="inlineStr">
        <is>
          <t>TMWT725</t>
        </is>
      </c>
    </row>
    <row r="3137" ht="75" customHeight="1">
      <c r="A3137" s="2">
        <f>HYPERLINK("https://www.soccerplususa.com/nike/nike-academy-18-jacket-youth-34588", "https://www.soccerplususa.com/nike/nike-academy-18-jacket-youth-34588")</f>
        <v/>
      </c>
      <c r="B3137" t="inlineStr">
        <is>
          <t>undefined</t>
        </is>
      </c>
      <c r="C3137" t="inlineStr">
        <is>
          <t>Nike Academy 18 Jacket Youth</t>
        </is>
      </c>
      <c r="D3137" t="inlineStr">
        <is>
          <t>Nike Youth Repel Academy 18 Rain Jacket</t>
        </is>
      </c>
      <c r="E3137" s="2">
        <f>HYPERLINK("https://www.amazon.com/NIKE-Academy-Jacket-X-Large-Obsidian/dp/B079JZ1NXL/ref=sr_1_3?keywords=Nike+Academy+18+Jacket+Youth&amp;qid=1695171169&amp;sr=8-3", "https://www.amazon.com/NIKE-Academy-Jacket-X-Large-Obsidian/dp/B079JZ1NXL/ref=sr_1_3?keywords=Nike+Academy+18+Jacket+Youth&amp;qid=1695171169&amp;sr=8-3")</f>
        <v/>
      </c>
      <c r="F3137" t="inlineStr">
        <is>
          <t>B079JZ1NXL</t>
        </is>
      </c>
      <c r="G3137">
        <f>_xlfn.IMAGE("https://www.soccerplususa.com/prodimages/7669-DEFAULT-l.jpg")</f>
        <v/>
      </c>
      <c r="H3137">
        <f>_xlfn.IMAGE("https://m.media-amazon.com/images/I/81CU5H-vfsL._AC_UL320_.jpg")</f>
        <v/>
      </c>
      <c r="K3137" t="inlineStr">
        <is>
          <t>59.99</t>
        </is>
      </c>
      <c r="L3137" t="n">
        <v>102.47</v>
      </c>
      <c r="M3137" s="1" t="inlineStr">
        <is>
          <t>70.81%</t>
        </is>
      </c>
      <c r="N3137" s="3" t="n">
        <v>70.81</v>
      </c>
      <c r="O3137" t="n">
        <v>3.9</v>
      </c>
      <c r="P3137" t="n">
        <v>770</v>
      </c>
      <c r="R3137" t="inlineStr">
        <is>
          <t>InStock</t>
        </is>
      </c>
      <c r="S3137" t="inlineStr">
        <is>
          <t>79.95</t>
        </is>
      </c>
      <c r="T3137" t="inlineStr">
        <is>
          <t>893819-010</t>
        </is>
      </c>
    </row>
    <row r="3138" ht="75" customHeight="1">
      <c r="A3138" s="2">
        <f>HYPERLINK("https://www.soccerplususa.com/nike/nike-legend-tee-womens-20413", "https://www.soccerplususa.com/nike/nike-legend-tee-womens-20413")</f>
        <v/>
      </c>
      <c r="B3138" t="inlineStr">
        <is>
          <t>undefined</t>
        </is>
      </c>
      <c r="C3138" t="inlineStr">
        <is>
          <t>Nike Legend Tee Women's</t>
        </is>
      </c>
      <c r="D3138" t="inlineStr">
        <is>
          <t>Nike Women's Longsleeve Legend T</t>
        </is>
      </c>
      <c r="E3138" s="2">
        <f>HYPERLINK("https://www.amazon.com/Nike-Womens-Longsleeve-Legend-Large/dp/B08F6J87MP/ref=sr_1_3?keywords=Nike+Legend+Tee+Womens&amp;qid=1695171184&amp;sr=8-3", "https://www.amazon.com/Nike-Womens-Longsleeve-Legend-Large/dp/B08F6J87MP/ref=sr_1_3?keywords=Nike+Legend+Tee+Womens&amp;qid=1695171184&amp;sr=8-3")</f>
        <v/>
      </c>
      <c r="F3138" t="inlineStr">
        <is>
          <t>B08F6J87MP</t>
        </is>
      </c>
      <c r="G3138">
        <f>_xlfn.IMAGE("https://www.soccerplususa.com/prodimages/31739-DEFAULT-l.jpg")</f>
        <v/>
      </c>
      <c r="H3138">
        <f>_xlfn.IMAGE("https://m.media-amazon.com/images/I/71reN321+IL._AC_UL320_.jpg")</f>
        <v/>
      </c>
      <c r="K3138" t="inlineStr">
        <is>
          <t>18.99</t>
        </is>
      </c>
      <c r="L3138" t="n">
        <v>31.95</v>
      </c>
      <c r="M3138" s="1" t="inlineStr">
        <is>
          <t>68.25%</t>
        </is>
      </c>
      <c r="N3138" s="3" t="n">
        <v>68.25</v>
      </c>
      <c r="O3138" t="n">
        <v>4.4</v>
      </c>
      <c r="P3138" t="n">
        <v>210</v>
      </c>
      <c r="R3138" t="inlineStr">
        <is>
          <t>InStock</t>
        </is>
      </c>
      <c r="S3138" t="inlineStr">
        <is>
          <t>24.95</t>
        </is>
      </c>
      <c r="T3138" t="inlineStr">
        <is>
          <t>453181-657</t>
        </is>
      </c>
    </row>
    <row r="3139" ht="75" customHeight="1">
      <c r="A3139" s="2">
        <f>HYPERLINK("https://www.soccerplususa.com/nike/nike-park-vi-jersey-39538", "https://www.soccerplususa.com/nike/nike-park-vi-jersey-39538")</f>
        <v/>
      </c>
      <c r="B3139" t="inlineStr">
        <is>
          <t>undefined</t>
        </is>
      </c>
      <c r="C3139" t="inlineStr">
        <is>
          <t>Nike Park VI Jersey</t>
        </is>
      </c>
      <c r="D3139" t="inlineStr">
        <is>
          <t>Nike Team Dry Park VI Jersey Womens 899947-100 Size M</t>
        </is>
      </c>
      <c r="E3139" s="2">
        <f>HYPERLINK("https://www.amazon.com/Nike-Team-Jersey-Womens-899947-100/dp/B08CBMVQ6V/ref=sr_1_5?keywords=Nike+Park+VI+Jersey&amp;qid=1695171168&amp;sr=8-5", "https://www.amazon.com/Nike-Team-Jersey-Womens-899947-100/dp/B08CBMVQ6V/ref=sr_1_5?keywords=Nike+Park+VI+Jersey&amp;qid=1695171168&amp;sr=8-5")</f>
        <v/>
      </c>
      <c r="F3139" t="inlineStr">
        <is>
          <t>B08CBMVQ6V</t>
        </is>
      </c>
      <c r="G3139">
        <f>_xlfn.IMAGE("https://www.soccerplususa.com/prodimages/32891-DEFAULT-l.jpg")</f>
        <v/>
      </c>
      <c r="H3139">
        <f>_xlfn.IMAGE("https://m.media-amazon.com/images/I/719JE5j8lUL._AC_UL320_.jpg")</f>
        <v/>
      </c>
      <c r="K3139" t="inlineStr">
        <is>
          <t>14.99</t>
        </is>
      </c>
      <c r="L3139" t="n">
        <v>25</v>
      </c>
      <c r="M3139" s="1" t="inlineStr">
        <is>
          <t>66.78%</t>
        </is>
      </c>
      <c r="N3139" s="3" t="n">
        <v>66.78</v>
      </c>
      <c r="O3139" t="n">
        <v>4.5</v>
      </c>
      <c r="P3139" t="n">
        <v>2</v>
      </c>
      <c r="R3139" t="inlineStr">
        <is>
          <t>InStock</t>
        </is>
      </c>
      <c r="S3139" t="inlineStr">
        <is>
          <t>19.95</t>
        </is>
      </c>
      <c r="T3139" t="inlineStr">
        <is>
          <t>899915-100</t>
        </is>
      </c>
    </row>
    <row r="3140" ht="75" customHeight="1">
      <c r="A3140" s="2">
        <f>HYPERLINK("https://www.soccerplususa.com/nike/nike-academy-18-jacket-34570", "https://www.soccerplususa.com/nike/nike-academy-18-jacket-34570")</f>
        <v/>
      </c>
      <c r="B3140" t="inlineStr">
        <is>
          <t>undefined</t>
        </is>
      </c>
      <c r="C3140" t="inlineStr">
        <is>
          <t>Nike Academy 18 Jacket</t>
        </is>
      </c>
      <c r="D3140" t="inlineStr">
        <is>
          <t>Nike Youth Repel Academy 18 Rain Jacket</t>
        </is>
      </c>
      <c r="E3140" s="2">
        <f>HYPERLINK("https://www.amazon.com/NIKE-Boys-Academy-Jacket-Black/dp/B079JXCJ96/ref=sr_1_4?keywords=Nike+Academy+18+Jacket&amp;qid=1695171165&amp;sr=8-4", "https://www.amazon.com/NIKE-Boys-Academy-Jacket-Black/dp/B079JXCJ96/ref=sr_1_4?keywords=Nike+Academy+18+Jacket&amp;qid=1695171165&amp;sr=8-4")</f>
        <v/>
      </c>
      <c r="F3140" t="inlineStr">
        <is>
          <t>B079JXCJ96</t>
        </is>
      </c>
      <c r="G3140">
        <f>_xlfn.IMAGE("https://www.soccerplususa.com/prodimages/30940-DEFAULT-l.jpg")</f>
        <v/>
      </c>
      <c r="H3140">
        <f>_xlfn.IMAGE("https://m.media-amazon.com/images/I/61O498HiS7L._AC_UL320_.jpg")</f>
        <v/>
      </c>
      <c r="K3140" t="inlineStr">
        <is>
          <t>44.99</t>
        </is>
      </c>
      <c r="L3140" t="n">
        <v>74.98999999999999</v>
      </c>
      <c r="M3140" s="1" t="inlineStr">
        <is>
          <t>66.68%</t>
        </is>
      </c>
      <c r="N3140" s="3" t="n">
        <v>66.68000000000001</v>
      </c>
      <c r="O3140" t="n">
        <v>3.9</v>
      </c>
      <c r="P3140" t="n">
        <v>770</v>
      </c>
      <c r="R3140" t="inlineStr">
        <is>
          <t>InStock</t>
        </is>
      </c>
      <c r="S3140" t="inlineStr">
        <is>
          <t>54.95</t>
        </is>
      </c>
      <c r="T3140" t="inlineStr">
        <is>
          <t>893701-010</t>
        </is>
      </c>
    </row>
    <row r="3141" ht="75" customHeight="1">
      <c r="A3141" s="2">
        <f>HYPERLINK("https://www.soccerplususa.com/adidas/adidas-tiro-15-training-jacket-youth-7110", "https://www.soccerplususa.com/adidas/adidas-tiro-15-training-jacket-youth-7110")</f>
        <v/>
      </c>
      <c r="B3141" t="inlineStr">
        <is>
          <t>undefined</t>
        </is>
      </c>
      <c r="C3141" t="inlineStr">
        <is>
          <t>adidas Tiro 15 Training Jacket Youth</t>
        </is>
      </c>
      <c r="D3141" t="inlineStr">
        <is>
          <t>adidas Tiro19 Youth Training Jacket</t>
        </is>
      </c>
      <c r="E3141" s="2">
        <f>HYPERLINK("https://www.amazon.com/adidas-DT5276-TIRO19-TR-JKTY/dp/B07H3VS4M6/ref=sr_1_3?keywords=adidas+Tiro+15+Training+Jacket+Youth&amp;qid=1695171218&amp;sr=8-3", "https://www.amazon.com/adidas-DT5276-TIRO19-TR-JKTY/dp/B07H3VS4M6/ref=sr_1_3?keywords=adidas+Tiro+15+Training+Jacket+Youth&amp;qid=1695171218&amp;sr=8-3")</f>
        <v/>
      </c>
      <c r="F3141" t="inlineStr">
        <is>
          <t>B07H3VS4M6</t>
        </is>
      </c>
      <c r="G3141">
        <f>_xlfn.IMAGE("https://www.soccerplususa.com/prodimages/2008-DEFAULT-l.jpg")</f>
        <v/>
      </c>
      <c r="H3141">
        <f>_xlfn.IMAGE("https://m.media-amazon.com/images/I/41j90cyk9hL._AC_UL320_.jpg")</f>
        <v/>
      </c>
      <c r="K3141" t="inlineStr">
        <is>
          <t>30.0</t>
        </is>
      </c>
      <c r="L3141" t="n">
        <v>49.99</v>
      </c>
      <c r="M3141" s="1" t="inlineStr">
        <is>
          <t>66.63%</t>
        </is>
      </c>
      <c r="N3141" s="3" t="n">
        <v>66.63</v>
      </c>
      <c r="O3141" t="n">
        <v>5</v>
      </c>
      <c r="P3141" t="n">
        <v>5</v>
      </c>
      <c r="R3141" t="inlineStr">
        <is>
          <t>InStock</t>
        </is>
      </c>
      <c r="S3141" t="inlineStr">
        <is>
          <t>59.95</t>
        </is>
      </c>
      <c r="T3141" t="inlineStr">
        <is>
          <t>M64059</t>
        </is>
      </c>
    </row>
    <row r="3142" ht="75" customHeight="1">
      <c r="A3142" s="2">
        <f>HYPERLINK("https://www.soccerplususa.com/nike/nike-striker-iii-jersey-21286", "https://www.soccerplususa.com/nike/nike-striker-iii-jersey-21286")</f>
        <v/>
      </c>
      <c r="B3142" t="inlineStr">
        <is>
          <t>undefined</t>
        </is>
      </c>
      <c r="C3142" t="inlineStr">
        <is>
          <t>Nike Striker III Jersey</t>
        </is>
      </c>
      <c r="D3142" t="inlineStr">
        <is>
          <t>Nike Short-Sleeve Striker III Us Jersey [White/White/Black]</t>
        </is>
      </c>
      <c r="E3142" s="2">
        <f>HYPERLINK("https://www.amazon.com/Short-Sleeve-Striker-Jersey-WHITE-BLACK/dp/B00AX6IGZ2/ref=sr_1_1?keywords=Nike+Striker+III+Jersey&amp;qid=1695171186&amp;sr=8-1", "https://www.amazon.com/Short-Sleeve-Striker-Jersey-WHITE-BLACK/dp/B00AX6IGZ2/ref=sr_1_1?keywords=Nike+Striker+III+Jersey&amp;qid=1695171186&amp;sr=8-1")</f>
        <v/>
      </c>
      <c r="F3142" t="inlineStr">
        <is>
          <t>B00AX6IGZ2</t>
        </is>
      </c>
      <c r="G3142">
        <f>_xlfn.IMAGE("https://www.soccerplususa.com/prodimages/7624-DEFAULT-l.jpg")</f>
        <v/>
      </c>
      <c r="H3142">
        <f>_xlfn.IMAGE("https://m.media-amazon.com/images/I/31BgPqXbPbL._AC_UL320_.jpg")</f>
        <v/>
      </c>
      <c r="K3142" t="inlineStr">
        <is>
          <t>15.0</t>
        </is>
      </c>
      <c r="L3142" t="n">
        <v>24.99</v>
      </c>
      <c r="M3142" s="1" t="inlineStr">
        <is>
          <t>66.60%</t>
        </is>
      </c>
      <c r="N3142" s="3" t="n">
        <v>66.59999999999999</v>
      </c>
      <c r="O3142" t="n">
        <v>5</v>
      </c>
      <c r="P3142" t="n">
        <v>1</v>
      </c>
      <c r="R3142" t="inlineStr">
        <is>
          <t>InStock</t>
        </is>
      </c>
      <c r="S3142" t="inlineStr">
        <is>
          <t>29.95</t>
        </is>
      </c>
      <c r="T3142" t="inlineStr">
        <is>
          <t>520583-493</t>
        </is>
      </c>
    </row>
    <row r="3143" ht="75" customHeight="1">
      <c r="A3143" s="2">
        <f>HYPERLINK("https://www.soccerplususa.com/adidas/adidas-condivo-14-training-top-36188", "https://www.soccerplususa.com/adidas/adidas-condivo-14-training-top-36188")</f>
        <v/>
      </c>
      <c r="B3143" t="inlineStr">
        <is>
          <t>undefined</t>
        </is>
      </c>
      <c r="C3143" t="inlineStr">
        <is>
          <t>adidas Condivo 14 Training Top</t>
        </is>
      </c>
      <c r="D3143" t="inlineStr">
        <is>
          <t>adidas Condivo 21 Training Top</t>
        </is>
      </c>
      <c r="E3143" s="2">
        <f>HYPERLINK("https://www.amazon.com/adidas-Condivo-Training-Top-Black-White/dp/B08XFZP9PJ/ref=sr_1_1?keywords=adidas+Condivo+14+Training+Top&amp;qid=1695171163&amp;sr=8-1", "https://www.amazon.com/adidas-Condivo-Training-Top-Black-White/dp/B08XFZP9PJ/ref=sr_1_1?keywords=adidas+Condivo+14+Training+Top&amp;qid=1695171163&amp;sr=8-1")</f>
        <v/>
      </c>
      <c r="F3143" t="inlineStr">
        <is>
          <t>B08XFZP9PJ</t>
        </is>
      </c>
      <c r="G3143">
        <f>_xlfn.IMAGE("https://www.soccerplususa.com/prodimages/10436-DEFAULT-l.jpg")</f>
        <v/>
      </c>
      <c r="H3143">
        <f>_xlfn.IMAGE("https://m.media-amazon.com/images/I/51aT9dU2t5L._AC_UL320_.jpg")</f>
        <v/>
      </c>
      <c r="K3143" t="inlineStr">
        <is>
          <t>30.0</t>
        </is>
      </c>
      <c r="L3143" t="n">
        <v>49.98</v>
      </c>
      <c r="M3143" s="1" t="inlineStr">
        <is>
          <t>66.60%</t>
        </is>
      </c>
      <c r="N3143" s="3" t="n">
        <v>66.59999999999999</v>
      </c>
      <c r="O3143" t="n">
        <v>4.7</v>
      </c>
      <c r="P3143" t="n">
        <v>10</v>
      </c>
      <c r="R3143" t="inlineStr">
        <is>
          <t>InStock</t>
        </is>
      </c>
      <c r="S3143" t="inlineStr">
        <is>
          <t>59.95</t>
        </is>
      </c>
      <c r="T3143" t="inlineStr">
        <is>
          <t>G80802</t>
        </is>
      </c>
    </row>
    <row r="3144" ht="75" customHeight="1">
      <c r="A3144" s="2">
        <f>HYPERLINK("https://www.soccerplususa.com/nike/nike-striker-iii-jersey-21291", "https://www.soccerplususa.com/nike/nike-striker-iii-jersey-21291")</f>
        <v/>
      </c>
      <c r="B3144" t="inlineStr">
        <is>
          <t>undefined</t>
        </is>
      </c>
      <c r="C3144" t="inlineStr">
        <is>
          <t>Nike Striker III Jersey</t>
        </is>
      </c>
      <c r="D3144" t="inlineStr">
        <is>
          <t>Nike Short-Sleeve Striker III Us Jersey [White/White/Black]</t>
        </is>
      </c>
      <c r="E3144" s="2">
        <f>HYPERLINK("https://www.amazon.com/Short-Sleeve-Striker-Jersey-WHITE-BLACK/dp/B00AX6IGZ2/ref=sr_1_1?keywords=Nike+Striker+III+Jersey&amp;qid=1695171183&amp;sr=8-1", "https://www.amazon.com/Short-Sleeve-Striker-Jersey-WHITE-BLACK/dp/B00AX6IGZ2/ref=sr_1_1?keywords=Nike+Striker+III+Jersey&amp;qid=1695171183&amp;sr=8-1")</f>
        <v/>
      </c>
      <c r="F3144" t="inlineStr">
        <is>
          <t>B00AX6IGZ2</t>
        </is>
      </c>
      <c r="G3144">
        <f>_xlfn.IMAGE("https://www.soccerplususa.com/prodimages/7625-DEFAULT-l.jpg")</f>
        <v/>
      </c>
      <c r="H3144">
        <f>_xlfn.IMAGE("https://m.media-amazon.com/images/I/31BgPqXbPbL._AC_UL320_.jpg")</f>
        <v/>
      </c>
      <c r="K3144" t="inlineStr">
        <is>
          <t>15.0</t>
        </is>
      </c>
      <c r="L3144" t="n">
        <v>24.99</v>
      </c>
      <c r="M3144" s="1" t="inlineStr">
        <is>
          <t>66.60%</t>
        </is>
      </c>
      <c r="N3144" s="3" t="n">
        <v>66.59999999999999</v>
      </c>
      <c r="O3144" t="n">
        <v>5</v>
      </c>
      <c r="P3144" t="n">
        <v>1</v>
      </c>
      <c r="R3144" t="inlineStr">
        <is>
          <t>InStock</t>
        </is>
      </c>
      <c r="S3144" t="inlineStr">
        <is>
          <t>29.95</t>
        </is>
      </c>
      <c r="T3144" t="inlineStr">
        <is>
          <t>520583-888</t>
        </is>
      </c>
    </row>
    <row r="3145" ht="75" customHeight="1">
      <c r="A3145" s="2">
        <f>HYPERLINK("https://www.soccerplususa.com/under-armour/under-armour-coldgear-ls-mock-32981", "https://www.soccerplususa.com/under-armour/under-armour-coldgear-ls-mock-32981")</f>
        <v/>
      </c>
      <c r="B3145" t="inlineStr">
        <is>
          <t>undefined</t>
        </is>
      </c>
      <c r="C3145" t="inlineStr">
        <is>
          <t>Under Armour Coldgear LS Mock</t>
        </is>
      </c>
      <c r="D3145" t="inlineStr">
        <is>
          <t>Under Armour Men's Tac Mock Coldgear Infrared Base T-shirt</t>
        </is>
      </c>
      <c r="E3145" s="2">
        <f>HYPERLINK("https://www.amazon.com/Under-Armour-ColdGear-Infrared-T-Shirt/dp/B08LP2D9VJ/ref=sr_1_8?keywords=Under+Armour+Coldgear+LS+Mock&amp;qid=1695171172&amp;sr=8-8", "https://www.amazon.com/Under-Armour-ColdGear-Infrared-T-Shirt/dp/B08LP2D9VJ/ref=sr_1_8?keywords=Under+Armour+Coldgear+LS+Mock&amp;qid=1695171172&amp;sr=8-8")</f>
        <v/>
      </c>
      <c r="F3145" t="inlineStr">
        <is>
          <t>B08LP2D9VJ</t>
        </is>
      </c>
      <c r="G3145">
        <f>_xlfn.IMAGE("https://www.soccerplususa.com/prodimages/467-DEFAULT-l.jpg")</f>
        <v/>
      </c>
      <c r="H3145">
        <f>_xlfn.IMAGE("https://m.media-amazon.com/images/I/41sc0RZTJ0L._AC_UL320_.jpg")</f>
        <v/>
      </c>
      <c r="K3145" t="inlineStr">
        <is>
          <t>34.95</t>
        </is>
      </c>
      <c r="L3145" t="n">
        <v>58.22</v>
      </c>
      <c r="M3145" s="1" t="inlineStr">
        <is>
          <t>66.58%</t>
        </is>
      </c>
      <c r="N3145" s="3" t="n">
        <v>66.58</v>
      </c>
      <c r="O3145" t="n">
        <v>4.2</v>
      </c>
      <c r="P3145" t="n">
        <v>14</v>
      </c>
      <c r="R3145" t="inlineStr">
        <is>
          <t>InStock</t>
        </is>
      </c>
      <c r="S3145" t="inlineStr">
        <is>
          <t>44.95</t>
        </is>
      </c>
      <c r="T3145" t="inlineStr">
        <is>
          <t>1000512-100</t>
        </is>
      </c>
    </row>
    <row r="3146" ht="75" customHeight="1">
      <c r="A3146" s="2">
        <f>HYPERLINK("https://www.soccerplususa.com/adidas/adidas-tiro-15-training-jacket-youth-7875", "https://www.soccerplususa.com/adidas/adidas-tiro-15-training-jacket-youth-7875")</f>
        <v/>
      </c>
      <c r="B3146" t="inlineStr">
        <is>
          <t>undefined</t>
        </is>
      </c>
      <c r="C3146" t="inlineStr">
        <is>
          <t>adidas Tiro 15 Training Jacket Youth</t>
        </is>
      </c>
      <c r="D3146" t="inlineStr">
        <is>
          <t>adidas Unisex-Child Soccer Tiro 15 Training Jacket</t>
        </is>
      </c>
      <c r="E3146" s="2">
        <f>HYPERLINK("https://www.amazon.com/adidas-Youth-Soccer-Training-Jacket/dp/B00QKRLMCW/ref=sr_1_1?keywords=adidas+Tiro+15+Training+Jacket+Youth&amp;qid=1695171217&amp;sr=8-1", "https://www.amazon.com/adidas-Youth-Soccer-Training-Jacket/dp/B00QKRLMCW/ref=sr_1_1?keywords=adidas+Tiro+15+Training+Jacket+Youth&amp;qid=1695171217&amp;sr=8-1")</f>
        <v/>
      </c>
      <c r="F3146" t="inlineStr">
        <is>
          <t>B00QKRLMCW</t>
        </is>
      </c>
      <c r="G3146">
        <f>_xlfn.IMAGE("https://www.soccerplususa.com/prodimages/1954-DEFAULT-l.jpg")</f>
        <v/>
      </c>
      <c r="H3146">
        <f>_xlfn.IMAGE("https://m.media-amazon.com/images/I/916zOpqcYlL._AC_UL320_.jpg")</f>
        <v/>
      </c>
      <c r="K3146" t="inlineStr">
        <is>
          <t>30.0</t>
        </is>
      </c>
      <c r="L3146" t="n">
        <v>49.95</v>
      </c>
      <c r="M3146" s="1" t="inlineStr">
        <is>
          <t>66.50%</t>
        </is>
      </c>
      <c r="N3146" s="3" t="n">
        <v>66.5</v>
      </c>
      <c r="O3146" t="n">
        <v>4.4</v>
      </c>
      <c r="P3146" t="n">
        <v>209</v>
      </c>
      <c r="R3146" t="inlineStr">
        <is>
          <t>InStock</t>
        </is>
      </c>
      <c r="S3146" t="inlineStr">
        <is>
          <t>59.95</t>
        </is>
      </c>
      <c r="T3146" t="inlineStr">
        <is>
          <t>S22328</t>
        </is>
      </c>
    </row>
    <row r="3147" ht="75" customHeight="1">
      <c r="A3147" s="2">
        <f>HYPERLINK("https://www.soccerplususa.com/adidas/adidas-tiro-15-training-jacket-youth-7110", "https://www.soccerplususa.com/adidas/adidas-tiro-15-training-jacket-youth-7110")</f>
        <v/>
      </c>
      <c r="B3147" t="inlineStr">
        <is>
          <t>undefined</t>
        </is>
      </c>
      <c r="C3147" t="inlineStr">
        <is>
          <t>adidas Tiro 15 Training Jacket Youth</t>
        </is>
      </c>
      <c r="D3147" t="inlineStr">
        <is>
          <t>adidas Unisex-Child Soccer Tiro 15 Training Jacket</t>
        </is>
      </c>
      <c r="E3147" s="2">
        <f>HYPERLINK("https://www.amazon.com/adidas-Youth-Soccer-Training-Jacket/dp/B00QKRLMCW/ref=sr_1_1?keywords=adidas+Tiro+15+Training+Jacket+Youth&amp;qid=1695171218&amp;sr=8-1", "https://www.amazon.com/adidas-Youth-Soccer-Training-Jacket/dp/B00QKRLMCW/ref=sr_1_1?keywords=adidas+Tiro+15+Training+Jacket+Youth&amp;qid=1695171218&amp;sr=8-1")</f>
        <v/>
      </c>
      <c r="F3147" t="inlineStr">
        <is>
          <t>B00QKRLMCW</t>
        </is>
      </c>
      <c r="G3147">
        <f>_xlfn.IMAGE("https://www.soccerplususa.com/prodimages/2008-DEFAULT-l.jpg")</f>
        <v/>
      </c>
      <c r="H3147">
        <f>_xlfn.IMAGE("https://m.media-amazon.com/images/I/916zOpqcYlL._AC_UL320_.jpg")</f>
        <v/>
      </c>
      <c r="K3147" t="inlineStr">
        <is>
          <t>30.0</t>
        </is>
      </c>
      <c r="L3147" t="n">
        <v>49.95</v>
      </c>
      <c r="M3147" s="1" t="inlineStr">
        <is>
          <t>66.50%</t>
        </is>
      </c>
      <c r="N3147" s="3" t="n">
        <v>66.5</v>
      </c>
      <c r="O3147" t="n">
        <v>4.4</v>
      </c>
      <c r="P3147" t="n">
        <v>209</v>
      </c>
      <c r="R3147" t="inlineStr">
        <is>
          <t>InStock</t>
        </is>
      </c>
      <c r="S3147" t="inlineStr">
        <is>
          <t>59.95</t>
        </is>
      </c>
      <c r="T3147" t="inlineStr">
        <is>
          <t>M64059</t>
        </is>
      </c>
    </row>
    <row r="3148" ht="75" customHeight="1">
      <c r="A3148" s="2">
        <f>HYPERLINK("https://www.soccerplususa.com/adidas/adidas-regista-14-jersey-6065", "https://www.soccerplususa.com/adidas/adidas-regista-14-jersey-6065")</f>
        <v/>
      </c>
      <c r="B3148" t="inlineStr">
        <is>
          <t>undefined</t>
        </is>
      </c>
      <c r="C3148" t="inlineStr">
        <is>
          <t>adidas Regista 14 Jersey</t>
        </is>
      </c>
      <c r="D3148" t="inlineStr">
        <is>
          <t>adidas Men's Regista 14 Soccer Jersey, White, L</t>
        </is>
      </c>
      <c r="E3148" s="2">
        <f>HYPERLINK("https://www.amazon.com/adidas-Regista-Soccer-Jersey-White/dp/B00H3HWOQQ/ref=sr_1_1?keywords=adidas+Regista+14+Jersey&amp;qid=1695171215&amp;sr=8-1", "https://www.amazon.com/adidas-Regista-Soccer-Jersey-White/dp/B00H3HWOQQ/ref=sr_1_1?keywords=adidas+Regista+14+Jersey&amp;qid=1695171215&amp;sr=8-1")</f>
        <v/>
      </c>
      <c r="F3148" t="inlineStr">
        <is>
          <t>B00H3HWOQQ</t>
        </is>
      </c>
      <c r="G3148">
        <f>_xlfn.IMAGE("https://www.soccerplususa.com/prodimages/32793-DEFAULT-l.jpg")</f>
        <v/>
      </c>
      <c r="H3148">
        <f>_xlfn.IMAGE("https://m.media-amazon.com/images/I/51cMf0kbQvL._AC_UL320_.jpg")</f>
        <v/>
      </c>
      <c r="K3148" t="inlineStr">
        <is>
          <t>22.0</t>
        </is>
      </c>
      <c r="L3148" t="n">
        <v>36.44</v>
      </c>
      <c r="M3148" s="1" t="inlineStr">
        <is>
          <t>65.64%</t>
        </is>
      </c>
      <c r="N3148" s="3" t="n">
        <v>65.64</v>
      </c>
      <c r="O3148" t="n">
        <v>5</v>
      </c>
      <c r="P3148" t="n">
        <v>1</v>
      </c>
      <c r="R3148" t="inlineStr">
        <is>
          <t>InStock</t>
        </is>
      </c>
      <c r="S3148" t="inlineStr">
        <is>
          <t>44.95</t>
        </is>
      </c>
      <c r="T3148" t="inlineStr">
        <is>
          <t>F50009</t>
        </is>
      </c>
    </row>
    <row r="3149" ht="75" customHeight="1">
      <c r="A3149" s="2">
        <f>HYPERLINK("https://www.soccerplususa.com/adidas/adidas-regista-14-jersey-youth-6677", "https://www.soccerplususa.com/adidas/adidas-regista-14-jersey-youth-6677")</f>
        <v/>
      </c>
      <c r="B3149" t="inlineStr">
        <is>
          <t>undefined</t>
        </is>
      </c>
      <c r="C3149" t="inlineStr">
        <is>
          <t>adidas Regista 14 Jersey Youth</t>
        </is>
      </c>
      <c r="D3149" t="inlineStr">
        <is>
          <t>adidas Youth/Men's Climacool Regista 14 Soccer Jersey (Cobalt|White/X-Large)</t>
        </is>
      </c>
      <c r="E3149" s="2">
        <f>HYPERLINK("https://www.amazon.com/Adidas-Climacool-Regista-Soccer-X-Large/dp/B00I0BFVIC/ref=sr_1_5?keywords=adidas+Regista+14+Jersey+Youth&amp;qid=1695171214&amp;sr=8-5", "https://www.amazon.com/Adidas-Climacool-Regista-Soccer-X-Large/dp/B00I0BFVIC/ref=sr_1_5?keywords=adidas+Regista+14+Jersey+Youth&amp;qid=1695171214&amp;sr=8-5")</f>
        <v/>
      </c>
      <c r="F3149" t="inlineStr">
        <is>
          <t>B00I0BFVIC</t>
        </is>
      </c>
      <c r="G3149">
        <f>_xlfn.IMAGE("https://www.soccerplususa.com/prodimages/32791-DEFAULT-l.jpg")</f>
        <v/>
      </c>
      <c r="H3149">
        <f>_xlfn.IMAGE("https://m.media-amazon.com/images/I/51ZbRZ7zEZL._AC_UL320_.jpg")</f>
        <v/>
      </c>
      <c r="K3149" t="inlineStr">
        <is>
          <t>20.0</t>
        </is>
      </c>
      <c r="L3149" t="n">
        <v>32.91</v>
      </c>
      <c r="M3149" s="1" t="inlineStr">
        <is>
          <t>64.55%</t>
        </is>
      </c>
      <c r="N3149" s="3" t="n">
        <v>64.55</v>
      </c>
      <c r="O3149" t="n">
        <v>4</v>
      </c>
      <c r="P3149" t="n">
        <v>1</v>
      </c>
      <c r="R3149" t="inlineStr">
        <is>
          <t>InStock</t>
        </is>
      </c>
      <c r="S3149" t="inlineStr">
        <is>
          <t>39.95</t>
        </is>
      </c>
      <c r="T3149" t="inlineStr">
        <is>
          <t>G70837</t>
        </is>
      </c>
    </row>
    <row r="3150" ht="75" customHeight="1">
      <c r="A3150" s="2">
        <f>HYPERLINK("https://www.soccerplususa.com/adidas/adidas-regista-14-jersey-youth-6072", "https://www.soccerplususa.com/adidas/adidas-regista-14-jersey-youth-6072")</f>
        <v/>
      </c>
      <c r="B3150" t="inlineStr">
        <is>
          <t>undefined</t>
        </is>
      </c>
      <c r="C3150" t="inlineStr">
        <is>
          <t>adidas Regista 14 Jersey Youth</t>
        </is>
      </c>
      <c r="D3150" t="inlineStr">
        <is>
          <t>adidas Youth/Men's Climacool Regista 14 Soccer Jersey (Cobalt|White/X-Large)</t>
        </is>
      </c>
      <c r="E3150" s="2">
        <f>HYPERLINK("https://www.amazon.com/Adidas-Climacool-Regista-Soccer-X-Large/dp/B00I0BFVIC/ref=sr_1_5?keywords=adidas+Regista+14+Jersey+Youth&amp;qid=1695171215&amp;sr=8-5", "https://www.amazon.com/Adidas-Climacool-Regista-Soccer-X-Large/dp/B00I0BFVIC/ref=sr_1_5?keywords=adidas+Regista+14+Jersey+Youth&amp;qid=1695171215&amp;sr=8-5")</f>
        <v/>
      </c>
      <c r="F3150" t="inlineStr">
        <is>
          <t>B00I0BFVIC</t>
        </is>
      </c>
      <c r="G3150">
        <f>_xlfn.IMAGE("https://www.soccerplususa.com/prodimages/31720-DEFAULT-l.jpg")</f>
        <v/>
      </c>
      <c r="H3150">
        <f>_xlfn.IMAGE("https://m.media-amazon.com/images/I/51ZbRZ7zEZL._AC_UL320_.jpg")</f>
        <v/>
      </c>
      <c r="K3150" t="inlineStr">
        <is>
          <t>20.0</t>
        </is>
      </c>
      <c r="L3150" t="n">
        <v>32.91</v>
      </c>
      <c r="M3150" s="1" t="inlineStr">
        <is>
          <t>64.55%</t>
        </is>
      </c>
      <c r="N3150" s="3" t="n">
        <v>64.55</v>
      </c>
      <c r="O3150" t="n">
        <v>4</v>
      </c>
      <c r="P3150" t="n">
        <v>1</v>
      </c>
      <c r="R3150" t="inlineStr">
        <is>
          <t>InStock</t>
        </is>
      </c>
      <c r="S3150" t="inlineStr">
        <is>
          <t>39.95</t>
        </is>
      </c>
      <c r="T3150" t="inlineStr">
        <is>
          <t>F50034</t>
        </is>
      </c>
    </row>
    <row r="3151" ht="75" customHeight="1">
      <c r="A3151" s="2">
        <f>HYPERLINK("https://www.soccerplususa.com/adidas/adidas-regista-14-jersey-youth-6073", "https://www.soccerplususa.com/adidas/adidas-regista-14-jersey-youth-6073")</f>
        <v/>
      </c>
      <c r="B3151" t="inlineStr">
        <is>
          <t>undefined</t>
        </is>
      </c>
      <c r="C3151" t="inlineStr">
        <is>
          <t>adidas Regista 14 Jersey Youth</t>
        </is>
      </c>
      <c r="D3151" t="inlineStr">
        <is>
          <t>adidas Youth/Men's Climacool Regista 14 Soccer Jersey (Cobalt|White/X-Large)</t>
        </is>
      </c>
      <c r="E3151" s="2">
        <f>HYPERLINK("https://www.amazon.com/Adidas-Climacool-Regista-Soccer-X-Large/dp/B00I0BFVIC/ref=sr_1_5?keywords=adidas+Regista+14+Jersey+Youth&amp;qid=1695171211&amp;sr=8-5", "https://www.amazon.com/Adidas-Climacool-Regista-Soccer-X-Large/dp/B00I0BFVIC/ref=sr_1_5?keywords=adidas+Regista+14+Jersey+Youth&amp;qid=1695171211&amp;sr=8-5")</f>
        <v/>
      </c>
      <c r="F3151" t="inlineStr">
        <is>
          <t>B00I0BFVIC</t>
        </is>
      </c>
      <c r="G3151">
        <f>_xlfn.IMAGE("https://www.soccerplususa.com/prodimages/32794-DEFAULT-l.jpg")</f>
        <v/>
      </c>
      <c r="H3151">
        <f>_xlfn.IMAGE("https://m.media-amazon.com/images/I/51ZbRZ7zEZL._AC_UL320_.jpg")</f>
        <v/>
      </c>
      <c r="K3151" t="inlineStr">
        <is>
          <t>20.0</t>
        </is>
      </c>
      <c r="L3151" t="n">
        <v>32.91</v>
      </c>
      <c r="M3151" s="1" t="inlineStr">
        <is>
          <t>64.55%</t>
        </is>
      </c>
      <c r="N3151" s="3" t="n">
        <v>64.55</v>
      </c>
      <c r="O3151" t="n">
        <v>4</v>
      </c>
      <c r="P3151" t="n">
        <v>1</v>
      </c>
      <c r="R3151" t="inlineStr">
        <is>
          <t>InStock</t>
        </is>
      </c>
      <c r="S3151" t="inlineStr">
        <is>
          <t>39.95</t>
        </is>
      </c>
      <c r="T3151" t="inlineStr">
        <is>
          <t>F50035</t>
        </is>
      </c>
    </row>
    <row r="3152" ht="75" customHeight="1">
      <c r="A3152" s="2">
        <f>HYPERLINK("https://www.soccerplususa.com/adidas/adidas-tiro-17-jersey-womens-35760", "https://www.soccerplususa.com/adidas/adidas-tiro-17-jersey-womens-35760")</f>
        <v/>
      </c>
      <c r="B3152" t="inlineStr">
        <is>
          <t>undefined</t>
        </is>
      </c>
      <c r="C3152" t="inlineStr">
        <is>
          <t>adidas Tiro 17 Jersey Women's</t>
        </is>
      </c>
      <c r="D3152" t="inlineStr">
        <is>
          <t>adidas Tiro 19 Jersey- Women's Soccer L Dark Grey/White</t>
        </is>
      </c>
      <c r="E3152" s="2">
        <f>HYPERLINK("https://www.amazon.com/adidas-Jersey-Womens-Soccer-White/dp/B07H3VHQNW/ref=sr_1_8?keywords=adidas+Tiro+17+Jersey+Womens&amp;qid=1695171224&amp;sr=8-8", "https://www.amazon.com/adidas-Jersey-Womens-Soccer-White/dp/B07H3VHQNW/ref=sr_1_8?keywords=adidas+Tiro+17+Jersey+Womens&amp;qid=1695171224&amp;sr=8-8")</f>
        <v/>
      </c>
      <c r="F3152" t="inlineStr">
        <is>
          <t>B07H3VHQNW</t>
        </is>
      </c>
      <c r="G3152">
        <f>_xlfn.IMAGE("https://www.soccerplususa.com/prodimages/9819-DEFAULT-l.jpg")</f>
        <v/>
      </c>
      <c r="H3152">
        <f>_xlfn.IMAGE("https://m.media-amazon.com/images/I/61ASNTLz-dL._AC_UL320_.jpg")</f>
        <v/>
      </c>
      <c r="K3152" t="inlineStr">
        <is>
          <t>20.0</t>
        </is>
      </c>
      <c r="L3152" t="n">
        <v>32.67</v>
      </c>
      <c r="M3152" s="1" t="inlineStr">
        <is>
          <t>63.35%</t>
        </is>
      </c>
      <c r="N3152" s="3" t="n">
        <v>63.35</v>
      </c>
      <c r="O3152" t="n">
        <v>5</v>
      </c>
      <c r="P3152" t="n">
        <v>1</v>
      </c>
      <c r="R3152" t="inlineStr">
        <is>
          <t>InStock</t>
        </is>
      </c>
      <c r="S3152" t="inlineStr">
        <is>
          <t>39.95</t>
        </is>
      </c>
      <c r="T3152" t="inlineStr">
        <is>
          <t>BJ9096</t>
        </is>
      </c>
    </row>
    <row r="3153" ht="75" customHeight="1">
      <c r="A3153" s="2">
        <f>HYPERLINK("https://www.soccerplususa.com/adidas/adidas-tiro-15-jersey-womens-7896", "https://www.soccerplususa.com/adidas/adidas-tiro-15-jersey-womens-7896")</f>
        <v/>
      </c>
      <c r="B3153" t="inlineStr">
        <is>
          <t>undefined</t>
        </is>
      </c>
      <c r="C3153" t="inlineStr">
        <is>
          <t>adidas Tiro 15 Jersey Women's</t>
        </is>
      </c>
      <c r="D3153" t="inlineStr">
        <is>
          <t>adidas Tiro 19 Jersey- Women's Soccer L Dark Grey/White</t>
        </is>
      </c>
      <c r="E3153" s="2">
        <f>HYPERLINK("https://www.amazon.com/adidas-Jersey-Womens-Soccer-White/dp/B07H3VHQNW/ref=sr_1_3?keywords=adidas+Tiro+15+Jersey+Womens&amp;qid=1695171238&amp;sr=8-3", "https://www.amazon.com/adidas-Jersey-Womens-Soccer-White/dp/B07H3VHQNW/ref=sr_1_3?keywords=adidas+Tiro+15+Jersey+Womens&amp;qid=1695171238&amp;sr=8-3")</f>
        <v/>
      </c>
      <c r="F3153" t="inlineStr">
        <is>
          <t>B07H3VHQNW</t>
        </is>
      </c>
      <c r="G3153">
        <f>_xlfn.IMAGE("https://www.soccerplususa.com/prodimages/10575-DEFAULT-l.jpg")</f>
        <v/>
      </c>
      <c r="H3153">
        <f>_xlfn.IMAGE("https://m.media-amazon.com/images/I/61ASNTLz-dL._AC_UL320_.jpg")</f>
        <v/>
      </c>
      <c r="K3153" t="inlineStr">
        <is>
          <t>20.0</t>
        </is>
      </c>
      <c r="L3153" t="n">
        <v>32.67</v>
      </c>
      <c r="M3153" s="1" t="inlineStr">
        <is>
          <t>63.35%</t>
        </is>
      </c>
      <c r="N3153" s="3" t="n">
        <v>63.35</v>
      </c>
      <c r="O3153" t="n">
        <v>5</v>
      </c>
      <c r="P3153" t="n">
        <v>1</v>
      </c>
      <c r="R3153" t="inlineStr">
        <is>
          <t>InStock</t>
        </is>
      </c>
      <c r="S3153" t="inlineStr">
        <is>
          <t>39.95</t>
        </is>
      </c>
      <c r="T3153" t="inlineStr">
        <is>
          <t>S22413</t>
        </is>
      </c>
    </row>
    <row r="3154" hidden="1" ht="15.75" customHeight="1">
      <c r="A3154" s="2">
        <f>HYPERLINK("https://www.soccerplususa.com/adidas/adidas-tabela-14-jersey-youth-6085", "https://www.soccerplususa.com/adidas/adidas-tabela-14-jersey-youth-6085")</f>
        <v/>
      </c>
      <c r="B3154" t="inlineStr">
        <is>
          <t>undefined</t>
        </is>
      </c>
      <c r="C3154" t="inlineStr">
        <is>
          <t>adidas Tabela 14 Jersey Youth</t>
        </is>
      </c>
      <c r="D3154" t="inlineStr">
        <is>
          <t>adidas Youth Tabela 18 Jersey</t>
        </is>
      </c>
      <c r="E3154" s="2">
        <f>HYPERLINK("https://www.amazon.com/adidas-TABELA-Jersey-Y%E2%9D%97%EF%B8%8FShips-Directly/dp/B078LCB4LK/ref=sr_1_9?keywords=adidas+Tabela+14+Jersey+Youth&amp;qid=1695171219&amp;sr=8-9", "https://www.amazon.com/adidas-TABELA-Jersey-Y%E2%9D%97%EF%B8%8FShips-Directly/dp/B078LCB4LK/ref=sr_1_9?keywords=adidas+Tabela+14+Jersey+Youth&amp;qid=1695171219&amp;sr=8-9")</f>
        <v/>
      </c>
      <c r="F3154" t="inlineStr">
        <is>
          <t>B078LCB4LK</t>
        </is>
      </c>
      <c r="G3154">
        <f>_xludf.IMAGE("https://www.soccerplususa.com/prodimages/2639-DEFAULT-l.jpg")</f>
        <v/>
      </c>
      <c r="H3154">
        <f>_xludf.IMAGE("https://m.media-amazon.com/images/I/61G-4wd3sCL._AC_UL320_.jpg")</f>
        <v/>
      </c>
      <c r="K3154" t="inlineStr">
        <is>
          <t>15.0</t>
        </is>
      </c>
      <c r="L3154" t="n">
        <v>24.47</v>
      </c>
      <c r="M3154" s="1" t="inlineStr">
        <is>
          <t>63.13%</t>
        </is>
      </c>
      <c r="N3154" s="3" t="n">
        <v>63.13</v>
      </c>
      <c r="O3154" t="n">
        <v>1.8</v>
      </c>
      <c r="P3154" t="n">
        <v>2</v>
      </c>
      <c r="R3154" t="inlineStr">
        <is>
          <t>InStock</t>
        </is>
      </c>
      <c r="S3154" t="inlineStr">
        <is>
          <t>29.95</t>
        </is>
      </c>
      <c r="T3154" t="inlineStr">
        <is>
          <t>F50454</t>
        </is>
      </c>
    </row>
    <row r="3155" hidden="1" ht="15.75" customHeight="1">
      <c r="A3155" s="2">
        <f>HYPERLINK("https://www.soccerplususa.com/adidas/adidas-tabela-14-jersey-youth-6087", "https://www.soccerplususa.com/adidas/adidas-tabela-14-jersey-youth-6087")</f>
        <v/>
      </c>
      <c r="B3155" t="inlineStr">
        <is>
          <t>undefined</t>
        </is>
      </c>
      <c r="C3155" t="inlineStr">
        <is>
          <t>adidas Tabela 14 Jersey Youth</t>
        </is>
      </c>
      <c r="D3155" t="inlineStr">
        <is>
          <t>adidas Youth Tabela 18 Jersey</t>
        </is>
      </c>
      <c r="E3155" s="2">
        <f>HYPERLINK("https://www.amazon.com/adidas-TABELA-Jersey-Y%E2%9D%97%EF%B8%8FShips-Directly/dp/B078LCB4LK/ref=sr_1_9?keywords=adidas+Tabela+14+Jersey+Youth&amp;qid=1695171213&amp;sr=8-9", "https://www.amazon.com/adidas-TABELA-Jersey-Y%E2%9D%97%EF%B8%8FShips-Directly/dp/B078LCB4LK/ref=sr_1_9?keywords=adidas+Tabela+14+Jersey+Youth&amp;qid=1695171213&amp;sr=8-9")</f>
        <v/>
      </c>
      <c r="F3155" t="inlineStr">
        <is>
          <t>B078LCB4LK</t>
        </is>
      </c>
      <c r="G3155">
        <f>_xludf.IMAGE("https://www.soccerplususa.com/prodimages/4590-DEFAULT-l.jpg")</f>
        <v/>
      </c>
      <c r="H3155">
        <f>_xludf.IMAGE("https://m.media-amazon.com/images/I/61G-4wd3sCL._AC_UL320_.jpg")</f>
        <v/>
      </c>
      <c r="K3155" t="inlineStr">
        <is>
          <t>15.0</t>
        </is>
      </c>
      <c r="L3155" t="n">
        <v>24.47</v>
      </c>
      <c r="M3155" s="1" t="inlineStr">
        <is>
          <t>63.13%</t>
        </is>
      </c>
      <c r="N3155" s="3" t="n">
        <v>63.13</v>
      </c>
      <c r="O3155" t="n">
        <v>1.8</v>
      </c>
      <c r="P3155" t="n">
        <v>2</v>
      </c>
      <c r="R3155" t="inlineStr">
        <is>
          <t>InStock</t>
        </is>
      </c>
      <c r="S3155" t="inlineStr">
        <is>
          <t>29.95</t>
        </is>
      </c>
      <c r="T3155" t="inlineStr">
        <is>
          <t>F50459</t>
        </is>
      </c>
    </row>
    <row r="3156" hidden="1" ht="15.75" customHeight="1">
      <c r="A3156" s="2">
        <f>HYPERLINK("https://www.soccerplususa.com/adidas/adidas-tabela-14-jersey-youth-6083", "https://www.soccerplususa.com/adidas/adidas-tabela-14-jersey-youth-6083")</f>
        <v/>
      </c>
      <c r="B3156" t="inlineStr">
        <is>
          <t>undefined</t>
        </is>
      </c>
      <c r="C3156" t="inlineStr">
        <is>
          <t>adidas Tabela 14 Jersey Youth</t>
        </is>
      </c>
      <c r="D3156" t="inlineStr">
        <is>
          <t>adidas Youth Tabela 18 Jersey</t>
        </is>
      </c>
      <c r="E3156" s="2">
        <f>HYPERLINK("https://www.amazon.com/adidas-TABELA-Jersey-Y%E2%9D%97%EF%B8%8FShips-Directly/dp/B078LCB4LK/ref=sr_1_9?keywords=adidas+Tabela+14+Jersey+Youth&amp;qid=1695171215&amp;sr=8-9", "https://www.amazon.com/adidas-TABELA-Jersey-Y%E2%9D%97%EF%B8%8FShips-Directly/dp/B078LCB4LK/ref=sr_1_9?keywords=adidas+Tabela+14+Jersey+Youth&amp;qid=1695171215&amp;sr=8-9")</f>
        <v/>
      </c>
      <c r="F3156" t="inlineStr">
        <is>
          <t>B078LCB4LK</t>
        </is>
      </c>
      <c r="G3156">
        <f>_xludf.IMAGE("https://www.soccerplususa.com/prodimages/4490-DEFAULT-l.jpg")</f>
        <v/>
      </c>
      <c r="H3156">
        <f>_xludf.IMAGE("https://m.media-amazon.com/images/I/61G-4wd3sCL._AC_UL320_.jpg")</f>
        <v/>
      </c>
      <c r="K3156" t="inlineStr">
        <is>
          <t>15.0</t>
        </is>
      </c>
      <c r="L3156" t="n">
        <v>24.47</v>
      </c>
      <c r="M3156" s="1" t="inlineStr">
        <is>
          <t>63.13%</t>
        </is>
      </c>
      <c r="N3156" s="3" t="n">
        <v>63.13</v>
      </c>
      <c r="O3156" t="n">
        <v>1.8</v>
      </c>
      <c r="P3156" t="n">
        <v>2</v>
      </c>
      <c r="R3156" t="inlineStr">
        <is>
          <t>InStock</t>
        </is>
      </c>
      <c r="S3156" t="inlineStr">
        <is>
          <t>29.95</t>
        </is>
      </c>
      <c r="T3156" t="inlineStr">
        <is>
          <t>F50451</t>
        </is>
      </c>
    </row>
    <row r="3157" ht="75" customHeight="1">
      <c r="A3157" s="2">
        <f>HYPERLINK("https://www.soccerplususa.com/adidas/adidas-regista-14-jersey-6067", "https://www.soccerplususa.com/adidas/adidas-regista-14-jersey-6067")</f>
        <v/>
      </c>
      <c r="B3157" t="inlineStr">
        <is>
          <t>undefined</t>
        </is>
      </c>
      <c r="C3157" t="inlineStr">
        <is>
          <t>adidas Regista 14 Jersey</t>
        </is>
      </c>
      <c r="D3157" t="inlineStr">
        <is>
          <t>adidas Men's Regista 14 Soccer Jersey, White, L</t>
        </is>
      </c>
      <c r="E3157" s="2">
        <f>HYPERLINK("https://www.amazon.com/adidas-Regista-Soccer-Jersey-White/dp/B00H3HWOQQ/ref=sr_1_1?keywords=adidas+Regista+14+Jersey&amp;qid=1695171231&amp;sr=8-1", "https://www.amazon.com/adidas-Regista-Soccer-Jersey-White/dp/B00H3HWOQQ/ref=sr_1_1?keywords=adidas+Regista+14+Jersey&amp;qid=1695171231&amp;sr=8-1")</f>
        <v/>
      </c>
      <c r="F3157" t="inlineStr">
        <is>
          <t>B00H3HWOQQ</t>
        </is>
      </c>
      <c r="G3157">
        <f>_xlfn.IMAGE("https://www.soccerplususa.com/prodimages/10329-DEFAULT-l.jpg")</f>
        <v/>
      </c>
      <c r="H3157">
        <f>_xlfn.IMAGE("https://m.media-amazon.com/images/I/51cMf0kbQvL._AC_UL320_.jpg")</f>
        <v/>
      </c>
      <c r="K3157" t="inlineStr">
        <is>
          <t>22.5</t>
        </is>
      </c>
      <c r="L3157" t="n">
        <v>36.44</v>
      </c>
      <c r="M3157" s="1" t="inlineStr">
        <is>
          <t>61.96%</t>
        </is>
      </c>
      <c r="N3157" s="3" t="n">
        <v>61.96</v>
      </c>
      <c r="O3157" t="n">
        <v>5</v>
      </c>
      <c r="P3157" t="n">
        <v>1</v>
      </c>
      <c r="R3157" t="inlineStr">
        <is>
          <t>InStock</t>
        </is>
      </c>
      <c r="S3157" t="inlineStr">
        <is>
          <t>44.95</t>
        </is>
      </c>
      <c r="T3157" t="inlineStr">
        <is>
          <t>F50011</t>
        </is>
      </c>
    </row>
    <row r="3158" ht="75" customHeight="1">
      <c r="A3158" s="2">
        <f>HYPERLINK("https://www.soccerplususa.com/adidas/adidas-regista-14-jersey-6672", "https://www.soccerplususa.com/adidas/adidas-regista-14-jersey-6672")</f>
        <v/>
      </c>
      <c r="B3158" t="inlineStr">
        <is>
          <t>undefined</t>
        </is>
      </c>
      <c r="C3158" t="inlineStr">
        <is>
          <t>adidas Regista 14 Jersey</t>
        </is>
      </c>
      <c r="D3158" t="inlineStr">
        <is>
          <t>adidas Men's Regista 14 Soccer Jersey, White, L</t>
        </is>
      </c>
      <c r="E3158" s="2">
        <f>HYPERLINK("https://www.amazon.com/adidas-Regista-Soccer-Jersey-White/dp/B00H3HWOQQ/ref=sr_1_1?keywords=adidas+Regista+14+Jersey&amp;qid=1695171217&amp;sr=8-1", "https://www.amazon.com/adidas-Regista-Soccer-Jersey-White/dp/B00H3HWOQQ/ref=sr_1_1?keywords=adidas+Regista+14+Jersey&amp;qid=1695171217&amp;sr=8-1")</f>
        <v/>
      </c>
      <c r="F3158" t="inlineStr">
        <is>
          <t>B00H3HWOQQ</t>
        </is>
      </c>
      <c r="G3158">
        <f>_xlfn.IMAGE("https://www.soccerplususa.com/prodimages/10435-DEFAULT-l.jpg")</f>
        <v/>
      </c>
      <c r="H3158">
        <f>_xlfn.IMAGE("https://m.media-amazon.com/images/I/51cMf0kbQvL._AC_UL320_.jpg")</f>
        <v/>
      </c>
      <c r="K3158" t="inlineStr">
        <is>
          <t>22.5</t>
        </is>
      </c>
      <c r="L3158" t="n">
        <v>36.44</v>
      </c>
      <c r="M3158" s="1" t="inlineStr">
        <is>
          <t>61.96%</t>
        </is>
      </c>
      <c r="N3158" s="3" t="n">
        <v>61.96</v>
      </c>
      <c r="O3158" t="n">
        <v>5</v>
      </c>
      <c r="P3158" t="n">
        <v>1</v>
      </c>
      <c r="R3158" t="inlineStr">
        <is>
          <t>InStock</t>
        </is>
      </c>
      <c r="S3158" t="inlineStr">
        <is>
          <t>44.95</t>
        </is>
      </c>
      <c r="T3158" t="inlineStr">
        <is>
          <t>G70830</t>
        </is>
      </c>
    </row>
    <row r="3159" ht="75" customHeight="1">
      <c r="A3159" s="2">
        <f>HYPERLINK("https://www.soccerplususa.com/adidas/adidas-tiro-17-training-jacket-youth-4851", "https://www.soccerplususa.com/adidas/adidas-tiro-17-training-jacket-youth-4851")</f>
        <v/>
      </c>
      <c r="B3159" t="inlineStr">
        <is>
          <t>undefined</t>
        </is>
      </c>
      <c r="C3159" t="inlineStr">
        <is>
          <t>adidas Tiro 17 Training Jacket Youth</t>
        </is>
      </c>
      <c r="D3159" t="inlineStr">
        <is>
          <t>adidas Mens Tiro 17 Training Jacket</t>
        </is>
      </c>
      <c r="E3159" s="2">
        <f>HYPERLINK("https://www.amazon.com/adidas-Youth-Training-Black-Jacket/dp/B01N8X668O/ref=sr_1_3?keywords=adidas+Tiro+17+Training+Jacket+Youth&amp;qid=1695171224&amp;sr=8-3", "https://www.amazon.com/adidas-Youth-Training-Black-Jacket/dp/B01N8X668O/ref=sr_1_3?keywords=adidas+Tiro+17+Training+Jacket+Youth&amp;qid=1695171224&amp;sr=8-3")</f>
        <v/>
      </c>
      <c r="F3159" t="inlineStr">
        <is>
          <t>B01N8X668O</t>
        </is>
      </c>
      <c r="G3159">
        <f>_xlfn.IMAGE("https://www.soccerplususa.com/prodimages/4535-DEFAULT-l.jpg")</f>
        <v/>
      </c>
      <c r="H3159">
        <f>_xlfn.IMAGE("https://m.media-amazon.com/images/I/61eUenswXpL._AC_UL320_.jpg")</f>
        <v/>
      </c>
      <c r="K3159" t="inlineStr">
        <is>
          <t>31.0</t>
        </is>
      </c>
      <c r="L3159" t="n">
        <v>49.99</v>
      </c>
      <c r="M3159" s="1" t="inlineStr">
        <is>
          <t>61.26%</t>
        </is>
      </c>
      <c r="N3159" s="3" t="n">
        <v>61.26</v>
      </c>
      <c r="O3159" t="n">
        <v>4.4</v>
      </c>
      <c r="P3159" t="n">
        <v>128</v>
      </c>
      <c r="R3159" t="inlineStr">
        <is>
          <t>InStock</t>
        </is>
      </c>
      <c r="S3159" t="inlineStr">
        <is>
          <t>59.95</t>
        </is>
      </c>
      <c r="T3159" t="inlineStr">
        <is>
          <t>BJ9296</t>
        </is>
      </c>
    </row>
    <row r="3160" ht="75" customHeight="1">
      <c r="A3160" s="2">
        <f>HYPERLINK("https://www.soccerplususa.com/adidas/adidas-tiro-17-training-jacket-youth-4975", "https://www.soccerplususa.com/adidas/adidas-tiro-17-training-jacket-youth-4975")</f>
        <v/>
      </c>
      <c r="B3160" t="inlineStr">
        <is>
          <t>undefined</t>
        </is>
      </c>
      <c r="C3160" t="inlineStr">
        <is>
          <t>adidas Tiro 17 Training Jacket Youth</t>
        </is>
      </c>
      <c r="D3160" t="inlineStr">
        <is>
          <t>adidas Mens Tiro 17 Training Jacket</t>
        </is>
      </c>
      <c r="E3160" s="2">
        <f>HYPERLINK("https://www.amazon.com/adidas-Youth-Training-Black-Jacket/dp/B01N8X668O/ref=sr_1_3?keywords=adidas+Tiro+17+Training+Jacket+Youth&amp;qid=1695171246&amp;sr=8-3", "https://www.amazon.com/adidas-Youth-Training-Black-Jacket/dp/B01N8X668O/ref=sr_1_3?keywords=adidas+Tiro+17+Training+Jacket+Youth&amp;qid=1695171246&amp;sr=8-3")</f>
        <v/>
      </c>
      <c r="F3160" t="inlineStr">
        <is>
          <t>B01N8X668O</t>
        </is>
      </c>
      <c r="G3160">
        <f>_xlfn.IMAGE("https://www.soccerplususa.com/prodimages/4537-DEFAULT-l.jpg")</f>
        <v/>
      </c>
      <c r="H3160">
        <f>_xlfn.IMAGE("https://m.media-amazon.com/images/I/61eUenswXpL._AC_UL320_.jpg")</f>
        <v/>
      </c>
      <c r="K3160" t="inlineStr">
        <is>
          <t>31.0</t>
        </is>
      </c>
      <c r="L3160" t="n">
        <v>49.99</v>
      </c>
      <c r="M3160" s="1" t="inlineStr">
        <is>
          <t>61.26%</t>
        </is>
      </c>
      <c r="N3160" s="3" t="n">
        <v>61.26</v>
      </c>
      <c r="O3160" t="n">
        <v>4.4</v>
      </c>
      <c r="P3160" t="n">
        <v>128</v>
      </c>
      <c r="R3160" t="inlineStr">
        <is>
          <t>InStock</t>
        </is>
      </c>
      <c r="S3160" t="inlineStr">
        <is>
          <t>59.95</t>
        </is>
      </c>
      <c r="T3160" t="inlineStr">
        <is>
          <t>BR2704</t>
        </is>
      </c>
    </row>
    <row r="3161" ht="75" customHeight="1">
      <c r="A3161" s="2">
        <f>HYPERLINK("https://www.soccerplususa.com/adidas/adidas-tiro-17-training-jacket-youth-4851", "https://www.soccerplususa.com/adidas/adidas-tiro-17-training-jacket-youth-4851")</f>
        <v/>
      </c>
      <c r="B3161" t="inlineStr">
        <is>
          <t>undefined</t>
        </is>
      </c>
      <c r="C3161" t="inlineStr">
        <is>
          <t>adidas Tiro 17 Training Jacket Youth</t>
        </is>
      </c>
      <c r="D3161" t="inlineStr">
        <is>
          <t>adidas Tiro19 Youth Training Jacket</t>
        </is>
      </c>
      <c r="E3161" s="2">
        <f>HYPERLINK("https://www.amazon.com/adidas-DT5276-TIRO19-TR-JKTY/dp/B07H3VS4M6/ref=sr_1_5?keywords=adidas+Tiro+17+Training+Jacket+Youth&amp;qid=1695171224&amp;sr=8-5", "https://www.amazon.com/adidas-DT5276-TIRO19-TR-JKTY/dp/B07H3VS4M6/ref=sr_1_5?keywords=adidas+Tiro+17+Training+Jacket+Youth&amp;qid=1695171224&amp;sr=8-5")</f>
        <v/>
      </c>
      <c r="F3161" t="inlineStr">
        <is>
          <t>B07H3VS4M6</t>
        </is>
      </c>
      <c r="G3161">
        <f>_xlfn.IMAGE("https://www.soccerplususa.com/prodimages/4535-DEFAULT-l.jpg")</f>
        <v/>
      </c>
      <c r="H3161">
        <f>_xlfn.IMAGE("https://m.media-amazon.com/images/I/41j90cyk9hL._AC_UL320_.jpg")</f>
        <v/>
      </c>
      <c r="K3161" t="inlineStr">
        <is>
          <t>31.0</t>
        </is>
      </c>
      <c r="L3161" t="n">
        <v>49.99</v>
      </c>
      <c r="M3161" s="1" t="inlineStr">
        <is>
          <t>61.26%</t>
        </is>
      </c>
      <c r="N3161" s="3" t="n">
        <v>61.26</v>
      </c>
      <c r="O3161" t="n">
        <v>5</v>
      </c>
      <c r="P3161" t="n">
        <v>5</v>
      </c>
      <c r="R3161" t="inlineStr">
        <is>
          <t>InStock</t>
        </is>
      </c>
      <c r="S3161" t="inlineStr">
        <is>
          <t>59.95</t>
        </is>
      </c>
      <c r="T3161" t="inlineStr">
        <is>
          <t>BJ9296</t>
        </is>
      </c>
    </row>
    <row r="3162" ht="75" customHeight="1">
      <c r="A3162" s="2">
        <f>HYPERLINK("https://www.soccerplususa.com/adidas/adidas-tiro-17-training-jacket-youth-4975", "https://www.soccerplususa.com/adidas/adidas-tiro-17-training-jacket-youth-4975")</f>
        <v/>
      </c>
      <c r="B3162" t="inlineStr">
        <is>
          <t>undefined</t>
        </is>
      </c>
      <c r="C3162" t="inlineStr">
        <is>
          <t>adidas Tiro 17 Training Jacket Youth</t>
        </is>
      </c>
      <c r="D3162" t="inlineStr">
        <is>
          <t>adidas Tiro19 Youth Training Jacket</t>
        </is>
      </c>
      <c r="E3162" s="2">
        <f>HYPERLINK("https://www.amazon.com/adidas-DT5276-TIRO19-TR-JKTY/dp/B07H3VS4M6/ref=sr_1_5?keywords=adidas+Tiro+17+Training+Jacket+Youth&amp;qid=1695171246&amp;sr=8-5", "https://www.amazon.com/adidas-DT5276-TIRO19-TR-JKTY/dp/B07H3VS4M6/ref=sr_1_5?keywords=adidas+Tiro+17+Training+Jacket+Youth&amp;qid=1695171246&amp;sr=8-5")</f>
        <v/>
      </c>
      <c r="F3162" t="inlineStr">
        <is>
          <t>B07H3VS4M6</t>
        </is>
      </c>
      <c r="G3162">
        <f>_xlfn.IMAGE("https://www.soccerplususa.com/prodimages/4537-DEFAULT-l.jpg")</f>
        <v/>
      </c>
      <c r="H3162">
        <f>_xlfn.IMAGE("https://m.media-amazon.com/images/I/41j90cyk9hL._AC_UL320_.jpg")</f>
        <v/>
      </c>
      <c r="K3162" t="inlineStr">
        <is>
          <t>31.0</t>
        </is>
      </c>
      <c r="L3162" t="n">
        <v>49.99</v>
      </c>
      <c r="M3162" s="1" t="inlineStr">
        <is>
          <t>61.26%</t>
        </is>
      </c>
      <c r="N3162" s="3" t="n">
        <v>61.26</v>
      </c>
      <c r="O3162" t="n">
        <v>5</v>
      </c>
      <c r="P3162" t="n">
        <v>5</v>
      </c>
      <c r="R3162" t="inlineStr">
        <is>
          <t>InStock</t>
        </is>
      </c>
      <c r="S3162" t="inlineStr">
        <is>
          <t>59.95</t>
        </is>
      </c>
      <c r="T3162" t="inlineStr">
        <is>
          <t>BR2704</t>
        </is>
      </c>
    </row>
    <row r="3163" ht="75" customHeight="1">
      <c r="A3163" s="2">
        <f>HYPERLINK("https://www.soccerplususa.com/nike/nike-epic-training-jacket-24378", "https://www.soccerplususa.com/nike/nike-epic-training-jacket-24378")</f>
        <v/>
      </c>
      <c r="B3163" t="inlineStr">
        <is>
          <t>undefined</t>
        </is>
      </c>
      <c r="C3163" t="inlineStr">
        <is>
          <t>Nike Epic Training Jacket</t>
        </is>
      </c>
      <c r="D3163" t="inlineStr">
        <is>
          <t>Nike Dri-FIT Epic Men's Full-Zip Knit Training Jacket</t>
        </is>
      </c>
      <c r="E3163" s="2">
        <f>HYPERLINK("https://www.amazon.com/Nike-Dri-FIT-Full-Zip-Training-Jacket/dp/B0B7CRZWK9/ref=sr_1_1?keywords=Nike+Epic+Training+Jacket&amp;qid=1695171174&amp;sr=8-1", "https://www.amazon.com/Nike-Dri-FIT-Full-Zip-Training-Jacket/dp/B0B7CRZWK9/ref=sr_1_1?keywords=Nike+Epic+Training+Jacket&amp;qid=1695171174&amp;sr=8-1")</f>
        <v/>
      </c>
      <c r="F3163" t="inlineStr">
        <is>
          <t>B0B7CRZWK9</t>
        </is>
      </c>
      <c r="G3163">
        <f>_xlfn.IMAGE("https://www.soccerplususa.com/prodimages/6287-DEFAULT-l.jpg")</f>
        <v/>
      </c>
      <c r="H3163">
        <f>_xlfn.IMAGE("https://m.media-amazon.com/images/I/51VlXS8UzhL._AC_UL320_.jpg")</f>
        <v/>
      </c>
      <c r="K3163" t="inlineStr">
        <is>
          <t>40.99</t>
        </is>
      </c>
      <c r="L3163" t="n">
        <v>66</v>
      </c>
      <c r="M3163" s="1" t="inlineStr">
        <is>
          <t>61.01%</t>
        </is>
      </c>
      <c r="N3163" s="3" t="n">
        <v>61.01</v>
      </c>
      <c r="O3163" t="n">
        <v>4.8</v>
      </c>
      <c r="P3163" t="n">
        <v>17</v>
      </c>
      <c r="R3163" t="inlineStr">
        <is>
          <t>InStock</t>
        </is>
      </c>
      <c r="S3163" t="inlineStr">
        <is>
          <t>54.95</t>
        </is>
      </c>
      <c r="T3163" t="inlineStr">
        <is>
          <t>835571-466</t>
        </is>
      </c>
    </row>
    <row r="3164" ht="75" customHeight="1">
      <c r="A3164" s="2">
        <f>HYPERLINK("https://www.soccerplususa.com/nike/nike-epic-training-jacket-24378", "https://www.soccerplususa.com/nike/nike-epic-training-jacket-24378")</f>
        <v/>
      </c>
      <c r="B3164" t="inlineStr">
        <is>
          <t>undefined</t>
        </is>
      </c>
      <c r="C3164" t="inlineStr">
        <is>
          <t>Nike Epic Training Jacket</t>
        </is>
      </c>
      <c r="D3164" t="inlineStr">
        <is>
          <t>Dri-FIT Men's Full-Zip Jacket - Nike Men's Training Jacket - Black</t>
        </is>
      </c>
      <c r="E3164" s="2">
        <f>HYPERLINK("https://www.amazon.com/Nike-Dri-FIT-Mens-Full-Zip-Jacket/dp/B08NYG8TG9/ref=sr_1_6?keywords=Nike+Epic+Training+Jacket&amp;qid=1695171174&amp;sr=8-6", "https://www.amazon.com/Nike-Dri-FIT-Mens-Full-Zip-Jacket/dp/B08NYG8TG9/ref=sr_1_6?keywords=Nike+Epic+Training+Jacket&amp;qid=1695171174&amp;sr=8-6")</f>
        <v/>
      </c>
      <c r="F3164" t="inlineStr">
        <is>
          <t>B08NYG8TG9</t>
        </is>
      </c>
      <c r="G3164">
        <f>_xlfn.IMAGE("https://www.soccerplususa.com/prodimages/6287-DEFAULT-l.jpg")</f>
        <v/>
      </c>
      <c r="H3164">
        <f>_xlfn.IMAGE("https://m.media-amazon.com/images/I/61XR2W1hn-L._AC_UL320_.jpg")</f>
        <v/>
      </c>
      <c r="K3164" t="inlineStr">
        <is>
          <t>40.99</t>
        </is>
      </c>
      <c r="L3164" t="n">
        <v>66</v>
      </c>
      <c r="M3164" s="1" t="inlineStr">
        <is>
          <t>61.01%</t>
        </is>
      </c>
      <c r="N3164" s="3" t="n">
        <v>61.01</v>
      </c>
      <c r="O3164" t="n">
        <v>4</v>
      </c>
      <c r="P3164" t="n">
        <v>2</v>
      </c>
      <c r="R3164" t="inlineStr">
        <is>
          <t>InStock</t>
        </is>
      </c>
      <c r="S3164" t="inlineStr">
        <is>
          <t>54.95</t>
        </is>
      </c>
      <c r="T3164" t="inlineStr">
        <is>
          <t>835571-466</t>
        </is>
      </c>
    </row>
    <row r="3165" ht="75" customHeight="1">
      <c r="A3165" s="2">
        <f>HYPERLINK("https://www.soccerplususa.com/adidas/adidas-tiro-17-jersey-youth-8176", "https://www.soccerplususa.com/adidas/adidas-tiro-17-jersey-youth-8176")</f>
        <v/>
      </c>
      <c r="B3165" t="inlineStr">
        <is>
          <t>undefined</t>
        </is>
      </c>
      <c r="C3165" t="inlineStr">
        <is>
          <t>adidas Tiro 17 Jersey Youth</t>
        </is>
      </c>
      <c r="D3165" t="inlineStr">
        <is>
          <t>adidas Youth Soccer Tiro 17 3/4 Pants</t>
        </is>
      </c>
      <c r="E3165" s="2">
        <f>HYPERLINK("https://www.amazon.com/adidas-Youth-Soccer-Pants-Black/dp/B01HNB7506/ref=sr_1_2?keywords=adidas+Tiro+17+Jersey+Youth&amp;qid=1695171210&amp;sr=8-2", "https://www.amazon.com/adidas-Youth-Soccer-Pants-Black/dp/B01HNB7506/ref=sr_1_2?keywords=adidas+Tiro+17+Jersey+Youth&amp;qid=1695171210&amp;sr=8-2")</f>
        <v/>
      </c>
      <c r="F3165" t="inlineStr">
        <is>
          <t>B01HNB7506</t>
        </is>
      </c>
      <c r="G3165">
        <f>_xlfn.IMAGE("https://www.soccerplususa.com/prodimages/7857-DEFAULT-l.jpg")</f>
        <v/>
      </c>
      <c r="H3165">
        <f>_xlfn.IMAGE("https://m.media-amazon.com/images/I/71qtWuLTNKL._AC_UL320_.jpg")</f>
        <v/>
      </c>
      <c r="K3165" t="inlineStr">
        <is>
          <t>20.97</t>
        </is>
      </c>
      <c r="L3165" t="n">
        <v>33.75</v>
      </c>
      <c r="M3165" s="1" t="inlineStr">
        <is>
          <t>60.94%</t>
        </is>
      </c>
      <c r="N3165" s="3" t="n">
        <v>60.94</v>
      </c>
      <c r="O3165" t="n">
        <v>4.3</v>
      </c>
      <c r="P3165" t="n">
        <v>54</v>
      </c>
      <c r="R3165" t="inlineStr">
        <is>
          <t>InStock</t>
        </is>
      </c>
      <c r="S3165" t="inlineStr">
        <is>
          <t>34.95</t>
        </is>
      </c>
      <c r="T3165" t="inlineStr">
        <is>
          <t>S99148</t>
        </is>
      </c>
    </row>
    <row r="3166" ht="75" customHeight="1">
      <c r="A3166" s="2">
        <f>HYPERLINK("https://www.soccerplususa.com/puma/puma-teamfinal-21-graphic-jersey-38698", "https://www.soccerplususa.com/puma/puma-teamfinal-21-graphic-jersey-38698")</f>
        <v/>
      </c>
      <c r="B3166" t="inlineStr">
        <is>
          <t>undefined</t>
        </is>
      </c>
      <c r="C3166" t="inlineStr">
        <is>
          <t>Puma Teamfinal 21 Graphic Jersey</t>
        </is>
      </c>
      <c r="D3166" t="inlineStr">
        <is>
          <t>PUMA womens Teamfinal 21 Graphic Jersey TShirt, Cyber Yellow/Spectra Yellow, XLarge US</t>
        </is>
      </c>
      <c r="E3166" s="2">
        <f>HYPERLINK("https://www.amazon.com/PUMA-Teamfinal-Graphic-X-Large-Spectra/dp/B086TVN4GX/ref=sr_1_9?keywords=Puma+Teamfinal+21+Graphic+Jersey&amp;qid=1695171152&amp;sr=8-9", "https://www.amazon.com/PUMA-Teamfinal-Graphic-X-Large-Spectra/dp/B086TVN4GX/ref=sr_1_9?keywords=Puma+Teamfinal+21+Graphic+Jersey&amp;qid=1695171152&amp;sr=8-9")</f>
        <v/>
      </c>
      <c r="F3166" t="inlineStr">
        <is>
          <t>B086TVN4GX</t>
        </is>
      </c>
      <c r="G3166">
        <f>_xlfn.IMAGE("https://www.soccerplususa.com/prodimages//36790-Electric_Blue-M.jpg")</f>
        <v/>
      </c>
      <c r="H3166">
        <f>_xlfn.IMAGE("https://m.media-amazon.com/images/I/71NK4jeIKIS._AC_UL320_.jpg")</f>
        <v/>
      </c>
      <c r="K3166" t="inlineStr">
        <is>
          <t>29.99</t>
        </is>
      </c>
      <c r="L3166" t="n">
        <v>48</v>
      </c>
      <c r="M3166" s="1" t="inlineStr">
        <is>
          <t>60.05%</t>
        </is>
      </c>
      <c r="N3166" s="3" t="n">
        <v>60.05</v>
      </c>
      <c r="O3166" t="n">
        <v>5</v>
      </c>
      <c r="P3166" t="n">
        <v>2</v>
      </c>
      <c r="R3166" t="inlineStr">
        <is>
          <t>InStock</t>
        </is>
      </c>
      <c r="S3166" t="inlineStr">
        <is>
          <t>39.95</t>
        </is>
      </c>
      <c r="T3166" t="inlineStr">
        <is>
          <t>704150-02</t>
        </is>
      </c>
    </row>
    <row r="3167" ht="75" customHeight="1">
      <c r="A3167" s="2">
        <f>HYPERLINK("https://www.soccerplususa.com/puma/puma-teamfinal-21-graphic-jersey-youth-38699", "https://www.soccerplususa.com/puma/puma-teamfinal-21-graphic-jersey-youth-38699")</f>
        <v/>
      </c>
      <c r="B3167" t="inlineStr">
        <is>
          <t>undefined</t>
        </is>
      </c>
      <c r="C3167" t="inlineStr">
        <is>
          <t>Puma Teamfinal 21 Graphic Jersey Youth</t>
        </is>
      </c>
      <c r="D3167" t="inlineStr">
        <is>
          <t>PUMA womens Teamfinal 21 Graphic Jersey TShirt, Cyber Yellow/Spectra Yellow, XLarge US</t>
        </is>
      </c>
      <c r="E3167" s="2">
        <f>HYPERLINK("https://www.amazon.com/PUMA-Teamfinal-Graphic-X-Large-Spectra/dp/B086TVN4GX/ref=sr_1_3?keywords=Puma+Teamfinal+21+Graphic+Jersey+Youth&amp;qid=1695171153&amp;sr=8-3", "https://www.amazon.com/PUMA-Teamfinal-Graphic-X-Large-Spectra/dp/B086TVN4GX/ref=sr_1_3?keywords=Puma+Teamfinal+21+Graphic+Jersey+Youth&amp;qid=1695171153&amp;sr=8-3")</f>
        <v/>
      </c>
      <c r="F3167" t="inlineStr">
        <is>
          <t>B086TVN4GX</t>
        </is>
      </c>
      <c r="G3167">
        <f>_xlfn.IMAGE("https://www.soccerplususa.com/prodimages//36783-WhiteGray-M.jpg")</f>
        <v/>
      </c>
      <c r="H3167">
        <f>_xlfn.IMAGE("https://m.media-amazon.com/images/I/71NK4jeIKIS._AC_UL320_.jpg")</f>
        <v/>
      </c>
      <c r="K3167" t="inlineStr">
        <is>
          <t>29.99</t>
        </is>
      </c>
      <c r="L3167" t="n">
        <v>48</v>
      </c>
      <c r="M3167" s="1" t="inlineStr">
        <is>
          <t>60.05%</t>
        </is>
      </c>
      <c r="N3167" s="3" t="n">
        <v>60.05</v>
      </c>
      <c r="O3167" t="n">
        <v>5</v>
      </c>
      <c r="P3167" t="n">
        <v>2</v>
      </c>
      <c r="R3167" t="inlineStr">
        <is>
          <t>InStock</t>
        </is>
      </c>
      <c r="S3167" t="inlineStr">
        <is>
          <t>39.95</t>
        </is>
      </c>
      <c r="T3167" t="inlineStr">
        <is>
          <t>704369-04</t>
        </is>
      </c>
    </row>
    <row r="3168" ht="75" customHeight="1">
      <c r="A3168" s="2">
        <f>HYPERLINK("https://www.soccerplususa.com/puma/puma-teamfinal-21-graphic-jersey-42133", "https://www.soccerplususa.com/puma/puma-teamfinal-21-graphic-jersey-42133")</f>
        <v/>
      </c>
      <c r="B3168" t="inlineStr">
        <is>
          <t>undefined</t>
        </is>
      </c>
      <c r="C3168" t="inlineStr">
        <is>
          <t>Puma Teamfinal 21 Graphic Jersey</t>
        </is>
      </c>
      <c r="D3168" t="inlineStr">
        <is>
          <t>PUMA womens Teamfinal 21 Graphic Jersey TShirt, Cyber Yellow/Spectra Yellow, XLarge US</t>
        </is>
      </c>
      <c r="E3168" s="2">
        <f>HYPERLINK("https://www.amazon.com/PUMA-Teamfinal-Graphic-X-Large-Spectra/dp/B086TVN4GX/ref=sr_1_7?keywords=Puma+Teamfinal+21+Graphic+Jersey&amp;qid=1695171174&amp;sr=8-7", "https://www.amazon.com/PUMA-Teamfinal-Graphic-X-Large-Spectra/dp/B086TVN4GX/ref=sr_1_7?keywords=Puma+Teamfinal+21+Graphic+Jersey&amp;qid=1695171174&amp;sr=8-7")</f>
        <v/>
      </c>
      <c r="F3168" t="inlineStr">
        <is>
          <t>B086TVN4GX</t>
        </is>
      </c>
      <c r="G3168">
        <f>_xlfn.IMAGE("https://www.soccerplususa.com/prodimages//37416-GRAY-M.jpg")</f>
        <v/>
      </c>
      <c r="H3168">
        <f>_xlfn.IMAGE("https://m.media-amazon.com/images/I/71NK4jeIKIS._AC_UL320_.jpg")</f>
        <v/>
      </c>
      <c r="K3168" t="inlineStr">
        <is>
          <t>29.99</t>
        </is>
      </c>
      <c r="L3168" t="n">
        <v>48</v>
      </c>
      <c r="M3168" s="1" t="inlineStr">
        <is>
          <t>60.05%</t>
        </is>
      </c>
      <c r="N3168" s="3" t="n">
        <v>60.05</v>
      </c>
      <c r="O3168" t="n">
        <v>5</v>
      </c>
      <c r="P3168" t="n">
        <v>2</v>
      </c>
      <c r="R3168" t="inlineStr">
        <is>
          <t>InStock</t>
        </is>
      </c>
      <c r="S3168" t="inlineStr">
        <is>
          <t>39.95</t>
        </is>
      </c>
      <c r="T3168" t="inlineStr">
        <is>
          <t>704150-13</t>
        </is>
      </c>
    </row>
    <row r="3169" ht="75" customHeight="1">
      <c r="A3169" s="2">
        <f>HYPERLINK("https://www.soccerplususa.com/puma/puma-teamfinal-21-graphic-jersey-womens-42094", "https://www.soccerplususa.com/puma/puma-teamfinal-21-graphic-jersey-womens-42094")</f>
        <v/>
      </c>
      <c r="B3169" t="inlineStr">
        <is>
          <t>undefined</t>
        </is>
      </c>
      <c r="C3169" t="inlineStr">
        <is>
          <t>Puma Teamfinal 21 Graphic Jersey Women's</t>
        </is>
      </c>
      <c r="D3169" t="inlineStr">
        <is>
          <t>PUMA womens Teamfinal 21 Graphic Jersey TShirt, Cyber Yellow/Spectra Yellow, XLarge US</t>
        </is>
      </c>
      <c r="E3169" s="2">
        <f>HYPERLINK("https://www.amazon.com/PUMA-Teamfinal-Graphic-X-Large-Spectra/dp/B086TVN4GX/ref=sr_1_6?keywords=Puma+Teamfinal+21+Graphic+Jersey+Women%27s&amp;qid=1695171144&amp;sr=8-6", "https://www.amazon.com/PUMA-Teamfinal-Graphic-X-Large-Spectra/dp/B086TVN4GX/ref=sr_1_6?keywords=Puma+Teamfinal+21+Graphic+Jersey+Women%27s&amp;qid=1695171144&amp;sr=8-6")</f>
        <v/>
      </c>
      <c r="F3169" t="inlineStr">
        <is>
          <t>B086TVN4GX</t>
        </is>
      </c>
      <c r="G3169">
        <f>_xlfn.IMAGE("https://www.soccerplususa.com/prodimages//37425-BLACK-M.jpg")</f>
        <v/>
      </c>
      <c r="H3169">
        <f>_xlfn.IMAGE("https://m.media-amazon.com/images/I/71NK4jeIKIS._AC_UL320_.jpg")</f>
        <v/>
      </c>
      <c r="K3169" t="inlineStr">
        <is>
          <t>29.99</t>
        </is>
      </c>
      <c r="L3169" t="n">
        <v>48</v>
      </c>
      <c r="M3169" s="1" t="inlineStr">
        <is>
          <t>60.05%</t>
        </is>
      </c>
      <c r="N3169" s="3" t="n">
        <v>60.05</v>
      </c>
      <c r="O3169" t="n">
        <v>5</v>
      </c>
      <c r="P3169" t="n">
        <v>2</v>
      </c>
      <c r="R3169" t="inlineStr">
        <is>
          <t>InStock</t>
        </is>
      </c>
      <c r="S3169" t="inlineStr">
        <is>
          <t>39.95</t>
        </is>
      </c>
      <c r="T3169" t="inlineStr">
        <is>
          <t>704368-03</t>
        </is>
      </c>
    </row>
    <row r="3170" ht="75" customHeight="1">
      <c r="A3170" s="2">
        <f>HYPERLINK("https://www.soccerplususa.com/puma/puma-teamfinal-21-graphic-jersey-youth-42095", "https://www.soccerplususa.com/puma/puma-teamfinal-21-graphic-jersey-youth-42095")</f>
        <v/>
      </c>
      <c r="B3170" t="inlineStr">
        <is>
          <t>undefined</t>
        </is>
      </c>
      <c r="C3170" t="inlineStr">
        <is>
          <t>Puma Teamfinal 21 Graphic Jersey Youth</t>
        </is>
      </c>
      <c r="D3170" t="inlineStr">
        <is>
          <t>PUMA womens Teamfinal 21 Graphic Jersey TShirt, Cyber Yellow/Spectra Yellow, XLarge US</t>
        </is>
      </c>
      <c r="E3170" s="2">
        <f>HYPERLINK("https://www.amazon.com/PUMA-Teamfinal-Graphic-X-Large-Spectra/dp/B086TVN4GX/ref=sr_1_3?keywords=Puma+Teamfinal+21+Graphic+Jersey+Youth&amp;qid=1695171148&amp;sr=8-3", "https://www.amazon.com/PUMA-Teamfinal-Graphic-X-Large-Spectra/dp/B086TVN4GX/ref=sr_1_3?keywords=Puma+Teamfinal+21+Graphic+Jersey+Youth&amp;qid=1695171148&amp;sr=8-3")</f>
        <v/>
      </c>
      <c r="F3170" t="inlineStr">
        <is>
          <t>B086TVN4GX</t>
        </is>
      </c>
      <c r="G3170">
        <f>_xlfn.IMAGE("https://www.soccerplususa.com/prodimages//37424-BLACK-M.jpg")</f>
        <v/>
      </c>
      <c r="H3170">
        <f>_xlfn.IMAGE("https://m.media-amazon.com/images/I/71NK4jeIKIS._AC_UL320_.jpg")</f>
        <v/>
      </c>
      <c r="K3170" t="inlineStr">
        <is>
          <t>29.99</t>
        </is>
      </c>
      <c r="L3170" t="n">
        <v>48</v>
      </c>
      <c r="M3170" s="1" t="inlineStr">
        <is>
          <t>60.05%</t>
        </is>
      </c>
      <c r="N3170" s="3" t="n">
        <v>60.05</v>
      </c>
      <c r="O3170" t="n">
        <v>5</v>
      </c>
      <c r="P3170" t="n">
        <v>2</v>
      </c>
      <c r="R3170" t="inlineStr">
        <is>
          <t>InStock</t>
        </is>
      </c>
      <c r="S3170" t="inlineStr">
        <is>
          <t>39.95</t>
        </is>
      </c>
      <c r="T3170" t="inlineStr">
        <is>
          <t>704369-03</t>
        </is>
      </c>
    </row>
    <row r="3171" ht="75" customHeight="1">
      <c r="A3171" s="2">
        <f>HYPERLINK("https://www.soccerplususa.com/puma/puma-teamfinal-21-graphic-jersey-38700", "https://www.soccerplususa.com/puma/puma-teamfinal-21-graphic-jersey-38700")</f>
        <v/>
      </c>
      <c r="B3171" t="inlineStr">
        <is>
          <t>undefined</t>
        </is>
      </c>
      <c r="C3171" t="inlineStr">
        <is>
          <t>Puma Teamfinal 21 Graphic Jersey</t>
        </is>
      </c>
      <c r="D3171" t="inlineStr">
        <is>
          <t>PUMA womens Teamfinal 21 Graphic Jersey TShirt, Cyber Yellow/Spectra Yellow, XLarge US</t>
        </is>
      </c>
      <c r="E3171" s="2">
        <f>HYPERLINK("https://www.amazon.com/PUMA-Teamfinal-Graphic-X-Large-Spectra/dp/B086TVN4GX/ref=sr_1_7?keywords=Puma+Teamfinal+21+Graphic+Jersey&amp;qid=1695171150&amp;sr=8-7", "https://www.amazon.com/PUMA-Teamfinal-Graphic-X-Large-Spectra/dp/B086TVN4GX/ref=sr_1_7?keywords=Puma+Teamfinal+21+Graphic+Jersey&amp;qid=1695171150&amp;sr=8-7")</f>
        <v/>
      </c>
      <c r="F3171" t="inlineStr">
        <is>
          <t>B086TVN4GX</t>
        </is>
      </c>
      <c r="G3171">
        <f>_xlfn.IMAGE("https://www.soccerplususa.com/prodimages//36789-WhiteGray-M.jpg")</f>
        <v/>
      </c>
      <c r="H3171">
        <f>_xlfn.IMAGE("https://m.media-amazon.com/images/I/71NK4jeIKIS._AC_UL320_.jpg")</f>
        <v/>
      </c>
      <c r="K3171" t="inlineStr">
        <is>
          <t>29.99</t>
        </is>
      </c>
      <c r="L3171" t="n">
        <v>48</v>
      </c>
      <c r="M3171" s="1" t="inlineStr">
        <is>
          <t>60.05%</t>
        </is>
      </c>
      <c r="N3171" s="3" t="n">
        <v>60.05</v>
      </c>
      <c r="O3171" t="n">
        <v>5</v>
      </c>
      <c r="P3171" t="n">
        <v>2</v>
      </c>
      <c r="R3171" t="inlineStr">
        <is>
          <t>InStock</t>
        </is>
      </c>
      <c r="S3171" t="inlineStr">
        <is>
          <t>39.95</t>
        </is>
      </c>
      <c r="T3171" t="inlineStr">
        <is>
          <t>704150-04</t>
        </is>
      </c>
    </row>
    <row r="3172" ht="75" customHeight="1">
      <c r="A3172" s="2">
        <f>HYPERLINK("https://www.soccerplususa.com/puma/puma-teamfinal-21-graphic-jersey-youth-40619", "https://www.soccerplususa.com/puma/puma-teamfinal-21-graphic-jersey-youth-40619")</f>
        <v/>
      </c>
      <c r="B3172" t="inlineStr">
        <is>
          <t>undefined</t>
        </is>
      </c>
      <c r="C3172" t="inlineStr">
        <is>
          <t>Puma Teamfinal 21 Graphic Jersey Youth</t>
        </is>
      </c>
      <c r="D3172" t="inlineStr">
        <is>
          <t>PUMA womens Teamfinal 21 Graphic Jersey TShirt, Cyber Yellow/Spectra Yellow, XLarge US</t>
        </is>
      </c>
      <c r="E3172" s="2">
        <f>HYPERLINK("https://www.amazon.com/PUMA-Teamfinal-Graphic-X-Large-Spectra/dp/B086TVN4GX/ref=sr_1_3?keywords=Puma+Teamfinal+21+Graphic+Jersey+Youth&amp;qid=1695171149&amp;sr=8-3", "https://www.amazon.com/PUMA-Teamfinal-Graphic-X-Large-Spectra/dp/B086TVN4GX/ref=sr_1_3?keywords=Puma+Teamfinal+21+Graphic+Jersey+Youth&amp;qid=1695171149&amp;sr=8-3")</f>
        <v/>
      </c>
      <c r="F3172" t="inlineStr">
        <is>
          <t>B086TVN4GX</t>
        </is>
      </c>
      <c r="G3172">
        <f>_xlfn.IMAGE("https://www.soccerplususa.com/prodimages//37415-Pepper_Green-M.jpg")</f>
        <v/>
      </c>
      <c r="H3172">
        <f>_xlfn.IMAGE("https://m.media-amazon.com/images/I/71NK4jeIKIS._AC_UL320_.jpg")</f>
        <v/>
      </c>
      <c r="K3172" t="inlineStr">
        <is>
          <t>29.99</t>
        </is>
      </c>
      <c r="L3172" t="n">
        <v>48</v>
      </c>
      <c r="M3172" s="1" t="inlineStr">
        <is>
          <t>60.05%</t>
        </is>
      </c>
      <c r="N3172" s="3" t="n">
        <v>60.05</v>
      </c>
      <c r="O3172" t="n">
        <v>5</v>
      </c>
      <c r="P3172" t="n">
        <v>2</v>
      </c>
      <c r="R3172" t="inlineStr">
        <is>
          <t>InStock</t>
        </is>
      </c>
      <c r="S3172" t="inlineStr">
        <is>
          <t>39.95</t>
        </is>
      </c>
      <c r="T3172" t="inlineStr">
        <is>
          <t>704369-05</t>
        </is>
      </c>
    </row>
    <row r="3173" ht="75" customHeight="1">
      <c r="A3173" s="2">
        <f>HYPERLINK("https://www.soccerplususa.com/puma/puma-teamfinal-21-graphic-jersey-41907", "https://www.soccerplususa.com/puma/puma-teamfinal-21-graphic-jersey-41907")</f>
        <v/>
      </c>
      <c r="B3173" t="inlineStr">
        <is>
          <t>undefined</t>
        </is>
      </c>
      <c r="C3173" t="inlineStr">
        <is>
          <t>Puma Teamfinal 21 Graphic Jersey</t>
        </is>
      </c>
      <c r="D3173" t="inlineStr">
        <is>
          <t>PUMA womens Teamfinal 21 Graphic Jersey TShirt, Cyber Yellow/Spectra Yellow, XLarge US</t>
        </is>
      </c>
      <c r="E3173" s="2">
        <f>HYPERLINK("https://www.amazon.com/PUMA-Teamfinal-Graphic-X-Large-Spectra/dp/B086TVN4GX/ref=sr_1_7?keywords=Puma+Teamfinal+21+Graphic+Jersey&amp;qid=1695171144&amp;sr=8-7", "https://www.amazon.com/PUMA-Teamfinal-Graphic-X-Large-Spectra/dp/B086TVN4GX/ref=sr_1_7?keywords=Puma+Teamfinal+21+Graphic+Jersey&amp;qid=1695171144&amp;sr=8-7")</f>
        <v/>
      </c>
      <c r="F3173" t="inlineStr">
        <is>
          <t>B086TVN4GX</t>
        </is>
      </c>
      <c r="G3173">
        <f>_xlfn.IMAGE("https://www.soccerplususa.com/prodimages//37409-NAVY-M.jpg")</f>
        <v/>
      </c>
      <c r="H3173">
        <f>_xlfn.IMAGE("https://m.media-amazon.com/images/I/71NK4jeIKIS._AC_UL320_.jpg")</f>
        <v/>
      </c>
      <c r="K3173" t="inlineStr">
        <is>
          <t>29.99</t>
        </is>
      </c>
      <c r="L3173" t="n">
        <v>48</v>
      </c>
      <c r="M3173" s="1" t="inlineStr">
        <is>
          <t>60.05%</t>
        </is>
      </c>
      <c r="N3173" s="3" t="n">
        <v>60.05</v>
      </c>
      <c r="O3173" t="n">
        <v>5</v>
      </c>
      <c r="P3173" t="n">
        <v>2</v>
      </c>
      <c r="R3173" t="inlineStr">
        <is>
          <t>InStock</t>
        </is>
      </c>
      <c r="S3173" t="inlineStr">
        <is>
          <t>39.95</t>
        </is>
      </c>
      <c r="T3173" t="inlineStr">
        <is>
          <t>704150-06</t>
        </is>
      </c>
    </row>
    <row r="3174" ht="75" customHeight="1">
      <c r="A3174" s="2">
        <f>HYPERLINK("https://www.soccerplususa.com/puma/puma-teamfinal-21-graphic-jersey-38602", "https://www.soccerplususa.com/puma/puma-teamfinal-21-graphic-jersey-38602")</f>
        <v/>
      </c>
      <c r="B3174" t="inlineStr">
        <is>
          <t>undefined</t>
        </is>
      </c>
      <c r="C3174" t="inlineStr">
        <is>
          <t>Puma Teamfinal 21 Graphic Jersey</t>
        </is>
      </c>
      <c r="D3174" t="inlineStr">
        <is>
          <t>PUMA womens Teamfinal 21 Graphic Jersey TShirt, Cyber Yellow/Spectra Yellow, XLarge US</t>
        </is>
      </c>
      <c r="E3174" s="2">
        <f>HYPERLINK("https://www.amazon.com/PUMA-Teamfinal-Graphic-X-Large-Spectra/dp/B086TVN4GX/ref=sr_1_7?keywords=Puma+Teamfinal+21+Graphic+Jersey&amp;qid=1695171165&amp;sr=8-7", "https://www.amazon.com/PUMA-Teamfinal-Graphic-X-Large-Spectra/dp/B086TVN4GX/ref=sr_1_7?keywords=Puma+Teamfinal+21+Graphic+Jersey&amp;qid=1695171165&amp;sr=8-7")</f>
        <v/>
      </c>
      <c r="F3174" t="inlineStr">
        <is>
          <t>B086TVN4GX</t>
        </is>
      </c>
      <c r="G3174">
        <f>_xlfn.IMAGE("https://www.soccerplususa.com/prodimages//35266-YELLOW-M.jpg")</f>
        <v/>
      </c>
      <c r="H3174">
        <f>_xlfn.IMAGE("https://m.media-amazon.com/images/I/71NK4jeIKIS._AC_UL320_.jpg")</f>
        <v/>
      </c>
      <c r="K3174" t="inlineStr">
        <is>
          <t>29.99</t>
        </is>
      </c>
      <c r="L3174" t="n">
        <v>48</v>
      </c>
      <c r="M3174" s="1" t="inlineStr">
        <is>
          <t>60.05%</t>
        </is>
      </c>
      <c r="N3174" s="3" t="n">
        <v>60.05</v>
      </c>
      <c r="O3174" t="n">
        <v>5</v>
      </c>
      <c r="P3174" t="n">
        <v>2</v>
      </c>
      <c r="R3174" t="inlineStr">
        <is>
          <t>InStock</t>
        </is>
      </c>
      <c r="S3174" t="inlineStr">
        <is>
          <t>39.95</t>
        </is>
      </c>
      <c r="T3174" t="inlineStr">
        <is>
          <t>704150-07</t>
        </is>
      </c>
    </row>
    <row r="3175" ht="75" customHeight="1">
      <c r="A3175" s="2">
        <f>HYPERLINK("https://www.soccerplususa.com/puma/puma-teamfinal-21-graphic-jersey-42091", "https://www.soccerplususa.com/puma/puma-teamfinal-21-graphic-jersey-42091")</f>
        <v/>
      </c>
      <c r="B3175" t="inlineStr">
        <is>
          <t>undefined</t>
        </is>
      </c>
      <c r="C3175" t="inlineStr">
        <is>
          <t>Puma Teamfinal 21 Graphic Jersey</t>
        </is>
      </c>
      <c r="D3175" t="inlineStr">
        <is>
          <t>PUMA womens Teamfinal 21 Graphic Jersey TShirt, Cyber Yellow/Spectra Yellow, XLarge US</t>
        </is>
      </c>
      <c r="E3175" s="2">
        <f>HYPERLINK("https://www.amazon.com/PUMA-Teamfinal-Graphic-X-Large-Spectra/dp/B086TVN4GX/ref=sr_1_7?keywords=Puma+Teamfinal+21+Graphic+Jersey&amp;qid=1695171145&amp;sr=8-7", "https://www.amazon.com/PUMA-Teamfinal-Graphic-X-Large-Spectra/dp/B086TVN4GX/ref=sr_1_7?keywords=Puma+Teamfinal+21+Graphic+Jersey&amp;qid=1695171145&amp;sr=8-7")</f>
        <v/>
      </c>
      <c r="F3175" t="inlineStr">
        <is>
          <t>B086TVN4GX</t>
        </is>
      </c>
      <c r="G3175">
        <f>_xlfn.IMAGE("https://www.soccerplususa.com/prodimages//37420-RED-M.jpg")</f>
        <v/>
      </c>
      <c r="H3175">
        <f>_xlfn.IMAGE("https://m.media-amazon.com/images/I/71NK4jeIKIS._AC_UL320_.jpg")</f>
        <v/>
      </c>
      <c r="K3175" t="inlineStr">
        <is>
          <t>29.99</t>
        </is>
      </c>
      <c r="L3175" t="n">
        <v>48</v>
      </c>
      <c r="M3175" s="1" t="inlineStr">
        <is>
          <t>60.05%</t>
        </is>
      </c>
      <c r="N3175" s="3" t="n">
        <v>60.05</v>
      </c>
      <c r="O3175" t="n">
        <v>5</v>
      </c>
      <c r="P3175" t="n">
        <v>2</v>
      </c>
      <c r="R3175" t="inlineStr">
        <is>
          <t>InStock</t>
        </is>
      </c>
      <c r="S3175" t="inlineStr">
        <is>
          <t>39.95</t>
        </is>
      </c>
      <c r="T3175" t="inlineStr">
        <is>
          <t>704150-01</t>
        </is>
      </c>
    </row>
    <row r="3176" ht="75" customHeight="1">
      <c r="A3176" s="2">
        <f>HYPERLINK("https://www.soccerplususa.com/puma/puma-teamfinal-21-graphic-jersey-40618", "https://www.soccerplususa.com/puma/puma-teamfinal-21-graphic-jersey-40618")</f>
        <v/>
      </c>
      <c r="B3176" t="inlineStr">
        <is>
          <t>undefined</t>
        </is>
      </c>
      <c r="C3176" t="inlineStr">
        <is>
          <t>Puma Teamfinal 21 Graphic Jersey</t>
        </is>
      </c>
      <c r="D3176" t="inlineStr">
        <is>
          <t>PUMA womens Teamfinal 21 Graphic Jersey TShirt, Cyber Yellow/Spectra Yellow, XLarge US</t>
        </is>
      </c>
      <c r="E3176" s="2">
        <f>HYPERLINK("https://www.amazon.com/PUMA-Teamfinal-Graphic-X-Large-Spectra/dp/B086TVN4GX/ref=sr_1_7?keywords=Puma+Teamfinal+21+Graphic+Jersey&amp;qid=1695171148&amp;sr=8-7", "https://www.amazon.com/PUMA-Teamfinal-Graphic-X-Large-Spectra/dp/B086TVN4GX/ref=sr_1_7?keywords=Puma+Teamfinal+21+Graphic+Jersey&amp;qid=1695171148&amp;sr=8-7")</f>
        <v/>
      </c>
      <c r="F3176" t="inlineStr">
        <is>
          <t>B086TVN4GX</t>
        </is>
      </c>
      <c r="G3176">
        <f>_xlfn.IMAGE("https://www.soccerplususa.com/prodimages//37414-Pepper_Green-M.jpg")</f>
        <v/>
      </c>
      <c r="H3176">
        <f>_xlfn.IMAGE("https://m.media-amazon.com/images/I/71NK4jeIKIS._AC_UL320_.jpg")</f>
        <v/>
      </c>
      <c r="K3176" t="inlineStr">
        <is>
          <t>29.99</t>
        </is>
      </c>
      <c r="L3176" t="n">
        <v>48</v>
      </c>
      <c r="M3176" s="1" t="inlineStr">
        <is>
          <t>60.05%</t>
        </is>
      </c>
      <c r="N3176" s="3" t="n">
        <v>60.05</v>
      </c>
      <c r="O3176" t="n">
        <v>5</v>
      </c>
      <c r="P3176" t="n">
        <v>2</v>
      </c>
      <c r="R3176" t="inlineStr">
        <is>
          <t>InStock</t>
        </is>
      </c>
      <c r="S3176" t="inlineStr">
        <is>
          <t>39.95</t>
        </is>
      </c>
      <c r="T3176" t="inlineStr">
        <is>
          <t>704150-05</t>
        </is>
      </c>
    </row>
    <row r="3177" ht="75" customHeight="1">
      <c r="A3177" s="2">
        <f>HYPERLINK("https://www.soccerplususa.com/puma/puma-teamfinal-21-graphic-jersey-42093", "https://www.soccerplususa.com/puma/puma-teamfinal-21-graphic-jersey-42093")</f>
        <v/>
      </c>
      <c r="B3177" t="inlineStr">
        <is>
          <t>undefined</t>
        </is>
      </c>
      <c r="C3177" t="inlineStr">
        <is>
          <t>Puma Teamfinal 21 Graphic Jersey</t>
        </is>
      </c>
      <c r="D3177" t="inlineStr">
        <is>
          <t>PUMA womens Teamfinal 21 Graphic Jersey TShirt, Cyber Yellow/Spectra Yellow, XLarge US</t>
        </is>
      </c>
      <c r="E3177" s="2">
        <f>HYPERLINK("https://www.amazon.com/PUMA-Teamfinal-Graphic-X-Large-Spectra/dp/B086TVN4GX/ref=sr_1_9?keywords=Puma+Teamfinal+21+Graphic+Jersey&amp;qid=1695171154&amp;sr=8-9", "https://www.amazon.com/PUMA-Teamfinal-Graphic-X-Large-Spectra/dp/B086TVN4GX/ref=sr_1_9?keywords=Puma+Teamfinal+21+Graphic+Jersey&amp;qid=1695171154&amp;sr=8-9")</f>
        <v/>
      </c>
      <c r="F3177" t="inlineStr">
        <is>
          <t>B086TVN4GX</t>
        </is>
      </c>
      <c r="G3177">
        <f>_xlfn.IMAGE("https://www.soccerplususa.com/prodimages//37423-BLACK-M.jpg")</f>
        <v/>
      </c>
      <c r="H3177">
        <f>_xlfn.IMAGE("https://m.media-amazon.com/images/I/71NK4jeIKIS._AC_UL320_.jpg")</f>
        <v/>
      </c>
      <c r="K3177" t="inlineStr">
        <is>
          <t>29.99</t>
        </is>
      </c>
      <c r="L3177" t="n">
        <v>48</v>
      </c>
      <c r="M3177" s="1" t="inlineStr">
        <is>
          <t>60.05%</t>
        </is>
      </c>
      <c r="N3177" s="3" t="n">
        <v>60.05</v>
      </c>
      <c r="O3177" t="n">
        <v>5</v>
      </c>
      <c r="P3177" t="n">
        <v>2</v>
      </c>
      <c r="R3177" t="inlineStr">
        <is>
          <t>InStock</t>
        </is>
      </c>
      <c r="S3177" t="inlineStr">
        <is>
          <t>39.95</t>
        </is>
      </c>
      <c r="T3177" t="inlineStr">
        <is>
          <t>704150-03</t>
        </is>
      </c>
    </row>
    <row r="3178" ht="75" customHeight="1">
      <c r="A3178" s="2">
        <f>HYPERLINK("https://www.soccerplususa.com/puma/puma-teamfinal-21-graphic-jersey-womens-40983", "https://www.soccerplususa.com/puma/puma-teamfinal-21-graphic-jersey-womens-40983")</f>
        <v/>
      </c>
      <c r="B3178" t="inlineStr">
        <is>
          <t>undefined</t>
        </is>
      </c>
      <c r="C3178" t="inlineStr">
        <is>
          <t>Puma TeamFinal 21 Graphic Jersey Women's</t>
        </is>
      </c>
      <c r="D3178" t="inlineStr">
        <is>
          <t>PUMA womens Teamfinal 21 Graphic Jersey TShirt, Cyber Yellow/Spectra Yellow, XLarge US</t>
        </is>
      </c>
      <c r="E3178" s="2">
        <f>HYPERLINK("https://www.amazon.com/PUMA-Teamfinal-Graphic-X-Large-Spectra/dp/B086TVN4GX/ref=sr_1_6?keywords=Puma+TeamFinal+21+Graphic+Jersey+Womens&amp;qid=1695171190&amp;sr=8-6", "https://www.amazon.com/PUMA-Teamfinal-Graphic-X-Large-Spectra/dp/B086TVN4GX/ref=sr_1_6?keywords=Puma+TeamFinal+21+Graphic+Jersey+Womens&amp;qid=1695171190&amp;sr=8-6")</f>
        <v/>
      </c>
      <c r="F3178" t="inlineStr">
        <is>
          <t>B086TVN4GX</t>
        </is>
      </c>
      <c r="G3178">
        <f>_xlfn.IMAGE("https://www.soccerplususa.com/prodimages//37422-RED-M.jpg")</f>
        <v/>
      </c>
      <c r="H3178">
        <f>_xlfn.IMAGE("https://m.media-amazon.com/images/I/71NK4jeIKIS._AC_UL320_.jpg")</f>
        <v/>
      </c>
      <c r="K3178" t="inlineStr">
        <is>
          <t>29.99</t>
        </is>
      </c>
      <c r="L3178" t="n">
        <v>48</v>
      </c>
      <c r="M3178" s="1" t="inlineStr">
        <is>
          <t>60.05%</t>
        </is>
      </c>
      <c r="N3178" s="3" t="n">
        <v>60.05</v>
      </c>
      <c r="O3178" t="n">
        <v>5</v>
      </c>
      <c r="P3178" t="n">
        <v>2</v>
      </c>
      <c r="R3178" t="inlineStr">
        <is>
          <t>InStock</t>
        </is>
      </c>
      <c r="S3178" t="inlineStr">
        <is>
          <t>39.95</t>
        </is>
      </c>
      <c r="T3178" t="inlineStr">
        <is>
          <t>704368-01</t>
        </is>
      </c>
    </row>
    <row r="3179" ht="75" customHeight="1">
      <c r="A3179" s="2">
        <f>HYPERLINK("https://www.soccerplususa.com/puma/puma-teamfinal-21-graphic-jersey-youth-38697", "https://www.soccerplususa.com/puma/puma-teamfinal-21-graphic-jersey-youth-38697")</f>
        <v/>
      </c>
      <c r="B3179" t="inlineStr">
        <is>
          <t>undefined</t>
        </is>
      </c>
      <c r="C3179" t="inlineStr">
        <is>
          <t>Puma Teamfinal 21 Graphic Jersey Youth</t>
        </is>
      </c>
      <c r="D3179" t="inlineStr">
        <is>
          <t>PUMA womens Teamfinal 21 Graphic Jersey TShirt, Cyber Yellow/Spectra Yellow, XLarge US</t>
        </is>
      </c>
      <c r="E3179" s="2">
        <f>HYPERLINK("https://www.amazon.com/PUMA-Teamfinal-Graphic-X-Large-Spectra/dp/B086TVN4GX/ref=sr_1_3?keywords=Puma+Teamfinal+21+Graphic+Jersey+Youth&amp;qid=1695171156&amp;sr=8-3", "https://www.amazon.com/PUMA-Teamfinal-Graphic-X-Large-Spectra/dp/B086TVN4GX/ref=sr_1_3?keywords=Puma+Teamfinal+21+Graphic+Jersey+Youth&amp;qid=1695171156&amp;sr=8-3")</f>
        <v/>
      </c>
      <c r="F3179" t="inlineStr">
        <is>
          <t>B086TVN4GX</t>
        </is>
      </c>
      <c r="G3179">
        <f>_xlfn.IMAGE("https://www.soccerplususa.com/prodimages//36781-Electric_Blue-M.jpg")</f>
        <v/>
      </c>
      <c r="H3179">
        <f>_xlfn.IMAGE("https://m.media-amazon.com/images/I/71NK4jeIKIS._AC_UL320_.jpg")</f>
        <v/>
      </c>
      <c r="K3179" t="inlineStr">
        <is>
          <t>29.99</t>
        </is>
      </c>
      <c r="L3179" t="n">
        <v>48</v>
      </c>
      <c r="M3179" s="1" t="inlineStr">
        <is>
          <t>60.05%</t>
        </is>
      </c>
      <c r="N3179" s="3" t="n">
        <v>60.05</v>
      </c>
      <c r="O3179" t="n">
        <v>5</v>
      </c>
      <c r="P3179" t="n">
        <v>2</v>
      </c>
      <c r="R3179" t="inlineStr">
        <is>
          <t>InStock</t>
        </is>
      </c>
      <c r="S3179" t="inlineStr">
        <is>
          <t>39.95</t>
        </is>
      </c>
      <c r="T3179" t="inlineStr">
        <is>
          <t>704369-02</t>
        </is>
      </c>
    </row>
    <row r="3180" ht="75" customHeight="1">
      <c r="A3180" s="2">
        <f>HYPERLINK("https://www.soccerplususa.com/puma/puma-teamfinal-21-graphic-jersey-youth-42132", "https://www.soccerplususa.com/puma/puma-teamfinal-21-graphic-jersey-youth-42132")</f>
        <v/>
      </c>
      <c r="B3180" t="inlineStr">
        <is>
          <t>undefined</t>
        </is>
      </c>
      <c r="C3180" t="inlineStr">
        <is>
          <t>Puma Teamfinal 21 Graphic Jersey Youth</t>
        </is>
      </c>
      <c r="D3180" t="inlineStr">
        <is>
          <t>PUMA womens Teamfinal 21 Graphic Jersey TShirt, Cyber Yellow/Spectra Yellow, XLarge US</t>
        </is>
      </c>
      <c r="E3180" s="2">
        <f>HYPERLINK("https://www.amazon.com/PUMA-Teamfinal-Graphic-X-Large-Spectra/dp/B086TVN4GX/ref=sr_1_3?keywords=Puma+Teamfinal+21+Graphic+Jersey+Youth&amp;qid=1695171148&amp;sr=8-3", "https://www.amazon.com/PUMA-Teamfinal-Graphic-X-Large-Spectra/dp/B086TVN4GX/ref=sr_1_3?keywords=Puma+Teamfinal+21+Graphic+Jersey+Youth&amp;qid=1695171148&amp;sr=8-3")</f>
        <v/>
      </c>
      <c r="F3180" t="inlineStr">
        <is>
          <t>B086TVN4GX</t>
        </is>
      </c>
      <c r="G3180">
        <f>_xlfn.IMAGE("https://www.soccerplususa.com/prodimages//37417-GRAY-M.jpg")</f>
        <v/>
      </c>
      <c r="H3180">
        <f>_xlfn.IMAGE("https://m.media-amazon.com/images/I/71NK4jeIKIS._AC_UL320_.jpg")</f>
        <v/>
      </c>
      <c r="K3180" t="inlineStr">
        <is>
          <t>29.99</t>
        </is>
      </c>
      <c r="L3180" t="n">
        <v>48</v>
      </c>
      <c r="M3180" s="1" t="inlineStr">
        <is>
          <t>60.05%</t>
        </is>
      </c>
      <c r="N3180" s="3" t="n">
        <v>60.05</v>
      </c>
      <c r="O3180" t="n">
        <v>5</v>
      </c>
      <c r="P3180" t="n">
        <v>2</v>
      </c>
      <c r="R3180" t="inlineStr">
        <is>
          <t>InStock</t>
        </is>
      </c>
      <c r="S3180" t="inlineStr">
        <is>
          <t>39.95</t>
        </is>
      </c>
      <c r="T3180" t="inlineStr">
        <is>
          <t>704369-13</t>
        </is>
      </c>
    </row>
    <row r="3181" ht="75" customHeight="1">
      <c r="A3181" s="2">
        <f>HYPERLINK("https://www.soccerplususa.com/puma/puma-teamfinal-21-graphic-jersey-youth-41908", "https://www.soccerplususa.com/puma/puma-teamfinal-21-graphic-jersey-youth-41908")</f>
        <v/>
      </c>
      <c r="B3181" t="inlineStr">
        <is>
          <t>undefined</t>
        </is>
      </c>
      <c r="C3181" t="inlineStr">
        <is>
          <t>Puma Teamfinal 21 Graphic Jersey Youth</t>
        </is>
      </c>
      <c r="D3181" t="inlineStr">
        <is>
          <t>PUMA womens Teamfinal 21 Graphic Jersey TShirt, Cyber Yellow/Spectra Yellow, XLarge US</t>
        </is>
      </c>
      <c r="E3181" s="2">
        <f>HYPERLINK("https://www.amazon.com/PUMA-Teamfinal-Graphic-X-Large-Spectra/dp/B086TVN4GX/ref=sr_1_3?keywords=Puma+Teamfinal+21+Graphic+Jersey+Youth&amp;qid=1695171144&amp;sr=8-3", "https://www.amazon.com/PUMA-Teamfinal-Graphic-X-Large-Spectra/dp/B086TVN4GX/ref=sr_1_3?keywords=Puma+Teamfinal+21+Graphic+Jersey+Youth&amp;qid=1695171144&amp;sr=8-3")</f>
        <v/>
      </c>
      <c r="F3181" t="inlineStr">
        <is>
          <t>B086TVN4GX</t>
        </is>
      </c>
      <c r="G3181">
        <f>_xlfn.IMAGE("https://www.soccerplususa.com/prodimages//37410-NAVY-M.jpg")</f>
        <v/>
      </c>
      <c r="H3181">
        <f>_xlfn.IMAGE("https://m.media-amazon.com/images/I/71NK4jeIKIS._AC_UL320_.jpg")</f>
        <v/>
      </c>
      <c r="K3181" t="inlineStr">
        <is>
          <t>29.99</t>
        </is>
      </c>
      <c r="L3181" t="n">
        <v>48</v>
      </c>
      <c r="M3181" s="1" t="inlineStr">
        <is>
          <t>60.05%</t>
        </is>
      </c>
      <c r="N3181" s="3" t="n">
        <v>60.05</v>
      </c>
      <c r="O3181" t="n">
        <v>5</v>
      </c>
      <c r="P3181" t="n">
        <v>2</v>
      </c>
      <c r="R3181" t="inlineStr">
        <is>
          <t>InStock</t>
        </is>
      </c>
      <c r="S3181" t="inlineStr">
        <is>
          <t>39.95</t>
        </is>
      </c>
      <c r="T3181" t="inlineStr">
        <is>
          <t>704369-06</t>
        </is>
      </c>
    </row>
    <row r="3182" ht="75" customHeight="1">
      <c r="A3182" s="2">
        <f>HYPERLINK("https://www.soccerplususa.com/puma/puma-teamfinal-21-graphic-jersey-youth-42092", "https://www.soccerplususa.com/puma/puma-teamfinal-21-graphic-jersey-youth-42092")</f>
        <v/>
      </c>
      <c r="B3182" t="inlineStr">
        <is>
          <t>undefined</t>
        </is>
      </c>
      <c r="C3182" t="inlineStr">
        <is>
          <t>Puma Teamfinal 21 Graphic Jersey Youth</t>
        </is>
      </c>
      <c r="D3182" t="inlineStr">
        <is>
          <t>PUMA womens Teamfinal 21 Graphic Jersey TShirt, Cyber Yellow/Spectra Yellow, XLarge US</t>
        </is>
      </c>
      <c r="E3182" s="2">
        <f>HYPERLINK("https://www.amazon.com/PUMA-Teamfinal-Graphic-X-Large-Spectra/dp/B086TVN4GX/ref=sr_1_3?keywords=Puma+Teamfinal+21+Graphic+Jersey+Youth&amp;qid=1695171145&amp;sr=8-3", "https://www.amazon.com/PUMA-Teamfinal-Graphic-X-Large-Spectra/dp/B086TVN4GX/ref=sr_1_3?keywords=Puma+Teamfinal+21+Graphic+Jersey+Youth&amp;qid=1695171145&amp;sr=8-3")</f>
        <v/>
      </c>
      <c r="F3182" t="inlineStr">
        <is>
          <t>B086TVN4GX</t>
        </is>
      </c>
      <c r="G3182">
        <f>_xlfn.IMAGE("https://www.soccerplususa.com/prodimages//37421-RED-M.jpg")</f>
        <v/>
      </c>
      <c r="H3182">
        <f>_xlfn.IMAGE("https://m.media-amazon.com/images/I/71NK4jeIKIS._AC_UL320_.jpg")</f>
        <v/>
      </c>
      <c r="K3182" t="inlineStr">
        <is>
          <t>29.99</t>
        </is>
      </c>
      <c r="L3182" t="n">
        <v>48</v>
      </c>
      <c r="M3182" s="1" t="inlineStr">
        <is>
          <t>60.05%</t>
        </is>
      </c>
      <c r="N3182" s="3" t="n">
        <v>60.05</v>
      </c>
      <c r="O3182" t="n">
        <v>5</v>
      </c>
      <c r="P3182" t="n">
        <v>2</v>
      </c>
      <c r="R3182" t="inlineStr">
        <is>
          <t>InStock</t>
        </is>
      </c>
      <c r="S3182" t="inlineStr">
        <is>
          <t>39.95</t>
        </is>
      </c>
      <c r="T3182" t="inlineStr">
        <is>
          <t>704369-01</t>
        </is>
      </c>
    </row>
    <row r="3183" hidden="1" ht="15.75" customHeight="1">
      <c r="A3183" s="2">
        <f>HYPERLINK("https://www.soccerplususa.com/adidas/adidas-estro-15-jersey-youth-7852", "https://www.soccerplususa.com/adidas/adidas-estro-15-jersey-youth-7852")</f>
        <v/>
      </c>
      <c r="B3183" t="inlineStr">
        <is>
          <t>undefined</t>
        </is>
      </c>
      <c r="C3183" t="inlineStr">
        <is>
          <t>adidas Estro 15 Jersey Youth</t>
        </is>
      </c>
      <c r="D3183" t="inlineStr">
        <is>
          <t>New Adidas Youth Estro 12 Soccer Jersey White/Black Youth X-Large</t>
        </is>
      </c>
      <c r="E3183" s="2">
        <f>HYPERLINK("https://www.amazon.com/Adidas-Estro-Soccer-Jersey-X-Large/dp/B00DX4B4A0/ref=sr_1_7?keywords=adidas+Estro+15+Jersey+Youth&amp;qid=1695171202&amp;sr=8-7", "https://www.amazon.com/Adidas-Estro-Soccer-Jersey-X-Large/dp/B00DX4B4A0/ref=sr_1_7?keywords=adidas+Estro+15+Jersey+Youth&amp;qid=1695171202&amp;sr=8-7")</f>
        <v/>
      </c>
      <c r="F3183" t="inlineStr">
        <is>
          <t>B00DX4B4A0</t>
        </is>
      </c>
      <c r="G3183">
        <f>_xludf.IMAGE("https://www.soccerplususa.com/prodimages/5099-DEFAULT-l.jpg")</f>
        <v/>
      </c>
      <c r="H3183">
        <f>_xludf.IMAGE("https://m.media-amazon.com/images/I/61nvg9TFoHL._AC_UL320_.jpg")</f>
        <v/>
      </c>
      <c r="K3183" t="inlineStr">
        <is>
          <t>10.0</t>
        </is>
      </c>
      <c r="L3183" t="n">
        <v>15.99</v>
      </c>
      <c r="M3183" s="1" t="inlineStr">
        <is>
          <t>59.90%</t>
        </is>
      </c>
      <c r="N3183" s="3" t="n">
        <v>59.9</v>
      </c>
      <c r="O3183" t="n">
        <v>5</v>
      </c>
      <c r="P3183" t="n">
        <v>2</v>
      </c>
      <c r="R3183" t="inlineStr">
        <is>
          <t>InStock</t>
        </is>
      </c>
      <c r="S3183" t="inlineStr">
        <is>
          <t>19.95</t>
        </is>
      </c>
      <c r="T3183" t="inlineStr">
        <is>
          <t>S17299</t>
        </is>
      </c>
    </row>
    <row r="3184" hidden="1" ht="15.75" customHeight="1">
      <c r="A3184" s="2">
        <f>HYPERLINK("https://www.soccerplususa.com/adidas/adidas-estro-15-jersey-youth-7851", "https://www.soccerplususa.com/adidas/adidas-estro-15-jersey-youth-7851")</f>
        <v/>
      </c>
      <c r="B3184" t="inlineStr">
        <is>
          <t>undefined</t>
        </is>
      </c>
      <c r="C3184" t="inlineStr">
        <is>
          <t>adidas Estro 15 Jersey Youth</t>
        </is>
      </c>
      <c r="D3184" t="inlineStr">
        <is>
          <t>New Adidas Youth Estro 12 Soccer Jersey White/Black Youth X-Large</t>
        </is>
      </c>
      <c r="E3184" s="2">
        <f>HYPERLINK("https://www.amazon.com/Adidas-Estro-Soccer-Jersey-X-Large/dp/B00DX4B4A0/ref=sr_1_1?keywords=adidas+Estro+15+Jersey+Youth&amp;qid=1695171200&amp;sr=8-1", "https://www.amazon.com/Adidas-Estro-Soccer-Jersey-X-Large/dp/B00DX4B4A0/ref=sr_1_1?keywords=adidas+Estro+15+Jersey+Youth&amp;qid=1695171200&amp;sr=8-1")</f>
        <v/>
      </c>
      <c r="F3184" t="inlineStr">
        <is>
          <t>B00DX4B4A0</t>
        </is>
      </c>
      <c r="G3184">
        <f>_xludf.IMAGE("https://www.soccerplususa.com/prodimages/5098-DEFAULT-l.jpg")</f>
        <v/>
      </c>
      <c r="H3184">
        <f>_xludf.IMAGE("https://m.media-amazon.com/images/I/61nvg9TFoHL._AC_UL320_.jpg")</f>
        <v/>
      </c>
      <c r="K3184" t="inlineStr">
        <is>
          <t>10.0</t>
        </is>
      </c>
      <c r="L3184" t="n">
        <v>15.99</v>
      </c>
      <c r="M3184" s="1" t="inlineStr">
        <is>
          <t>59.90%</t>
        </is>
      </c>
      <c r="N3184" s="3" t="n">
        <v>59.9</v>
      </c>
      <c r="O3184" t="n">
        <v>5</v>
      </c>
      <c r="P3184" t="n">
        <v>2</v>
      </c>
      <c r="R3184" t="inlineStr">
        <is>
          <t>InStock</t>
        </is>
      </c>
      <c r="S3184" t="inlineStr">
        <is>
          <t>19.95</t>
        </is>
      </c>
      <c r="T3184" t="inlineStr">
        <is>
          <t>S17298</t>
        </is>
      </c>
    </row>
    <row r="3185" hidden="1" ht="15.75" customHeight="1">
      <c r="A3185" s="2">
        <f>HYPERLINK("https://www.soccerplususa.com/puma/puma-liga-jersey-37884", "https://www.soccerplususa.com/puma/puma-liga-jersey-37884")</f>
        <v/>
      </c>
      <c r="B3185" t="inlineStr">
        <is>
          <t>undefined</t>
        </is>
      </c>
      <c r="C3185" t="inlineStr">
        <is>
          <t>Puma Liga Jersey</t>
        </is>
      </c>
      <c r="D3185" t="inlineStr">
        <is>
          <t>PUMA Men's Liga Training Jersey</t>
        </is>
      </c>
      <c r="E3185" s="2">
        <f>HYPERLINK("https://www.amazon.com/PUMA-Mens-Training-Jersey-White/dp/B07DYB6JB7/ref=sr_1_8?keywords=Puma+Liga+Jersey&amp;qid=1695171168&amp;sr=8-8", "https://www.amazon.com/PUMA-Mens-Training-Jersey-White/dp/B07DYB6JB7/ref=sr_1_8?keywords=Puma+Liga+Jersey&amp;qid=1695171168&amp;sr=8-8")</f>
        <v/>
      </c>
      <c r="F3185" t="inlineStr">
        <is>
          <t>B07DYB6JB7</t>
        </is>
      </c>
      <c r="G3185">
        <f>_xludf.IMAGE("https://www.soccerplususa.com/prodimages//35270-NAVYWHITE-M.jpg")</f>
        <v/>
      </c>
      <c r="H3185">
        <f>_xludf.IMAGE("https://m.media-amazon.com/images/I/51zmfGeYYZL._AC_UL320_.jpg")</f>
        <v/>
      </c>
      <c r="K3185" t="inlineStr">
        <is>
          <t>20.99</t>
        </is>
      </c>
      <c r="L3185" t="n">
        <v>33.47</v>
      </c>
      <c r="M3185" s="1" t="inlineStr">
        <is>
          <t>59.46%</t>
        </is>
      </c>
      <c r="N3185" s="3" t="n">
        <v>59.46</v>
      </c>
      <c r="O3185" t="n">
        <v>4.6</v>
      </c>
      <c r="P3185" t="n">
        <v>242</v>
      </c>
      <c r="R3185" t="inlineStr">
        <is>
          <t>InStock</t>
        </is>
      </c>
      <c r="S3185" t="inlineStr">
        <is>
          <t>27.95</t>
        </is>
      </c>
      <c r="T3185" t="inlineStr">
        <is>
          <t>703417-06</t>
        </is>
      </c>
    </row>
    <row r="3186" hidden="1" ht="15.75" customHeight="1">
      <c r="A3186" s="2">
        <f>HYPERLINK("https://www.soccerplususa.com/adidas/adidas-tabela-18-jersey-5113", "https://www.soccerplususa.com/adidas/adidas-tabela-18-jersey-5113")</f>
        <v/>
      </c>
      <c r="B3186" t="inlineStr">
        <is>
          <t>undefined</t>
        </is>
      </c>
      <c r="C3186" t="inlineStr">
        <is>
          <t>adidas Tabela 18 Jersey</t>
        </is>
      </c>
      <c r="D3186" t="inlineStr">
        <is>
          <t>adidas Men's Condivo 18 Jersey</t>
        </is>
      </c>
      <c r="E3186" s="2">
        <f>HYPERLINK("https://www.amazon.com/adidas-CONDIVO18-Jersey%E2%9D%97%EF%B8%8FShips-Directly-from/dp/B07BHKSWNW/ref=sr_1_7?keywords=adidas+Tabela+18+Jersey&amp;qid=1695171233&amp;sr=8-7", "https://www.amazon.com/adidas-CONDIVO18-Jersey%E2%9D%97%EF%B8%8FShips-Directly-from/dp/B07BHKSWNW/ref=sr_1_7?keywords=adidas+Tabela+18+Jersey&amp;qid=1695171233&amp;sr=8-7")</f>
        <v/>
      </c>
      <c r="F3186" t="inlineStr">
        <is>
          <t>B07BHKSWNW</t>
        </is>
      </c>
      <c r="G3186">
        <f>_xludf.IMAGE("https://www.soccerplususa.com/prodimages//31723-BLACK-M.jpg")</f>
        <v/>
      </c>
      <c r="H3186">
        <f>_xludf.IMAGE("https://m.media-amazon.com/images/I/51AFLkmAQ7L._AC_UL320_.jpg")</f>
        <v/>
      </c>
      <c r="K3186" t="inlineStr">
        <is>
          <t>21.99</t>
        </is>
      </c>
      <c r="L3186" t="n">
        <v>35</v>
      </c>
      <c r="M3186" s="1" t="inlineStr">
        <is>
          <t>59.16%</t>
        </is>
      </c>
      <c r="N3186" s="3" t="n">
        <v>59.16</v>
      </c>
      <c r="O3186" t="n">
        <v>5</v>
      </c>
      <c r="P3186" t="n">
        <v>2</v>
      </c>
      <c r="R3186" t="inlineStr">
        <is>
          <t>InStock</t>
        </is>
      </c>
      <c r="S3186" t="inlineStr">
        <is>
          <t>29.95</t>
        </is>
      </c>
      <c r="T3186" t="inlineStr">
        <is>
          <t>CE8934</t>
        </is>
      </c>
    </row>
    <row r="3187" hidden="1" ht="15.75" customHeight="1">
      <c r="A3187" s="2">
        <f>HYPERLINK("https://www.soccerplususa.com/adidas/adidas-tabela-18-jersey-33808", "https://www.soccerplususa.com/adidas/adidas-tabela-18-jersey-33808")</f>
        <v/>
      </c>
      <c r="B3187" t="inlineStr">
        <is>
          <t>undefined</t>
        </is>
      </c>
      <c r="C3187" t="inlineStr">
        <is>
          <t>adidas Tabela 18 Jersey</t>
        </is>
      </c>
      <c r="D3187" t="inlineStr">
        <is>
          <t>adidas Men's Condivo 18 Jersey</t>
        </is>
      </c>
      <c r="E3187" s="2">
        <f>HYPERLINK("https://www.amazon.com/adidas-CONDIVO18-Jersey%E2%9D%97%EF%B8%8FShips-Directly-from/dp/B07BHKSWNW/ref=sr_1_7?keywords=adidas+Tabela+18+Jersey&amp;qid=1695171170&amp;sr=8-7", "https://www.amazon.com/adidas-CONDIVO18-Jersey%E2%9D%97%EF%B8%8FShips-Directly-from/dp/B07BHKSWNW/ref=sr_1_7?keywords=adidas+Tabela+18+Jersey&amp;qid=1695171170&amp;sr=8-7")</f>
        <v/>
      </c>
      <c r="F3187" t="inlineStr">
        <is>
          <t>B07BHKSWNW</t>
        </is>
      </c>
      <c r="G3187">
        <f>_xludf.IMAGE("https://www.soccerplususa.com/prodimages//35356-REDWHITE-M.jpg")</f>
        <v/>
      </c>
      <c r="H3187">
        <f>_xludf.IMAGE("https://m.media-amazon.com/images/I/51AFLkmAQ7L._AC_UL320_.jpg")</f>
        <v/>
      </c>
      <c r="K3187" t="inlineStr">
        <is>
          <t>21.99</t>
        </is>
      </c>
      <c r="L3187" t="n">
        <v>35</v>
      </c>
      <c r="M3187" s="1" t="inlineStr">
        <is>
          <t>59.16%</t>
        </is>
      </c>
      <c r="N3187" s="3" t="n">
        <v>59.16</v>
      </c>
      <c r="O3187" t="n">
        <v>5</v>
      </c>
      <c r="P3187" t="n">
        <v>2</v>
      </c>
      <c r="R3187" t="inlineStr">
        <is>
          <t>InStock</t>
        </is>
      </c>
      <c r="S3187" t="inlineStr">
        <is>
          <t>29.95</t>
        </is>
      </c>
      <c r="T3187" t="inlineStr">
        <is>
          <t>CE8935</t>
        </is>
      </c>
    </row>
    <row r="3188" hidden="1" ht="15.75" customHeight="1">
      <c r="A3188" s="2">
        <f>HYPERLINK("https://www.soccerplususa.com/adidas/adidas-tabela-18-jersey-5115", "https://www.soccerplususa.com/adidas/adidas-tabela-18-jersey-5115")</f>
        <v/>
      </c>
      <c r="B3188" t="inlineStr">
        <is>
          <t>undefined</t>
        </is>
      </c>
      <c r="C3188" t="inlineStr">
        <is>
          <t>adidas Tabela 18 Jersey</t>
        </is>
      </c>
      <c r="D3188" t="inlineStr">
        <is>
          <t>adidas Men's Condivo 18 Jersey</t>
        </is>
      </c>
      <c r="E3188" s="2">
        <f>HYPERLINK("https://www.amazon.com/adidas-CONDIVO18-Jersey%E2%9D%97%EF%B8%8FShips-Directly-from/dp/B07BHKSWNW/ref=sr_1_7?keywords=adidas+Tabela+18+Jersey&amp;qid=1695171223&amp;sr=8-7", "https://www.amazon.com/adidas-CONDIVO18-Jersey%E2%9D%97%EF%B8%8FShips-Directly-from/dp/B07BHKSWNW/ref=sr_1_7?keywords=adidas+Tabela+18+Jersey&amp;qid=1695171223&amp;sr=8-7")</f>
        <v/>
      </c>
      <c r="F3188" t="inlineStr">
        <is>
          <t>B07BHKSWNW</t>
        </is>
      </c>
      <c r="G3188">
        <f>_xludf.IMAGE("https://www.soccerplususa.com/prodimages//31724-GRAY-M.jpg")</f>
        <v/>
      </c>
      <c r="H3188">
        <f>_xludf.IMAGE("https://m.media-amazon.com/images/I/51AFLkmAQ7L._AC_UL320_.jpg")</f>
        <v/>
      </c>
      <c r="K3188" t="inlineStr">
        <is>
          <t>21.99</t>
        </is>
      </c>
      <c r="L3188" t="n">
        <v>35</v>
      </c>
      <c r="M3188" s="1" t="inlineStr">
        <is>
          <t>59.16%</t>
        </is>
      </c>
      <c r="N3188" s="3" t="n">
        <v>59.16</v>
      </c>
      <c r="O3188" t="n">
        <v>5</v>
      </c>
      <c r="P3188" t="n">
        <v>2</v>
      </c>
      <c r="R3188" t="inlineStr">
        <is>
          <t>InStock</t>
        </is>
      </c>
      <c r="S3188" t="inlineStr">
        <is>
          <t>29.95</t>
        </is>
      </c>
      <c r="T3188" t="inlineStr">
        <is>
          <t>CE8940</t>
        </is>
      </c>
    </row>
    <row r="3189" hidden="1" ht="15.75" customHeight="1">
      <c r="A3189" s="2">
        <f>HYPERLINK("https://www.soccerplususa.com/adidas/adidas-tabela-18-jersey-5116", "https://www.soccerplususa.com/adidas/adidas-tabela-18-jersey-5116")</f>
        <v/>
      </c>
      <c r="B3189" t="inlineStr">
        <is>
          <t>undefined</t>
        </is>
      </c>
      <c r="C3189" t="inlineStr">
        <is>
          <t>adidas Tabela 18 Jersey</t>
        </is>
      </c>
      <c r="D3189" t="inlineStr">
        <is>
          <t>adidas Men's Condivo 18 Jersey</t>
        </is>
      </c>
      <c r="E3189" s="2">
        <f>HYPERLINK("https://www.amazon.com/adidas-CONDIVO18-Jersey%E2%9D%97%EF%B8%8FShips-Directly-from/dp/B07BHKSWNW/ref=sr_1_7?keywords=adidas+Tabela+18+Jersey&amp;qid=1695171247&amp;sr=8-7", "https://www.amazon.com/adidas-CONDIVO18-Jersey%E2%9D%97%EF%B8%8FShips-Directly-from/dp/B07BHKSWNW/ref=sr_1_7?keywords=adidas+Tabela+18+Jersey&amp;qid=1695171247&amp;sr=8-7")</f>
        <v/>
      </c>
      <c r="F3189" t="inlineStr">
        <is>
          <t>B07BHKSWNW</t>
        </is>
      </c>
      <c r="G3189">
        <f>_xludf.IMAGE("https://www.soccerplususa.com/prodimages//31725-YELLOW-M.jpg")</f>
        <v/>
      </c>
      <c r="H3189">
        <f>_xludf.IMAGE("https://m.media-amazon.com/images/I/51AFLkmAQ7L._AC_UL320_.jpg")</f>
        <v/>
      </c>
      <c r="K3189" t="inlineStr">
        <is>
          <t>21.99</t>
        </is>
      </c>
      <c r="L3189" t="n">
        <v>35</v>
      </c>
      <c r="M3189" s="1" t="inlineStr">
        <is>
          <t>59.16%</t>
        </is>
      </c>
      <c r="N3189" s="3" t="n">
        <v>59.16</v>
      </c>
      <c r="O3189" t="n">
        <v>5</v>
      </c>
      <c r="P3189" t="n">
        <v>2</v>
      </c>
      <c r="R3189" t="inlineStr">
        <is>
          <t>InStock</t>
        </is>
      </c>
      <c r="S3189" t="inlineStr">
        <is>
          <t>29.95</t>
        </is>
      </c>
      <c r="T3189" t="inlineStr">
        <is>
          <t>CE8941</t>
        </is>
      </c>
    </row>
    <row r="3190" hidden="1" ht="15.75" customHeight="1">
      <c r="A3190" s="2">
        <f>HYPERLINK("https://www.soccerplususa.com/nike/nike-legend-tee-womens-20413", "https://www.soccerplususa.com/nike/nike-legend-tee-womens-20413")</f>
        <v/>
      </c>
      <c r="B3190" t="inlineStr">
        <is>
          <t>undefined</t>
        </is>
      </c>
      <c r="C3190" t="inlineStr">
        <is>
          <t>Nike Legend Tee Women's</t>
        </is>
      </c>
      <c r="D3190" t="inlineStr">
        <is>
          <t>Nike Women's Legend Short Sleeve TEE (Maroon, Large)</t>
        </is>
      </c>
      <c r="E3190" s="2">
        <f>HYPERLINK("https://www.amazon.com/Nike-Womens-Legend-Sleeve-Maroon/dp/B08SSPQZQB/ref=sr_1_8?keywords=Nike+Legend+Tee+Womens&amp;qid=1695171184&amp;sr=8-8", "https://www.amazon.com/Nike-Womens-Legend-Sleeve-Maroon/dp/B08SSPQZQB/ref=sr_1_8?keywords=Nike+Legend+Tee+Womens&amp;qid=1695171184&amp;sr=8-8")</f>
        <v/>
      </c>
      <c r="F3190" t="inlineStr">
        <is>
          <t>B08SSPQZQB</t>
        </is>
      </c>
      <c r="G3190">
        <f>_xludf.IMAGE("https://www.soccerplususa.com/prodimages/31739-DEFAULT-l.jpg")</f>
        <v/>
      </c>
      <c r="H3190">
        <f>_xludf.IMAGE("https://m.media-amazon.com/images/I/51MRv8ciMBL._AC_UL320_.jpg")</f>
        <v/>
      </c>
      <c r="K3190" t="inlineStr">
        <is>
          <t>18.99</t>
        </is>
      </c>
      <c r="L3190" t="n">
        <v>29.99</v>
      </c>
      <c r="M3190" s="1" t="inlineStr">
        <is>
          <t>57.93%</t>
        </is>
      </c>
      <c r="N3190" s="3" t="n">
        <v>57.93</v>
      </c>
      <c r="O3190" t="n">
        <v>4.9</v>
      </c>
      <c r="P3190" t="n">
        <v>14</v>
      </c>
      <c r="R3190" t="inlineStr">
        <is>
          <t>InStock</t>
        </is>
      </c>
      <c r="S3190" t="inlineStr">
        <is>
          <t>24.95</t>
        </is>
      </c>
      <c r="T3190" t="inlineStr">
        <is>
          <t>453181-657</t>
        </is>
      </c>
    </row>
    <row r="3191" hidden="1" ht="15.75" customHeight="1">
      <c r="A3191" s="2">
        <f>HYPERLINK("https://www.soccerplususa.com/adidas/adidas-regista-16-jersey-4149", "https://www.soccerplususa.com/adidas/adidas-regista-16-jersey-4149")</f>
        <v/>
      </c>
      <c r="B3191" t="inlineStr">
        <is>
          <t>undefined</t>
        </is>
      </c>
      <c r="C3191" t="inlineStr">
        <is>
          <t>adidas Regista 16 Jersey</t>
        </is>
      </c>
      <c r="D3191" t="inlineStr">
        <is>
          <t>adidas Regista 16 Youth Soccer Jersey Orange</t>
        </is>
      </c>
      <c r="E3191" s="2">
        <f>HYPERLINK("https://www.amazon.com/Adidas-Regista-Soccer-Jersey-Blue-White/dp/B018667R3W/ref=sr_1_1?keywords=adidas+Regista+16+Jersey&amp;qid=1695171233&amp;sr=8-1", "https://www.amazon.com/Adidas-Regista-Soccer-Jersey-Blue-White/dp/B018667R3W/ref=sr_1_1?keywords=adidas+Regista+16+Jersey&amp;qid=1695171233&amp;sr=8-1")</f>
        <v/>
      </c>
      <c r="F3191" t="inlineStr">
        <is>
          <t>B018667R3W</t>
        </is>
      </c>
      <c r="G3191">
        <f>_xludf.IMAGE("https://www.soccerplususa.com/prodimages/32795-DEFAULT-l.jpg")</f>
        <v/>
      </c>
      <c r="H3191">
        <f>_xludf.IMAGE("https://m.media-amazon.com/images/I/61tmtZUUCJL._AC_UL320_.jpg")</f>
        <v/>
      </c>
      <c r="K3191" t="inlineStr">
        <is>
          <t>17.0</t>
        </is>
      </c>
      <c r="L3191" t="n">
        <v>26.56</v>
      </c>
      <c r="M3191" s="1" t="inlineStr">
        <is>
          <t>56.24%</t>
        </is>
      </c>
      <c r="N3191" s="3" t="n">
        <v>56.24</v>
      </c>
      <c r="O3191" t="n">
        <v>4.1</v>
      </c>
      <c r="P3191" t="n">
        <v>6</v>
      </c>
      <c r="R3191" t="inlineStr">
        <is>
          <t>InStock</t>
        </is>
      </c>
      <c r="S3191" t="inlineStr">
        <is>
          <t>34.95</t>
        </is>
      </c>
      <c r="T3191" t="inlineStr">
        <is>
          <t>AP0535</t>
        </is>
      </c>
    </row>
    <row r="3192" hidden="1" ht="15.75" customHeight="1">
      <c r="A3192" s="2">
        <f>HYPERLINK("https://www.soccerplususa.com/adidas/adidas-tiro-17-training-jacket-youth-4975", "https://www.soccerplususa.com/adidas/adidas-tiro-17-training-jacket-youth-4975")</f>
        <v/>
      </c>
      <c r="B3192" t="inlineStr">
        <is>
          <t>undefined</t>
        </is>
      </c>
      <c r="C3192" t="inlineStr">
        <is>
          <t>adidas Tiro 17 Training Jacket Youth</t>
        </is>
      </c>
      <c r="D3192" t="inlineStr">
        <is>
          <t>adidas Boys Training Tiro 17 Track Jacket Sweatshirt</t>
        </is>
      </c>
      <c r="E3192" s="2">
        <f>HYPERLINK("https://www.amazon.com/adidas-Training-Jacket-Dkblue-Dkgrey/dp/B01N2XR6XA/ref=sr_1_2?keywords=adidas+Tiro+17+Training+Jacket+Youth&amp;qid=1695171246&amp;sr=8-2", "https://www.amazon.com/adidas-Training-Jacket-Dkblue-Dkgrey/dp/B01N2XR6XA/ref=sr_1_2?keywords=adidas+Tiro+17+Training+Jacket+Youth&amp;qid=1695171246&amp;sr=8-2")</f>
        <v/>
      </c>
      <c r="F3192" t="inlineStr">
        <is>
          <t>B01N2XR6XA</t>
        </is>
      </c>
      <c r="G3192">
        <f>_xludf.IMAGE("https://www.soccerplususa.com/prodimages/4537-DEFAULT-l.jpg")</f>
        <v/>
      </c>
      <c r="H3192">
        <f>_xludf.IMAGE("https://m.media-amazon.com/images/I/61WFrIbNBkL._AC_UL320_.jpg")</f>
        <v/>
      </c>
      <c r="K3192" t="inlineStr">
        <is>
          <t>31.0</t>
        </is>
      </c>
      <c r="L3192" t="n">
        <v>48.25</v>
      </c>
      <c r="M3192" s="1" t="inlineStr">
        <is>
          <t>55.65%</t>
        </is>
      </c>
      <c r="N3192" s="3" t="n">
        <v>55.65</v>
      </c>
      <c r="O3192" t="n">
        <v>3.7</v>
      </c>
      <c r="P3192" t="n">
        <v>13</v>
      </c>
      <c r="R3192" t="inlineStr">
        <is>
          <t>InStock</t>
        </is>
      </c>
      <c r="S3192" t="inlineStr">
        <is>
          <t>59.95</t>
        </is>
      </c>
      <c r="T3192" t="inlineStr">
        <is>
          <t>BR2704</t>
        </is>
      </c>
    </row>
    <row r="3193" hidden="1" ht="15.75" customHeight="1">
      <c r="A3193" s="2">
        <f>HYPERLINK("https://www.soccerplususa.com/adidas/adidas-tiro-17-training-jacket-youth-4851", "https://www.soccerplususa.com/adidas/adidas-tiro-17-training-jacket-youth-4851")</f>
        <v/>
      </c>
      <c r="B3193" t="inlineStr">
        <is>
          <t>undefined</t>
        </is>
      </c>
      <c r="C3193" t="inlineStr">
        <is>
          <t>adidas Tiro 17 Training Jacket Youth</t>
        </is>
      </c>
      <c r="D3193" t="inlineStr">
        <is>
          <t>adidas Boys Training Tiro 17 Track Jacket Sweatshirt</t>
        </is>
      </c>
      <c r="E3193" s="2">
        <f>HYPERLINK("https://www.amazon.com/adidas-Training-Jacket-Dkblue-Dkgrey/dp/B01N2XR6XA/ref=sr_1_2?keywords=adidas+Tiro+17+Training+Jacket+Youth&amp;qid=1695171224&amp;sr=8-2", "https://www.amazon.com/adidas-Training-Jacket-Dkblue-Dkgrey/dp/B01N2XR6XA/ref=sr_1_2?keywords=adidas+Tiro+17+Training+Jacket+Youth&amp;qid=1695171224&amp;sr=8-2")</f>
        <v/>
      </c>
      <c r="F3193" t="inlineStr">
        <is>
          <t>B01N2XR6XA</t>
        </is>
      </c>
      <c r="G3193">
        <f>_xludf.IMAGE("https://www.soccerplususa.com/prodimages/4535-DEFAULT-l.jpg")</f>
        <v/>
      </c>
      <c r="H3193">
        <f>_xludf.IMAGE("https://m.media-amazon.com/images/I/61WFrIbNBkL._AC_UL320_.jpg")</f>
        <v/>
      </c>
      <c r="K3193" t="inlineStr">
        <is>
          <t>31.0</t>
        </is>
      </c>
      <c r="L3193" t="n">
        <v>48.25</v>
      </c>
      <c r="M3193" s="1" t="inlineStr">
        <is>
          <t>55.65%</t>
        </is>
      </c>
      <c r="N3193" s="3" t="n">
        <v>55.65</v>
      </c>
      <c r="O3193" t="n">
        <v>3.7</v>
      </c>
      <c r="P3193" t="n">
        <v>13</v>
      </c>
      <c r="R3193" t="inlineStr">
        <is>
          <t>InStock</t>
        </is>
      </c>
      <c r="S3193" t="inlineStr">
        <is>
          <t>59.95</t>
        </is>
      </c>
      <c r="T3193" t="inlineStr">
        <is>
          <t>BJ9296</t>
        </is>
      </c>
    </row>
    <row r="3194" hidden="1" ht="15.75" customHeight="1">
      <c r="A3194" s="2">
        <f>HYPERLINK("https://www.soccerplususa.com/adidas/adidas-tabela-11-jersey-7260", "https://www.soccerplususa.com/adidas/adidas-tabela-11-jersey-7260")</f>
        <v/>
      </c>
      <c r="B3194" t="inlineStr">
        <is>
          <t>undefined</t>
        </is>
      </c>
      <c r="C3194" t="inlineStr">
        <is>
          <t>adidas Tabela 11 Jersey</t>
        </is>
      </c>
      <c r="D3194" t="inlineStr">
        <is>
          <t>adidas Kids' Tabela 23 Jersey</t>
        </is>
      </c>
      <c r="E3194" s="2">
        <f>HYPERLINK("https://www.amazon.com/adidas-Tabela-Jersey-Black-White/dp/B09YG6J77F/ref=sr_1_2?keywords=adidas+Tabela+11+Jersey&amp;qid=1695171198&amp;sr=8-2", "https://www.amazon.com/adidas-Tabela-Jersey-Black-White/dp/B09YG6J77F/ref=sr_1_2?keywords=adidas+Tabela+11+Jersey&amp;qid=1695171198&amp;sr=8-2")</f>
        <v/>
      </c>
      <c r="F3194" t="inlineStr">
        <is>
          <t>B09YG6J77F</t>
        </is>
      </c>
      <c r="G3194">
        <f>_xludf.IMAGE("https://www.soccerplususa.com/prodimages/3223-DEFAULT-l.jpg")</f>
        <v/>
      </c>
      <c r="H3194">
        <f>_xludf.IMAGE("https://m.media-amazon.com/images/I/71v3s6ZRHCL._AC_UL320_.jpg")</f>
        <v/>
      </c>
      <c r="K3194" t="inlineStr">
        <is>
          <t>12.0</t>
        </is>
      </c>
      <c r="L3194" t="n">
        <v>18.55</v>
      </c>
      <c r="M3194" s="1" t="inlineStr">
        <is>
          <t>54.58%</t>
        </is>
      </c>
      <c r="N3194" s="3" t="n">
        <v>54.58</v>
      </c>
      <c r="O3194" t="n">
        <v>4.8</v>
      </c>
      <c r="P3194" t="n">
        <v>31</v>
      </c>
      <c r="R3194" t="inlineStr">
        <is>
          <t>InStock</t>
        </is>
      </c>
      <c r="S3194" t="inlineStr">
        <is>
          <t>24.95</t>
        </is>
      </c>
      <c r="T3194" t="inlineStr">
        <is>
          <t>O07611</t>
        </is>
      </c>
    </row>
    <row r="3195" hidden="1" ht="15.75" customHeight="1">
      <c r="A3195" s="2">
        <f>HYPERLINK("https://www.soccerplususa.com/nike/nike-epic-training-jacket-24378", "https://www.soccerplususa.com/nike/nike-epic-training-jacket-24378")</f>
        <v/>
      </c>
      <c r="B3195" t="inlineStr">
        <is>
          <t>undefined</t>
        </is>
      </c>
      <c r="C3195" t="inlineStr">
        <is>
          <t>Nike Epic Training Jacket</t>
        </is>
      </c>
      <c r="D3195" t="inlineStr">
        <is>
          <t>Nike Mens Training Fitness Athletic Jacket</t>
        </is>
      </c>
      <c r="E3195" s="2">
        <f>HYPERLINK("https://www.amazon.com/Nike-Dri-FIT-Training-Jacket-Small/dp/B08NYJG35F/ref=sr_1_3?keywords=Nike+Epic+Training+Jacket&amp;qid=1695171174&amp;sr=8-3", "https://www.amazon.com/Nike-Dri-FIT-Training-Jacket-Small/dp/B08NYJG35F/ref=sr_1_3?keywords=Nike+Epic+Training+Jacket&amp;qid=1695171174&amp;sr=8-3")</f>
        <v/>
      </c>
      <c r="F3195" t="inlineStr">
        <is>
          <t>B08NYJG35F</t>
        </is>
      </c>
      <c r="G3195">
        <f>_xludf.IMAGE("https://www.soccerplususa.com/prodimages/6287-DEFAULT-l.jpg")</f>
        <v/>
      </c>
      <c r="H3195">
        <f>_xludf.IMAGE("https://m.media-amazon.com/images/I/61sLjU9FKWS._AC_UL320_.jpg")</f>
        <v/>
      </c>
      <c r="K3195" t="inlineStr">
        <is>
          <t>40.99</t>
        </is>
      </c>
      <c r="L3195" t="n">
        <v>62.99</v>
      </c>
      <c r="M3195" s="1" t="inlineStr">
        <is>
          <t>53.67%</t>
        </is>
      </c>
      <c r="N3195" s="3" t="n">
        <v>53.67</v>
      </c>
      <c r="O3195" t="n">
        <v>4.2</v>
      </c>
      <c r="P3195" t="n">
        <v>68</v>
      </c>
      <c r="R3195" t="inlineStr">
        <is>
          <t>InStock</t>
        </is>
      </c>
      <c r="S3195" t="inlineStr">
        <is>
          <t>54.95</t>
        </is>
      </c>
      <c r="T3195" t="inlineStr">
        <is>
          <t>835571-466</t>
        </is>
      </c>
    </row>
    <row r="3196" hidden="1" ht="15.75" customHeight="1">
      <c r="A3196" s="2">
        <f>HYPERLINK("https://www.soccerplususa.com/adidas/adidas-tiro-19-training-jacket-33996", "https://www.soccerplususa.com/adidas/adidas-tiro-19-training-jacket-33996")</f>
        <v/>
      </c>
      <c r="B3196" t="inlineStr">
        <is>
          <t>undefined</t>
        </is>
      </c>
      <c r="C3196" t="inlineStr">
        <is>
          <t>adidas Tiro 19 Training Jacket</t>
        </is>
      </c>
      <c r="D3196" t="inlineStr">
        <is>
          <t>adidas Tiro 19 Training Jacket - Men's Soccer</t>
        </is>
      </c>
      <c r="E3196" s="2">
        <f>HYPERLINK("https://www.amazon.com/adidas-Tiro-19-Training-Jacket/dp/B07MRCWLB1/ref=sr_1_4?keywords=adidas+Tiro+19+Training+Jacket&amp;qid=1695171209&amp;sr=8-4", "https://www.amazon.com/adidas-Tiro-19-Training-Jacket/dp/B07MRCWLB1/ref=sr_1_4?keywords=adidas+Tiro+19+Training+Jacket&amp;qid=1695171209&amp;sr=8-4")</f>
        <v/>
      </c>
      <c r="F3196" t="inlineStr">
        <is>
          <t>B07MRCWLB1</t>
        </is>
      </c>
      <c r="G3196">
        <f>_xludf.IMAGE("https://www.soccerplususa.com/prodimages/8018-DEFAULT-l.jpg")</f>
        <v/>
      </c>
      <c r="H3196">
        <f>_xludf.IMAGE("https://m.media-amazon.com/images/I/61xeP-7EFKL._AC_UL320_.jpg")</f>
        <v/>
      </c>
      <c r="K3196" t="inlineStr">
        <is>
          <t>49.0</t>
        </is>
      </c>
      <c r="L3196" t="n">
        <v>74.95999999999999</v>
      </c>
      <c r="M3196" s="1" t="inlineStr">
        <is>
          <t>52.98%</t>
        </is>
      </c>
      <c r="N3196" s="3" t="n">
        <v>52.98</v>
      </c>
      <c r="O3196" t="n">
        <v>5</v>
      </c>
      <c r="P3196" t="n">
        <v>1</v>
      </c>
      <c r="R3196" t="inlineStr">
        <is>
          <t>InStock</t>
        </is>
      </c>
      <c r="S3196" t="inlineStr">
        <is>
          <t>64.95</t>
        </is>
      </c>
      <c r="T3196" t="inlineStr">
        <is>
          <t>DT5272</t>
        </is>
      </c>
    </row>
    <row r="3197" hidden="1" ht="15.75" customHeight="1">
      <c r="A3197" s="2">
        <f>HYPERLINK("https://www.soccerplususa.com/adidas/adidas-tiro-19-training-jacket-33866", "https://www.soccerplususa.com/adidas/adidas-tiro-19-training-jacket-33866")</f>
        <v/>
      </c>
      <c r="B3197" t="inlineStr">
        <is>
          <t>undefined</t>
        </is>
      </c>
      <c r="C3197" t="inlineStr">
        <is>
          <t>adidas Tiro 19 Training Jacket</t>
        </is>
      </c>
      <c r="D3197" t="inlineStr">
        <is>
          <t>adidas Tiro 19 Training Jacket - Men's Soccer</t>
        </is>
      </c>
      <c r="E3197" s="2">
        <f>HYPERLINK("https://www.amazon.com/adidas-Tiro-19-Training-Jacket/dp/B07MRCWLB1/ref=sr_1_3?keywords=adidas+Tiro+19+Training+Jacket&amp;qid=1695171181&amp;sr=8-3", "https://www.amazon.com/adidas-Tiro-19-Training-Jacket/dp/B07MRCWLB1/ref=sr_1_3?keywords=adidas+Tiro+19+Training+Jacket&amp;qid=1695171181&amp;sr=8-3")</f>
        <v/>
      </c>
      <c r="F3197" t="inlineStr">
        <is>
          <t>B07MRCWLB1</t>
        </is>
      </c>
      <c r="G3197">
        <f>_xludf.IMAGE("https://www.soccerplususa.com/prodimages/8017-DEFAULT-l.jpg")</f>
        <v/>
      </c>
      <c r="H3197">
        <f>_xludf.IMAGE("https://m.media-amazon.com/images/I/61xeP-7EFKL._AC_UL320_.jpg")</f>
        <v/>
      </c>
      <c r="K3197" t="inlineStr">
        <is>
          <t>49.0</t>
        </is>
      </c>
      <c r="L3197" t="n">
        <v>74.95999999999999</v>
      </c>
      <c r="M3197" s="1" t="inlineStr">
        <is>
          <t>52.98%</t>
        </is>
      </c>
      <c r="N3197" s="3" t="n">
        <v>52.98</v>
      </c>
      <c r="O3197" t="n">
        <v>5</v>
      </c>
      <c r="P3197" t="n">
        <v>1</v>
      </c>
      <c r="R3197" t="inlineStr">
        <is>
          <t>InStock</t>
        </is>
      </c>
      <c r="S3197" t="inlineStr">
        <is>
          <t>64.95</t>
        </is>
      </c>
      <c r="T3197" t="inlineStr">
        <is>
          <t>D95953</t>
        </is>
      </c>
    </row>
    <row r="3198" hidden="1" ht="15.75" customHeight="1">
      <c r="A3198" s="2">
        <f>HYPERLINK("https://www.soccerplususa.com/adidas/adidas-tiro-19-training-jacket-33919", "https://www.soccerplususa.com/adidas/adidas-tiro-19-training-jacket-33919")</f>
        <v/>
      </c>
      <c r="B3198" t="inlineStr">
        <is>
          <t>undefined</t>
        </is>
      </c>
      <c r="C3198" t="inlineStr">
        <is>
          <t>adidas Tiro 19 Training Jacket</t>
        </is>
      </c>
      <c r="D3198" t="inlineStr">
        <is>
          <t>adidas Tiro 19 Training Jacket - Men's Soccer</t>
        </is>
      </c>
      <c r="E3198" s="2">
        <f>HYPERLINK("https://www.amazon.com/adidas-Tiro-19-Training-Jacket/dp/B07MRCWLB1/ref=sr_1_4?keywords=adidas+Tiro+19+Training+Jacket&amp;qid=1695171165&amp;sr=8-4", "https://www.amazon.com/adidas-Tiro-19-Training-Jacket/dp/B07MRCWLB1/ref=sr_1_4?keywords=adidas+Tiro+19+Training+Jacket&amp;qid=1695171165&amp;sr=8-4")</f>
        <v/>
      </c>
      <c r="F3198" t="inlineStr">
        <is>
          <t>B07MRCWLB1</t>
        </is>
      </c>
      <c r="G3198">
        <f>_xludf.IMAGE("https://www.soccerplususa.com/prodimages/7895-DEFAULT-l.jpg")</f>
        <v/>
      </c>
      <c r="H3198">
        <f>_xludf.IMAGE("https://m.media-amazon.com/images/I/61xeP-7EFKL._AC_UL320_.jpg")</f>
        <v/>
      </c>
      <c r="K3198" t="inlineStr">
        <is>
          <t>49.0</t>
        </is>
      </c>
      <c r="L3198" t="n">
        <v>74.95999999999999</v>
      </c>
      <c r="M3198" s="1" t="inlineStr">
        <is>
          <t>52.98%</t>
        </is>
      </c>
      <c r="N3198" s="3" t="n">
        <v>52.98</v>
      </c>
      <c r="O3198" t="n">
        <v>5</v>
      </c>
      <c r="P3198" t="n">
        <v>1</v>
      </c>
      <c r="R3198" t="inlineStr">
        <is>
          <t>InStock</t>
        </is>
      </c>
      <c r="S3198" t="inlineStr">
        <is>
          <t>64.95</t>
        </is>
      </c>
      <c r="T3198" t="inlineStr">
        <is>
          <t>DJ2594</t>
        </is>
      </c>
    </row>
    <row r="3199" hidden="1" ht="15.75" customHeight="1">
      <c r="A3199" s="2">
        <f>HYPERLINK("https://www.soccerplususa.com/nike/nike-epic-training-jacket-24378", "https://www.soccerplususa.com/nike/nike-epic-training-jacket-24378")</f>
        <v/>
      </c>
      <c r="B3199" t="inlineStr">
        <is>
          <t>undefined</t>
        </is>
      </c>
      <c r="C3199" t="inlineStr">
        <is>
          <t>Nike Epic Training Jacket</t>
        </is>
      </c>
      <c r="D3199" t="inlineStr">
        <is>
          <t>Nike Men's Full-Zip Jacket 100% Polyester Training CV7731</t>
        </is>
      </c>
      <c r="E3199" s="2">
        <f>HYPERLINK("https://www.amazon.com/Nike-Full-Zip-Jacket-Polyester-Training/dp/B08WPDG318/ref=sr_1_7?keywords=Nike+Epic+Training+Jacket&amp;qid=1695171174&amp;sr=8-7", "https://www.amazon.com/Nike-Full-Zip-Jacket-Polyester-Training/dp/B08WPDG318/ref=sr_1_7?keywords=Nike+Epic+Training+Jacket&amp;qid=1695171174&amp;sr=8-7")</f>
        <v/>
      </c>
      <c r="F3199" t="inlineStr">
        <is>
          <t>B08WPDG318</t>
        </is>
      </c>
      <c r="G3199">
        <f>_xludf.IMAGE("https://www.soccerplususa.com/prodimages/6287-DEFAULT-l.jpg")</f>
        <v/>
      </c>
      <c r="H3199">
        <f>_xludf.IMAGE("https://m.media-amazon.com/images/I/61yfq+jptIL._AC_UL320_.jpg")</f>
        <v/>
      </c>
      <c r="K3199" t="inlineStr">
        <is>
          <t>40.99</t>
        </is>
      </c>
      <c r="L3199" t="n">
        <v>62.62</v>
      </c>
      <c r="M3199" s="1" t="inlineStr">
        <is>
          <t>52.77%</t>
        </is>
      </c>
      <c r="N3199" s="3" t="n">
        <v>52.77</v>
      </c>
      <c r="O3199" t="n">
        <v>4.8</v>
      </c>
      <c r="P3199" t="n">
        <v>10</v>
      </c>
      <c r="R3199" t="inlineStr">
        <is>
          <t>InStock</t>
        </is>
      </c>
      <c r="S3199" t="inlineStr">
        <is>
          <t>54.95</t>
        </is>
      </c>
      <c r="T3199" t="inlineStr">
        <is>
          <t>835571-466</t>
        </is>
      </c>
    </row>
    <row r="3200" hidden="1" ht="15.75" customHeight="1">
      <c r="A3200" s="2">
        <f>HYPERLINK("https://www.soccerplususa.com/adidas/adidas-estro-15-jersey-7834", "https://www.soccerplususa.com/adidas/adidas-estro-15-jersey-7834")</f>
        <v/>
      </c>
      <c r="B3200" t="inlineStr">
        <is>
          <t>undefined</t>
        </is>
      </c>
      <c r="C3200" t="inlineStr">
        <is>
          <t>adidas Estro 15 Jersey</t>
        </is>
      </c>
      <c r="D3200" t="inlineStr">
        <is>
          <t>adidas Estro 15 Jersey Short Sleeve - Adult - White/Black - Small</t>
        </is>
      </c>
      <c r="E3200" s="2">
        <f>HYPERLINK("https://www.amazon.com/adidas-Estro-Jersey-Short-Sleeve/dp/B00T7YNK70/ref=sr_1_3?keywords=adidas+Estro+15+Jersey&amp;qid=1695171208&amp;sr=8-3", "https://www.amazon.com/adidas-Estro-Jersey-Short-Sleeve/dp/B00T7YNK70/ref=sr_1_3?keywords=adidas+Estro+15+Jersey&amp;qid=1695171208&amp;sr=8-3")</f>
        <v/>
      </c>
      <c r="F3200" t="inlineStr">
        <is>
          <t>B00T7YNK70</t>
        </is>
      </c>
      <c r="G3200">
        <f>_xludf.IMAGE("https://www.soccerplususa.com/prodimages/4288-DEFAULT-l.jpg")</f>
        <v/>
      </c>
      <c r="H3200">
        <f>_xludf.IMAGE("https://m.media-amazon.com/images/I/51RKYtxZUBL._AC_UL320_.jpg")</f>
        <v/>
      </c>
      <c r="K3200" t="inlineStr">
        <is>
          <t>11.0</t>
        </is>
      </c>
      <c r="L3200" t="n">
        <v>16.75</v>
      </c>
      <c r="M3200" s="1" t="inlineStr">
        <is>
          <t>52.27%</t>
        </is>
      </c>
      <c r="N3200" s="3" t="n">
        <v>52.27</v>
      </c>
      <c r="O3200" t="n">
        <v>3.7</v>
      </c>
      <c r="P3200" t="n">
        <v>38</v>
      </c>
      <c r="R3200" t="inlineStr">
        <is>
          <t>InStock</t>
        </is>
      </c>
      <c r="S3200" t="inlineStr">
        <is>
          <t>21.95</t>
        </is>
      </c>
      <c r="T3200" t="inlineStr">
        <is>
          <t>S16151</t>
        </is>
      </c>
    </row>
    <row r="3201" hidden="1" ht="15.75" customHeight="1">
      <c r="A3201" s="2">
        <f>HYPERLINK("https://www.soccerplususa.com/adidas/adidas-estro-15-jersey-7830", "https://www.soccerplususa.com/adidas/adidas-estro-15-jersey-7830")</f>
        <v/>
      </c>
      <c r="B3201" t="inlineStr">
        <is>
          <t>undefined</t>
        </is>
      </c>
      <c r="C3201" t="inlineStr">
        <is>
          <t>adidas Estro 15 Jersey</t>
        </is>
      </c>
      <c r="D3201" t="inlineStr">
        <is>
          <t>adidas Estro 15 Jersey Short Sleeve - Adult - White/Black - Small</t>
        </is>
      </c>
      <c r="E3201" s="2">
        <f>HYPERLINK("https://www.amazon.com/adidas-Estro-Jersey-Short-Sleeve/dp/B00T7YNK70/ref=sr_1_3?keywords=adidas+Estro+15+Jersey&amp;qid=1695171209&amp;sr=8-3", "https://www.amazon.com/adidas-Estro-Jersey-Short-Sleeve/dp/B00T7YNK70/ref=sr_1_3?keywords=adidas+Estro+15+Jersey&amp;qid=1695171209&amp;sr=8-3")</f>
        <v/>
      </c>
      <c r="F3201" t="inlineStr">
        <is>
          <t>B00T7YNK70</t>
        </is>
      </c>
      <c r="G3201">
        <f>_xludf.IMAGE("https://www.soccerplususa.com/prodimages/5088-DEFAULT-l.jpg")</f>
        <v/>
      </c>
      <c r="H3201">
        <f>_xludf.IMAGE("https://m.media-amazon.com/images/I/51RKYtxZUBL._AC_UL320_.jpg")</f>
        <v/>
      </c>
      <c r="K3201" t="inlineStr">
        <is>
          <t>11.0</t>
        </is>
      </c>
      <c r="L3201" t="n">
        <v>16.75</v>
      </c>
      <c r="M3201" s="1" t="inlineStr">
        <is>
          <t>52.27%</t>
        </is>
      </c>
      <c r="N3201" s="3" t="n">
        <v>52.27</v>
      </c>
      <c r="O3201" t="n">
        <v>3.7</v>
      </c>
      <c r="P3201" t="n">
        <v>38</v>
      </c>
      <c r="R3201" t="inlineStr">
        <is>
          <t>InStock</t>
        </is>
      </c>
      <c r="S3201" t="inlineStr">
        <is>
          <t>21.95</t>
        </is>
      </c>
      <c r="T3201" t="inlineStr">
        <is>
          <t>S16147</t>
        </is>
      </c>
    </row>
    <row r="3202" hidden="1" ht="15.75" customHeight="1">
      <c r="A3202" s="2">
        <f>HYPERLINK("https://www.soccerplususa.com/adidas/adidas-estro-15-jersey-7829", "https://www.soccerplususa.com/adidas/adidas-estro-15-jersey-7829")</f>
        <v/>
      </c>
      <c r="B3202" t="inlineStr">
        <is>
          <t>undefined</t>
        </is>
      </c>
      <c r="C3202" t="inlineStr">
        <is>
          <t>adidas Estro 15 Jersey</t>
        </is>
      </c>
      <c r="D3202" t="inlineStr">
        <is>
          <t>adidas Estro 15 Jersey Short Sleeve - Adult - White/Black - Small</t>
        </is>
      </c>
      <c r="E3202" s="2">
        <f>HYPERLINK("https://www.amazon.com/adidas-Estro-Jersey-Short-Sleeve/dp/B00T7YNK70/ref=sr_1_3?keywords=adidas+Estro+15+Jersey&amp;qid=1695171197&amp;sr=8-3", "https://www.amazon.com/adidas-Estro-Jersey-Short-Sleeve/dp/B00T7YNK70/ref=sr_1_3?keywords=adidas+Estro+15+Jersey&amp;qid=1695171197&amp;sr=8-3")</f>
        <v/>
      </c>
      <c r="F3202" t="inlineStr">
        <is>
          <t>B00T7YNK70</t>
        </is>
      </c>
      <c r="G3202">
        <f>_xludf.IMAGE("https://www.soccerplususa.com/prodimages/3069-DEFAULT-l.jpg")</f>
        <v/>
      </c>
      <c r="H3202">
        <f>_xludf.IMAGE("https://m.media-amazon.com/images/I/51RKYtxZUBL._AC_UL320_.jpg")</f>
        <v/>
      </c>
      <c r="K3202" t="inlineStr">
        <is>
          <t>11.0</t>
        </is>
      </c>
      <c r="L3202" t="n">
        <v>16.75</v>
      </c>
      <c r="M3202" s="1" t="inlineStr">
        <is>
          <t>52.27%</t>
        </is>
      </c>
      <c r="N3202" s="3" t="n">
        <v>52.27</v>
      </c>
      <c r="O3202" t="n">
        <v>3.7</v>
      </c>
      <c r="P3202" t="n">
        <v>38</v>
      </c>
      <c r="R3202" t="inlineStr">
        <is>
          <t>InStock</t>
        </is>
      </c>
      <c r="S3202" t="inlineStr">
        <is>
          <t>21.95</t>
        </is>
      </c>
      <c r="T3202" t="inlineStr">
        <is>
          <t>S16146</t>
        </is>
      </c>
    </row>
    <row r="3203" hidden="1" ht="15.75" customHeight="1">
      <c r="A3203" s="2">
        <f>HYPERLINK("https://www.soccerplususa.com/adidas/adidas-tabela-11-jersey-7257", "https://www.soccerplususa.com/adidas/adidas-tabela-11-jersey-7257")</f>
        <v/>
      </c>
      <c r="B3203" t="inlineStr">
        <is>
          <t>undefined</t>
        </is>
      </c>
      <c r="C3203" t="inlineStr">
        <is>
          <t>adidas Tabela 11 Jersey</t>
        </is>
      </c>
      <c r="D3203" t="inlineStr">
        <is>
          <t>adidas Kids' Tabela 23 Jersey</t>
        </is>
      </c>
      <c r="E3203" s="2">
        <f>HYPERLINK("https://www.amazon.com/adidas-Tabela-Jersey-Black-White/dp/B09YG6J77F/ref=sr_1_2?keywords=adidas+Tabela+11+Jersey&amp;qid=1695171216&amp;sr=8-2", "https://www.amazon.com/adidas-Tabela-Jersey-Black-White/dp/B09YG6J77F/ref=sr_1_2?keywords=adidas+Tabela+11+Jersey&amp;qid=1695171216&amp;sr=8-2")</f>
        <v/>
      </c>
      <c r="F3203" t="inlineStr">
        <is>
          <t>B09YG6J77F</t>
        </is>
      </c>
      <c r="G3203">
        <f>_xludf.IMAGE("https://www.soccerplususa.com/prodimages/3212-DEFAULT-l.jpg")</f>
        <v/>
      </c>
      <c r="H3203">
        <f>_xludf.IMAGE("https://m.media-amazon.com/images/I/71v3s6ZRHCL._AC_UL320_.jpg")</f>
        <v/>
      </c>
      <c r="K3203" t="inlineStr">
        <is>
          <t>12.0</t>
        </is>
      </c>
      <c r="L3203" t="n">
        <v>18.27</v>
      </c>
      <c r="M3203" s="1" t="inlineStr">
        <is>
          <t>52.25%</t>
        </is>
      </c>
      <c r="N3203" s="3" t="n">
        <v>52.25</v>
      </c>
      <c r="O3203" t="n">
        <v>4.8</v>
      </c>
      <c r="P3203" t="n">
        <v>31</v>
      </c>
      <c r="R3203" t="inlineStr">
        <is>
          <t>InStock</t>
        </is>
      </c>
      <c r="S3203" t="inlineStr">
        <is>
          <t>24.95</t>
        </is>
      </c>
      <c r="T3203" t="inlineStr">
        <is>
          <t>O07609</t>
        </is>
      </c>
    </row>
    <row r="3204" hidden="1" ht="15.75" customHeight="1">
      <c r="A3204" s="2">
        <f>HYPERLINK("https://www.soccerplususa.com/adidas/adidas-regista-16-jersey-4147", "https://www.soccerplususa.com/adidas/adidas-regista-16-jersey-4147")</f>
        <v/>
      </c>
      <c r="B3204" t="inlineStr">
        <is>
          <t>undefined</t>
        </is>
      </c>
      <c r="C3204" t="inlineStr">
        <is>
          <t>adidas Regista 16 Jersey</t>
        </is>
      </c>
      <c r="D3204" t="inlineStr">
        <is>
          <t>adidas Regista 16 Youth Soccer Jersey Orange</t>
        </is>
      </c>
      <c r="E3204" s="2">
        <f>HYPERLINK("https://www.amazon.com/Adidas-Regista-Soccer-Jersey-Blue-White/dp/B018667R3W/ref=sr_1_1?keywords=adidas+Regista+16+Jersey&amp;qid=1695171233&amp;sr=8-1", "https://www.amazon.com/Adidas-Regista-Soccer-Jersey-Blue-White/dp/B018667R3W/ref=sr_1_1?keywords=adidas+Regista+16+Jersey&amp;qid=1695171233&amp;sr=8-1")</f>
        <v/>
      </c>
      <c r="F3204" t="inlineStr">
        <is>
          <t>B018667R3W</t>
        </is>
      </c>
      <c r="G3204">
        <f>_xludf.IMAGE("https://www.soccerplususa.com/prodimages/7616-DEFAULT-l.jpg")</f>
        <v/>
      </c>
      <c r="H3204">
        <f>_xludf.IMAGE("https://m.media-amazon.com/images/I/61tmtZUUCJL._AC_UL320_.jpg")</f>
        <v/>
      </c>
      <c r="K3204" t="inlineStr">
        <is>
          <t>17.5</t>
        </is>
      </c>
      <c r="L3204" t="n">
        <v>26.56</v>
      </c>
      <c r="M3204" s="1" t="inlineStr">
        <is>
          <t>51.77%</t>
        </is>
      </c>
      <c r="N3204" s="3" t="n">
        <v>51.77</v>
      </c>
      <c r="O3204" t="n">
        <v>4.1</v>
      </c>
      <c r="P3204" t="n">
        <v>6</v>
      </c>
      <c r="R3204" t="inlineStr">
        <is>
          <t>InStock</t>
        </is>
      </c>
      <c r="S3204" t="inlineStr">
        <is>
          <t>34.95</t>
        </is>
      </c>
      <c r="T3204" t="inlineStr">
        <is>
          <t>AP0529</t>
        </is>
      </c>
    </row>
    <row r="3205" hidden="1" ht="15.75" customHeight="1">
      <c r="A3205" s="2">
        <f>HYPERLINK("https://www.soccerplususa.com/adidas/adidas-regista-16-jersey-4149", "https://www.soccerplususa.com/adidas/adidas-regista-16-jersey-4149")</f>
        <v/>
      </c>
      <c r="B3205" t="inlineStr">
        <is>
          <t>undefined</t>
        </is>
      </c>
      <c r="C3205" t="inlineStr">
        <is>
          <t>adidas Regista 16 Jersey</t>
        </is>
      </c>
      <c r="D3205" t="inlineStr">
        <is>
          <t>Nike Adidas Regista 16 Mens Soccer Short</t>
        </is>
      </c>
      <c r="E3205" s="2">
        <f>HYPERLINK("https://www.amazon.com/Adidas-Regista-Soccer-Short-Black-White/dp/B01866CQVU/ref=sr_1_4?keywords=adidas+Regista+16+Jersey&amp;qid=1695171233&amp;sr=8-4", "https://www.amazon.com/Adidas-Regista-Soccer-Short-Black-White/dp/B01866CQVU/ref=sr_1_4?keywords=adidas+Regista+16+Jersey&amp;qid=1695171233&amp;sr=8-4")</f>
        <v/>
      </c>
      <c r="F3205" t="inlineStr">
        <is>
          <t>B01866CQVU</t>
        </is>
      </c>
      <c r="G3205">
        <f>_xludf.IMAGE("https://www.soccerplususa.com/prodimages/32795-DEFAULT-l.jpg")</f>
        <v/>
      </c>
      <c r="H3205">
        <f>_xludf.IMAGE("https://m.media-amazon.com/images/I/71OBTSNGviL._AC_UL320_.jpg")</f>
        <v/>
      </c>
      <c r="K3205" t="inlineStr">
        <is>
          <t>17.0</t>
        </is>
      </c>
      <c r="L3205" t="n">
        <v>25.69</v>
      </c>
      <c r="M3205" s="1" t="inlineStr">
        <is>
          <t>51.12%</t>
        </is>
      </c>
      <c r="N3205" s="3" t="n">
        <v>51.12</v>
      </c>
      <c r="O3205" t="n">
        <v>4.7</v>
      </c>
      <c r="P3205" t="n">
        <v>9</v>
      </c>
      <c r="R3205" t="inlineStr">
        <is>
          <t>InStock</t>
        </is>
      </c>
      <c r="S3205" t="inlineStr">
        <is>
          <t>34.95</t>
        </is>
      </c>
      <c r="T3205" t="inlineStr">
        <is>
          <t>AP0535</t>
        </is>
      </c>
    </row>
    <row r="3206" hidden="1" ht="15.75" customHeight="1">
      <c r="A3206" s="2">
        <f>HYPERLINK("https://www.soccerplususa.com/storelli-sports/storelli-bodyshield-sleeveless-undershirt-32102", "https://www.soccerplususa.com/storelli-sports/storelli-bodyshield-sleeveless-undershirt-32102")</f>
        <v/>
      </c>
      <c r="B3206" t="inlineStr">
        <is>
          <t>undefined</t>
        </is>
      </c>
      <c r="C3206" t="inlineStr">
        <is>
          <t>Storelli BodyShield Sleeveless Undershirt</t>
        </is>
      </c>
      <c r="D3206" t="inlineStr">
        <is>
          <t>Storelli BodyShield Goalkeeper 3/4 Undershirt | Lightweight Compression Soccer Shirt</t>
        </is>
      </c>
      <c r="E3206" s="2">
        <f>HYPERLINK("https://www.amazon.com/Storelli-BSGKTOPBKM-Standard-Black-Medium/dp/B005E7KL8A/ref=sr_1_2?keywords=Storelli+BodyShield+Sleeveless+Undershirt&amp;qid=1695171181&amp;sr=8-2", "https://www.amazon.com/Storelli-BSGKTOPBKM-Standard-Black-Medium/dp/B005E7KL8A/ref=sr_1_2?keywords=Storelli+BodyShield+Sleeveless+Undershirt&amp;qid=1695171181&amp;sr=8-2")</f>
        <v/>
      </c>
      <c r="F3206" t="inlineStr">
        <is>
          <t>B005E7KL8A</t>
        </is>
      </c>
      <c r="G3206">
        <f>_xludf.IMAGE("https://www.soccerplususa.com/prodimages/2096-DEFAULT-l.jpg")</f>
        <v/>
      </c>
      <c r="H3206">
        <f>_xludf.IMAGE("https://m.media-amazon.com/images/I/41zIByBHr7L._AC_UL320_.jpg")</f>
        <v/>
      </c>
      <c r="K3206" t="inlineStr">
        <is>
          <t>59.95</t>
        </is>
      </c>
      <c r="L3206" t="n">
        <v>89.98999999999999</v>
      </c>
      <c r="M3206" s="1" t="inlineStr">
        <is>
          <t>50.11%</t>
        </is>
      </c>
      <c r="N3206" s="3" t="n">
        <v>50.11</v>
      </c>
      <c r="O3206" t="n">
        <v>4.2</v>
      </c>
      <c r="P3206" t="n">
        <v>76</v>
      </c>
      <c r="R3206" t="inlineStr">
        <is>
          <t>InStock</t>
        </is>
      </c>
      <c r="S3206" t="inlineStr">
        <is>
          <t>undefined</t>
        </is>
      </c>
      <c r="T3206" t="inlineStr">
        <is>
          <t>BSFPTOPNSBK</t>
        </is>
      </c>
    </row>
    <row r="3207" hidden="1" ht="15.75" customHeight="1">
      <c r="A3207" s="2">
        <f>HYPERLINK("https://www.soccerplususa.com/storelli-sports/storelli-bodyshield-sleeveless-undershirt-32102", "https://www.soccerplususa.com/storelli-sports/storelli-bodyshield-sleeveless-undershirt-32102")</f>
        <v/>
      </c>
      <c r="B3207" t="inlineStr">
        <is>
          <t>undefined</t>
        </is>
      </c>
      <c r="C3207" t="inlineStr">
        <is>
          <t>Storelli BodyShield Sleeveless Undershirt</t>
        </is>
      </c>
      <c r="D3207" t="inlineStr">
        <is>
          <t>Storelli BodyShield Goalkeeper 3/4 Undershirt | Lightweight Compression Soccer Shirt</t>
        </is>
      </c>
      <c r="E3207" s="2">
        <f>HYPERLINK("https://www.amazon.com/Storelli-BSGKTOPBKS-Standard-Black-Small/dp/B005E7KL9E/ref=sr_1_fkmr1_2?keywords=Storelli+BodyShield+Sleeveless+Undershirt&amp;qid=1695171181&amp;sr=8-2-fkmr1", "https://www.amazon.com/Storelli-BSGKTOPBKS-Standard-Black-Small/dp/B005E7KL9E/ref=sr_1_fkmr1_2?keywords=Storelli+BodyShield+Sleeveless+Undershirt&amp;qid=1695171181&amp;sr=8-2-fkmr1")</f>
        <v/>
      </c>
      <c r="F3207" t="inlineStr">
        <is>
          <t>B005E7KL9E</t>
        </is>
      </c>
      <c r="G3207">
        <f>_xludf.IMAGE("https://www.soccerplususa.com/prodimages/2096-DEFAULT-l.jpg")</f>
        <v/>
      </c>
      <c r="H3207">
        <f>_xludf.IMAGE("https://m.media-amazon.com/images/I/41zIByBHr7L._AC_UL320_.jpg")</f>
        <v/>
      </c>
      <c r="K3207" t="inlineStr">
        <is>
          <t>59.95</t>
        </is>
      </c>
      <c r="L3207" t="n">
        <v>89.98999999999999</v>
      </c>
      <c r="M3207" s="1" t="inlineStr">
        <is>
          <t>50.11%</t>
        </is>
      </c>
      <c r="N3207" s="3" t="n">
        <v>50.11</v>
      </c>
      <c r="O3207" t="n">
        <v>4.2</v>
      </c>
      <c r="P3207" t="n">
        <v>51</v>
      </c>
      <c r="R3207" t="inlineStr">
        <is>
          <t>InStock</t>
        </is>
      </c>
      <c r="S3207" t="inlineStr">
        <is>
          <t>undefined</t>
        </is>
      </c>
      <c r="T3207" t="inlineStr">
        <is>
          <t>BSFPTOPNSBK</t>
        </is>
      </c>
    </row>
    <row r="3208" hidden="1" ht="15.75" customHeight="1">
      <c r="A3208" s="2">
        <f>HYPERLINK("https://www.soccerplususa.com/adidas/adidas-tabela-11-jersey-7260", "https://www.soccerplususa.com/adidas/adidas-tabela-11-jersey-7260")</f>
        <v/>
      </c>
      <c r="B3208" t="inlineStr">
        <is>
          <t>undefined</t>
        </is>
      </c>
      <c r="C3208" t="inlineStr">
        <is>
          <t>adidas Tabela 11 Jersey</t>
        </is>
      </c>
      <c r="D3208" t="inlineStr">
        <is>
          <t>adidas Womens Tabela 18 Soccer Jersey</t>
        </is>
      </c>
      <c r="E3208" s="2">
        <f>HYPERLINK("https://www.amazon.com/adidas-Tabela-Jersey-Collegiate-Green-White/dp/B078L7RSY6/ref=sr_1_5?keywords=adidas+Tabela+11+Jersey&amp;qid=1695171198&amp;sr=8-5", "https://www.amazon.com/adidas-Tabela-Jersey-Collegiate-Green-White/dp/B078L7RSY6/ref=sr_1_5?keywords=adidas+Tabela+11+Jersey&amp;qid=1695171198&amp;sr=8-5")</f>
        <v/>
      </c>
      <c r="F3208" t="inlineStr">
        <is>
          <t>B078L7RSY6</t>
        </is>
      </c>
      <c r="G3208">
        <f>_xludf.IMAGE("https://www.soccerplususa.com/prodimages/3223-DEFAULT-l.jpg")</f>
        <v/>
      </c>
      <c r="H3208">
        <f>_xludf.IMAGE("https://m.media-amazon.com/images/I/51-xYt1RCtL._AC_UL320_.jpg")</f>
        <v/>
      </c>
      <c r="K3208" t="inlineStr">
        <is>
          <t>12.0</t>
        </is>
      </c>
      <c r="L3208" t="n">
        <v>18</v>
      </c>
      <c r="M3208" s="1" t="inlineStr">
        <is>
          <t>50.00%</t>
        </is>
      </c>
      <c r="N3208" s="3" t="n">
        <v>50</v>
      </c>
      <c r="O3208" t="n">
        <v>4.2</v>
      </c>
      <c r="P3208" t="n">
        <v>7</v>
      </c>
      <c r="R3208" t="inlineStr">
        <is>
          <t>InStock</t>
        </is>
      </c>
      <c r="S3208" t="inlineStr">
        <is>
          <t>24.95</t>
        </is>
      </c>
      <c r="T3208" t="inlineStr">
        <is>
          <t>O07611</t>
        </is>
      </c>
    </row>
    <row r="3209" hidden="1" ht="15.75" customHeight="1">
      <c r="A3209" s="2">
        <f>HYPERLINK("https://www.soccerplususa.com/adidas/adidas-tiro-13-jersey-8992", "https://www.soccerplususa.com/adidas/adidas-tiro-13-jersey-8992")</f>
        <v/>
      </c>
      <c r="B3209" t="inlineStr">
        <is>
          <t>undefined</t>
        </is>
      </c>
      <c r="C3209" t="inlineStr">
        <is>
          <t>adidas Tiro 13 Jersey</t>
        </is>
      </c>
      <c r="D3209" t="inlineStr">
        <is>
          <t>adidas Men's Tiro 23 Jersey</t>
        </is>
      </c>
      <c r="E3209" s="2">
        <f>HYPERLINK("https://www.amazon.com/adidas-Jersey-White-Black-Large/dp/B09YG3JD9R/ref=sr_1_9?keywords=adidas+Tiro+13+Jersey&amp;qid=1695171210&amp;sr=8-9", "https://www.amazon.com/adidas-Jersey-White-Black-Large/dp/B09YG3JD9R/ref=sr_1_9?keywords=adidas+Tiro+13+Jersey&amp;qid=1695171210&amp;sr=8-9")</f>
        <v/>
      </c>
      <c r="F3209" t="inlineStr">
        <is>
          <t>B09YG3JD9R</t>
        </is>
      </c>
      <c r="G3209">
        <f>_xludf.IMAGE("https://www.soccerplususa.com/prodimages/10768-DEFAULT-l.jpg")</f>
        <v/>
      </c>
      <c r="H3209">
        <f>_xludf.IMAGE("https://m.media-amazon.com/images/I/41oSu3M1eSL._AC_UL320_.jpg")</f>
        <v/>
      </c>
      <c r="K3209" t="inlineStr">
        <is>
          <t>20.0</t>
        </is>
      </c>
      <c r="L3209" t="n">
        <v>30</v>
      </c>
      <c r="M3209" s="1" t="inlineStr">
        <is>
          <t>50.00%</t>
        </is>
      </c>
      <c r="N3209" s="3" t="n">
        <v>50</v>
      </c>
      <c r="O3209" t="n">
        <v>4.6</v>
      </c>
      <c r="P3209" t="n">
        <v>46</v>
      </c>
      <c r="R3209" t="inlineStr">
        <is>
          <t>InStock</t>
        </is>
      </c>
      <c r="S3209" t="inlineStr">
        <is>
          <t>39.95</t>
        </is>
      </c>
      <c r="T3209" t="inlineStr">
        <is>
          <t>Z20252</t>
        </is>
      </c>
    </row>
    <row r="3210" hidden="1" ht="15.75" customHeight="1">
      <c r="A3210" s="2">
        <f>HYPERLINK("https://www.soccerplususa.com/adidas/adidas-tabela-11-jersey-7257", "https://www.soccerplususa.com/adidas/adidas-tabela-11-jersey-7257")</f>
        <v/>
      </c>
      <c r="B3210" t="inlineStr">
        <is>
          <t>undefined</t>
        </is>
      </c>
      <c r="C3210" t="inlineStr">
        <is>
          <t>adidas Tabela 11 Jersey</t>
        </is>
      </c>
      <c r="D3210" t="inlineStr">
        <is>
          <t>adidas Womens Tabela 18 Soccer Jersey</t>
        </is>
      </c>
      <c r="E3210" s="2">
        <f>HYPERLINK("https://www.amazon.com/adidas-Tabela-Jersey-Collegiate-Green-White/dp/B078L7RSY6/ref=sr_1_5?keywords=adidas+Tabela+11+Jersey&amp;qid=1695171216&amp;sr=8-5", "https://www.amazon.com/adidas-Tabela-Jersey-Collegiate-Green-White/dp/B078L7RSY6/ref=sr_1_5?keywords=adidas+Tabela+11+Jersey&amp;qid=1695171216&amp;sr=8-5")</f>
        <v/>
      </c>
      <c r="F3210" t="inlineStr">
        <is>
          <t>B078L7RSY6</t>
        </is>
      </c>
      <c r="G3210">
        <f>_xludf.IMAGE("https://www.soccerplususa.com/prodimages/3212-DEFAULT-l.jpg")</f>
        <v/>
      </c>
      <c r="H3210">
        <f>_xludf.IMAGE("https://m.media-amazon.com/images/I/51-xYt1RCtL._AC_UL320_.jpg")</f>
        <v/>
      </c>
      <c r="K3210" t="inlineStr">
        <is>
          <t>12.0</t>
        </is>
      </c>
      <c r="L3210" t="n">
        <v>18</v>
      </c>
      <c r="M3210" s="1" t="inlineStr">
        <is>
          <t>50.00%</t>
        </is>
      </c>
      <c r="N3210" s="3" t="n">
        <v>50</v>
      </c>
      <c r="O3210" t="n">
        <v>4.2</v>
      </c>
      <c r="P3210" t="n">
        <v>7</v>
      </c>
      <c r="R3210" t="inlineStr">
        <is>
          <t>InStock</t>
        </is>
      </c>
      <c r="S3210" t="inlineStr">
        <is>
          <t>24.95</t>
        </is>
      </c>
      <c r="T3210" t="inlineStr">
        <is>
          <t>O07609</t>
        </is>
      </c>
    </row>
    <row r="3211" hidden="1" ht="15.75" customHeight="1">
      <c r="A3211" s="2">
        <f>HYPERLINK("https://www.soccerplususa.com/adidas/adidas-tiro-13-jersey-9163", "https://www.soccerplususa.com/adidas/adidas-tiro-13-jersey-9163")</f>
        <v/>
      </c>
      <c r="B3211" t="inlineStr">
        <is>
          <t>undefined</t>
        </is>
      </c>
      <c r="C3211" t="inlineStr">
        <is>
          <t>adidas Tiro 13 Jersey</t>
        </is>
      </c>
      <c r="D3211" t="inlineStr">
        <is>
          <t>adidas Men's Tiro 23 Jersey</t>
        </is>
      </c>
      <c r="E3211" s="2">
        <f>HYPERLINK("https://www.amazon.com/adidas-Jersey-White-Black-Large/dp/B09YG3JD9R/ref=sr_1_9?keywords=adidas+Tiro+13+Jersey&amp;qid=1695171187&amp;sr=8-9", "https://www.amazon.com/adidas-Jersey-White-Black-Large/dp/B09YG3JD9R/ref=sr_1_9?keywords=adidas+Tiro+13+Jersey&amp;qid=1695171187&amp;sr=8-9")</f>
        <v/>
      </c>
      <c r="F3211" t="inlineStr">
        <is>
          <t>B09YG3JD9R</t>
        </is>
      </c>
      <c r="G3211">
        <f>_xludf.IMAGE("https://www.soccerplususa.com/prodimages/3224-DEFAULT-l.jpg")</f>
        <v/>
      </c>
      <c r="H3211">
        <f>_xludf.IMAGE("https://m.media-amazon.com/images/I/41oSu3M1eSL._AC_UL320_.jpg")</f>
        <v/>
      </c>
      <c r="K3211" t="inlineStr">
        <is>
          <t>20.0</t>
        </is>
      </c>
      <c r="L3211" t="n">
        <v>30</v>
      </c>
      <c r="M3211" s="1" t="inlineStr">
        <is>
          <t>50.00%</t>
        </is>
      </c>
      <c r="N3211" s="3" t="n">
        <v>50</v>
      </c>
      <c r="O3211" t="n">
        <v>4.6</v>
      </c>
      <c r="P3211" t="n">
        <v>46</v>
      </c>
      <c r="R3211" t="inlineStr">
        <is>
          <t>InStock</t>
        </is>
      </c>
      <c r="S3211" t="inlineStr">
        <is>
          <t>39.95</t>
        </is>
      </c>
      <c r="T3211" t="inlineStr">
        <is>
          <t>Z69160</t>
        </is>
      </c>
    </row>
    <row r="3212" hidden="1" ht="15.75" customHeight="1">
      <c r="A3212" s="2">
        <f>HYPERLINK("https://www.soccerplususa.com/adidas/adidas-tiro-13-jersey-8642", "https://www.soccerplususa.com/adidas/adidas-tiro-13-jersey-8642")</f>
        <v/>
      </c>
      <c r="B3212" t="inlineStr">
        <is>
          <t>undefined</t>
        </is>
      </c>
      <c r="C3212" t="inlineStr">
        <is>
          <t>adidas Tiro 13 Jersey</t>
        </is>
      </c>
      <c r="D3212" t="inlineStr">
        <is>
          <t>adidas Men's Tiro 23 Jersey</t>
        </is>
      </c>
      <c r="E3212" s="2">
        <f>HYPERLINK("https://www.amazon.com/adidas-Jersey-White-Black-Large/dp/B09YG3JD9R/ref=sr_1_9?keywords=adidas+Tiro+13+Jersey&amp;qid=1695171197&amp;sr=8-9", "https://www.amazon.com/adidas-Jersey-White-Black-Large/dp/B09YG3JD9R/ref=sr_1_9?keywords=adidas+Tiro+13+Jersey&amp;qid=1695171197&amp;sr=8-9")</f>
        <v/>
      </c>
      <c r="F3212" t="inlineStr">
        <is>
          <t>B09YG3JD9R</t>
        </is>
      </c>
      <c r="G3212">
        <f>_xludf.IMAGE("https://www.soccerplususa.com/prodimages/3217-DEFAULT-l.jpg")</f>
        <v/>
      </c>
      <c r="H3212">
        <f>_xludf.IMAGE("https://m.media-amazon.com/images/I/41oSu3M1eSL._AC_UL320_.jpg")</f>
        <v/>
      </c>
      <c r="K3212" t="inlineStr">
        <is>
          <t>20.0</t>
        </is>
      </c>
      <c r="L3212" t="n">
        <v>30</v>
      </c>
      <c r="M3212" s="1" t="inlineStr">
        <is>
          <t>50.00%</t>
        </is>
      </c>
      <c r="N3212" s="3" t="n">
        <v>50</v>
      </c>
      <c r="O3212" t="n">
        <v>4.6</v>
      </c>
      <c r="P3212" t="n">
        <v>46</v>
      </c>
      <c r="R3212" t="inlineStr">
        <is>
          <t>InStock</t>
        </is>
      </c>
      <c r="S3212" t="inlineStr">
        <is>
          <t>39.95</t>
        </is>
      </c>
      <c r="T3212" t="inlineStr">
        <is>
          <t>W53887</t>
        </is>
      </c>
    </row>
    <row r="3213" hidden="1" ht="15.75" customHeight="1">
      <c r="A3213" s="2">
        <f>HYPERLINK("https://www.soccerplususa.com/adidas/adidas-tiro-15-jersey-7887", "https://www.soccerplususa.com/adidas/adidas-tiro-15-jersey-7887")</f>
        <v/>
      </c>
      <c r="B3213" t="inlineStr">
        <is>
          <t>undefined</t>
        </is>
      </c>
      <c r="C3213" t="inlineStr">
        <is>
          <t>adidas Tiro 15 Jersey</t>
        </is>
      </c>
      <c r="D3213" t="inlineStr">
        <is>
          <t>adidas Tiro 15 Mens Soccer Jersey S Dark Blue/White</t>
        </is>
      </c>
      <c r="E3213" s="2">
        <f>HYPERLINK("https://www.amazon.com/Adidas-Tiro-Soccer-Jersey-Blue-White/dp/B00QKQQKRU/ref=sr_1_8?keywords=adidas+Tiro+15+Jersey&amp;qid=1695171209&amp;sr=8-8", "https://www.amazon.com/Adidas-Tiro-Soccer-Jersey-Blue-White/dp/B00QKQQKRU/ref=sr_1_8?keywords=adidas+Tiro+15+Jersey&amp;qid=1695171209&amp;sr=8-8")</f>
        <v/>
      </c>
      <c r="F3213" t="inlineStr">
        <is>
          <t>B00QKQQKRU</t>
        </is>
      </c>
      <c r="G3213">
        <f>_xludf.IMAGE("https://www.soccerplususa.com/prodimages/6309-DEFAULT-l.jpg")</f>
        <v/>
      </c>
      <c r="H3213">
        <f>_xludf.IMAGE("https://m.media-amazon.com/images/I/71QK9S36YUL._AC_UL320_.jpg")</f>
        <v/>
      </c>
      <c r="K3213" t="inlineStr">
        <is>
          <t>20.0</t>
        </is>
      </c>
      <c r="L3213" t="n">
        <v>29.99</v>
      </c>
      <c r="M3213" s="1" t="inlineStr">
        <is>
          <t>49.95%</t>
        </is>
      </c>
      <c r="N3213" s="3" t="n">
        <v>49.95</v>
      </c>
      <c r="O3213" t="n">
        <v>4.4</v>
      </c>
      <c r="P3213" t="n">
        <v>2</v>
      </c>
      <c r="R3213" t="inlineStr">
        <is>
          <t>InStock</t>
        </is>
      </c>
      <c r="S3213" t="inlineStr">
        <is>
          <t>40.0</t>
        </is>
      </c>
      <c r="T3213" t="inlineStr">
        <is>
          <t>S22362</t>
        </is>
      </c>
    </row>
    <row r="3214" hidden="1" ht="15.75" customHeight="1">
      <c r="A3214" s="2">
        <f>HYPERLINK("https://www.soccerplususa.com/adidas/adidas-tiro-15-jersey-womens-7896", "https://www.soccerplususa.com/adidas/adidas-tiro-15-jersey-womens-7896")</f>
        <v/>
      </c>
      <c r="B3214" t="inlineStr">
        <is>
          <t>undefined</t>
        </is>
      </c>
      <c r="C3214" t="inlineStr">
        <is>
          <t>adidas Tiro 15 Jersey Women's</t>
        </is>
      </c>
      <c r="D3214" t="inlineStr">
        <is>
          <t>adidas Tiro 19 Jersey- Women's Soccer S Dark Grey/White</t>
        </is>
      </c>
      <c r="E3214" s="2">
        <f>HYPERLINK("https://www.amazon.com/adidas-Jersey-Womens-Soccer-White/dp/B07H431JQ4/ref=sr_1_5?keywords=adidas+Tiro+15+Jersey+Womens&amp;qid=1695171238&amp;sr=8-5", "https://www.amazon.com/adidas-Jersey-Womens-Soccer-White/dp/B07H431JQ4/ref=sr_1_5?keywords=adidas+Tiro+15+Jersey+Womens&amp;qid=1695171238&amp;sr=8-5")</f>
        <v/>
      </c>
      <c r="F3214" t="inlineStr">
        <is>
          <t>B07H431JQ4</t>
        </is>
      </c>
      <c r="G3214">
        <f>_xludf.IMAGE("https://www.soccerplususa.com/prodimages/10575-DEFAULT-l.jpg")</f>
        <v/>
      </c>
      <c r="H3214">
        <f>_xludf.IMAGE("https://m.media-amazon.com/images/I/61ASNTLz-dL._AC_UL320_.jpg")</f>
        <v/>
      </c>
      <c r="K3214" t="inlineStr">
        <is>
          <t>20.0</t>
        </is>
      </c>
      <c r="L3214" t="n">
        <v>29.99</v>
      </c>
      <c r="M3214" s="1" t="inlineStr">
        <is>
          <t>49.95%</t>
        </is>
      </c>
      <c r="N3214" s="3" t="n">
        <v>49.95</v>
      </c>
      <c r="O3214" t="n">
        <v>5</v>
      </c>
      <c r="P3214" t="n">
        <v>2</v>
      </c>
      <c r="R3214" t="inlineStr">
        <is>
          <t>InStock</t>
        </is>
      </c>
      <c r="S3214" t="inlineStr">
        <is>
          <t>39.95</t>
        </is>
      </c>
      <c r="T3214" t="inlineStr">
        <is>
          <t>S22413</t>
        </is>
      </c>
    </row>
    <row r="3215" hidden="1" ht="15.75" customHeight="1">
      <c r="A3215" s="2">
        <f>HYPERLINK("https://www.soccerplususa.com/adidas/adidas-tiro-15-jersey-womens-7896", "https://www.soccerplususa.com/adidas/adidas-tiro-15-jersey-womens-7896")</f>
        <v/>
      </c>
      <c r="B3215" t="inlineStr">
        <is>
          <t>undefined</t>
        </is>
      </c>
      <c r="C3215" t="inlineStr">
        <is>
          <t>adidas Tiro 15 Jersey Women's</t>
        </is>
      </c>
      <c r="D3215" t="inlineStr">
        <is>
          <t>adidas Tiro 19 Jersey- Women's Soccer XL White</t>
        </is>
      </c>
      <c r="E3215" s="2">
        <f>HYPERLINK("https://www.amazon.com/adidas-Jersey-Womens-Soccer-White/dp/B07H42L4Q1/ref=sr_1_7?keywords=adidas+Tiro+15+Jersey+Womens&amp;qid=1695171238&amp;sr=8-7", "https://www.amazon.com/adidas-Jersey-Womens-Soccer-White/dp/B07H42L4Q1/ref=sr_1_7?keywords=adidas+Tiro+15+Jersey+Womens&amp;qid=1695171238&amp;sr=8-7")</f>
        <v/>
      </c>
      <c r="F3215" t="inlineStr">
        <is>
          <t>B07H42L4Q1</t>
        </is>
      </c>
      <c r="G3215">
        <f>_xludf.IMAGE("https://www.soccerplususa.com/prodimages/10575-DEFAULT-l.jpg")</f>
        <v/>
      </c>
      <c r="H3215">
        <f>_xludf.IMAGE("https://m.media-amazon.com/images/I/7133GDzSViS._AC_UL320_.jpg")</f>
        <v/>
      </c>
      <c r="K3215" t="inlineStr">
        <is>
          <t>20.0</t>
        </is>
      </c>
      <c r="L3215" t="n">
        <v>29.99</v>
      </c>
      <c r="M3215" s="1" t="inlineStr">
        <is>
          <t>49.95%</t>
        </is>
      </c>
      <c r="N3215" s="3" t="n">
        <v>49.95</v>
      </c>
      <c r="O3215" t="n">
        <v>5</v>
      </c>
      <c r="P3215" t="n">
        <v>1</v>
      </c>
      <c r="R3215" t="inlineStr">
        <is>
          <t>InStock</t>
        </is>
      </c>
      <c r="S3215" t="inlineStr">
        <is>
          <t>39.95</t>
        </is>
      </c>
      <c r="T3215" t="inlineStr">
        <is>
          <t>S22413</t>
        </is>
      </c>
    </row>
    <row r="3216" hidden="1" ht="15.75" customHeight="1">
      <c r="A3216" s="2">
        <f>HYPERLINK("https://www.soccerplususa.com/adidas/adidas-tiro-17-jersey-4869", "https://www.soccerplususa.com/adidas/adidas-tiro-17-jersey-4869")</f>
        <v/>
      </c>
      <c r="B3216" t="inlineStr">
        <is>
          <t>undefined</t>
        </is>
      </c>
      <c r="C3216" t="inlineStr">
        <is>
          <t>adidas Tiro 17 Jersey</t>
        </is>
      </c>
      <c r="D3216" t="inlineStr">
        <is>
          <t>adidas Men's Tiro 21 Training Jersey</t>
        </is>
      </c>
      <c r="E3216" s="2">
        <f>HYPERLINK("https://www.amazon.com/adidas-Training-Jersey-Black-Medium/dp/B087785299/ref=sr_1_4?keywords=adidas+Tiro+17+Jersey&amp;qid=1695171236&amp;sr=8-4", "https://www.amazon.com/adidas-Training-Jersey-Black-Medium/dp/B087785299/ref=sr_1_4?keywords=adidas+Tiro+17+Jersey&amp;qid=1695171236&amp;sr=8-4")</f>
        <v/>
      </c>
      <c r="F3216" t="inlineStr">
        <is>
          <t>B087785299</t>
        </is>
      </c>
      <c r="G3216">
        <f>_xludf.IMAGE("https://www.soccerplususa.com/prodimages/7451-DEFAULT-l.jpg")</f>
        <v/>
      </c>
      <c r="H3216">
        <f>_xludf.IMAGE("https://m.media-amazon.com/images/I/41o+9cIOzqL._AC_UL320_.jpg")</f>
        <v/>
      </c>
      <c r="K3216" t="inlineStr">
        <is>
          <t>20.0</t>
        </is>
      </c>
      <c r="L3216" t="n">
        <v>29.99</v>
      </c>
      <c r="M3216" s="1" t="inlineStr">
        <is>
          <t>49.95%</t>
        </is>
      </c>
      <c r="N3216" s="3" t="n">
        <v>49.95</v>
      </c>
      <c r="O3216" t="n">
        <v>4.6</v>
      </c>
      <c r="P3216" t="n">
        <v>1018</v>
      </c>
      <c r="R3216" t="inlineStr">
        <is>
          <t>InStock</t>
        </is>
      </c>
      <c r="S3216" t="inlineStr">
        <is>
          <t>39.95</t>
        </is>
      </c>
      <c r="T3216" t="inlineStr">
        <is>
          <t>BK5437</t>
        </is>
      </c>
    </row>
    <row r="3217" hidden="1" ht="15.75" customHeight="1">
      <c r="A3217" s="2">
        <f>HYPERLINK("https://www.soccerplususa.com/adidas/adidas-tiro-15-jersey-7888", "https://www.soccerplususa.com/adidas/adidas-tiro-15-jersey-7888")</f>
        <v/>
      </c>
      <c r="B3217" t="inlineStr">
        <is>
          <t>undefined</t>
        </is>
      </c>
      <c r="C3217" t="inlineStr">
        <is>
          <t>adidas Tiro 15 Jersey</t>
        </is>
      </c>
      <c r="D3217" t="inlineStr">
        <is>
          <t>adidas Tiro 15 Mens Soccer Jersey S Dark Blue/White</t>
        </is>
      </c>
      <c r="E3217" s="2">
        <f>HYPERLINK("https://www.amazon.com/Adidas-Tiro-Soccer-Jersey-Blue-White/dp/B00QKQQKRU/ref=sr_1_8?keywords=adidas+Tiro+15+Jersey&amp;qid=1695171213&amp;sr=8-8", "https://www.amazon.com/Adidas-Tiro-Soccer-Jersey-Blue-White/dp/B00QKQQKRU/ref=sr_1_8?keywords=adidas+Tiro+15+Jersey&amp;qid=1695171213&amp;sr=8-8")</f>
        <v/>
      </c>
      <c r="F3217" t="inlineStr">
        <is>
          <t>B00QKQQKRU</t>
        </is>
      </c>
      <c r="G3217">
        <f>_xludf.IMAGE("https://www.soccerplususa.com/prodimages/5430-DEFAULT-l.jpg")</f>
        <v/>
      </c>
      <c r="H3217">
        <f>_xludf.IMAGE("https://m.media-amazon.com/images/I/71QK9S36YUL._AC_UL320_.jpg")</f>
        <v/>
      </c>
      <c r="K3217" t="inlineStr">
        <is>
          <t>20.0</t>
        </is>
      </c>
      <c r="L3217" t="n">
        <v>29.99</v>
      </c>
      <c r="M3217" s="1" t="inlineStr">
        <is>
          <t>49.95%</t>
        </is>
      </c>
      <c r="N3217" s="3" t="n">
        <v>49.95</v>
      </c>
      <c r="O3217" t="n">
        <v>4.4</v>
      </c>
      <c r="P3217" t="n">
        <v>2</v>
      </c>
      <c r="R3217" t="inlineStr">
        <is>
          <t>InStock</t>
        </is>
      </c>
      <c r="S3217" t="inlineStr">
        <is>
          <t>39.95</t>
        </is>
      </c>
      <c r="T3217" t="inlineStr">
        <is>
          <t>S22363</t>
        </is>
      </c>
    </row>
    <row r="3218" hidden="1" ht="15.75" customHeight="1">
      <c r="A3218" s="2">
        <f>HYPERLINK("https://www.soccerplususa.com/adidas/adidas-tiro-15-jersey-womens-7896", "https://www.soccerplususa.com/adidas/adidas-tiro-15-jersey-womens-7896")</f>
        <v/>
      </c>
      <c r="B3218" t="inlineStr">
        <is>
          <t>undefined</t>
        </is>
      </c>
      <c r="C3218" t="inlineStr">
        <is>
          <t>adidas Tiro 15 Jersey Women's</t>
        </is>
      </c>
      <c r="D3218" t="inlineStr">
        <is>
          <t>adidas Tiro 19 Jersey- Women's Soccer M White</t>
        </is>
      </c>
      <c r="E3218" s="2">
        <f>HYPERLINK("https://www.amazon.com/adidas-Jersey-Womens-Soccer-White/dp/B07H453797/ref=sr_1_6?keywords=adidas+Tiro+15+Jersey+Womens&amp;qid=1695171238&amp;sr=8-6", "https://www.amazon.com/adidas-Jersey-Womens-Soccer-White/dp/B07H453797/ref=sr_1_6?keywords=adidas+Tiro+15+Jersey+Womens&amp;qid=1695171238&amp;sr=8-6")</f>
        <v/>
      </c>
      <c r="F3218" t="inlineStr">
        <is>
          <t>B07H453797</t>
        </is>
      </c>
      <c r="G3218">
        <f>_xludf.IMAGE("https://www.soccerplususa.com/prodimages/10575-DEFAULT-l.jpg")</f>
        <v/>
      </c>
      <c r="H3218">
        <f>_xludf.IMAGE("https://m.media-amazon.com/images/I/71O1zQQ7onL._AC_UL320_.jpg")</f>
        <v/>
      </c>
      <c r="K3218" t="inlineStr">
        <is>
          <t>20.0</t>
        </is>
      </c>
      <c r="L3218" t="n">
        <v>29.95</v>
      </c>
      <c r="M3218" s="1" t="inlineStr">
        <is>
          <t>49.75%</t>
        </is>
      </c>
      <c r="N3218" s="3" t="n">
        <v>49.75</v>
      </c>
      <c r="O3218" t="n">
        <v>4.5</v>
      </c>
      <c r="P3218" t="n">
        <v>2</v>
      </c>
      <c r="R3218" t="inlineStr">
        <is>
          <t>InStock</t>
        </is>
      </c>
      <c r="S3218" t="inlineStr">
        <is>
          <t>39.95</t>
        </is>
      </c>
      <c r="T3218" t="inlineStr">
        <is>
          <t>S22413</t>
        </is>
      </c>
    </row>
    <row r="3219" hidden="1" ht="15.75" customHeight="1">
      <c r="A3219" s="2">
        <f>HYPERLINK("https://www.soccerplususa.com/adidas/adidas-tiro-17-jersey-womens-35760", "https://www.soccerplususa.com/adidas/adidas-tiro-17-jersey-womens-35760")</f>
        <v/>
      </c>
      <c r="B3219" t="inlineStr">
        <is>
          <t>undefined</t>
        </is>
      </c>
      <c r="C3219" t="inlineStr">
        <is>
          <t>adidas Tiro 17 Jersey Women's</t>
        </is>
      </c>
      <c r="D3219" t="inlineStr">
        <is>
          <t>adidas Tiro 19 Jersey- Women's Soccer M White</t>
        </is>
      </c>
      <c r="E3219" s="2">
        <f>HYPERLINK("https://www.amazon.com/adidas-Jersey-Womens-Soccer-White/dp/B07H453797/ref=sr_1_10?keywords=adidas+Tiro+17+Jersey+Womens&amp;qid=1695171224&amp;sr=8-10", "https://www.amazon.com/adidas-Jersey-Womens-Soccer-White/dp/B07H453797/ref=sr_1_10?keywords=adidas+Tiro+17+Jersey+Womens&amp;qid=1695171224&amp;sr=8-10")</f>
        <v/>
      </c>
      <c r="F3219" t="inlineStr">
        <is>
          <t>B07H453797</t>
        </is>
      </c>
      <c r="G3219">
        <f>_xludf.IMAGE("https://www.soccerplususa.com/prodimages/9819-DEFAULT-l.jpg")</f>
        <v/>
      </c>
      <c r="H3219">
        <f>_xludf.IMAGE("https://m.media-amazon.com/images/I/71O1zQQ7onL._AC_UL320_.jpg")</f>
        <v/>
      </c>
      <c r="K3219" t="inlineStr">
        <is>
          <t>20.0</t>
        </is>
      </c>
      <c r="L3219" t="n">
        <v>29.95</v>
      </c>
      <c r="M3219" s="1" t="inlineStr">
        <is>
          <t>49.75%</t>
        </is>
      </c>
      <c r="N3219" s="3" t="n">
        <v>49.75</v>
      </c>
      <c r="O3219" t="n">
        <v>4.5</v>
      </c>
      <c r="P3219" t="n">
        <v>2</v>
      </c>
      <c r="R3219" t="inlineStr">
        <is>
          <t>InStock</t>
        </is>
      </c>
      <c r="S3219" t="inlineStr">
        <is>
          <t>39.95</t>
        </is>
      </c>
      <c r="T3219" t="inlineStr">
        <is>
          <t>BJ9096</t>
        </is>
      </c>
    </row>
    <row r="3220" hidden="1" ht="15.75" customHeight="1">
      <c r="A3220" s="2">
        <f>HYPERLINK("https://www.soccerplususa.com/under-armour/under-armour-coldgear-compression-mock-44300", "https://www.soccerplususa.com/under-armour/under-armour-coldgear-compression-mock-44300")</f>
        <v/>
      </c>
      <c r="B3220" t="inlineStr">
        <is>
          <t>undefined</t>
        </is>
      </c>
      <c r="C3220" t="inlineStr">
        <is>
          <t>Under Armour ColdGear Compression Mock</t>
        </is>
      </c>
      <c r="D3220" t="inlineStr">
        <is>
          <t>Under Armour Men's ColdGear Polartec Mock Shirt</t>
        </is>
      </c>
      <c r="E3220" s="2">
        <f>HYPERLINK("https://www.amazon.com/Under-Armour-ColdGear-Insulated-Compression/dp/B019ZGCGH4/ref=sr_1_9?keywords=Under+Armour+ColdGear+Compression+Mock&amp;qid=1695171160&amp;sr=8-9", "https://www.amazon.com/Under-Armour-ColdGear-Insulated-Compression/dp/B019ZGCGH4/ref=sr_1_9?keywords=Under+Armour+ColdGear+Compression+Mock&amp;qid=1695171160&amp;sr=8-9")</f>
        <v/>
      </c>
      <c r="F3220" t="inlineStr">
        <is>
          <t>B019ZGCGH4</t>
        </is>
      </c>
      <c r="G3220">
        <f>_xludf.IMAGE("https://www.soccerplususa.com/prodimages//36057-BLACK-M.jpg")</f>
        <v/>
      </c>
      <c r="H3220">
        <f>_xludf.IMAGE("https://m.media-amazon.com/images/I/918qX7F-HqL._AC_UL320_.jpg")</f>
        <v/>
      </c>
      <c r="K3220" t="inlineStr">
        <is>
          <t>54.95</t>
        </is>
      </c>
      <c r="L3220" t="n">
        <v>82</v>
      </c>
      <c r="M3220" s="1" t="inlineStr">
        <is>
          <t>49.23%</t>
        </is>
      </c>
      <c r="N3220" s="3" t="n">
        <v>49.23</v>
      </c>
      <c r="O3220" t="n">
        <v>3.9</v>
      </c>
      <c r="P3220" t="n">
        <v>11</v>
      </c>
      <c r="R3220" t="inlineStr">
        <is>
          <t>InStock</t>
        </is>
      </c>
      <c r="S3220" t="inlineStr">
        <is>
          <t>undefined</t>
        </is>
      </c>
      <c r="T3220" t="inlineStr">
        <is>
          <t>1366072-001</t>
        </is>
      </c>
    </row>
    <row r="3221" hidden="1" ht="15.75" customHeight="1">
      <c r="A3221" s="2">
        <f>HYPERLINK("https://www.soccerplususa.com/puma/puma-teamfinal-21-graphic-jersey-youth-40619", "https://www.soccerplususa.com/puma/puma-teamfinal-21-graphic-jersey-youth-40619")</f>
        <v/>
      </c>
      <c r="B3221" t="inlineStr">
        <is>
          <t>undefined</t>
        </is>
      </c>
      <c r="C3221" t="inlineStr">
        <is>
          <t>Puma Teamfinal 21 Graphic Jersey Youth</t>
        </is>
      </c>
      <c r="D3221" t="inlineStr">
        <is>
          <t>mens Teamfinal 21 Graphic Jersey T Shirt, Puma White/Gray Violet, Medium US</t>
        </is>
      </c>
      <c r="E3221" s="2">
        <f>HYPERLINK("https://www.amazon.com/Puma-Teamfinal-Graphic-Jersey-Medium/dp/B086RT8ZMZ/ref=sr_1_4?keywords=Puma+Teamfinal+21+Graphic+Jersey+Youth&amp;qid=1695171149&amp;sr=8-4", "https://www.amazon.com/Puma-Teamfinal-Graphic-Jersey-Medium/dp/B086RT8ZMZ/ref=sr_1_4?keywords=Puma+Teamfinal+21+Graphic+Jersey+Youth&amp;qid=1695171149&amp;sr=8-4")</f>
        <v/>
      </c>
      <c r="F3221" t="inlineStr">
        <is>
          <t>B086RT8ZMZ</t>
        </is>
      </c>
      <c r="G3221">
        <f>_xludf.IMAGE("https://www.soccerplususa.com/prodimages//37415-Pepper_Green-M.jpg")</f>
        <v/>
      </c>
      <c r="H3221">
        <f>_xludf.IMAGE("https://m.media-amazon.com/images/I/51vZRgruaoL._AC_UL320_.jpg")</f>
        <v/>
      </c>
      <c r="K3221" t="inlineStr">
        <is>
          <t>29.99</t>
        </is>
      </c>
      <c r="L3221" t="n">
        <v>44.71</v>
      </c>
      <c r="M3221" s="1" t="inlineStr">
        <is>
          <t>49.08%</t>
        </is>
      </c>
      <c r="N3221" s="3" t="n">
        <v>49.08</v>
      </c>
      <c r="O3221" t="n">
        <v>5</v>
      </c>
      <c r="P3221" t="n">
        <v>2</v>
      </c>
      <c r="R3221" t="inlineStr">
        <is>
          <t>InStock</t>
        </is>
      </c>
      <c r="S3221" t="inlineStr">
        <is>
          <t>39.95</t>
        </is>
      </c>
      <c r="T3221" t="inlineStr">
        <is>
          <t>704369-05</t>
        </is>
      </c>
    </row>
    <row r="3222" hidden="1" ht="15.75" customHeight="1">
      <c r="A3222" s="2">
        <f>HYPERLINK("https://www.soccerplususa.com/puma/puma-teamfinal-21-graphic-jersey-youth-42132", "https://www.soccerplususa.com/puma/puma-teamfinal-21-graphic-jersey-youth-42132")</f>
        <v/>
      </c>
      <c r="B3222" t="inlineStr">
        <is>
          <t>undefined</t>
        </is>
      </c>
      <c r="C3222" t="inlineStr">
        <is>
          <t>Puma Teamfinal 21 Graphic Jersey Youth</t>
        </is>
      </c>
      <c r="D3222" t="inlineStr">
        <is>
          <t>mens Teamfinal 21 Graphic Jersey T Shirt, Puma White/Gray Violet, Medium US</t>
        </is>
      </c>
      <c r="E3222" s="2">
        <f>HYPERLINK("https://www.amazon.com/Puma-Teamfinal-Graphic-Jersey-Medium/dp/B086RT8ZMZ/ref=sr_1_4?keywords=Puma+Teamfinal+21+Graphic+Jersey+Youth&amp;qid=1695171148&amp;sr=8-4", "https://www.amazon.com/Puma-Teamfinal-Graphic-Jersey-Medium/dp/B086RT8ZMZ/ref=sr_1_4?keywords=Puma+Teamfinal+21+Graphic+Jersey+Youth&amp;qid=1695171148&amp;sr=8-4")</f>
        <v/>
      </c>
      <c r="F3222" t="inlineStr">
        <is>
          <t>B086RT8ZMZ</t>
        </is>
      </c>
      <c r="G3222">
        <f>_xludf.IMAGE("https://www.soccerplususa.com/prodimages//37417-GRAY-M.jpg")</f>
        <v/>
      </c>
      <c r="H3222">
        <f>_xludf.IMAGE("https://m.media-amazon.com/images/I/51vZRgruaoL._AC_UL320_.jpg")</f>
        <v/>
      </c>
      <c r="K3222" t="inlineStr">
        <is>
          <t>29.99</t>
        </is>
      </c>
      <c r="L3222" t="n">
        <v>44.71</v>
      </c>
      <c r="M3222" s="1" t="inlineStr">
        <is>
          <t>49.08%</t>
        </is>
      </c>
      <c r="N3222" s="3" t="n">
        <v>49.08</v>
      </c>
      <c r="O3222" t="n">
        <v>5</v>
      </c>
      <c r="P3222" t="n">
        <v>2</v>
      </c>
      <c r="R3222" t="inlineStr">
        <is>
          <t>InStock</t>
        </is>
      </c>
      <c r="S3222" t="inlineStr">
        <is>
          <t>39.95</t>
        </is>
      </c>
      <c r="T3222" t="inlineStr">
        <is>
          <t>704369-13</t>
        </is>
      </c>
    </row>
    <row r="3223" hidden="1" ht="15.75" customHeight="1">
      <c r="A3223" s="2">
        <f>HYPERLINK("https://www.soccerplususa.com/puma/puma-teamfinal-21-graphic-jersey-38602", "https://www.soccerplususa.com/puma/puma-teamfinal-21-graphic-jersey-38602")</f>
        <v/>
      </c>
      <c r="B3223" t="inlineStr">
        <is>
          <t>undefined</t>
        </is>
      </c>
      <c r="C3223" t="inlineStr">
        <is>
          <t>Puma Teamfinal 21 Graphic Jersey</t>
        </is>
      </c>
      <c r="D3223" t="inlineStr">
        <is>
          <t>mens Teamfinal 21 Graphic Jersey T Shirt, Puma White/Gray Violet, Medium US</t>
        </is>
      </c>
      <c r="E3223" s="2">
        <f>HYPERLINK("https://www.amazon.com/Puma-Teamfinal-Graphic-Jersey-Medium/dp/B086RT8ZMZ/ref=sr_1_9?keywords=Puma+Teamfinal+21+Graphic+Jersey&amp;qid=1695171165&amp;sr=8-9", "https://www.amazon.com/Puma-Teamfinal-Graphic-Jersey-Medium/dp/B086RT8ZMZ/ref=sr_1_9?keywords=Puma+Teamfinal+21+Graphic+Jersey&amp;qid=1695171165&amp;sr=8-9")</f>
        <v/>
      </c>
      <c r="F3223" t="inlineStr">
        <is>
          <t>B086RT8ZMZ</t>
        </is>
      </c>
      <c r="G3223">
        <f>_xludf.IMAGE("https://www.soccerplususa.com/prodimages//35266-YELLOW-M.jpg")</f>
        <v/>
      </c>
      <c r="H3223">
        <f>_xludf.IMAGE("https://m.media-amazon.com/images/I/51vZRgruaoL._AC_UL320_.jpg")</f>
        <v/>
      </c>
      <c r="K3223" t="inlineStr">
        <is>
          <t>29.99</t>
        </is>
      </c>
      <c r="L3223" t="n">
        <v>44.71</v>
      </c>
      <c r="M3223" s="1" t="inlineStr">
        <is>
          <t>49.08%</t>
        </is>
      </c>
      <c r="N3223" s="3" t="n">
        <v>49.08</v>
      </c>
      <c r="O3223" t="n">
        <v>5</v>
      </c>
      <c r="P3223" t="n">
        <v>2</v>
      </c>
      <c r="R3223" t="inlineStr">
        <is>
          <t>InStock</t>
        </is>
      </c>
      <c r="S3223" t="inlineStr">
        <is>
          <t>39.95</t>
        </is>
      </c>
      <c r="T3223" t="inlineStr">
        <is>
          <t>704150-07</t>
        </is>
      </c>
    </row>
    <row r="3224" hidden="1" ht="15.75" customHeight="1">
      <c r="A3224" s="2">
        <f>HYPERLINK("https://www.soccerplususa.com/puma/puma-teamfinal-21-graphic-jersey-38698", "https://www.soccerplususa.com/puma/puma-teamfinal-21-graphic-jersey-38698")</f>
        <v/>
      </c>
      <c r="B3224" t="inlineStr">
        <is>
          <t>undefined</t>
        </is>
      </c>
      <c r="C3224" t="inlineStr">
        <is>
          <t>Puma Teamfinal 21 Graphic Jersey</t>
        </is>
      </c>
      <c r="D3224" t="inlineStr">
        <is>
          <t>mens Teamfinal 21 Graphic Jersey T Shirt, Puma White/Gray Violet, Medium US</t>
        </is>
      </c>
      <c r="E3224" s="2">
        <f>HYPERLINK("https://www.amazon.com/Puma-Teamfinal-Graphic-Jersey-Medium/dp/B086RT8ZMZ/ref=sr_1_8?keywords=Puma+Teamfinal+21+Graphic+Jersey&amp;qid=1695171152&amp;sr=8-8", "https://www.amazon.com/Puma-Teamfinal-Graphic-Jersey-Medium/dp/B086RT8ZMZ/ref=sr_1_8?keywords=Puma+Teamfinal+21+Graphic+Jersey&amp;qid=1695171152&amp;sr=8-8")</f>
        <v/>
      </c>
      <c r="F3224" t="inlineStr">
        <is>
          <t>B086RT8ZMZ</t>
        </is>
      </c>
      <c r="G3224">
        <f>_xludf.IMAGE("https://www.soccerplususa.com/prodimages//36790-Electric_Blue-M.jpg")</f>
        <v/>
      </c>
      <c r="H3224">
        <f>_xludf.IMAGE("https://m.media-amazon.com/images/I/51vZRgruaoL._AC_UL320_.jpg")</f>
        <v/>
      </c>
      <c r="K3224" t="inlineStr">
        <is>
          <t>29.99</t>
        </is>
      </c>
      <c r="L3224" t="n">
        <v>44.71</v>
      </c>
      <c r="M3224" s="1" t="inlineStr">
        <is>
          <t>49.08%</t>
        </is>
      </c>
      <c r="N3224" s="3" t="n">
        <v>49.08</v>
      </c>
      <c r="O3224" t="n">
        <v>5</v>
      </c>
      <c r="P3224" t="n">
        <v>2</v>
      </c>
      <c r="R3224" t="inlineStr">
        <is>
          <t>InStock</t>
        </is>
      </c>
      <c r="S3224" t="inlineStr">
        <is>
          <t>39.95</t>
        </is>
      </c>
      <c r="T3224" t="inlineStr">
        <is>
          <t>704150-02</t>
        </is>
      </c>
    </row>
    <row r="3225" hidden="1" ht="15.75" customHeight="1">
      <c r="A3225" s="2">
        <f>HYPERLINK("https://www.soccerplususa.com/puma/puma-teamfinal-21-graphic-jersey-42091", "https://www.soccerplususa.com/puma/puma-teamfinal-21-graphic-jersey-42091")</f>
        <v/>
      </c>
      <c r="B3225" t="inlineStr">
        <is>
          <t>undefined</t>
        </is>
      </c>
      <c r="C3225" t="inlineStr">
        <is>
          <t>Puma Teamfinal 21 Graphic Jersey</t>
        </is>
      </c>
      <c r="D3225" t="inlineStr">
        <is>
          <t>mens Teamfinal 21 Graphic Jersey T Shirt, Puma White/Gray Violet, Medium US</t>
        </is>
      </c>
      <c r="E3225" s="2">
        <f>HYPERLINK("https://www.amazon.com/Puma-Teamfinal-Graphic-Jersey-Medium/dp/B086RT8ZMZ/ref=sr_1_9?keywords=Puma+Teamfinal+21+Graphic+Jersey&amp;qid=1695171145&amp;sr=8-9", "https://www.amazon.com/Puma-Teamfinal-Graphic-Jersey-Medium/dp/B086RT8ZMZ/ref=sr_1_9?keywords=Puma+Teamfinal+21+Graphic+Jersey&amp;qid=1695171145&amp;sr=8-9")</f>
        <v/>
      </c>
      <c r="F3225" t="inlineStr">
        <is>
          <t>B086RT8ZMZ</t>
        </is>
      </c>
      <c r="G3225">
        <f>_xludf.IMAGE("https://www.soccerplususa.com/prodimages//37420-RED-M.jpg")</f>
        <v/>
      </c>
      <c r="H3225">
        <f>_xludf.IMAGE("https://m.media-amazon.com/images/I/51vZRgruaoL._AC_UL320_.jpg")</f>
        <v/>
      </c>
      <c r="K3225" t="inlineStr">
        <is>
          <t>29.99</t>
        </is>
      </c>
      <c r="L3225" t="n">
        <v>44.71</v>
      </c>
      <c r="M3225" s="1" t="inlineStr">
        <is>
          <t>49.08%</t>
        </is>
      </c>
      <c r="N3225" s="3" t="n">
        <v>49.08</v>
      </c>
      <c r="O3225" t="n">
        <v>5</v>
      </c>
      <c r="P3225" t="n">
        <v>2</v>
      </c>
      <c r="R3225" t="inlineStr">
        <is>
          <t>InStock</t>
        </is>
      </c>
      <c r="S3225" t="inlineStr">
        <is>
          <t>39.95</t>
        </is>
      </c>
      <c r="T3225" t="inlineStr">
        <is>
          <t>704150-01</t>
        </is>
      </c>
    </row>
    <row r="3226" hidden="1" ht="15.75" customHeight="1">
      <c r="A3226" s="2">
        <f>HYPERLINK("https://www.soccerplususa.com/puma/puma-teamfinal-21-graphic-jersey-youth-42092", "https://www.soccerplususa.com/puma/puma-teamfinal-21-graphic-jersey-youth-42092")</f>
        <v/>
      </c>
      <c r="B3226" t="inlineStr">
        <is>
          <t>undefined</t>
        </is>
      </c>
      <c r="C3226" t="inlineStr">
        <is>
          <t>Puma Teamfinal 21 Graphic Jersey Youth</t>
        </is>
      </c>
      <c r="D3226" t="inlineStr">
        <is>
          <t>mens Teamfinal 21 Graphic Jersey T Shirt, Puma White/Gray Violet, Medium US</t>
        </is>
      </c>
      <c r="E3226" s="2">
        <f>HYPERLINK("https://www.amazon.com/Puma-Teamfinal-Graphic-Jersey-Medium/dp/B086RT8ZMZ/ref=sr_1_4?keywords=Puma+Teamfinal+21+Graphic+Jersey+Youth&amp;qid=1695171145&amp;sr=8-4", "https://www.amazon.com/Puma-Teamfinal-Graphic-Jersey-Medium/dp/B086RT8ZMZ/ref=sr_1_4?keywords=Puma+Teamfinal+21+Graphic+Jersey+Youth&amp;qid=1695171145&amp;sr=8-4")</f>
        <v/>
      </c>
      <c r="F3226" t="inlineStr">
        <is>
          <t>B086RT8ZMZ</t>
        </is>
      </c>
      <c r="G3226">
        <f>_xludf.IMAGE("https://www.soccerplususa.com/prodimages//37421-RED-M.jpg")</f>
        <v/>
      </c>
      <c r="H3226">
        <f>_xludf.IMAGE("https://m.media-amazon.com/images/I/51vZRgruaoL._AC_UL320_.jpg")</f>
        <v/>
      </c>
      <c r="K3226" t="inlineStr">
        <is>
          <t>29.99</t>
        </is>
      </c>
      <c r="L3226" t="n">
        <v>44.71</v>
      </c>
      <c r="M3226" s="1" t="inlineStr">
        <is>
          <t>49.08%</t>
        </is>
      </c>
      <c r="N3226" s="3" t="n">
        <v>49.08</v>
      </c>
      <c r="O3226" t="n">
        <v>5</v>
      </c>
      <c r="P3226" t="n">
        <v>2</v>
      </c>
      <c r="R3226" t="inlineStr">
        <is>
          <t>InStock</t>
        </is>
      </c>
      <c r="S3226" t="inlineStr">
        <is>
          <t>39.95</t>
        </is>
      </c>
      <c r="T3226" t="inlineStr">
        <is>
          <t>704369-01</t>
        </is>
      </c>
    </row>
    <row r="3227" hidden="1" ht="15.75" customHeight="1">
      <c r="A3227" s="2">
        <f>HYPERLINK("https://www.soccerplususa.com/puma/puma-teamfinal-21-graphic-jersey-42093", "https://www.soccerplususa.com/puma/puma-teamfinal-21-graphic-jersey-42093")</f>
        <v/>
      </c>
      <c r="B3227" t="inlineStr">
        <is>
          <t>undefined</t>
        </is>
      </c>
      <c r="C3227" t="inlineStr">
        <is>
          <t>Puma Teamfinal 21 Graphic Jersey</t>
        </is>
      </c>
      <c r="D3227" t="inlineStr">
        <is>
          <t>mens Teamfinal 21 Graphic Jersey T Shirt, Puma White/Gray Violet, Medium US</t>
        </is>
      </c>
      <c r="E3227" s="2">
        <f>HYPERLINK("https://www.amazon.com/Puma-Teamfinal-Graphic-Jersey-Medium/dp/B086RT8ZMZ/ref=sr_1_8?keywords=Puma+Teamfinal+21+Graphic+Jersey&amp;qid=1695171154&amp;sr=8-8", "https://www.amazon.com/Puma-Teamfinal-Graphic-Jersey-Medium/dp/B086RT8ZMZ/ref=sr_1_8?keywords=Puma+Teamfinal+21+Graphic+Jersey&amp;qid=1695171154&amp;sr=8-8")</f>
        <v/>
      </c>
      <c r="F3227" t="inlineStr">
        <is>
          <t>B086RT8ZMZ</t>
        </is>
      </c>
      <c r="G3227">
        <f>_xludf.IMAGE("https://www.soccerplususa.com/prodimages//37423-BLACK-M.jpg")</f>
        <v/>
      </c>
      <c r="H3227">
        <f>_xludf.IMAGE("https://m.media-amazon.com/images/I/51vZRgruaoL._AC_UL320_.jpg")</f>
        <v/>
      </c>
      <c r="K3227" t="inlineStr">
        <is>
          <t>29.99</t>
        </is>
      </c>
      <c r="L3227" t="n">
        <v>44.71</v>
      </c>
      <c r="M3227" s="1" t="inlineStr">
        <is>
          <t>49.08%</t>
        </is>
      </c>
      <c r="N3227" s="3" t="n">
        <v>49.08</v>
      </c>
      <c r="O3227" t="n">
        <v>5</v>
      </c>
      <c r="P3227" t="n">
        <v>2</v>
      </c>
      <c r="R3227" t="inlineStr">
        <is>
          <t>InStock</t>
        </is>
      </c>
      <c r="S3227" t="inlineStr">
        <is>
          <t>39.95</t>
        </is>
      </c>
      <c r="T3227" t="inlineStr">
        <is>
          <t>704150-03</t>
        </is>
      </c>
    </row>
    <row r="3228" hidden="1" ht="15.75" customHeight="1">
      <c r="A3228" s="2">
        <f>HYPERLINK("https://www.soccerplususa.com/puma/puma-teamfinal-21-graphic-jersey-youth-38699", "https://www.soccerplususa.com/puma/puma-teamfinal-21-graphic-jersey-youth-38699")</f>
        <v/>
      </c>
      <c r="B3228" t="inlineStr">
        <is>
          <t>undefined</t>
        </is>
      </c>
      <c r="C3228" t="inlineStr">
        <is>
          <t>Puma Teamfinal 21 Graphic Jersey Youth</t>
        </is>
      </c>
      <c r="D3228" t="inlineStr">
        <is>
          <t>mens Teamfinal 21 Graphic Jersey T Shirt, Puma White/Gray Violet, Medium US</t>
        </is>
      </c>
      <c r="E3228" s="2">
        <f>HYPERLINK("https://www.amazon.com/Puma-Teamfinal-Graphic-Jersey-Medium/dp/B086RT8ZMZ/ref=sr_1_4?keywords=Puma+Teamfinal+21+Graphic+Jersey+Youth&amp;qid=1695171153&amp;sr=8-4", "https://www.amazon.com/Puma-Teamfinal-Graphic-Jersey-Medium/dp/B086RT8ZMZ/ref=sr_1_4?keywords=Puma+Teamfinal+21+Graphic+Jersey+Youth&amp;qid=1695171153&amp;sr=8-4")</f>
        <v/>
      </c>
      <c r="F3228" t="inlineStr">
        <is>
          <t>B086RT8ZMZ</t>
        </is>
      </c>
      <c r="G3228">
        <f>_xludf.IMAGE("https://www.soccerplususa.com/prodimages//36783-WhiteGray-M.jpg")</f>
        <v/>
      </c>
      <c r="H3228">
        <f>_xludf.IMAGE("https://m.media-amazon.com/images/I/51vZRgruaoL._AC_UL320_.jpg")</f>
        <v/>
      </c>
      <c r="K3228" t="inlineStr">
        <is>
          <t>29.99</t>
        </is>
      </c>
      <c r="L3228" t="n">
        <v>44.71</v>
      </c>
      <c r="M3228" s="1" t="inlineStr">
        <is>
          <t>49.08%</t>
        </is>
      </c>
      <c r="N3228" s="3" t="n">
        <v>49.08</v>
      </c>
      <c r="O3228" t="n">
        <v>5</v>
      </c>
      <c r="P3228" t="n">
        <v>2</v>
      </c>
      <c r="R3228" t="inlineStr">
        <is>
          <t>InStock</t>
        </is>
      </c>
      <c r="S3228" t="inlineStr">
        <is>
          <t>39.95</t>
        </is>
      </c>
      <c r="T3228" t="inlineStr">
        <is>
          <t>704369-04</t>
        </is>
      </c>
    </row>
    <row r="3229" hidden="1" ht="15.75" customHeight="1">
      <c r="A3229" s="2">
        <f>HYPERLINK("https://www.soccerplususa.com/puma/puma-teamfinal-21-graphic-jersey-42133", "https://www.soccerplususa.com/puma/puma-teamfinal-21-graphic-jersey-42133")</f>
        <v/>
      </c>
      <c r="B3229" t="inlineStr">
        <is>
          <t>undefined</t>
        </is>
      </c>
      <c r="C3229" t="inlineStr">
        <is>
          <t>Puma Teamfinal 21 Graphic Jersey</t>
        </is>
      </c>
      <c r="D3229" t="inlineStr">
        <is>
          <t>mens Teamfinal 21 Graphic Jersey T Shirt, Puma White/Gray Violet, Medium US</t>
        </is>
      </c>
      <c r="E3229" s="2">
        <f>HYPERLINK("https://www.amazon.com/Puma-Teamfinal-Graphic-Jersey-Medium/dp/B086RT8ZMZ/ref=sr_1_9?keywords=Puma+Teamfinal+21+Graphic+Jersey&amp;qid=1695171174&amp;sr=8-9", "https://www.amazon.com/Puma-Teamfinal-Graphic-Jersey-Medium/dp/B086RT8ZMZ/ref=sr_1_9?keywords=Puma+Teamfinal+21+Graphic+Jersey&amp;qid=1695171174&amp;sr=8-9")</f>
        <v/>
      </c>
      <c r="F3229" t="inlineStr">
        <is>
          <t>B086RT8ZMZ</t>
        </is>
      </c>
      <c r="G3229">
        <f>_xludf.IMAGE("https://www.soccerplususa.com/prodimages//37416-GRAY-M.jpg")</f>
        <v/>
      </c>
      <c r="H3229">
        <f>_xludf.IMAGE("https://m.media-amazon.com/images/I/51vZRgruaoL._AC_UL320_.jpg")</f>
        <v/>
      </c>
      <c r="K3229" t="inlineStr">
        <is>
          <t>29.99</t>
        </is>
      </c>
      <c r="L3229" t="n">
        <v>44.71</v>
      </c>
      <c r="M3229" s="1" t="inlineStr">
        <is>
          <t>49.08%</t>
        </is>
      </c>
      <c r="N3229" s="3" t="n">
        <v>49.08</v>
      </c>
      <c r="O3229" t="n">
        <v>5</v>
      </c>
      <c r="P3229" t="n">
        <v>2</v>
      </c>
      <c r="R3229" t="inlineStr">
        <is>
          <t>InStock</t>
        </is>
      </c>
      <c r="S3229" t="inlineStr">
        <is>
          <t>39.95</t>
        </is>
      </c>
      <c r="T3229" t="inlineStr">
        <is>
          <t>704150-13</t>
        </is>
      </c>
    </row>
    <row r="3230" hidden="1" ht="15.75" customHeight="1">
      <c r="A3230" s="2">
        <f>HYPERLINK("https://www.soccerplususa.com/puma/puma-teamfinal-21-graphic-jersey-youth-42095", "https://www.soccerplususa.com/puma/puma-teamfinal-21-graphic-jersey-youth-42095")</f>
        <v/>
      </c>
      <c r="B3230" t="inlineStr">
        <is>
          <t>undefined</t>
        </is>
      </c>
      <c r="C3230" t="inlineStr">
        <is>
          <t>Puma Teamfinal 21 Graphic Jersey Youth</t>
        </is>
      </c>
      <c r="D3230" t="inlineStr">
        <is>
          <t>mens Teamfinal 21 Graphic Jersey T Shirt, Puma White/Gray Violet, Medium US</t>
        </is>
      </c>
      <c r="E3230" s="2">
        <f>HYPERLINK("https://www.amazon.com/Puma-Teamfinal-Graphic-Jersey-Medium/dp/B086RT8ZMZ/ref=sr_1_4?keywords=Puma+Teamfinal+21+Graphic+Jersey+Youth&amp;qid=1695171148&amp;sr=8-4", "https://www.amazon.com/Puma-Teamfinal-Graphic-Jersey-Medium/dp/B086RT8ZMZ/ref=sr_1_4?keywords=Puma+Teamfinal+21+Graphic+Jersey+Youth&amp;qid=1695171148&amp;sr=8-4")</f>
        <v/>
      </c>
      <c r="F3230" t="inlineStr">
        <is>
          <t>B086RT8ZMZ</t>
        </is>
      </c>
      <c r="G3230">
        <f>_xludf.IMAGE("https://www.soccerplususa.com/prodimages//37424-BLACK-M.jpg")</f>
        <v/>
      </c>
      <c r="H3230">
        <f>_xludf.IMAGE("https://m.media-amazon.com/images/I/51vZRgruaoL._AC_UL320_.jpg")</f>
        <v/>
      </c>
      <c r="K3230" t="inlineStr">
        <is>
          <t>29.99</t>
        </is>
      </c>
      <c r="L3230" t="n">
        <v>44.71</v>
      </c>
      <c r="M3230" s="1" t="inlineStr">
        <is>
          <t>49.08%</t>
        </is>
      </c>
      <c r="N3230" s="3" t="n">
        <v>49.08</v>
      </c>
      <c r="O3230" t="n">
        <v>5</v>
      </c>
      <c r="P3230" t="n">
        <v>2</v>
      </c>
      <c r="R3230" t="inlineStr">
        <is>
          <t>InStock</t>
        </is>
      </c>
      <c r="S3230" t="inlineStr">
        <is>
          <t>39.95</t>
        </is>
      </c>
      <c r="T3230" t="inlineStr">
        <is>
          <t>704369-03</t>
        </is>
      </c>
    </row>
    <row r="3231" hidden="1" ht="15.75" customHeight="1">
      <c r="A3231" s="2">
        <f>HYPERLINK("https://www.soccerplususa.com/puma/puma-teamfinal-21-graphic-jersey-41907", "https://www.soccerplususa.com/puma/puma-teamfinal-21-graphic-jersey-41907")</f>
        <v/>
      </c>
      <c r="B3231" t="inlineStr">
        <is>
          <t>undefined</t>
        </is>
      </c>
      <c r="C3231" t="inlineStr">
        <is>
          <t>Puma Teamfinal 21 Graphic Jersey</t>
        </is>
      </c>
      <c r="D3231" t="inlineStr">
        <is>
          <t>mens Teamfinal 21 Graphic Jersey T Shirt, Puma White/Gray Violet, Medium US</t>
        </is>
      </c>
      <c r="E3231" s="2">
        <f>HYPERLINK("https://www.amazon.com/Puma-Teamfinal-Graphic-Jersey-Medium/dp/B086RT8ZMZ/ref=sr_1_9?keywords=Puma+Teamfinal+21+Graphic+Jersey&amp;qid=1695171144&amp;sr=8-9", "https://www.amazon.com/Puma-Teamfinal-Graphic-Jersey-Medium/dp/B086RT8ZMZ/ref=sr_1_9?keywords=Puma+Teamfinal+21+Graphic+Jersey&amp;qid=1695171144&amp;sr=8-9")</f>
        <v/>
      </c>
      <c r="F3231" t="inlineStr">
        <is>
          <t>B086RT8ZMZ</t>
        </is>
      </c>
      <c r="G3231">
        <f>_xludf.IMAGE("https://www.soccerplususa.com/prodimages//37409-NAVY-M.jpg")</f>
        <v/>
      </c>
      <c r="H3231">
        <f>_xludf.IMAGE("https://m.media-amazon.com/images/I/51vZRgruaoL._AC_UL320_.jpg")</f>
        <v/>
      </c>
      <c r="K3231" t="inlineStr">
        <is>
          <t>29.99</t>
        </is>
      </c>
      <c r="L3231" t="n">
        <v>44.71</v>
      </c>
      <c r="M3231" s="1" t="inlineStr">
        <is>
          <t>49.08%</t>
        </is>
      </c>
      <c r="N3231" s="3" t="n">
        <v>49.08</v>
      </c>
      <c r="O3231" t="n">
        <v>5</v>
      </c>
      <c r="P3231" t="n">
        <v>2</v>
      </c>
      <c r="R3231" t="inlineStr">
        <is>
          <t>InStock</t>
        </is>
      </c>
      <c r="S3231" t="inlineStr">
        <is>
          <t>39.95</t>
        </is>
      </c>
      <c r="T3231" t="inlineStr">
        <is>
          <t>704150-06</t>
        </is>
      </c>
    </row>
    <row r="3232" hidden="1" ht="15.75" customHeight="1">
      <c r="A3232" s="2">
        <f>HYPERLINK("https://www.soccerplususa.com/puma/puma-teamfinal-21-graphic-jersey-youth-38697", "https://www.soccerplususa.com/puma/puma-teamfinal-21-graphic-jersey-youth-38697")</f>
        <v/>
      </c>
      <c r="B3232" t="inlineStr">
        <is>
          <t>undefined</t>
        </is>
      </c>
      <c r="C3232" t="inlineStr">
        <is>
          <t>Puma Teamfinal 21 Graphic Jersey Youth</t>
        </is>
      </c>
      <c r="D3232" t="inlineStr">
        <is>
          <t>mens Teamfinal 21 Graphic Jersey T Shirt, Puma White/Gray Violet, Medium US</t>
        </is>
      </c>
      <c r="E3232" s="2">
        <f>HYPERLINK("https://www.amazon.com/Puma-Teamfinal-Graphic-Jersey-Medium/dp/B086RT8ZMZ/ref=sr_1_4?keywords=Puma+Teamfinal+21+Graphic+Jersey+Youth&amp;qid=1695171156&amp;sr=8-4", "https://www.amazon.com/Puma-Teamfinal-Graphic-Jersey-Medium/dp/B086RT8ZMZ/ref=sr_1_4?keywords=Puma+Teamfinal+21+Graphic+Jersey+Youth&amp;qid=1695171156&amp;sr=8-4")</f>
        <v/>
      </c>
      <c r="F3232" t="inlineStr">
        <is>
          <t>B086RT8ZMZ</t>
        </is>
      </c>
      <c r="G3232">
        <f>_xludf.IMAGE("https://www.soccerplususa.com/prodimages//36781-Electric_Blue-M.jpg")</f>
        <v/>
      </c>
      <c r="H3232">
        <f>_xludf.IMAGE("https://m.media-amazon.com/images/I/51vZRgruaoL._AC_UL320_.jpg")</f>
        <v/>
      </c>
      <c r="K3232" t="inlineStr">
        <is>
          <t>29.99</t>
        </is>
      </c>
      <c r="L3232" t="n">
        <v>44.71</v>
      </c>
      <c r="M3232" s="1" t="inlineStr">
        <is>
          <t>49.08%</t>
        </is>
      </c>
      <c r="N3232" s="3" t="n">
        <v>49.08</v>
      </c>
      <c r="O3232" t="n">
        <v>5</v>
      </c>
      <c r="P3232" t="n">
        <v>2</v>
      </c>
      <c r="R3232" t="inlineStr">
        <is>
          <t>InStock</t>
        </is>
      </c>
      <c r="S3232" t="inlineStr">
        <is>
          <t>39.95</t>
        </is>
      </c>
      <c r="T3232" t="inlineStr">
        <is>
          <t>704369-02</t>
        </is>
      </c>
    </row>
    <row r="3233" hidden="1" ht="15.75" customHeight="1">
      <c r="A3233" s="2">
        <f>HYPERLINK("https://www.soccerplususa.com/puma/puma-teamfinal-21-graphic-jersey-40618", "https://www.soccerplususa.com/puma/puma-teamfinal-21-graphic-jersey-40618")</f>
        <v/>
      </c>
      <c r="B3233" t="inlineStr">
        <is>
          <t>undefined</t>
        </is>
      </c>
      <c r="C3233" t="inlineStr">
        <is>
          <t>Puma Teamfinal 21 Graphic Jersey</t>
        </is>
      </c>
      <c r="D3233" t="inlineStr">
        <is>
          <t>mens Teamfinal 21 Graphic Jersey T Shirt, Puma White/Gray Violet, Medium US</t>
        </is>
      </c>
      <c r="E3233" s="2">
        <f>HYPERLINK("https://www.amazon.com/Puma-Teamfinal-Graphic-Jersey-Medium/dp/B086RT8ZMZ/ref=sr_1_9?keywords=Puma+Teamfinal+21+Graphic+Jersey&amp;qid=1695171148&amp;sr=8-9", "https://www.amazon.com/Puma-Teamfinal-Graphic-Jersey-Medium/dp/B086RT8ZMZ/ref=sr_1_9?keywords=Puma+Teamfinal+21+Graphic+Jersey&amp;qid=1695171148&amp;sr=8-9")</f>
        <v/>
      </c>
      <c r="F3233" t="inlineStr">
        <is>
          <t>B086RT8ZMZ</t>
        </is>
      </c>
      <c r="G3233">
        <f>_xludf.IMAGE("https://www.soccerplususa.com/prodimages//37414-Pepper_Green-M.jpg")</f>
        <v/>
      </c>
      <c r="H3233">
        <f>_xludf.IMAGE("https://m.media-amazon.com/images/I/51vZRgruaoL._AC_UL320_.jpg")</f>
        <v/>
      </c>
      <c r="K3233" t="inlineStr">
        <is>
          <t>29.99</t>
        </is>
      </c>
      <c r="L3233" t="n">
        <v>44.71</v>
      </c>
      <c r="M3233" s="1" t="inlineStr">
        <is>
          <t>49.08%</t>
        </is>
      </c>
      <c r="N3233" s="3" t="n">
        <v>49.08</v>
      </c>
      <c r="O3233" t="n">
        <v>5</v>
      </c>
      <c r="P3233" t="n">
        <v>2</v>
      </c>
      <c r="R3233" t="inlineStr">
        <is>
          <t>InStock</t>
        </is>
      </c>
      <c r="S3233" t="inlineStr">
        <is>
          <t>39.95</t>
        </is>
      </c>
      <c r="T3233" t="inlineStr">
        <is>
          <t>704150-05</t>
        </is>
      </c>
    </row>
    <row r="3234" hidden="1" ht="15.75" customHeight="1">
      <c r="A3234" s="2">
        <f>HYPERLINK("https://www.soccerplususa.com/puma/puma-teamfinal-21-graphic-jersey-38700", "https://www.soccerplususa.com/puma/puma-teamfinal-21-graphic-jersey-38700")</f>
        <v/>
      </c>
      <c r="B3234" t="inlineStr">
        <is>
          <t>undefined</t>
        </is>
      </c>
      <c r="C3234" t="inlineStr">
        <is>
          <t>Puma Teamfinal 21 Graphic Jersey</t>
        </is>
      </c>
      <c r="D3234" t="inlineStr">
        <is>
          <t>mens Teamfinal 21 Graphic Jersey T Shirt, Puma White/Gray Violet, Medium US</t>
        </is>
      </c>
      <c r="E3234" s="2">
        <f>HYPERLINK("https://www.amazon.com/Puma-Teamfinal-Graphic-Jersey-Medium/dp/B086RT8ZMZ/ref=sr_1_9?keywords=Puma+Teamfinal+21+Graphic+Jersey&amp;qid=1695171150&amp;sr=8-9", "https://www.amazon.com/Puma-Teamfinal-Graphic-Jersey-Medium/dp/B086RT8ZMZ/ref=sr_1_9?keywords=Puma+Teamfinal+21+Graphic+Jersey&amp;qid=1695171150&amp;sr=8-9")</f>
        <v/>
      </c>
      <c r="F3234" t="inlineStr">
        <is>
          <t>B086RT8ZMZ</t>
        </is>
      </c>
      <c r="G3234">
        <f>_xludf.IMAGE("https://www.soccerplususa.com/prodimages//36789-WhiteGray-M.jpg")</f>
        <v/>
      </c>
      <c r="H3234">
        <f>_xludf.IMAGE("https://m.media-amazon.com/images/I/51vZRgruaoL._AC_UL320_.jpg")</f>
        <v/>
      </c>
      <c r="K3234" t="inlineStr">
        <is>
          <t>29.99</t>
        </is>
      </c>
      <c r="L3234" t="n">
        <v>44.71</v>
      </c>
      <c r="M3234" s="1" t="inlineStr">
        <is>
          <t>49.08%</t>
        </is>
      </c>
      <c r="N3234" s="3" t="n">
        <v>49.08</v>
      </c>
      <c r="O3234" t="n">
        <v>5</v>
      </c>
      <c r="P3234" t="n">
        <v>2</v>
      </c>
      <c r="R3234" t="inlineStr">
        <is>
          <t>InStock</t>
        </is>
      </c>
      <c r="S3234" t="inlineStr">
        <is>
          <t>39.95</t>
        </is>
      </c>
      <c r="T3234" t="inlineStr">
        <is>
          <t>704150-04</t>
        </is>
      </c>
    </row>
    <row r="3235" hidden="1" ht="15.75" customHeight="1">
      <c r="A3235" s="2">
        <f>HYPERLINK("https://www.soccerplususa.com/puma/puma-teamfinal-21-graphic-jersey-youth-41908", "https://www.soccerplususa.com/puma/puma-teamfinal-21-graphic-jersey-youth-41908")</f>
        <v/>
      </c>
      <c r="B3235" t="inlineStr">
        <is>
          <t>undefined</t>
        </is>
      </c>
      <c r="C3235" t="inlineStr">
        <is>
          <t>Puma Teamfinal 21 Graphic Jersey Youth</t>
        </is>
      </c>
      <c r="D3235" t="inlineStr">
        <is>
          <t>mens Teamfinal 21 Graphic Jersey T Shirt, Puma White/Gray Violet, Medium US</t>
        </is>
      </c>
      <c r="E3235" s="2">
        <f>HYPERLINK("https://www.amazon.com/Puma-Teamfinal-Graphic-Jersey-Medium/dp/B086RT8ZMZ/ref=sr_1_4?keywords=Puma+Teamfinal+21+Graphic+Jersey+Youth&amp;qid=1695171144&amp;sr=8-4", "https://www.amazon.com/Puma-Teamfinal-Graphic-Jersey-Medium/dp/B086RT8ZMZ/ref=sr_1_4?keywords=Puma+Teamfinal+21+Graphic+Jersey+Youth&amp;qid=1695171144&amp;sr=8-4")</f>
        <v/>
      </c>
      <c r="F3235" t="inlineStr">
        <is>
          <t>B086RT8ZMZ</t>
        </is>
      </c>
      <c r="G3235">
        <f>_xludf.IMAGE("https://www.soccerplususa.com/prodimages//37410-NAVY-M.jpg")</f>
        <v/>
      </c>
      <c r="H3235">
        <f>_xludf.IMAGE("https://m.media-amazon.com/images/I/51vZRgruaoL._AC_UL320_.jpg")</f>
        <v/>
      </c>
      <c r="K3235" t="inlineStr">
        <is>
          <t>29.99</t>
        </is>
      </c>
      <c r="L3235" t="n">
        <v>44.71</v>
      </c>
      <c r="M3235" s="1" t="inlineStr">
        <is>
          <t>49.08%</t>
        </is>
      </c>
      <c r="N3235" s="3" t="n">
        <v>49.08</v>
      </c>
      <c r="O3235" t="n">
        <v>5</v>
      </c>
      <c r="P3235" t="n">
        <v>2</v>
      </c>
      <c r="R3235" t="inlineStr">
        <is>
          <t>InStock</t>
        </is>
      </c>
      <c r="S3235" t="inlineStr">
        <is>
          <t>39.95</t>
        </is>
      </c>
      <c r="T3235" t="inlineStr">
        <is>
          <t>704369-06</t>
        </is>
      </c>
    </row>
    <row r="3236" hidden="1" ht="15.75" customHeight="1">
      <c r="A3236" s="2">
        <f>HYPERLINK("https://www.soccerplususa.com/adidas/adidas-regista-16-jersey-4147", "https://www.soccerplususa.com/adidas/adidas-regista-16-jersey-4147")</f>
        <v/>
      </c>
      <c r="B3236" t="inlineStr">
        <is>
          <t>undefined</t>
        </is>
      </c>
      <c r="C3236" t="inlineStr">
        <is>
          <t>adidas Regista 16 Jersey</t>
        </is>
      </c>
      <c r="D3236" t="inlineStr">
        <is>
          <t>Nike Adidas Regista 16 Mens Soccer Short</t>
        </is>
      </c>
      <c r="E3236" s="2">
        <f>HYPERLINK("https://www.amazon.com/Adidas-Regista-Soccer-Short-Black-White/dp/B01866CQVU/ref=sr_1_4?keywords=adidas+Regista+16+Jersey&amp;qid=1695171233&amp;sr=8-4", "https://www.amazon.com/Adidas-Regista-Soccer-Short-Black-White/dp/B01866CQVU/ref=sr_1_4?keywords=adidas+Regista+16+Jersey&amp;qid=1695171233&amp;sr=8-4")</f>
        <v/>
      </c>
      <c r="F3236" t="inlineStr">
        <is>
          <t>B01866CQVU</t>
        </is>
      </c>
      <c r="G3236">
        <f>_xludf.IMAGE("https://www.soccerplususa.com/prodimages/7616-DEFAULT-l.jpg")</f>
        <v/>
      </c>
      <c r="H3236">
        <f>_xludf.IMAGE("https://m.media-amazon.com/images/I/71OBTSNGviL._AC_UL320_.jpg")</f>
        <v/>
      </c>
      <c r="K3236" t="inlineStr">
        <is>
          <t>17.5</t>
        </is>
      </c>
      <c r="L3236" t="n">
        <v>25.69</v>
      </c>
      <c r="M3236" s="1" t="inlineStr">
        <is>
          <t>46.80%</t>
        </is>
      </c>
      <c r="N3236" s="3" t="n">
        <v>46.8</v>
      </c>
      <c r="O3236" t="n">
        <v>4.7</v>
      </c>
      <c r="P3236" t="n">
        <v>9</v>
      </c>
      <c r="R3236" t="inlineStr">
        <is>
          <t>InStock</t>
        </is>
      </c>
      <c r="S3236" t="inlineStr">
        <is>
          <t>34.95</t>
        </is>
      </c>
      <c r="T3236" t="inlineStr">
        <is>
          <t>AP0529</t>
        </is>
      </c>
    </row>
    <row r="3237" hidden="1" ht="15.75" customHeight="1">
      <c r="A3237" s="2">
        <f>HYPERLINK("https://www.soccerplususa.com/nike/nike-challenge-jersey-22798", "https://www.soccerplususa.com/nike/nike-challenge-jersey-22798")</f>
        <v/>
      </c>
      <c r="B3237" t="inlineStr">
        <is>
          <t>undefined</t>
        </is>
      </c>
      <c r="C3237" t="inlineStr">
        <is>
          <t>Nike Challenge Jersey</t>
        </is>
      </c>
      <c r="D3237" t="inlineStr">
        <is>
          <t>Nike Dri-Fit Challenge 3 Soccer Jersey Shirt L White</t>
        </is>
      </c>
      <c r="E3237" s="2">
        <f>HYPERLINK("https://www.amazon.com/Nike-Dri-Fit-Challenge-Soccer-Jersey/dp/B0B9HPGSSV/ref=sr_1_4?keywords=Nike+Challenge+Jersey&amp;qid=1695171194&amp;sr=8-4", "https://www.amazon.com/Nike-Dri-Fit-Challenge-Soccer-Jersey/dp/B0B9HPGSSV/ref=sr_1_4?keywords=Nike+Challenge+Jersey&amp;qid=1695171194&amp;sr=8-4")</f>
        <v/>
      </c>
      <c r="F3237" t="inlineStr">
        <is>
          <t>B0B9HPGSSV</t>
        </is>
      </c>
      <c r="G3237">
        <f>_xludf.IMAGE("https://www.soccerplususa.com/prodimages/32879-DEFAULT-l.jpg")</f>
        <v/>
      </c>
      <c r="H3237">
        <f>_xludf.IMAGE("https://m.media-amazon.com/images/I/41DtONJS4uL._AC_UL320_.jpg")</f>
        <v/>
      </c>
      <c r="K3237" t="inlineStr">
        <is>
          <t>25.99</t>
        </is>
      </c>
      <c r="L3237" t="n">
        <v>37.99</v>
      </c>
      <c r="M3237" s="1" t="inlineStr">
        <is>
          <t>46.17%</t>
        </is>
      </c>
      <c r="N3237" s="3" t="n">
        <v>46.17</v>
      </c>
      <c r="O3237" t="n">
        <v>4</v>
      </c>
      <c r="P3237" t="n">
        <v>1</v>
      </c>
      <c r="R3237" t="inlineStr">
        <is>
          <t>InStock</t>
        </is>
      </c>
      <c r="S3237" t="inlineStr">
        <is>
          <t>34.95</t>
        </is>
      </c>
      <c r="T3237" t="inlineStr">
        <is>
          <t>645500-419</t>
        </is>
      </c>
    </row>
    <row r="3238" hidden="1" ht="15.75" customHeight="1">
      <c r="A3238" s="2">
        <f>HYPERLINK("https://www.soccerplususa.com/adidas/adidas-tiro-17-jersey-33798", "https://www.soccerplususa.com/adidas/adidas-tiro-17-jersey-33798")</f>
        <v/>
      </c>
      <c r="B3238" t="inlineStr">
        <is>
          <t>undefined</t>
        </is>
      </c>
      <c r="C3238" t="inlineStr">
        <is>
          <t>adidas Tiro 17 Jersey</t>
        </is>
      </c>
      <c r="D3238" t="inlineStr">
        <is>
          <t>adidas Men's Tiro 23 Jersey</t>
        </is>
      </c>
      <c r="E3238" s="2">
        <f>HYPERLINK("https://www.amazon.com/adidas-Jersey-Shirt-Black-X-Small/dp/B09YG5GTJB/ref=sr_1_2?keywords=adidas+Tiro+17+Jersey&amp;qid=1695171166&amp;sr=8-2", "https://www.amazon.com/adidas-Jersey-Shirt-Black-X-Small/dp/B09YG5GTJB/ref=sr_1_2?keywords=adidas+Tiro+17+Jersey&amp;qid=1695171166&amp;sr=8-2")</f>
        <v/>
      </c>
      <c r="F3238" t="inlineStr">
        <is>
          <t>B09YG5GTJB</t>
        </is>
      </c>
      <c r="G3238">
        <f>_xludf.IMAGE("https://www.soccerplususa.com/prodimages/7452-DEFAULT-l.jpg")</f>
        <v/>
      </c>
      <c r="H3238">
        <f>_xludf.IMAGE("https://m.media-amazon.com/images/I/410bSxr-tiL._AC_UL320_.jpg")</f>
        <v/>
      </c>
      <c r="K3238" t="inlineStr">
        <is>
          <t>23.97</t>
        </is>
      </c>
      <c r="L3238" t="n">
        <v>35</v>
      </c>
      <c r="M3238" s="1" t="inlineStr">
        <is>
          <t>46.02%</t>
        </is>
      </c>
      <c r="N3238" s="3" t="n">
        <v>46.02</v>
      </c>
      <c r="O3238" t="n">
        <v>4.6</v>
      </c>
      <c r="P3238" t="n">
        <v>46</v>
      </c>
      <c r="R3238" t="inlineStr">
        <is>
          <t>InStock</t>
        </is>
      </c>
      <c r="S3238" t="inlineStr">
        <is>
          <t>39.95</t>
        </is>
      </c>
      <c r="T3238" t="inlineStr">
        <is>
          <t>BS4216</t>
        </is>
      </c>
    </row>
    <row r="3239" hidden="1" ht="15.75" customHeight="1">
      <c r="A3239" s="2">
        <f>HYPERLINK("https://www.soccerplususa.com/new-balance/new-balance-lightweight-solid-half-zip-34484", "https://www.soccerplususa.com/new-balance/new-balance-lightweight-solid-half-zip-34484")</f>
        <v/>
      </c>
      <c r="B3239" t="inlineStr">
        <is>
          <t>undefined</t>
        </is>
      </c>
      <c r="C3239" t="inlineStr">
        <is>
          <t>New Balance Lightweight Solid Half Zip</t>
        </is>
      </c>
      <c r="D3239" t="inlineStr">
        <is>
          <t>New Balance Mens Lightweight Solid Half Zip</t>
        </is>
      </c>
      <c r="E3239" s="2">
        <f>HYPERLINK("https://www.amazon.com/New-Balance-Lightweight-Solid-Gunmetal/dp/B071F13BNW/ref=sr_1_10?keywords=New+Balance+Lightweight+Solid+Half+Zip&amp;qid=1695171179&amp;sr=8-10", "https://www.amazon.com/New-Balance-Lightweight-Solid-Gunmetal/dp/B071F13BNW/ref=sr_1_10?keywords=New+Balance+Lightweight+Solid+Half+Zip&amp;qid=1695171179&amp;sr=8-10")</f>
        <v/>
      </c>
      <c r="F3239" t="inlineStr">
        <is>
          <t>B071F13BNW</t>
        </is>
      </c>
      <c r="G3239">
        <f>_xludf.IMAGE("https://www.soccerplususa.com/prodimages/37535-DEFAULT-l.jpg")</f>
        <v/>
      </c>
      <c r="H3239">
        <f>_xludf.IMAGE("https://m.media-amazon.com/images/I/51LbewZkMmL._AC_UL320_.jpg")</f>
        <v/>
      </c>
      <c r="K3239" t="inlineStr">
        <is>
          <t>59.95</t>
        </is>
      </c>
      <c r="L3239" t="n">
        <v>87.38</v>
      </c>
      <c r="M3239" s="1" t="inlineStr">
        <is>
          <t>45.75%</t>
        </is>
      </c>
      <c r="N3239" s="3" t="n">
        <v>45.75</v>
      </c>
      <c r="O3239" t="n">
        <v>3.6</v>
      </c>
      <c r="P3239" t="n">
        <v>4</v>
      </c>
      <c r="R3239" t="inlineStr">
        <is>
          <t>InStock</t>
        </is>
      </c>
      <c r="S3239" t="inlineStr">
        <is>
          <t>undefined</t>
        </is>
      </c>
      <c r="T3239" t="inlineStr">
        <is>
          <t>TMMT710</t>
        </is>
      </c>
    </row>
    <row r="3240" hidden="1" ht="15.75" customHeight="1">
      <c r="A3240" s="2">
        <f>HYPERLINK("https://www.soccerplususa.com/puma/puma-liga-training-1-4-zip-jacket-29028", "https://www.soccerplususa.com/puma/puma-liga-training-1-4-zip-jacket-29028")</f>
        <v/>
      </c>
      <c r="B3240" t="inlineStr">
        <is>
          <t>undefined</t>
        </is>
      </c>
      <c r="C3240" t="inlineStr">
        <is>
          <t>Puma Liga Training 1/4 Zip Jacket</t>
        </is>
      </c>
      <c r="D3240" t="inlineStr">
        <is>
          <t>PUMA Mens Teamgoal 23 Training 1/4 Zip Top</t>
        </is>
      </c>
      <c r="E3240" s="2">
        <f>HYPERLINK("https://www.amazon.com/Puma-Teamgoal-Training-XX-Large-Pepper/dp/B086MYXZYT/ref=sr_1_5?keywords=Puma+Liga+Training+1%2F4+Zip+Jacket&amp;qid=1695171178&amp;sr=8-5", "https://www.amazon.com/Puma-Teamgoal-Training-XX-Large-Pepper/dp/B086MYXZYT/ref=sr_1_5?keywords=Puma+Liga+Training+1%2F4+Zip+Jacket&amp;qid=1695171178&amp;sr=8-5")</f>
        <v/>
      </c>
      <c r="F3240" t="inlineStr">
        <is>
          <t>B086MYXZYT</t>
        </is>
      </c>
      <c r="G3240">
        <f>_xludf.IMAGE("https://www.soccerplususa.com/prodimages/6871-DEFAULT-l.jpg")</f>
        <v/>
      </c>
      <c r="H3240">
        <f>_xludf.IMAGE("https://m.media-amazon.com/images/I/61-nRfFesnL._AC_UL320_.jpg")</f>
        <v/>
      </c>
      <c r="K3240" t="inlineStr">
        <is>
          <t>38.0</t>
        </is>
      </c>
      <c r="L3240" t="n">
        <v>54.95</v>
      </c>
      <c r="M3240" s="1" t="inlineStr">
        <is>
          <t>44.61%</t>
        </is>
      </c>
      <c r="N3240" s="3" t="n">
        <v>44.61</v>
      </c>
      <c r="O3240" t="n">
        <v>5</v>
      </c>
      <c r="P3240" t="n">
        <v>1</v>
      </c>
      <c r="R3240" t="inlineStr">
        <is>
          <t>InStock</t>
        </is>
      </c>
      <c r="S3240" t="inlineStr">
        <is>
          <t>50.0</t>
        </is>
      </c>
      <c r="T3240" t="inlineStr">
        <is>
          <t>655606-06</t>
        </is>
      </c>
    </row>
    <row r="3241" hidden="1" ht="15.75" customHeight="1">
      <c r="A3241" s="2">
        <f>HYPERLINK("https://www.soccerplususa.com/puma/puma-liga-training-1-4-zip-top-youth-35517", "https://www.soccerplususa.com/puma/puma-liga-training-1-4-zip-top-youth-35517")</f>
        <v/>
      </c>
      <c r="B3241" t="inlineStr">
        <is>
          <t>undefined</t>
        </is>
      </c>
      <c r="C3241" t="inlineStr">
        <is>
          <t>Puma Liga Training 1/4 Zip Top Youth</t>
        </is>
      </c>
      <c r="D3241" t="inlineStr">
        <is>
          <t>PUMA Unisex Youth Teamgoal 23 Training 1/4 Zip Top</t>
        </is>
      </c>
      <c r="E3241" s="2">
        <f>HYPERLINK("https://www.amazon.com/PUMA-Kids-TEAMGOAL-Training-White/dp/B084ZXFDL6/ref=sr_1_4?keywords=Puma+Liga+Training+1%2F4+Zip+Top+Youth&amp;qid=1695171162&amp;sr=8-4", "https://www.amazon.com/PUMA-Kids-TEAMGOAL-Training-White/dp/B084ZXFDL6/ref=sr_1_4?keywords=Puma+Liga+Training+1%2F4+Zip+Top+Youth&amp;qid=1695171162&amp;sr=8-4")</f>
        <v/>
      </c>
      <c r="F3241" t="inlineStr">
        <is>
          <t>B084ZXFDL6</t>
        </is>
      </c>
      <c r="G3241">
        <f>_xludf.IMAGE("https://www.soccerplususa.com/prodimages/7782-DEFAULT-l.jpg")</f>
        <v/>
      </c>
      <c r="H3241">
        <f>_xludf.IMAGE("https://m.media-amazon.com/images/I/61K1iLM7juL._AC_UL320_.jpg")</f>
        <v/>
      </c>
      <c r="K3241" t="inlineStr">
        <is>
          <t>38.0</t>
        </is>
      </c>
      <c r="L3241" t="n">
        <v>54.95</v>
      </c>
      <c r="M3241" s="1" t="inlineStr">
        <is>
          <t>44.61%</t>
        </is>
      </c>
      <c r="N3241" s="3" t="n">
        <v>44.61</v>
      </c>
      <c r="O3241" t="n">
        <v>4.2</v>
      </c>
      <c r="P3241" t="n">
        <v>3</v>
      </c>
      <c r="R3241" t="inlineStr">
        <is>
          <t>InStock</t>
        </is>
      </c>
      <c r="S3241" t="inlineStr">
        <is>
          <t>50.0</t>
        </is>
      </c>
      <c r="T3241" t="inlineStr">
        <is>
          <t>655646-06</t>
        </is>
      </c>
    </row>
    <row r="3242" hidden="1" ht="15.75" customHeight="1">
      <c r="A3242" s="2">
        <f>HYPERLINK("https://www.soccerplususa.com/nike/nike-epic-training-jacket-youth-24431", "https://www.soccerplususa.com/nike/nike-epic-training-jacket-youth-24431")</f>
        <v/>
      </c>
      <c r="B3242" t="inlineStr">
        <is>
          <t>undefined</t>
        </is>
      </c>
      <c r="C3242" t="inlineStr">
        <is>
          <t>Nike Epic Training Jacket Youth</t>
        </is>
      </c>
      <c r="D3242" t="inlineStr">
        <is>
          <t>Nike Epic Training Jacket Youth Youth</t>
        </is>
      </c>
      <c r="E3242" s="2">
        <f>HYPERLINK("https://www.amazon.com/NIKE-Training-Jacket-Youth-Royal/dp/B0773X7WQH/ref=sr_1_2?keywords=Nike+Epic+Training+Jacket+Youth&amp;qid=1695171179&amp;sr=8-2", "https://www.amazon.com/NIKE-Training-Jacket-Youth-Royal/dp/B0773X7WQH/ref=sr_1_2?keywords=Nike+Epic+Training+Jacket+Youth&amp;qid=1695171179&amp;sr=8-2")</f>
        <v/>
      </c>
      <c r="F3242" t="inlineStr">
        <is>
          <t>B0773X7WQH</t>
        </is>
      </c>
      <c r="G3242">
        <f>_xludf.IMAGE("https://www.soccerplususa.com/prodimages/6288-DEFAULT-l.jpg")</f>
        <v/>
      </c>
      <c r="H3242">
        <f>_xludf.IMAGE("https://m.media-amazon.com/images/I/51QmPgj9XEL._AC_UL320_.jpg")</f>
        <v/>
      </c>
      <c r="K3242" t="inlineStr">
        <is>
          <t>36.99</t>
        </is>
      </c>
      <c r="L3242" t="n">
        <v>53.45</v>
      </c>
      <c r="M3242" s="1" t="inlineStr">
        <is>
          <t>44.50%</t>
        </is>
      </c>
      <c r="N3242" s="3" t="n">
        <v>44.5</v>
      </c>
      <c r="O3242" t="n">
        <v>4</v>
      </c>
      <c r="P3242" t="n">
        <v>38</v>
      </c>
      <c r="R3242" t="inlineStr">
        <is>
          <t>InStock</t>
        </is>
      </c>
      <c r="S3242" t="inlineStr">
        <is>
          <t>49.95</t>
        </is>
      </c>
      <c r="T3242" t="inlineStr">
        <is>
          <t>836306-494</t>
        </is>
      </c>
    </row>
    <row r="3243" hidden="1" ht="15.75" customHeight="1">
      <c r="A3243" s="2">
        <f>HYPERLINK("https://www.soccerplususa.com/adidas/adidas-essentials-hoodie-41596", "https://www.soccerplususa.com/adidas/adidas-essentials-hoodie-41596")</f>
        <v/>
      </c>
      <c r="B3243" t="inlineStr">
        <is>
          <t>undefined</t>
        </is>
      </c>
      <c r="C3243" t="inlineStr">
        <is>
          <t>adidas Essentials Hoodie</t>
        </is>
      </c>
      <c r="D3243" t="inlineStr">
        <is>
          <t>adidas Men's Essentials French Terry 3-Stripes Full-Zip Hoodie</t>
        </is>
      </c>
      <c r="E3243" s="2">
        <f>HYPERLINK("https://www.amazon.com/adidas-Essentials-3-stripes-Full-zip-Heather/dp/B08M81MSHN/ref=sr_1_7?keywords=adidas+Essentials+Hoodie&amp;qid=1695171148&amp;sr=8-7", "https://www.amazon.com/adidas-Essentials-3-stripes-Full-zip-Heather/dp/B08M81MSHN/ref=sr_1_7?keywords=adidas+Essentials+Hoodie&amp;qid=1695171148&amp;sr=8-7")</f>
        <v/>
      </c>
      <c r="F3243" t="inlineStr">
        <is>
          <t>B08M81MSHN</t>
        </is>
      </c>
      <c r="G3243">
        <f>_xludf.IMAGE("https://www.soccerplususa.com/prodimages//35143-BLACKWHITE-M.jpg")</f>
        <v/>
      </c>
      <c r="H3243">
        <f>_xludf.IMAGE("https://m.media-amazon.com/images/I/81rAUVA6hjL._AC_UL320_.jpg")</f>
        <v/>
      </c>
      <c r="K3243" t="inlineStr">
        <is>
          <t>44.99</t>
        </is>
      </c>
      <c r="L3243" t="n">
        <v>65</v>
      </c>
      <c r="M3243" s="1" t="inlineStr">
        <is>
          <t>44.48%</t>
        </is>
      </c>
      <c r="N3243" s="3" t="n">
        <v>44.48</v>
      </c>
      <c r="O3243" t="n">
        <v>4.6</v>
      </c>
      <c r="P3243" t="n">
        <v>847</v>
      </c>
      <c r="R3243" t="inlineStr">
        <is>
          <t>InStock</t>
        </is>
      </c>
      <c r="S3243" t="inlineStr">
        <is>
          <t>59.95</t>
        </is>
      </c>
      <c r="T3243" t="inlineStr">
        <is>
          <t>GK9062</t>
        </is>
      </c>
    </row>
    <row r="3244" hidden="1" ht="15.75" customHeight="1">
      <c r="A3244" s="2">
        <f>HYPERLINK("https://www.soccerplususa.com/nike/nike-legend-tee-womens-20413", "https://www.soccerplususa.com/nike/nike-legend-tee-womens-20413")</f>
        <v/>
      </c>
      <c r="B3244" t="inlineStr">
        <is>
          <t>undefined</t>
        </is>
      </c>
      <c r="C3244" t="inlineStr">
        <is>
          <t>Nike Legend Tee Women's</t>
        </is>
      </c>
      <c r="D3244" t="inlineStr">
        <is>
          <t>Nike womens Dry Legend Tee Crew</t>
        </is>
      </c>
      <c r="E3244" s="2">
        <f>HYPERLINK("https://www.amazon.com/NIKE-WOMENS-DRI-FIT-LEGEND-CREW/dp/B07FKFHSW7/ref=sr_1_5?keywords=Nike+Legend+Tee+Womens&amp;qid=1695171184&amp;sr=8-5", "https://www.amazon.com/NIKE-WOMENS-DRI-FIT-LEGEND-CREW/dp/B07FKFHSW7/ref=sr_1_5?keywords=Nike+Legend+Tee+Womens&amp;qid=1695171184&amp;sr=8-5")</f>
        <v/>
      </c>
      <c r="F3244" t="inlineStr">
        <is>
          <t>B07FKFHSW7</t>
        </is>
      </c>
      <c r="G3244">
        <f>_xludf.IMAGE("https://www.soccerplususa.com/prodimages/31739-DEFAULT-l.jpg")</f>
        <v/>
      </c>
      <c r="H3244">
        <f>_xludf.IMAGE("https://m.media-amazon.com/images/I/717E0UsJTwL._AC_UL320_.jpg")</f>
        <v/>
      </c>
      <c r="K3244" t="inlineStr">
        <is>
          <t>18.99</t>
        </is>
      </c>
      <c r="L3244" t="n">
        <v>27.16</v>
      </c>
      <c r="M3244" s="1" t="inlineStr">
        <is>
          <t>43.02%</t>
        </is>
      </c>
      <c r="N3244" s="3" t="n">
        <v>43.02</v>
      </c>
      <c r="O3244" t="n">
        <v>4.4</v>
      </c>
      <c r="P3244" t="n">
        <v>129</v>
      </c>
      <c r="R3244" t="inlineStr">
        <is>
          <t>InStock</t>
        </is>
      </c>
      <c r="S3244" t="inlineStr">
        <is>
          <t>24.95</t>
        </is>
      </c>
      <c r="T3244" t="inlineStr">
        <is>
          <t>453181-657</t>
        </is>
      </c>
    </row>
    <row r="3245" hidden="1" ht="15.75" customHeight="1">
      <c r="A3245" s="2">
        <f>HYPERLINK("https://www.soccerplususa.com/adidas/adidas-tabela-14-jersey-6078", "https://www.soccerplususa.com/adidas/adidas-tabela-14-jersey-6078")</f>
        <v/>
      </c>
      <c r="B3245" t="inlineStr">
        <is>
          <t>undefined</t>
        </is>
      </c>
      <c r="C3245" t="inlineStr">
        <is>
          <t>adidas Tabela 14 Jersey</t>
        </is>
      </c>
      <c r="D3245" t="inlineStr">
        <is>
          <t>adidas Big Boys Climacool Regista 14 Soccer Jersey</t>
        </is>
      </c>
      <c r="E3245" s="2">
        <f>HYPERLINK("https://www.amazon.com/adidas-Performance-Tabela-Sleeve-Collegiate/dp/B00J2GX1ZO/ref=sr_1_2?keywords=adidas+Tabela+14+Jersey&amp;qid=1695171215&amp;sr=8-2", "https://www.amazon.com/adidas-Performance-Tabela-Sleeve-Collegiate/dp/B00J2GX1ZO/ref=sr_1_2?keywords=adidas+Tabela+14+Jersey&amp;qid=1695171215&amp;sr=8-2")</f>
        <v/>
      </c>
      <c r="F3245" t="inlineStr">
        <is>
          <t>B00J2GX1ZO</t>
        </is>
      </c>
      <c r="G3245">
        <f>_xludf.IMAGE("https://www.soccerplususa.com/prodimages/4489-DEFAULT-l.jpg")</f>
        <v/>
      </c>
      <c r="H3245">
        <f>_xludf.IMAGE("https://m.media-amazon.com/images/I/819PT0OMSuL._AC_UL320_.jpg")</f>
        <v/>
      </c>
      <c r="K3245" t="inlineStr">
        <is>
          <t>17.5</t>
        </is>
      </c>
      <c r="L3245" t="n">
        <v>24.99</v>
      </c>
      <c r="M3245" s="1" t="inlineStr">
        <is>
          <t>42.80%</t>
        </is>
      </c>
      <c r="N3245" s="3" t="n">
        <v>42.8</v>
      </c>
      <c r="O3245" t="n">
        <v>4.3</v>
      </c>
      <c r="P3245" t="n">
        <v>16</v>
      </c>
      <c r="R3245" t="inlineStr">
        <is>
          <t>InStock</t>
        </is>
      </c>
      <c r="S3245" t="inlineStr">
        <is>
          <t>34.95</t>
        </is>
      </c>
      <c r="T3245" t="inlineStr">
        <is>
          <t>F50269</t>
        </is>
      </c>
    </row>
    <row r="3246" hidden="1" ht="15.75" customHeight="1">
      <c r="A3246" s="2">
        <f>HYPERLINK("https://www.soccerplususa.com/adidas/adidas-tabela-14-jersey-6151", "https://www.soccerplususa.com/adidas/adidas-tabela-14-jersey-6151")</f>
        <v/>
      </c>
      <c r="B3246" t="inlineStr">
        <is>
          <t>undefined</t>
        </is>
      </c>
      <c r="C3246" t="inlineStr">
        <is>
          <t>adidas Tabela 14 Jersey</t>
        </is>
      </c>
      <c r="D3246" t="inlineStr">
        <is>
          <t>adidas Big Boys Climacool Regista 14 Soccer Jersey</t>
        </is>
      </c>
      <c r="E3246" s="2">
        <f>HYPERLINK("https://www.amazon.com/adidas-Performance-Tabela-Sleeve-Collegiate/dp/B00J2GX1ZO/ref=sr_1_2?keywords=adidas+Tabela+14+Jersey&amp;qid=1695171220&amp;sr=8-2", "https://www.amazon.com/adidas-Performance-Tabela-Sleeve-Collegiate/dp/B00J2GX1ZO/ref=sr_1_2?keywords=adidas+Tabela+14+Jersey&amp;qid=1695171220&amp;sr=8-2")</f>
        <v/>
      </c>
      <c r="F3246" t="inlineStr">
        <is>
          <t>B00J2GX1ZO</t>
        </is>
      </c>
      <c r="G3246">
        <f>_xludf.IMAGE("https://www.soccerplususa.com/prodimages/4588-DEFAULT-l.jpg")</f>
        <v/>
      </c>
      <c r="H3246">
        <f>_xludf.IMAGE("https://m.media-amazon.com/images/I/819PT0OMSuL._AC_UL320_.jpg")</f>
        <v/>
      </c>
      <c r="K3246" t="inlineStr">
        <is>
          <t>17.5</t>
        </is>
      </c>
      <c r="L3246" t="n">
        <v>24.99</v>
      </c>
      <c r="M3246" s="1" t="inlineStr">
        <is>
          <t>42.80%</t>
        </is>
      </c>
      <c r="N3246" s="3" t="n">
        <v>42.8</v>
      </c>
      <c r="O3246" t="n">
        <v>4.3</v>
      </c>
      <c r="P3246" t="n">
        <v>16</v>
      </c>
      <c r="R3246" t="inlineStr">
        <is>
          <t>InStock</t>
        </is>
      </c>
      <c r="S3246" t="inlineStr">
        <is>
          <t>34.95</t>
        </is>
      </c>
      <c r="T3246" t="inlineStr">
        <is>
          <t>F84835</t>
        </is>
      </c>
    </row>
    <row r="3247" hidden="1" ht="15.75" customHeight="1">
      <c r="A3247" s="2">
        <f>HYPERLINK("https://www.soccerplususa.com/adidas/adidas-tabela-14-jersey-6082", "https://www.soccerplususa.com/adidas/adidas-tabela-14-jersey-6082")</f>
        <v/>
      </c>
      <c r="B3247" t="inlineStr">
        <is>
          <t>undefined</t>
        </is>
      </c>
      <c r="C3247" t="inlineStr">
        <is>
          <t>adidas Tabela 14 Jersey</t>
        </is>
      </c>
      <c r="D3247" t="inlineStr">
        <is>
          <t>adidas Big Boys Climacool Regista 14 Soccer Jersey</t>
        </is>
      </c>
      <c r="E3247" s="2">
        <f>HYPERLINK("https://www.amazon.com/adidas-Performance-Tabela-Sleeve-Collegiate/dp/B00J2GX1ZO/ref=sr_1_3?keywords=adidas+Tabela+14+Jersey&amp;qid=1695171211&amp;sr=8-3", "https://www.amazon.com/adidas-Performance-Tabela-Sleeve-Collegiate/dp/B00J2GX1ZO/ref=sr_1_3?keywords=adidas+Tabela+14+Jersey&amp;qid=1695171211&amp;sr=8-3")</f>
        <v/>
      </c>
      <c r="F3247" t="inlineStr">
        <is>
          <t>B00J2GX1ZO</t>
        </is>
      </c>
      <c r="G3247">
        <f>_xludf.IMAGE("https://www.soccerplususa.com/prodimages/2638-DEFAULT-l.jpg")</f>
        <v/>
      </c>
      <c r="H3247">
        <f>_xludf.IMAGE("https://m.media-amazon.com/images/I/819PT0OMSuL._AC_UL320_.jpg")</f>
        <v/>
      </c>
      <c r="K3247" t="inlineStr">
        <is>
          <t>17.5</t>
        </is>
      </c>
      <c r="L3247" t="n">
        <v>24.99</v>
      </c>
      <c r="M3247" s="1" t="inlineStr">
        <is>
          <t>42.80%</t>
        </is>
      </c>
      <c r="N3247" s="3" t="n">
        <v>42.8</v>
      </c>
      <c r="O3247" t="n">
        <v>4.3</v>
      </c>
      <c r="P3247" t="n">
        <v>16</v>
      </c>
      <c r="R3247" t="inlineStr">
        <is>
          <t>InStock</t>
        </is>
      </c>
      <c r="S3247" t="inlineStr">
        <is>
          <t>34.95</t>
        </is>
      </c>
      <c r="T3247" t="inlineStr">
        <is>
          <t>F50284</t>
        </is>
      </c>
    </row>
    <row r="3248" hidden="1" ht="15.75" customHeight="1">
      <c r="A3248" s="2">
        <f>HYPERLINK("https://www.soccerplususa.com/adidas/adidas-tabela-14-jersey-6152", "https://www.soccerplususa.com/adidas/adidas-tabela-14-jersey-6152")</f>
        <v/>
      </c>
      <c r="B3248" t="inlineStr">
        <is>
          <t>undefined</t>
        </is>
      </c>
      <c r="C3248" t="inlineStr">
        <is>
          <t>adidas Tabela 14 Jersey</t>
        </is>
      </c>
      <c r="D3248" t="inlineStr">
        <is>
          <t>adidas Big Boys Climacool Regista 14 Soccer Jersey</t>
        </is>
      </c>
      <c r="E3248" s="2">
        <f>HYPERLINK("https://www.amazon.com/adidas-Performance-Tabela-Sleeve-Collegiate/dp/B00J2GX1ZO/ref=sr_1_2?keywords=adidas+Tabela+14+Jersey&amp;qid=1695171217&amp;sr=8-2", "https://www.amazon.com/adidas-Performance-Tabela-Sleeve-Collegiate/dp/B00J2GX1ZO/ref=sr_1_2?keywords=adidas+Tabela+14+Jersey&amp;qid=1695171217&amp;sr=8-2")</f>
        <v/>
      </c>
      <c r="F3248" t="inlineStr">
        <is>
          <t>B00J2GX1ZO</t>
        </is>
      </c>
      <c r="G3248">
        <f>_xludf.IMAGE("https://www.soccerplususa.com/prodimages/4589-DEFAULT-l.jpg")</f>
        <v/>
      </c>
      <c r="H3248">
        <f>_xludf.IMAGE("https://m.media-amazon.com/images/I/819PT0OMSuL._AC_UL320_.jpg")</f>
        <v/>
      </c>
      <c r="K3248" t="inlineStr">
        <is>
          <t>17.5</t>
        </is>
      </c>
      <c r="L3248" t="n">
        <v>24.99</v>
      </c>
      <c r="M3248" s="1" t="inlineStr">
        <is>
          <t>42.80%</t>
        </is>
      </c>
      <c r="N3248" s="3" t="n">
        <v>42.8</v>
      </c>
      <c r="O3248" t="n">
        <v>4.3</v>
      </c>
      <c r="P3248" t="n">
        <v>16</v>
      </c>
      <c r="R3248" t="inlineStr">
        <is>
          <t>InStock</t>
        </is>
      </c>
      <c r="S3248" t="inlineStr">
        <is>
          <t>34.95</t>
        </is>
      </c>
      <c r="T3248" t="inlineStr">
        <is>
          <t>F84836</t>
        </is>
      </c>
    </row>
    <row r="3249" hidden="1" ht="15.75" customHeight="1">
      <c r="A3249" s="2">
        <f>HYPERLINK("https://www.soccerplususa.com/nike/nike-challenge-jersey-22799", "https://www.soccerplususa.com/nike/nike-challenge-jersey-22799")</f>
        <v/>
      </c>
      <c r="B3249" t="inlineStr">
        <is>
          <t>undefined</t>
        </is>
      </c>
      <c r="C3249" t="inlineStr">
        <is>
          <t>Nike Challenge Jersey</t>
        </is>
      </c>
      <c r="D3249" t="inlineStr">
        <is>
          <t>Nike Dri-Fit Challenge III 3 Womens Soccer Futbol Jersey Short Sleeve Shirt</t>
        </is>
      </c>
      <c r="E3249" s="2">
        <f>HYPERLINK("https://www.amazon.com/Nike-Dri-Fit-Challenge-Womens-Regular/dp/B0CD3QJQ9Z/ref=sr_1_8?keywords=Nike+Challenge+Jersey&amp;qid=1695171185&amp;sr=8-8", "https://www.amazon.com/Nike-Dri-Fit-Challenge-Womens-Regular/dp/B0CD3QJQ9Z/ref=sr_1_8?keywords=Nike+Challenge+Jersey&amp;qid=1695171185&amp;sr=8-8")</f>
        <v/>
      </c>
      <c r="F3249" t="inlineStr">
        <is>
          <t>B0CD3QJQ9Z</t>
        </is>
      </c>
      <c r="G3249">
        <f>_xludf.IMAGE("https://www.soccerplususa.com/prodimages/7620-DEFAULT-l.jpg")</f>
        <v/>
      </c>
      <c r="H3249">
        <f>_xludf.IMAGE("https://m.media-amazon.com/images/I/51aOgJBxCfL._AC_UL320_.jpg")</f>
        <v/>
      </c>
      <c r="K3249" t="inlineStr">
        <is>
          <t>17.5</t>
        </is>
      </c>
      <c r="L3249" t="n">
        <v>24.99</v>
      </c>
      <c r="M3249" s="1" t="inlineStr">
        <is>
          <t>42.80%</t>
        </is>
      </c>
      <c r="N3249" s="3" t="n">
        <v>42.8</v>
      </c>
      <c r="O3249" t="n">
        <v>5</v>
      </c>
      <c r="P3249" t="n">
        <v>1</v>
      </c>
      <c r="R3249" t="inlineStr">
        <is>
          <t>InStock</t>
        </is>
      </c>
      <c r="S3249" t="inlineStr">
        <is>
          <t>34.95</t>
        </is>
      </c>
      <c r="T3249" t="inlineStr">
        <is>
          <t>645500-493</t>
        </is>
      </c>
    </row>
    <row r="3250" hidden="1" ht="15.75" customHeight="1">
      <c r="A3250" s="2">
        <f>HYPERLINK("https://www.soccerplususa.com/puma/puma-liga-jersey-37884", "https://www.soccerplususa.com/puma/puma-liga-jersey-37884")</f>
        <v/>
      </c>
      <c r="B3250" t="inlineStr">
        <is>
          <t>undefined</t>
        </is>
      </c>
      <c r="C3250" t="inlineStr">
        <is>
          <t>Puma Liga Jersey</t>
        </is>
      </c>
      <c r="D3250" t="inlineStr">
        <is>
          <t>PUMA Men's Teamliga Jersey</t>
        </is>
      </c>
      <c r="E3250" s="2">
        <f>HYPERLINK("https://www.amazon.com/PUMA-TeamLIGA-Jersey-Peacoat-White/dp/B091DHCJVM/ref=sr_1_1?keywords=Puma+Liga+Jersey&amp;qid=1695171168&amp;sr=8-1", "https://www.amazon.com/PUMA-TeamLIGA-Jersey-Peacoat-White/dp/B091DHCJVM/ref=sr_1_1?keywords=Puma+Liga+Jersey&amp;qid=1695171168&amp;sr=8-1")</f>
        <v/>
      </c>
      <c r="F3250" t="inlineStr">
        <is>
          <t>B091DHCJVM</t>
        </is>
      </c>
      <c r="G3250">
        <f>_xludf.IMAGE("https://www.soccerplususa.com/prodimages//35270-NAVYWHITE-M.jpg")</f>
        <v/>
      </c>
      <c r="H3250">
        <f>_xludf.IMAGE("https://m.media-amazon.com/images/I/81lxrWQaicS._AC_UL320_.jpg")</f>
        <v/>
      </c>
      <c r="K3250" t="inlineStr">
        <is>
          <t>20.99</t>
        </is>
      </c>
      <c r="L3250" t="n">
        <v>29.88</v>
      </c>
      <c r="M3250" s="1" t="inlineStr">
        <is>
          <t>42.35%</t>
        </is>
      </c>
      <c r="N3250" s="3" t="n">
        <v>42.35</v>
      </c>
      <c r="O3250" t="n">
        <v>4.5</v>
      </c>
      <c r="P3250" t="n">
        <v>282</v>
      </c>
      <c r="R3250" t="inlineStr">
        <is>
          <t>InStock</t>
        </is>
      </c>
      <c r="S3250" t="inlineStr">
        <is>
          <t>27.95</t>
        </is>
      </c>
      <c r="T3250" t="inlineStr">
        <is>
          <t>703417-06</t>
        </is>
      </c>
    </row>
    <row r="3251" hidden="1" ht="15.75" customHeight="1">
      <c r="A3251" s="2">
        <f>HYPERLINK("https://www.soccerplususa.com/nike/nike-legend-tee-womens-20413", "https://www.soccerplususa.com/nike/nike-legend-tee-womens-20413")</f>
        <v/>
      </c>
      <c r="B3251" t="inlineStr">
        <is>
          <t>undefined</t>
        </is>
      </c>
      <c r="C3251" t="inlineStr">
        <is>
          <t>Nike Legend Tee Women's</t>
        </is>
      </c>
      <c r="D3251" t="inlineStr">
        <is>
          <t>Nike Dry Legend Tee Crew</t>
        </is>
      </c>
      <c r="E3251" s="2">
        <f>HYPERLINK("https://www.amazon.com/Nike-Legend-Alpha-Regular-Medium/dp/B0C4TWN33N/ref=sr_1_6?keywords=Nike+Legend+Tee+Womens&amp;qid=1695171184&amp;sr=8-6", "https://www.amazon.com/Nike-Legend-Alpha-Regular-Medium/dp/B0C4TWN33N/ref=sr_1_6?keywords=Nike+Legend+Tee+Womens&amp;qid=1695171184&amp;sr=8-6")</f>
        <v/>
      </c>
      <c r="F3251" t="inlineStr">
        <is>
          <t>B0C4TWN33N</t>
        </is>
      </c>
      <c r="G3251">
        <f>_xludf.IMAGE("https://www.soccerplususa.com/prodimages/31739-DEFAULT-l.jpg")</f>
        <v/>
      </c>
      <c r="H3251">
        <f>_xludf.IMAGE("https://m.media-amazon.com/images/I/611Kv9HrbHL._AC_UL320_.jpg")</f>
        <v/>
      </c>
      <c r="K3251" t="inlineStr">
        <is>
          <t>18.99</t>
        </is>
      </c>
      <c r="L3251" t="n">
        <v>27</v>
      </c>
      <c r="M3251" s="1" t="inlineStr">
        <is>
          <t>42.18%</t>
        </is>
      </c>
      <c r="N3251" s="3" t="n">
        <v>42.18</v>
      </c>
      <c r="O3251" t="n">
        <v>4.6</v>
      </c>
      <c r="P3251" t="n">
        <v>41</v>
      </c>
      <c r="R3251" t="inlineStr">
        <is>
          <t>InStock</t>
        </is>
      </c>
      <c r="S3251" t="inlineStr">
        <is>
          <t>24.95</t>
        </is>
      </c>
      <c r="T3251" t="inlineStr">
        <is>
          <t>453181-657</t>
        </is>
      </c>
    </row>
    <row r="3252" hidden="1" ht="15.75" customHeight="1">
      <c r="A3252" s="2">
        <f>HYPERLINK("https://www.soccerplususa.com/nike/nike-academy-drill-top-youth-43256", "https://www.soccerplususa.com/nike/nike-academy-drill-top-youth-43256")</f>
        <v/>
      </c>
      <c r="B3252" t="inlineStr">
        <is>
          <t>undefined</t>
        </is>
      </c>
      <c r="C3252" t="inlineStr">
        <is>
          <t>Nike Academy Drill Top Youth</t>
        </is>
      </c>
      <c r="D3252" t="inlineStr">
        <is>
          <t>Nike Womens Academy19 Drill Top nkAO1470 010</t>
        </is>
      </c>
      <c r="E3252" s="2">
        <f>HYPERLINK("https://www.amazon.com/Nike-Womens-Academy19-Drill-nkAO1470/dp/B07WRD364S/ref=sr_1_5?keywords=Nike+Academy+Drill+Top+Youth&amp;qid=1695171160&amp;sr=8-5", "https://www.amazon.com/Nike-Womens-Academy19-Drill-nkAO1470/dp/B07WRD364S/ref=sr_1_5?keywords=Nike+Academy+Drill+Top+Youth&amp;qid=1695171160&amp;sr=8-5")</f>
        <v/>
      </c>
      <c r="F3252" t="inlineStr">
        <is>
          <t>B07WRD364S</t>
        </is>
      </c>
      <c r="G3252">
        <f>_xludf.IMAGE("https://www.soccerplususa.com/prodimages//35431-BLACKWHITE-M.jpg")</f>
        <v/>
      </c>
      <c r="H3252">
        <f>_xludf.IMAGE("https://m.media-amazon.com/images/I/81nb9c87SeL._AC_UL320_.jpg")</f>
        <v/>
      </c>
      <c r="K3252" t="inlineStr">
        <is>
          <t>49.95</t>
        </is>
      </c>
      <c r="L3252" t="n">
        <v>69.98999999999999</v>
      </c>
      <c r="M3252" s="1" t="inlineStr">
        <is>
          <t>40.12%</t>
        </is>
      </c>
      <c r="N3252" s="3" t="n">
        <v>40.12</v>
      </c>
      <c r="O3252" t="n">
        <v>5</v>
      </c>
      <c r="P3252" t="n">
        <v>2</v>
      </c>
      <c r="R3252" t="inlineStr">
        <is>
          <t>InStock</t>
        </is>
      </c>
      <c r="S3252" t="inlineStr">
        <is>
          <t>undefined</t>
        </is>
      </c>
      <c r="T3252" t="inlineStr">
        <is>
          <t>CW6112-010</t>
        </is>
      </c>
    </row>
    <row r="3253" hidden="1" ht="15.75" customHeight="1">
      <c r="A3253" s="2">
        <f>HYPERLINK("https://www.soccerplususa.com/adidas/adidas-estro-15-jersey-youth-7851", "https://www.soccerplususa.com/adidas/adidas-estro-15-jersey-youth-7851")</f>
        <v/>
      </c>
      <c r="B3253" t="inlineStr">
        <is>
          <t>undefined</t>
        </is>
      </c>
      <c r="C3253" t="inlineStr">
        <is>
          <t>adidas Estro 15 Jersey Youth</t>
        </is>
      </c>
      <c r="D3253" t="inlineStr">
        <is>
          <t>adidas Youth Estro 12 Black/White Jerseys-XS</t>
        </is>
      </c>
      <c r="E3253" s="2">
        <f>HYPERLINK("https://www.amazon.com/Adidas-Youth-Estro-Black-Jerseys-XS/dp/B00CLVRX8I/ref=sr_1_9?keywords=adidas+Estro+15+Jersey+Youth&amp;qid=1695171200&amp;sr=8-9", "https://www.amazon.com/Adidas-Youth-Estro-Black-Jerseys-XS/dp/B00CLVRX8I/ref=sr_1_9?keywords=adidas+Estro+15+Jersey+Youth&amp;qid=1695171200&amp;sr=8-9")</f>
        <v/>
      </c>
      <c r="F3253" t="inlineStr">
        <is>
          <t>B00CLVRX8I</t>
        </is>
      </c>
      <c r="G3253">
        <f>_xludf.IMAGE("https://www.soccerplususa.com/prodimages/5098-DEFAULT-l.jpg")</f>
        <v/>
      </c>
      <c r="H3253">
        <f>_xludf.IMAGE("https://m.media-amazon.com/images/I/81hgJVhFOrL._AC_UL320_.jpg")</f>
        <v/>
      </c>
      <c r="K3253" t="inlineStr">
        <is>
          <t>10.0</t>
        </is>
      </c>
      <c r="L3253" t="n">
        <v>13.99</v>
      </c>
      <c r="M3253" s="1" t="inlineStr">
        <is>
          <t>39.90%</t>
        </is>
      </c>
      <c r="N3253" s="3" t="n">
        <v>39.9</v>
      </c>
      <c r="O3253" t="n">
        <v>4</v>
      </c>
      <c r="P3253" t="n">
        <v>2</v>
      </c>
      <c r="R3253" t="inlineStr">
        <is>
          <t>InStock</t>
        </is>
      </c>
      <c r="S3253" t="inlineStr">
        <is>
          <t>19.95</t>
        </is>
      </c>
      <c r="T3253" t="inlineStr">
        <is>
          <t>S17298</t>
        </is>
      </c>
    </row>
    <row r="3254" hidden="1" ht="15.75" customHeight="1">
      <c r="A3254" s="2">
        <f>HYPERLINK("https://www.soccerplususa.com/adidas/adidas-estro-15-jersey-youth-7852", "https://www.soccerplususa.com/adidas/adidas-estro-15-jersey-youth-7852")</f>
        <v/>
      </c>
      <c r="B3254" t="inlineStr">
        <is>
          <t>undefined</t>
        </is>
      </c>
      <c r="C3254" t="inlineStr">
        <is>
          <t>adidas Estro 15 Jersey Youth</t>
        </is>
      </c>
      <c r="D3254" t="inlineStr">
        <is>
          <t>adidas Youth Estro 12 Black/White Jerseys-XS</t>
        </is>
      </c>
      <c r="E3254" s="2">
        <f>HYPERLINK("https://www.amazon.com/Adidas-Youth-Estro-Black-Jerseys-XS/dp/B00CLVRX8I/ref=sr_1_6?keywords=adidas+Estro+15+Jersey+Youth&amp;qid=1695171202&amp;sr=8-6", "https://www.amazon.com/Adidas-Youth-Estro-Black-Jerseys-XS/dp/B00CLVRX8I/ref=sr_1_6?keywords=adidas+Estro+15+Jersey+Youth&amp;qid=1695171202&amp;sr=8-6")</f>
        <v/>
      </c>
      <c r="F3254" t="inlineStr">
        <is>
          <t>B00CLVRX8I</t>
        </is>
      </c>
      <c r="G3254">
        <f>_xludf.IMAGE("https://www.soccerplususa.com/prodimages/5099-DEFAULT-l.jpg")</f>
        <v/>
      </c>
      <c r="H3254">
        <f>_xludf.IMAGE("https://m.media-amazon.com/images/I/81hgJVhFOrL._AC_UL320_.jpg")</f>
        <v/>
      </c>
      <c r="K3254" t="inlineStr">
        <is>
          <t>10.0</t>
        </is>
      </c>
      <c r="L3254" t="n">
        <v>13.99</v>
      </c>
      <c r="M3254" s="1" t="inlineStr">
        <is>
          <t>39.90%</t>
        </is>
      </c>
      <c r="N3254" s="3" t="n">
        <v>39.9</v>
      </c>
      <c r="O3254" t="n">
        <v>4</v>
      </c>
      <c r="P3254" t="n">
        <v>2</v>
      </c>
      <c r="R3254" t="inlineStr">
        <is>
          <t>InStock</t>
        </is>
      </c>
      <c r="S3254" t="inlineStr">
        <is>
          <t>19.95</t>
        </is>
      </c>
      <c r="T3254" t="inlineStr">
        <is>
          <t>S17299</t>
        </is>
      </c>
    </row>
    <row r="3255" hidden="1" ht="15.75" customHeight="1">
      <c r="A3255" s="2">
        <f>HYPERLINK("https://www.soccerplususa.com/adidas/adidas-tabela-14-jersey-youth-6084", "https://www.soccerplususa.com/adidas/adidas-tabela-14-jersey-youth-6084")</f>
        <v/>
      </c>
      <c r="B3255" t="inlineStr">
        <is>
          <t>undefined</t>
        </is>
      </c>
      <c r="C3255" t="inlineStr">
        <is>
          <t>adidas Tabela 14 Jersey Youth</t>
        </is>
      </c>
      <c r="D3255" t="inlineStr">
        <is>
          <t>adidas Youth Tabela 18 Jersey</t>
        </is>
      </c>
      <c r="E3255" s="2">
        <f>HYPERLINK("https://www.amazon.com/adidas-TABELA-Jersey-Y%E2%9D%97%EF%B8%8FShips-Directly/dp/B078LCB4LK/ref=sr_1_9?keywords=adidas+Tabela+14+Jersey+Youth&amp;qid=1695171219&amp;sr=8-9", "https://www.amazon.com/adidas-TABELA-Jersey-Y%E2%9D%97%EF%B8%8FShips-Directly/dp/B078LCB4LK/ref=sr_1_9?keywords=adidas+Tabela+14+Jersey+Youth&amp;qid=1695171219&amp;sr=8-9")</f>
        <v/>
      </c>
      <c r="F3255" t="inlineStr">
        <is>
          <t>B078LCB4LK</t>
        </is>
      </c>
      <c r="G3255">
        <f>_xludf.IMAGE("https://www.soccerplususa.com/prodimages/10331-DEFAULT-l.jpg")</f>
        <v/>
      </c>
      <c r="H3255">
        <f>_xludf.IMAGE("https://m.media-amazon.com/images/I/61G-4wd3sCL._AC_UL320_.jpg")</f>
        <v/>
      </c>
      <c r="K3255" t="inlineStr">
        <is>
          <t>17.5</t>
        </is>
      </c>
      <c r="L3255" t="n">
        <v>24.47</v>
      </c>
      <c r="M3255" s="1" t="inlineStr">
        <is>
          <t>39.83%</t>
        </is>
      </c>
      <c r="N3255" s="3" t="n">
        <v>39.83</v>
      </c>
      <c r="O3255" t="n">
        <v>1.8</v>
      </c>
      <c r="P3255" t="n">
        <v>2</v>
      </c>
      <c r="R3255" t="inlineStr">
        <is>
          <t>InStock</t>
        </is>
      </c>
      <c r="S3255" t="inlineStr">
        <is>
          <t>34.95</t>
        </is>
      </c>
      <c r="T3255" t="inlineStr">
        <is>
          <t>F50452</t>
        </is>
      </c>
    </row>
    <row r="3256" hidden="1" ht="15.75" customHeight="1">
      <c r="A3256" s="2">
        <f>HYPERLINK("https://www.soccerplususa.com/nike/nike-legend-tee-womens-20413", "https://www.soccerplususa.com/nike/nike-legend-tee-womens-20413")</f>
        <v/>
      </c>
      <c r="B3256" t="inlineStr">
        <is>
          <t>undefined</t>
        </is>
      </c>
      <c r="C3256" t="inlineStr">
        <is>
          <t>Nike Legend Tee Women's</t>
        </is>
      </c>
      <c r="D3256" t="inlineStr">
        <is>
          <t>Nike Womens DRI-FIT Legend TEE Crew</t>
        </is>
      </c>
      <c r="E3256" s="2">
        <f>HYPERLINK("https://www.amazon.com/NIKE-WOMENS-DRI-FIT-LEGEND-CREW/dp/B07HMTB5C6/ref=sr_1_7?keywords=Nike+Legend+Tee+Womens&amp;qid=1695171184&amp;sr=8-7", "https://www.amazon.com/NIKE-WOMENS-DRI-FIT-LEGEND-CREW/dp/B07HMTB5C6/ref=sr_1_7?keywords=Nike+Legend+Tee+Womens&amp;qid=1695171184&amp;sr=8-7")</f>
        <v/>
      </c>
      <c r="F3256" t="inlineStr">
        <is>
          <t>B07HMTB5C6</t>
        </is>
      </c>
      <c r="G3256">
        <f>_xludf.IMAGE("https://www.soccerplususa.com/prodimages/31739-DEFAULT-l.jpg")</f>
        <v/>
      </c>
      <c r="H3256">
        <f>_xludf.IMAGE("https://m.media-amazon.com/images/I/41I-zVqQLnL._AC_UL320_.jpg")</f>
        <v/>
      </c>
      <c r="K3256" t="inlineStr">
        <is>
          <t>18.99</t>
        </is>
      </c>
      <c r="L3256" t="n">
        <v>26.26</v>
      </c>
      <c r="M3256" s="1" t="inlineStr">
        <is>
          <t>38.28%</t>
        </is>
      </c>
      <c r="N3256" s="3" t="n">
        <v>38.28</v>
      </c>
      <c r="O3256" t="n">
        <v>4.4</v>
      </c>
      <c r="P3256" t="n">
        <v>17</v>
      </c>
      <c r="R3256" t="inlineStr">
        <is>
          <t>InStock</t>
        </is>
      </c>
      <c r="S3256" t="inlineStr">
        <is>
          <t>24.95</t>
        </is>
      </c>
      <c r="T3256" t="inlineStr">
        <is>
          <t>453181-657</t>
        </is>
      </c>
    </row>
    <row r="3257" hidden="1" ht="15.75" customHeight="1">
      <c r="A3257" s="2">
        <f>HYPERLINK("https://www.soccerplususa.com/puma/puma-liga-training-jacket-youth-35521", "https://www.soccerplususa.com/puma/puma-liga-training-jacket-youth-35521")</f>
        <v/>
      </c>
      <c r="B3257" t="inlineStr">
        <is>
          <t>undefined</t>
        </is>
      </c>
      <c r="C3257" t="inlineStr">
        <is>
          <t>Puma Liga Training Jacket Youth</t>
        </is>
      </c>
      <c r="D3257" t="inlineStr">
        <is>
          <t>PUMA Unisex-Youth Liga Training Fleece Jacket</t>
        </is>
      </c>
      <c r="E3257" s="2">
        <f>HYPERLINK("https://www.amazon.com/PUMA-Training-Fleece-X-Large-Black-Puma/dp/B07B8CCKHG/ref=sr_1_4?keywords=Puma+Liga+Training+Jacket+Youth&amp;qid=1695171158&amp;sr=8-4", "https://www.amazon.com/PUMA-Training-Fleece-X-Large-Black-Puma/dp/B07B8CCKHG/ref=sr_1_4?keywords=Puma+Liga+Training+Jacket+Youth&amp;qid=1695171158&amp;sr=8-4")</f>
        <v/>
      </c>
      <c r="F3257" t="inlineStr">
        <is>
          <t>B07B8CCKHG</t>
        </is>
      </c>
      <c r="G3257">
        <f>_xludf.IMAGE("https://www.soccerplususa.com/prodimages/32219-DEFAULT-l.jpg")</f>
        <v/>
      </c>
      <c r="H3257">
        <f>_xludf.IMAGE("https://m.media-amazon.com/images/I/51od9y5GiJL._AC_UL320_.jpg")</f>
        <v/>
      </c>
      <c r="K3257" t="inlineStr">
        <is>
          <t>45.0</t>
        </is>
      </c>
      <c r="L3257" t="n">
        <v>62.12</v>
      </c>
      <c r="M3257" s="1" t="inlineStr">
        <is>
          <t>38.04%</t>
        </is>
      </c>
      <c r="N3257" s="3" t="n">
        <v>38.04</v>
      </c>
      <c r="O3257" t="n">
        <v>3.7</v>
      </c>
      <c r="P3257" t="n">
        <v>23</v>
      </c>
      <c r="R3257" t="inlineStr">
        <is>
          <t>InStock</t>
        </is>
      </c>
      <c r="S3257" t="inlineStr">
        <is>
          <t>59.95</t>
        </is>
      </c>
      <c r="T3257" t="inlineStr">
        <is>
          <t>655688-02</t>
        </is>
      </c>
    </row>
    <row r="3258" hidden="1" ht="15.75" customHeight="1">
      <c r="A3258" s="2">
        <f>HYPERLINK("https://www.soccerplususa.com/puma/puma-liga-training-jacket-35519", "https://www.soccerplususa.com/puma/puma-liga-training-jacket-35519")</f>
        <v/>
      </c>
      <c r="B3258" t="inlineStr">
        <is>
          <t>undefined</t>
        </is>
      </c>
      <c r="C3258" t="inlineStr">
        <is>
          <t>Puma Liga Training Jacket</t>
        </is>
      </c>
      <c r="D3258" t="inlineStr">
        <is>
          <t>PUMA Unisex-Youth Liga Training Fleece Jacket</t>
        </is>
      </c>
      <c r="E3258" s="2">
        <f>HYPERLINK("https://www.amazon.com/PUMA-Training-Fleece-X-Large-Black-Puma/dp/B07B8CCKHG/ref=sr_1_7?keywords=Puma+Liga+Training+Jacket&amp;qid=1695171164&amp;sr=8-7", "https://www.amazon.com/PUMA-Training-Fleece-X-Large-Black-Puma/dp/B07B8CCKHG/ref=sr_1_7?keywords=Puma+Liga+Training+Jacket&amp;qid=1695171164&amp;sr=8-7")</f>
        <v/>
      </c>
      <c r="F3258" t="inlineStr">
        <is>
          <t>B07B8CCKHG</t>
        </is>
      </c>
      <c r="G3258">
        <f>_xludf.IMAGE("https://www.soccerplususa.com/prodimages/32207-DEFAULT-l.jpg")</f>
        <v/>
      </c>
      <c r="H3258">
        <f>_xludf.IMAGE("https://m.media-amazon.com/images/I/51od9y5GiJL._AC_UL320_.jpg")</f>
        <v/>
      </c>
      <c r="K3258" t="inlineStr">
        <is>
          <t>45.0</t>
        </is>
      </c>
      <c r="L3258" t="n">
        <v>62.12</v>
      </c>
      <c r="M3258" s="1" t="inlineStr">
        <is>
          <t>38.04%</t>
        </is>
      </c>
      <c r="N3258" s="3" t="n">
        <v>38.04</v>
      </c>
      <c r="O3258" t="n">
        <v>3.7</v>
      </c>
      <c r="P3258" t="n">
        <v>23</v>
      </c>
      <c r="R3258" t="inlineStr">
        <is>
          <t>InStock</t>
        </is>
      </c>
      <c r="S3258" t="inlineStr">
        <is>
          <t>59.95</t>
        </is>
      </c>
      <c r="T3258" t="inlineStr">
        <is>
          <t>655687-02</t>
        </is>
      </c>
    </row>
    <row r="3259" hidden="1" ht="15.75" customHeight="1">
      <c r="A3259" s="2">
        <f>HYPERLINK("https://www.soccerplususa.com/adidas/adidas-regista-14-jersey-6065", "https://www.soccerplususa.com/adidas/adidas-regista-14-jersey-6065")</f>
        <v/>
      </c>
      <c r="B3259" t="inlineStr">
        <is>
          <t>undefined</t>
        </is>
      </c>
      <c r="C3259" t="inlineStr">
        <is>
          <t>adidas Regista 14 Jersey</t>
        </is>
      </c>
      <c r="D3259" t="inlineStr">
        <is>
          <t>adidas Womens Climacool Regista 14 Jersey</t>
        </is>
      </c>
      <c r="E3259" s="2">
        <f>HYPERLINK("https://www.amazon.com/Adidas-Regista-Womens-Soccer-Jersey/dp/B00H5UPO4K/ref=sr_1_2?keywords=adidas+Regista+14+Jersey&amp;qid=1695171215&amp;sr=8-2", "https://www.amazon.com/Adidas-Regista-Womens-Soccer-Jersey/dp/B00H5UPO4K/ref=sr_1_2?keywords=adidas+Regista+14+Jersey&amp;qid=1695171215&amp;sr=8-2")</f>
        <v/>
      </c>
      <c r="F3259" t="inlineStr">
        <is>
          <t>B00H5UPO4K</t>
        </is>
      </c>
      <c r="G3259">
        <f>_xludf.IMAGE("https://www.soccerplususa.com/prodimages/32793-DEFAULT-l.jpg")</f>
        <v/>
      </c>
      <c r="H3259">
        <f>_xludf.IMAGE("https://m.media-amazon.com/images/I/61GhHCEsAmL._AC_UL320_.jpg")</f>
        <v/>
      </c>
      <c r="K3259" t="inlineStr">
        <is>
          <t>22.0</t>
        </is>
      </c>
      <c r="L3259" t="n">
        <v>29.99</v>
      </c>
      <c r="M3259" s="1" t="inlineStr">
        <is>
          <t>36.32%</t>
        </is>
      </c>
      <c r="N3259" s="3" t="n">
        <v>36.32</v>
      </c>
      <c r="O3259" t="n">
        <v>4.1</v>
      </c>
      <c r="P3259" t="n">
        <v>10</v>
      </c>
      <c r="R3259" t="inlineStr">
        <is>
          <t>InStock</t>
        </is>
      </c>
      <c r="S3259" t="inlineStr">
        <is>
          <t>44.95</t>
        </is>
      </c>
      <c r="T3259" t="inlineStr">
        <is>
          <t>F50009</t>
        </is>
      </c>
    </row>
    <row r="3260" hidden="1" ht="15.75" customHeight="1">
      <c r="A3260" s="2">
        <f>HYPERLINK("https://www.soccerplususa.com/storelli-sports/storelli-bodyshield-sleeveless-undershirt-32102", "https://www.soccerplususa.com/storelli-sports/storelli-bodyshield-sleeveless-undershirt-32102")</f>
        <v/>
      </c>
      <c r="B3260" t="inlineStr">
        <is>
          <t>undefined</t>
        </is>
      </c>
      <c r="C3260" t="inlineStr">
        <is>
          <t>Storelli BodyShield Sleeveless Undershirt</t>
        </is>
      </c>
      <c r="D3260" t="inlineStr">
        <is>
          <t>Storelli BodyShield Sleeveless Undershirt | Protective Soccer Base Layer | Lightweight Compression Top</t>
        </is>
      </c>
      <c r="E3260" s="2">
        <f>HYPERLINK("https://www.amazon.com/Storelli-BSFPTOPNSWHM-BodyShield-Sleeveless-Undershirt/dp/B00N4VYH7O/ref=sr_1_fkmr1_1?keywords=Storelli+BodyShield+Sleeveless+Undershirt&amp;qid=1695171181&amp;sr=8-1-fkmr1", "https://www.amazon.com/Storelli-BSFPTOPNSWHM-BodyShield-Sleeveless-Undershirt/dp/B00N4VYH7O/ref=sr_1_fkmr1_1?keywords=Storelli+BodyShield+Sleeveless+Undershirt&amp;qid=1695171181&amp;sr=8-1-fkmr1")</f>
        <v/>
      </c>
      <c r="F3260" t="inlineStr">
        <is>
          <t>B00N4VYH7O</t>
        </is>
      </c>
      <c r="G3260">
        <f>_xludf.IMAGE("https://www.soccerplususa.com/prodimages/2096-DEFAULT-l.jpg")</f>
        <v/>
      </c>
      <c r="H3260">
        <f>_xludf.IMAGE("https://m.media-amazon.com/images/I/51XihgDpk7L._AC_UL320_.jpg")</f>
        <v/>
      </c>
      <c r="K3260" t="inlineStr">
        <is>
          <t>59.95</t>
        </is>
      </c>
      <c r="L3260" t="n">
        <v>81.34999999999999</v>
      </c>
      <c r="M3260" s="1" t="inlineStr">
        <is>
          <t>35.70%</t>
        </is>
      </c>
      <c r="N3260" s="3" t="n">
        <v>35.7</v>
      </c>
      <c r="O3260" t="n">
        <v>4</v>
      </c>
      <c r="P3260" t="n">
        <v>7</v>
      </c>
      <c r="R3260" t="inlineStr">
        <is>
          <t>InStock</t>
        </is>
      </c>
      <c r="S3260" t="inlineStr">
        <is>
          <t>undefined</t>
        </is>
      </c>
      <c r="T3260" t="inlineStr">
        <is>
          <t>BSFPTOPNSBK</t>
        </is>
      </c>
    </row>
    <row r="3261" hidden="1" ht="15.75" customHeight="1">
      <c r="A3261" s="2">
        <f>HYPERLINK("https://www.soccerplususa.com/adidas/adidas-tiro-19-training-jacket-womens-34012", "https://www.soccerplususa.com/adidas/adidas-tiro-19-training-jacket-womens-34012")</f>
        <v/>
      </c>
      <c r="B3261" t="inlineStr">
        <is>
          <t>undefined</t>
        </is>
      </c>
      <c r="C3261" t="inlineStr">
        <is>
          <t>adidas Tiro 19 Training Jacket Women's</t>
        </is>
      </c>
      <c r="D3261" t="inlineStr">
        <is>
          <t>adidas Tiro 19 Adult Training Jacket (TIRO19-JACKET)</t>
        </is>
      </c>
      <c r="E3261" s="2">
        <f>HYPERLINK("https://www.amazon.com/adidas-Tiro-19-Training-Jacket/dp/B07H4316NL/ref=sr_1_1?keywords=adidas+Tiro+19+Training+Jacket+Womens&amp;qid=1695171165&amp;sr=8-1", "https://www.amazon.com/adidas-Tiro-19-Training-Jacket/dp/B07H4316NL/ref=sr_1_1?keywords=adidas+Tiro+19+Training+Jacket+Womens&amp;qid=1695171165&amp;sr=8-1")</f>
        <v/>
      </c>
      <c r="F3261" t="inlineStr">
        <is>
          <t>B07H4316NL</t>
        </is>
      </c>
      <c r="G3261">
        <f>_xludf.IMAGE("https://www.soccerplususa.com/prodimages/7920-DEFAULT-l.jpg")</f>
        <v/>
      </c>
      <c r="H3261">
        <f>_xludf.IMAGE("https://m.media-amazon.com/images/I/61u5EgsO4+L._AC_UL320_.jpg")</f>
        <v/>
      </c>
      <c r="K3261" t="inlineStr">
        <is>
          <t>49.0</t>
        </is>
      </c>
      <c r="L3261" t="n">
        <v>66.18000000000001</v>
      </c>
      <c r="M3261" s="1" t="inlineStr">
        <is>
          <t>35.06%</t>
        </is>
      </c>
      <c r="N3261" s="3" t="n">
        <v>35.06</v>
      </c>
      <c r="O3261" t="n">
        <v>4.7</v>
      </c>
      <c r="P3261" t="n">
        <v>1515</v>
      </c>
      <c r="R3261" t="inlineStr">
        <is>
          <t>InStock</t>
        </is>
      </c>
      <c r="S3261" t="inlineStr">
        <is>
          <t>64.95</t>
        </is>
      </c>
      <c r="T3261" t="inlineStr">
        <is>
          <t>DW4785</t>
        </is>
      </c>
    </row>
    <row r="3262" hidden="1" ht="15.75" customHeight="1">
      <c r="A3262" s="2">
        <f>HYPERLINK("https://www.soccerplususa.com/under-armour/under-armour-coldgear-ls-mock-32981", "https://www.soccerplususa.com/under-armour/under-armour-coldgear-ls-mock-32981")</f>
        <v/>
      </c>
      <c r="B3262" t="inlineStr">
        <is>
          <t>undefined</t>
        </is>
      </c>
      <c r="C3262" t="inlineStr">
        <is>
          <t>Under Armour Coldgear LS Mock</t>
        </is>
      </c>
      <c r="D3262" t="inlineStr">
        <is>
          <t>Under Armour Fitted ColdGear Mock Men’s Long Sleeve Shirt (X-Large) Black</t>
        </is>
      </c>
      <c r="E3262" s="2">
        <f>HYPERLINK("https://www.amazon.com/Under-Armour-Fitted-ColdGear-X-Large/dp/B093QF7RCR/ref=sr_1_9?keywords=Under+Armour+Coldgear+LS+Mock&amp;qid=1695171172&amp;sr=8-9", "https://www.amazon.com/Under-Armour-Fitted-ColdGear-X-Large/dp/B093QF7RCR/ref=sr_1_9?keywords=Under+Armour+Coldgear+LS+Mock&amp;qid=1695171172&amp;sr=8-9")</f>
        <v/>
      </c>
      <c r="F3262" t="inlineStr">
        <is>
          <t>B093QF7RCR</t>
        </is>
      </c>
      <c r="G3262">
        <f>_xludf.IMAGE("https://www.soccerplususa.com/prodimages/467-DEFAULT-l.jpg")</f>
        <v/>
      </c>
      <c r="H3262">
        <f>_xludf.IMAGE("https://m.media-amazon.com/images/I/41qOh1oq6JL._AC_UL320_.jpg")</f>
        <v/>
      </c>
      <c r="K3262" t="inlineStr">
        <is>
          <t>34.95</t>
        </is>
      </c>
      <c r="L3262" t="n">
        <v>47.17</v>
      </c>
      <c r="M3262" s="1" t="inlineStr">
        <is>
          <t>34.96%</t>
        </is>
      </c>
      <c r="N3262" s="3" t="n">
        <v>34.96</v>
      </c>
      <c r="O3262" t="n">
        <v>4.8</v>
      </c>
      <c r="P3262" t="n">
        <v>6</v>
      </c>
      <c r="R3262" t="inlineStr">
        <is>
          <t>InStock</t>
        </is>
      </c>
      <c r="S3262" t="inlineStr">
        <is>
          <t>44.95</t>
        </is>
      </c>
      <c r="T3262" t="inlineStr">
        <is>
          <t>1000512-100</t>
        </is>
      </c>
    </row>
    <row r="3263" hidden="1" ht="15.75" customHeight="1">
      <c r="A3263" s="2">
        <f>HYPERLINK("https://www.soccerplususa.com/adidas/adidas-tiro-15-jersey-7888", "https://www.soccerplususa.com/adidas/adidas-tiro-15-jersey-7888")</f>
        <v/>
      </c>
      <c r="B3263" t="inlineStr">
        <is>
          <t>undefined</t>
        </is>
      </c>
      <c r="C3263" t="inlineStr">
        <is>
          <t>adidas Tiro 15 Jersey</t>
        </is>
      </c>
      <c r="D3263" t="inlineStr">
        <is>
          <t>adidas TIRO 15 Jersey [POWRED/White]</t>
        </is>
      </c>
      <c r="E3263" s="2">
        <f>HYPERLINK("https://www.amazon.com/Adidas-TIRO-Jersey-POWRED-WHITE/dp/B00QKQR43O/ref=sr_1_3?keywords=adidas+Tiro+15+Jersey&amp;qid=1695171213&amp;sr=8-3", "https://www.amazon.com/Adidas-TIRO-Jersey-POWRED-WHITE/dp/B00QKQR43O/ref=sr_1_3?keywords=adidas+Tiro+15+Jersey&amp;qid=1695171213&amp;sr=8-3")</f>
        <v/>
      </c>
      <c r="F3263" t="inlineStr">
        <is>
          <t>B00QKQR43O</t>
        </is>
      </c>
      <c r="G3263">
        <f>_xludf.IMAGE("https://www.soccerplususa.com/prodimages/5430-DEFAULT-l.jpg")</f>
        <v/>
      </c>
      <c r="H3263">
        <f>_xludf.IMAGE("https://m.media-amazon.com/images/I/81CyvNhhXYL._AC_UL320_.jpg")</f>
        <v/>
      </c>
      <c r="K3263" t="inlineStr">
        <is>
          <t>20.0</t>
        </is>
      </c>
      <c r="L3263" t="n">
        <v>26.99</v>
      </c>
      <c r="M3263" s="1" t="inlineStr">
        <is>
          <t>34.95%</t>
        </is>
      </c>
      <c r="N3263" s="3" t="n">
        <v>34.95</v>
      </c>
      <c r="O3263" t="n">
        <v>5</v>
      </c>
      <c r="P3263" t="n">
        <v>1</v>
      </c>
      <c r="R3263" t="inlineStr">
        <is>
          <t>InStock</t>
        </is>
      </c>
      <c r="S3263" t="inlineStr">
        <is>
          <t>39.95</t>
        </is>
      </c>
      <c r="T3263" t="inlineStr">
        <is>
          <t>S22363</t>
        </is>
      </c>
    </row>
    <row r="3264" hidden="1" ht="15.75" customHeight="1">
      <c r="A3264" s="2">
        <f>HYPERLINK("https://www.soccerplususa.com/adidas/adidas-tiro-15-jersey-7887", "https://www.soccerplususa.com/adidas/adidas-tiro-15-jersey-7887")</f>
        <v/>
      </c>
      <c r="B3264" t="inlineStr">
        <is>
          <t>undefined</t>
        </is>
      </c>
      <c r="C3264" t="inlineStr">
        <is>
          <t>adidas Tiro 15 Jersey</t>
        </is>
      </c>
      <c r="D3264" t="inlineStr">
        <is>
          <t>adidas TIRO 15 Jersey [POWRED/White]</t>
        </is>
      </c>
      <c r="E3264" s="2">
        <f>HYPERLINK("https://www.amazon.com/Adidas-TIRO-Jersey-POWRED-WHITE/dp/B00QKQR43O/ref=sr_1_3?keywords=adidas+Tiro+15+Jersey&amp;qid=1695171209&amp;sr=8-3", "https://www.amazon.com/Adidas-TIRO-Jersey-POWRED-WHITE/dp/B00QKQR43O/ref=sr_1_3?keywords=adidas+Tiro+15+Jersey&amp;qid=1695171209&amp;sr=8-3")</f>
        <v/>
      </c>
      <c r="F3264" t="inlineStr">
        <is>
          <t>B00QKQR43O</t>
        </is>
      </c>
      <c r="G3264">
        <f>_xludf.IMAGE("https://www.soccerplususa.com/prodimages/6309-DEFAULT-l.jpg")</f>
        <v/>
      </c>
      <c r="H3264">
        <f>_xludf.IMAGE("https://m.media-amazon.com/images/I/81CyvNhhXYL._AC_UL320_.jpg")</f>
        <v/>
      </c>
      <c r="K3264" t="inlineStr">
        <is>
          <t>20.0</t>
        </is>
      </c>
      <c r="L3264" t="n">
        <v>26.99</v>
      </c>
      <c r="M3264" s="1" t="inlineStr">
        <is>
          <t>34.95%</t>
        </is>
      </c>
      <c r="N3264" s="3" t="n">
        <v>34.95</v>
      </c>
      <c r="O3264" t="n">
        <v>5</v>
      </c>
      <c r="P3264" t="n">
        <v>1</v>
      </c>
      <c r="R3264" t="inlineStr">
        <is>
          <t>InStock</t>
        </is>
      </c>
      <c r="S3264" t="inlineStr">
        <is>
          <t>40.0</t>
        </is>
      </c>
      <c r="T3264" t="inlineStr">
        <is>
          <t>S22362</t>
        </is>
      </c>
    </row>
    <row r="3265" hidden="1" ht="15.75" customHeight="1">
      <c r="A3265" s="2">
        <f>HYPERLINK("https://www.soccerplususa.com/nike/nike-epic-training-jacket-24378", "https://www.soccerplususa.com/nike/nike-epic-training-jacket-24378")</f>
        <v/>
      </c>
      <c r="B3265" t="inlineStr">
        <is>
          <t>undefined</t>
        </is>
      </c>
      <c r="C3265" t="inlineStr">
        <is>
          <t>Nike Epic Training Jacket</t>
        </is>
      </c>
      <c r="D3265" t="inlineStr">
        <is>
          <t>Nike Women's Academy 19 Dri-Fit Training Jacket</t>
        </is>
      </c>
      <c r="E3265" s="2">
        <f>HYPERLINK("https://www.amazon.com/Nike-Womens-Academy-Dri-Fit-Training/dp/B07YL84JBQ/ref=sr_1_8?keywords=Nike+Epic+Training+Jacket&amp;qid=1695171174&amp;sr=8-8", "https://www.amazon.com/Nike-Womens-Academy-Dri-Fit-Training/dp/B07YL84JBQ/ref=sr_1_8?keywords=Nike+Epic+Training+Jacket&amp;qid=1695171174&amp;sr=8-8")</f>
        <v/>
      </c>
      <c r="F3265" t="inlineStr">
        <is>
          <t>B07YL84JBQ</t>
        </is>
      </c>
      <c r="G3265">
        <f>_xludf.IMAGE("https://www.soccerplususa.com/prodimages/6287-DEFAULT-l.jpg")</f>
        <v/>
      </c>
      <c r="H3265">
        <f>_xludf.IMAGE("https://m.media-amazon.com/images/I/41UBQSnTnJL._AC_UL320_.jpg")</f>
        <v/>
      </c>
      <c r="K3265" t="inlineStr">
        <is>
          <t>40.99</t>
        </is>
      </c>
      <c r="L3265" t="n">
        <v>55</v>
      </c>
      <c r="M3265" s="1" t="inlineStr">
        <is>
          <t>34.18%</t>
        </is>
      </c>
      <c r="N3265" s="3" t="n">
        <v>34.18</v>
      </c>
      <c r="O3265" t="n">
        <v>4.3</v>
      </c>
      <c r="P3265" t="n">
        <v>17</v>
      </c>
      <c r="R3265" t="inlineStr">
        <is>
          <t>InStock</t>
        </is>
      </c>
      <c r="S3265" t="inlineStr">
        <is>
          <t>54.95</t>
        </is>
      </c>
      <c r="T3265" t="inlineStr">
        <is>
          <t>835571-466</t>
        </is>
      </c>
    </row>
    <row r="3266" hidden="1" ht="15.75" customHeight="1">
      <c r="A3266" s="2">
        <f>HYPERLINK("https://www.soccerplususa.com/adidas/adidas-essentials-hoodie-41596", "https://www.soccerplususa.com/adidas/adidas-essentials-hoodie-41596")</f>
        <v/>
      </c>
      <c r="B3266" t="inlineStr">
        <is>
          <t>undefined</t>
        </is>
      </c>
      <c r="C3266" t="inlineStr">
        <is>
          <t>adidas Essentials Hoodie</t>
        </is>
      </c>
      <c r="D3266" t="inlineStr">
        <is>
          <t>adidas Originals Men's Trefoil Essentials Hoodie</t>
        </is>
      </c>
      <c r="E3266" s="2">
        <f>HYPERLINK("https://www.amazon.com/adidas-Originals-Trefoil-Essentials-Hoodie/dp/B08KYBF5DJ/ref=sr_1_3?keywords=adidas+Essentials+Hoodie&amp;qid=1695171148&amp;sr=8-3", "https://www.amazon.com/adidas-Originals-Trefoil-Essentials-Hoodie/dp/B08KYBF5DJ/ref=sr_1_3?keywords=adidas+Essentials+Hoodie&amp;qid=1695171148&amp;sr=8-3")</f>
        <v/>
      </c>
      <c r="F3266" t="inlineStr">
        <is>
          <t>B08KYBF5DJ</t>
        </is>
      </c>
      <c r="G3266">
        <f>_xludf.IMAGE("https://www.soccerplususa.com/prodimages//35143-BLACKWHITE-M.jpg")</f>
        <v/>
      </c>
      <c r="H3266">
        <f>_xludf.IMAGE("https://m.media-amazon.com/images/I/61Yk1fttxVL._AC_UL320_.jpg")</f>
        <v/>
      </c>
      <c r="K3266" t="inlineStr">
        <is>
          <t>44.99</t>
        </is>
      </c>
      <c r="L3266" t="n">
        <v>59.99</v>
      </c>
      <c r="M3266" s="1" t="inlineStr">
        <is>
          <t>33.34%</t>
        </is>
      </c>
      <c r="N3266" s="3" t="n">
        <v>33.34</v>
      </c>
      <c r="O3266" t="n">
        <v>4.7</v>
      </c>
      <c r="P3266" t="n">
        <v>1707</v>
      </c>
      <c r="R3266" t="inlineStr">
        <is>
          <t>InStock</t>
        </is>
      </c>
      <c r="S3266" t="inlineStr">
        <is>
          <t>59.95</t>
        </is>
      </c>
      <c r="T3266" t="inlineStr">
        <is>
          <t>GK9062</t>
        </is>
      </c>
    </row>
    <row r="3267" hidden="1" ht="15.75" customHeight="1">
      <c r="A3267" s="2">
        <f>HYPERLINK("https://www.soccerplususa.com/adidas/adidas-condivo-18-storm-jacket-4941", "https://www.soccerplususa.com/adidas/adidas-condivo-18-storm-jacket-4941")</f>
        <v/>
      </c>
      <c r="B3267" t="inlineStr">
        <is>
          <t>undefined</t>
        </is>
      </c>
      <c r="C3267" t="inlineStr">
        <is>
          <t>adidas Condivo 18 Storm Jacket</t>
        </is>
      </c>
      <c r="D3267" t="inlineStr">
        <is>
          <t>adidas Men's Soccer Condivo 18 Stadium Parka Jacket</t>
        </is>
      </c>
      <c r="E3267" s="2">
        <f>HYPERLINK("https://www.amazon.com/adidas-Soccer-Condivo-Stadium-XX-Large/dp/B079SS4XVV/ref=sr_1_3?keywords=adidas+Condivo+18+Storm+Jacket&amp;qid=1695171222&amp;sr=8-3", "https://www.amazon.com/adidas-Soccer-Condivo-Stadium-XX-Large/dp/B079SS4XVV/ref=sr_1_3?keywords=adidas+Condivo+18+Storm+Jacket&amp;qid=1695171222&amp;sr=8-3")</f>
        <v/>
      </c>
      <c r="F3267" t="inlineStr">
        <is>
          <t>B079SS4XVV</t>
        </is>
      </c>
      <c r="G3267">
        <f>_xludf.IMAGE("https://www.soccerplususa.com/prodimages/5712-DEFAULT-l.jpg")</f>
        <v/>
      </c>
      <c r="H3267">
        <f>_xludf.IMAGE("https://m.media-amazon.com/images/I/715HrrsVqqL._AC_UL320_.jpg")</f>
        <v/>
      </c>
      <c r="K3267" t="inlineStr">
        <is>
          <t>89.99</t>
        </is>
      </c>
      <c r="L3267" t="n">
        <v>119.99</v>
      </c>
      <c r="M3267" s="1" t="inlineStr">
        <is>
          <t>33.34%</t>
        </is>
      </c>
      <c r="N3267" s="3" t="n">
        <v>33.34</v>
      </c>
      <c r="O3267" t="n">
        <v>4.4</v>
      </c>
      <c r="P3267" t="n">
        <v>41</v>
      </c>
      <c r="R3267" t="inlineStr">
        <is>
          <t>InStock</t>
        </is>
      </c>
      <c r="S3267" t="inlineStr">
        <is>
          <t>119.95</t>
        </is>
      </c>
      <c r="T3267" t="inlineStr">
        <is>
          <t>BQ6548</t>
        </is>
      </c>
    </row>
    <row r="3268" hidden="1" ht="15.75" customHeight="1">
      <c r="A3268" s="2">
        <f>HYPERLINK("https://www.soccerplususa.com/adidas/adidas-regista-14-jersey-6672", "https://www.soccerplususa.com/adidas/adidas-regista-14-jersey-6672")</f>
        <v/>
      </c>
      <c r="B3268" t="inlineStr">
        <is>
          <t>undefined</t>
        </is>
      </c>
      <c r="C3268" t="inlineStr">
        <is>
          <t>adidas Regista 14 Jersey</t>
        </is>
      </c>
      <c r="D3268" t="inlineStr">
        <is>
          <t>adidas Womens Climacool Regista 14 Jersey</t>
        </is>
      </c>
      <c r="E3268" s="2">
        <f>HYPERLINK("https://www.amazon.com/Adidas-Regista-Womens-Soccer-Jersey/dp/B00H5UPO4K/ref=sr_1_2?keywords=adidas+Regista+14+Jersey&amp;qid=1695171217&amp;sr=8-2", "https://www.amazon.com/Adidas-Regista-Womens-Soccer-Jersey/dp/B00H5UPO4K/ref=sr_1_2?keywords=adidas+Regista+14+Jersey&amp;qid=1695171217&amp;sr=8-2")</f>
        <v/>
      </c>
      <c r="F3268" t="inlineStr">
        <is>
          <t>B00H5UPO4K</t>
        </is>
      </c>
      <c r="G3268">
        <f>_xludf.IMAGE("https://www.soccerplususa.com/prodimages/10435-DEFAULT-l.jpg")</f>
        <v/>
      </c>
      <c r="H3268">
        <f>_xludf.IMAGE("https://m.media-amazon.com/images/I/61GhHCEsAmL._AC_UL320_.jpg")</f>
        <v/>
      </c>
      <c r="K3268" t="inlineStr">
        <is>
          <t>22.5</t>
        </is>
      </c>
      <c r="L3268" t="n">
        <v>29.99</v>
      </c>
      <c r="M3268" s="1" t="inlineStr">
        <is>
          <t>33.29%</t>
        </is>
      </c>
      <c r="N3268" s="3" t="n">
        <v>33.29</v>
      </c>
      <c r="O3268" t="n">
        <v>4.1</v>
      </c>
      <c r="P3268" t="n">
        <v>10</v>
      </c>
      <c r="R3268" t="inlineStr">
        <is>
          <t>InStock</t>
        </is>
      </c>
      <c r="S3268" t="inlineStr">
        <is>
          <t>44.95</t>
        </is>
      </c>
      <c r="T3268" t="inlineStr">
        <is>
          <t>G70830</t>
        </is>
      </c>
    </row>
    <row r="3269" hidden="1" ht="15.75" customHeight="1">
      <c r="A3269" s="2">
        <f>HYPERLINK("https://www.soccerplususa.com/adidas/adidas-regista-14-jersey-6067", "https://www.soccerplususa.com/adidas/adidas-regista-14-jersey-6067")</f>
        <v/>
      </c>
      <c r="B3269" t="inlineStr">
        <is>
          <t>undefined</t>
        </is>
      </c>
      <c r="C3269" t="inlineStr">
        <is>
          <t>adidas Regista 14 Jersey</t>
        </is>
      </c>
      <c r="D3269" t="inlineStr">
        <is>
          <t>adidas Womens Climacool Regista 14 Jersey</t>
        </is>
      </c>
      <c r="E3269" s="2">
        <f>HYPERLINK("https://www.amazon.com/Adidas-Regista-Womens-Soccer-Jersey/dp/B00H5UPO4K/ref=sr_1_2?keywords=adidas+Regista+14+Jersey&amp;qid=1695171231&amp;sr=8-2", "https://www.amazon.com/Adidas-Regista-Womens-Soccer-Jersey/dp/B00H5UPO4K/ref=sr_1_2?keywords=adidas+Regista+14+Jersey&amp;qid=1695171231&amp;sr=8-2")</f>
        <v/>
      </c>
      <c r="F3269" t="inlineStr">
        <is>
          <t>B00H5UPO4K</t>
        </is>
      </c>
      <c r="G3269">
        <f>_xludf.IMAGE("https://www.soccerplususa.com/prodimages/10329-DEFAULT-l.jpg")</f>
        <v/>
      </c>
      <c r="H3269">
        <f>_xludf.IMAGE("https://m.media-amazon.com/images/I/61GhHCEsAmL._AC_UL320_.jpg")</f>
        <v/>
      </c>
      <c r="K3269" t="inlineStr">
        <is>
          <t>22.5</t>
        </is>
      </c>
      <c r="L3269" t="n">
        <v>29.99</v>
      </c>
      <c r="M3269" s="1" t="inlineStr">
        <is>
          <t>33.29%</t>
        </is>
      </c>
      <c r="N3269" s="3" t="n">
        <v>33.29</v>
      </c>
      <c r="O3269" t="n">
        <v>4.1</v>
      </c>
      <c r="P3269" t="n">
        <v>10</v>
      </c>
      <c r="R3269" t="inlineStr">
        <is>
          <t>InStock</t>
        </is>
      </c>
      <c r="S3269" t="inlineStr">
        <is>
          <t>44.95</t>
        </is>
      </c>
      <c r="T3269" t="inlineStr">
        <is>
          <t>F50011</t>
        </is>
      </c>
    </row>
    <row r="3270" hidden="1" ht="15.75" customHeight="1">
      <c r="A3270" s="2">
        <f>HYPERLINK("https://www.soccerplususa.com/adidas/adidas-tabela-14-jersey-youth-6086", "https://www.soccerplususa.com/adidas/adidas-tabela-14-jersey-youth-6086")</f>
        <v/>
      </c>
      <c r="B3270" t="inlineStr">
        <is>
          <t>undefined</t>
        </is>
      </c>
      <c r="C3270" t="inlineStr">
        <is>
          <t>adidas Tabela 14 Jersey Youth</t>
        </is>
      </c>
      <c r="D3270" t="inlineStr">
        <is>
          <t>adidas Youth Tabela 18 Jersey</t>
        </is>
      </c>
      <c r="E3270" s="2">
        <f>HYPERLINK("https://www.amazon.com/adidas-TABELA-Jersey-Y%E2%9D%97%EF%B8%8FShips-Directly/dp/B078LCB4LK/ref=sr_1_9?keywords=adidas+Tabela+14+Jersey+Youth&amp;qid=1695171222&amp;sr=8-9", "https://www.amazon.com/adidas-TABELA-Jersey-Y%E2%9D%97%EF%B8%8FShips-Directly/dp/B078LCB4LK/ref=sr_1_9?keywords=adidas+Tabela+14+Jersey+Youth&amp;qid=1695171222&amp;sr=8-9")</f>
        <v/>
      </c>
      <c r="F3270" t="inlineStr">
        <is>
          <t>B078LCB4LK</t>
        </is>
      </c>
      <c r="G3270">
        <f>_xludf.IMAGE("https://www.soccerplususa.com/prodimages/2640-DEFAULT-l.jpg")</f>
        <v/>
      </c>
      <c r="H3270">
        <f>_xludf.IMAGE("https://m.media-amazon.com/images/I/61G-4wd3sCL._AC_UL320_.jpg")</f>
        <v/>
      </c>
      <c r="K3270" t="inlineStr">
        <is>
          <t>15.0</t>
        </is>
      </c>
      <c r="L3270" t="n">
        <v>19.99</v>
      </c>
      <c r="M3270" s="1" t="inlineStr">
        <is>
          <t>33.27%</t>
        </is>
      </c>
      <c r="N3270" s="3" t="n">
        <v>33.27</v>
      </c>
      <c r="O3270" t="n">
        <v>1.8</v>
      </c>
      <c r="P3270" t="n">
        <v>2</v>
      </c>
      <c r="R3270" t="inlineStr">
        <is>
          <t>InStock</t>
        </is>
      </c>
      <c r="S3270" t="inlineStr">
        <is>
          <t>29.95</t>
        </is>
      </c>
      <c r="T3270" t="inlineStr">
        <is>
          <t>F50455</t>
        </is>
      </c>
    </row>
    <row r="3271" hidden="1" ht="15.75" customHeight="1">
      <c r="A3271" s="2">
        <f>HYPERLINK("https://www.soccerplususa.com/adidas/adidas-tiro-19-training-jacket-33866", "https://www.soccerplususa.com/adidas/adidas-tiro-19-training-jacket-33866")</f>
        <v/>
      </c>
      <c r="B3271" t="inlineStr">
        <is>
          <t>undefined</t>
        </is>
      </c>
      <c r="C3271" t="inlineStr">
        <is>
          <t>adidas Tiro 19 Training Jacket</t>
        </is>
      </c>
      <c r="D3271" t="inlineStr">
        <is>
          <t>adidas Mens Tiro 17 Training Jacket</t>
        </is>
      </c>
      <c r="E3271" s="2">
        <f>HYPERLINK("https://www.amazon.com/Adidas-Soccer-Training-Blue-Dark-Grey-White/dp/B01N75YCQG/ref=sr_1_10?keywords=adidas+Tiro+19+Training+Jacket&amp;qid=1695171181&amp;sr=8-10", "https://www.amazon.com/Adidas-Soccer-Training-Blue-Dark-Grey-White/dp/B01N75YCQG/ref=sr_1_10?keywords=adidas+Tiro+19+Training+Jacket&amp;qid=1695171181&amp;sr=8-10")</f>
        <v/>
      </c>
      <c r="F3271" t="inlineStr">
        <is>
          <t>B01N75YCQG</t>
        </is>
      </c>
      <c r="G3271">
        <f>_xludf.IMAGE("https://www.soccerplususa.com/prodimages/8017-DEFAULT-l.jpg")</f>
        <v/>
      </c>
      <c r="H3271">
        <f>_xludf.IMAGE("https://m.media-amazon.com/images/I/81y7zeoBW2L._AC_UL320_.jpg")</f>
        <v/>
      </c>
      <c r="K3271" t="inlineStr">
        <is>
          <t>49.0</t>
        </is>
      </c>
      <c r="L3271" t="n">
        <v>64.98999999999999</v>
      </c>
      <c r="M3271" s="1" t="inlineStr">
        <is>
          <t>32.63%</t>
        </is>
      </c>
      <c r="N3271" s="3" t="n">
        <v>32.63</v>
      </c>
      <c r="O3271" t="n">
        <v>4.2</v>
      </c>
      <c r="P3271" t="n">
        <v>18</v>
      </c>
      <c r="R3271" t="inlineStr">
        <is>
          <t>InStock</t>
        </is>
      </c>
      <c r="S3271" t="inlineStr">
        <is>
          <t>64.95</t>
        </is>
      </c>
      <c r="T3271" t="inlineStr">
        <is>
          <t>D95953</t>
        </is>
      </c>
    </row>
    <row r="3272" hidden="1" ht="15.75" customHeight="1">
      <c r="A3272" s="2">
        <f>HYPERLINK("https://www.soccerplususa.com/adidas/adidas-tiro-19-training-jacket-33996", "https://www.soccerplususa.com/adidas/adidas-tiro-19-training-jacket-33996")</f>
        <v/>
      </c>
      <c r="B3272" t="inlineStr">
        <is>
          <t>undefined</t>
        </is>
      </c>
      <c r="C3272" t="inlineStr">
        <is>
          <t>adidas Tiro 19 Training Jacket</t>
        </is>
      </c>
      <c r="D3272" t="inlineStr">
        <is>
          <t>adidas Mens Tiro 17 Training Jacket</t>
        </is>
      </c>
      <c r="E3272" s="2">
        <f>HYPERLINK("https://www.amazon.com/Adidas-Soccer-Training-Blue-Dark-Grey-White/dp/B01N75YCQG/ref=sr_1_10?keywords=adidas+Tiro+19+Training+Jacket&amp;qid=1695171209&amp;sr=8-10", "https://www.amazon.com/Adidas-Soccer-Training-Blue-Dark-Grey-White/dp/B01N75YCQG/ref=sr_1_10?keywords=adidas+Tiro+19+Training+Jacket&amp;qid=1695171209&amp;sr=8-10")</f>
        <v/>
      </c>
      <c r="F3272" t="inlineStr">
        <is>
          <t>B01N75YCQG</t>
        </is>
      </c>
      <c r="G3272">
        <f>_xludf.IMAGE("https://www.soccerplususa.com/prodimages/8018-DEFAULT-l.jpg")</f>
        <v/>
      </c>
      <c r="H3272">
        <f>_xludf.IMAGE("https://m.media-amazon.com/images/I/81y7zeoBW2L._AC_UL320_.jpg")</f>
        <v/>
      </c>
      <c r="K3272" t="inlineStr">
        <is>
          <t>49.0</t>
        </is>
      </c>
      <c r="L3272" t="n">
        <v>64.98999999999999</v>
      </c>
      <c r="M3272" s="1" t="inlineStr">
        <is>
          <t>32.63%</t>
        </is>
      </c>
      <c r="N3272" s="3" t="n">
        <v>32.63</v>
      </c>
      <c r="O3272" t="n">
        <v>4.2</v>
      </c>
      <c r="P3272" t="n">
        <v>18</v>
      </c>
      <c r="R3272" t="inlineStr">
        <is>
          <t>InStock</t>
        </is>
      </c>
      <c r="S3272" t="inlineStr">
        <is>
          <t>64.95</t>
        </is>
      </c>
      <c r="T3272" t="inlineStr">
        <is>
          <t>DT5272</t>
        </is>
      </c>
    </row>
    <row r="3273" hidden="1" ht="15.75" customHeight="1">
      <c r="A3273" s="2">
        <f>HYPERLINK("https://www.soccerplususa.com/adidas/adidas-tiro-19-training-jacket-33996", "https://www.soccerplususa.com/adidas/adidas-tiro-19-training-jacket-33996")</f>
        <v/>
      </c>
      <c r="B3273" t="inlineStr">
        <is>
          <t>undefined</t>
        </is>
      </c>
      <c r="C3273" t="inlineStr">
        <is>
          <t>adidas Tiro 19 Training Jacket</t>
        </is>
      </c>
      <c r="D3273" t="inlineStr">
        <is>
          <t>adidas Men's Soccer Tiro 15 Training Jacket</t>
        </is>
      </c>
      <c r="E3273" s="2">
        <f>HYPERLINK("https://www.amazon.com/adidas-Soccer-Training-Jacket-Black/dp/B00QKRKDC2/ref=sr_1_9?keywords=adidas+Tiro+19+Training+Jacket&amp;qid=1695171209&amp;sr=8-9", "https://www.amazon.com/adidas-Soccer-Training-Jacket-Black/dp/B00QKRKDC2/ref=sr_1_9?keywords=adidas+Tiro+19+Training+Jacket&amp;qid=1695171209&amp;sr=8-9")</f>
        <v/>
      </c>
      <c r="F3273" t="inlineStr">
        <is>
          <t>B00QKRKDC2</t>
        </is>
      </c>
      <c r="G3273">
        <f>_xludf.IMAGE("https://www.soccerplususa.com/prodimages/8018-DEFAULT-l.jpg")</f>
        <v/>
      </c>
      <c r="H3273">
        <f>_xludf.IMAGE("https://m.media-amazon.com/images/I/31aSgvALGML._AC_UL320_.jpg")</f>
        <v/>
      </c>
      <c r="K3273" t="inlineStr">
        <is>
          <t>49.0</t>
        </is>
      </c>
      <c r="L3273" t="n">
        <v>64.98999999999999</v>
      </c>
      <c r="M3273" s="1" t="inlineStr">
        <is>
          <t>32.63%</t>
        </is>
      </c>
      <c r="N3273" s="3" t="n">
        <v>32.63</v>
      </c>
      <c r="O3273" t="n">
        <v>4.1</v>
      </c>
      <c r="P3273" t="n">
        <v>40</v>
      </c>
      <c r="R3273" t="inlineStr">
        <is>
          <t>InStock</t>
        </is>
      </c>
      <c r="S3273" t="inlineStr">
        <is>
          <t>64.95</t>
        </is>
      </c>
      <c r="T3273" t="inlineStr">
        <is>
          <t>DT5272</t>
        </is>
      </c>
    </row>
    <row r="3274" hidden="1" ht="15.75" customHeight="1">
      <c r="A3274" s="2">
        <f>HYPERLINK("https://www.soccerplususa.com/adidas/adidas-tiro-19-training-jacket-33866", "https://www.soccerplususa.com/adidas/adidas-tiro-19-training-jacket-33866")</f>
        <v/>
      </c>
      <c r="B3274" t="inlineStr">
        <is>
          <t>undefined</t>
        </is>
      </c>
      <c r="C3274" t="inlineStr">
        <is>
          <t>adidas Tiro 19 Training Jacket</t>
        </is>
      </c>
      <c r="D3274" t="inlineStr">
        <is>
          <t>adidas Men's Soccer Tiro 15 Training Jacket</t>
        </is>
      </c>
      <c r="E3274" s="2">
        <f>HYPERLINK("https://www.amazon.com/adidas-Soccer-Training-Jacket-Black/dp/B00QKRKDC2/ref=sr_1_9?keywords=adidas+Tiro+19+Training+Jacket&amp;qid=1695171181&amp;sr=8-9", "https://www.amazon.com/adidas-Soccer-Training-Jacket-Black/dp/B00QKRKDC2/ref=sr_1_9?keywords=adidas+Tiro+19+Training+Jacket&amp;qid=1695171181&amp;sr=8-9")</f>
        <v/>
      </c>
      <c r="F3274" t="inlineStr">
        <is>
          <t>B00QKRKDC2</t>
        </is>
      </c>
      <c r="G3274">
        <f>_xludf.IMAGE("https://www.soccerplususa.com/prodimages/8017-DEFAULT-l.jpg")</f>
        <v/>
      </c>
      <c r="H3274">
        <f>_xludf.IMAGE("https://m.media-amazon.com/images/I/31aSgvALGML._AC_UL320_.jpg")</f>
        <v/>
      </c>
      <c r="K3274" t="inlineStr">
        <is>
          <t>49.0</t>
        </is>
      </c>
      <c r="L3274" t="n">
        <v>64.98999999999999</v>
      </c>
      <c r="M3274" s="1" t="inlineStr">
        <is>
          <t>32.63%</t>
        </is>
      </c>
      <c r="N3274" s="3" t="n">
        <v>32.63</v>
      </c>
      <c r="O3274" t="n">
        <v>4.1</v>
      </c>
      <c r="P3274" t="n">
        <v>40</v>
      </c>
      <c r="R3274" t="inlineStr">
        <is>
          <t>InStock</t>
        </is>
      </c>
      <c r="S3274" t="inlineStr">
        <is>
          <t>64.95</t>
        </is>
      </c>
      <c r="T3274" t="inlineStr">
        <is>
          <t>D95953</t>
        </is>
      </c>
    </row>
    <row r="3275" hidden="1" ht="15.75" customHeight="1">
      <c r="A3275" s="2">
        <f>HYPERLINK("https://www.soccerplususa.com/puma/puma-liga-training-jacket-35519", "https://www.soccerplususa.com/puma/puma-liga-training-jacket-35519")</f>
        <v/>
      </c>
      <c r="B3275" t="inlineStr">
        <is>
          <t>undefined</t>
        </is>
      </c>
      <c r="C3275" t="inlineStr">
        <is>
          <t>Puma Liga Training Jacket</t>
        </is>
      </c>
      <c r="D3275" t="inlineStr">
        <is>
          <t>PUMA Men's Liga Training Fleece Jacket</t>
        </is>
      </c>
      <c r="E3275" s="2">
        <f>HYPERLINK("https://www.amazon.com/PUMA-Training-Fleece-Black-White/dp/B07DXZ6HN5/ref=sr_1_3?keywords=Puma+Liga+Training+Jacket&amp;qid=1695171164&amp;sr=8-3", "https://www.amazon.com/PUMA-Training-Fleece-Black-White/dp/B07DXZ6HN5/ref=sr_1_3?keywords=Puma+Liga+Training+Jacket&amp;qid=1695171164&amp;sr=8-3")</f>
        <v/>
      </c>
      <c r="F3275" t="inlineStr">
        <is>
          <t>B07DXZ6HN5</t>
        </is>
      </c>
      <c r="G3275">
        <f>_xludf.IMAGE("https://www.soccerplususa.com/prodimages/32207-DEFAULT-l.jpg")</f>
        <v/>
      </c>
      <c r="H3275">
        <f>_xludf.IMAGE("https://m.media-amazon.com/images/I/811bSQrl3iL._AC_UL320_.jpg")</f>
        <v/>
      </c>
      <c r="K3275" t="inlineStr">
        <is>
          <t>45.0</t>
        </is>
      </c>
      <c r="L3275" t="n">
        <v>59.66</v>
      </c>
      <c r="M3275" s="1" t="inlineStr">
        <is>
          <t>32.58%</t>
        </is>
      </c>
      <c r="N3275" s="3" t="n">
        <v>32.58</v>
      </c>
      <c r="O3275" t="n">
        <v>4.6</v>
      </c>
      <c r="P3275" t="n">
        <v>16</v>
      </c>
      <c r="R3275" t="inlineStr">
        <is>
          <t>InStock</t>
        </is>
      </c>
      <c r="S3275" t="inlineStr">
        <is>
          <t>59.95</t>
        </is>
      </c>
      <c r="T3275" t="inlineStr">
        <is>
          <t>655687-02</t>
        </is>
      </c>
    </row>
    <row r="3276" hidden="1" ht="15.75" customHeight="1">
      <c r="A3276" s="2">
        <f>HYPERLINK("https://www.soccerplususa.com/adidas/adidas-regista-16-jersey-4149", "https://www.soccerplususa.com/adidas/adidas-regista-16-jersey-4149")</f>
        <v/>
      </c>
      <c r="B3276" t="inlineStr">
        <is>
          <t>undefined</t>
        </is>
      </c>
      <c r="C3276" t="inlineStr">
        <is>
          <t>adidas Regista 16 Jersey</t>
        </is>
      </c>
      <c r="D3276" t="inlineStr">
        <is>
          <t>adidas Regista 16 Youth Soccer Jersey L Power Red/White</t>
        </is>
      </c>
      <c r="E3276" s="2">
        <f>HYPERLINK("https://www.amazon.com/Adidas-Regista-Soccer-Jersey-Red-White/dp/B018668S5I/ref=sr_1_3?keywords=adidas+Regista+16+Jersey&amp;qid=1695171233&amp;sr=8-3", "https://www.amazon.com/Adidas-Regista-Soccer-Jersey-Red-White/dp/B018668S5I/ref=sr_1_3?keywords=adidas+Regista+16+Jersey&amp;qid=1695171233&amp;sr=8-3")</f>
        <v/>
      </c>
      <c r="F3276" t="inlineStr">
        <is>
          <t>B018668S5I</t>
        </is>
      </c>
      <c r="G3276">
        <f>_xludf.IMAGE("https://www.soccerplususa.com/prodimages/32795-DEFAULT-l.jpg")</f>
        <v/>
      </c>
      <c r="H3276">
        <f>_xludf.IMAGE("https://m.media-amazon.com/images/I/514dyYJa+IL._AC_UL320_.jpg")</f>
        <v/>
      </c>
      <c r="K3276" t="inlineStr">
        <is>
          <t>17.0</t>
        </is>
      </c>
      <c r="L3276" t="n">
        <v>22.48</v>
      </c>
      <c r="M3276" s="1" t="inlineStr">
        <is>
          <t>32.24%</t>
        </is>
      </c>
      <c r="N3276" s="3" t="n">
        <v>32.24</v>
      </c>
      <c r="O3276" t="n">
        <v>5</v>
      </c>
      <c r="P3276" t="n">
        <v>2</v>
      </c>
      <c r="R3276" t="inlineStr">
        <is>
          <t>InStock</t>
        </is>
      </c>
      <c r="S3276" t="inlineStr">
        <is>
          <t>34.95</t>
        </is>
      </c>
      <c r="T3276" t="inlineStr">
        <is>
          <t>AP0535</t>
        </is>
      </c>
    </row>
    <row r="3277" hidden="1" ht="15.75" customHeight="1">
      <c r="A3277" s="2">
        <f>HYPERLINK("https://www.soccerplususa.com/nike/nike-tiempo-premier-jersey-25073", "https://www.soccerplususa.com/nike/nike-tiempo-premier-jersey-25073")</f>
        <v/>
      </c>
      <c r="B3277" t="inlineStr">
        <is>
          <t>undefined</t>
        </is>
      </c>
      <c r="C3277" t="inlineStr">
        <is>
          <t>Nike Tiempo Premier Jersey</t>
        </is>
      </c>
      <c r="D3277" t="inlineStr">
        <is>
          <t>Nike Womens Tiempo Premier Soccer Jersey</t>
        </is>
      </c>
      <c r="E3277" s="2">
        <f>HYPERLINK("https://www.amazon.com/Nike-Womens-Dri-Fit-Premier-Regular/dp/B0C7ZKF5DC/ref=sr_1_2?keywords=Nike+Tiempo+Premier+Jersey&amp;qid=1695171172&amp;sr=8-2", "https://www.amazon.com/Nike-Womens-Dri-Fit-Premier-Regular/dp/B0C7ZKF5DC/ref=sr_1_2?keywords=Nike+Tiempo+Premier+Jersey&amp;qid=1695171172&amp;sr=8-2")</f>
        <v/>
      </c>
      <c r="F3277" t="inlineStr">
        <is>
          <t>B0C7ZKF5DC</t>
        </is>
      </c>
      <c r="G3277">
        <f>_xludf.IMAGE("https://www.soccerplususa.com/prodimages/31750-DEFAULT-l.jpg")</f>
        <v/>
      </c>
      <c r="H3277">
        <f>_xludf.IMAGE("https://m.media-amazon.com/images/I/41Kv4CYLgTL._AC_UL320_.jpg")</f>
        <v/>
      </c>
      <c r="K3277" t="inlineStr">
        <is>
          <t>18.49</t>
        </is>
      </c>
      <c r="L3277" t="n">
        <v>24.45</v>
      </c>
      <c r="M3277" s="1" t="inlineStr">
        <is>
          <t>32.23%</t>
        </is>
      </c>
      <c r="N3277" s="3" t="n">
        <v>32.23</v>
      </c>
      <c r="O3277" t="n">
        <v>3.8</v>
      </c>
      <c r="P3277" t="n">
        <v>7</v>
      </c>
      <c r="R3277" t="inlineStr">
        <is>
          <t>InStock</t>
        </is>
      </c>
      <c r="S3277" t="inlineStr">
        <is>
          <t>23.95</t>
        </is>
      </c>
      <c r="T3277" t="inlineStr">
        <is>
          <t>894293-101</t>
        </is>
      </c>
    </row>
    <row r="3278" hidden="1" ht="15.75" customHeight="1">
      <c r="A3278" s="2">
        <f>HYPERLINK("https://www.soccerplususa.com/adidas/adidas-tiro-17-training-jacket-womens-4952", "https://www.soccerplususa.com/adidas/adidas-tiro-17-training-jacket-womens-4952")</f>
        <v/>
      </c>
      <c r="B3278" t="inlineStr">
        <is>
          <t>undefined</t>
        </is>
      </c>
      <c r="C3278" t="inlineStr">
        <is>
          <t>adidas Tiro 17 Training Jacket Women's</t>
        </is>
      </c>
      <c r="D3278" t="inlineStr">
        <is>
          <t>adidas Women's Tiro 17 Training Pants, Black, Large</t>
        </is>
      </c>
      <c r="E3278" s="2">
        <f>HYPERLINK("https://www.amazon.com/adidas-Womens-Soccer-Training-Pants/dp/B01N0QHAH5/ref=sr_1_5?keywords=adidas+Tiro+17+Training+Jacket+Women%27s&amp;qid=1695171231&amp;sr=8-5", "https://www.amazon.com/adidas-Womens-Soccer-Training-Pants/dp/B01N0QHAH5/ref=sr_1_5?keywords=adidas+Tiro+17+Training+Jacket+Women%27s&amp;qid=1695171231&amp;sr=8-5")</f>
        <v/>
      </c>
      <c r="F3278" t="inlineStr">
        <is>
          <t>B01N0QHAH5</t>
        </is>
      </c>
      <c r="G3278">
        <f>_xludf.IMAGE("https://www.soccerplususa.com/prodimages/4532-DEFAULT-l.jpg")</f>
        <v/>
      </c>
      <c r="H3278">
        <f>_xludf.IMAGE("https://m.media-amazon.com/images/I/618pMdyKM9L._AC_UL320_.jpg")</f>
        <v/>
      </c>
      <c r="K3278" t="inlineStr">
        <is>
          <t>34.0</t>
        </is>
      </c>
      <c r="L3278" t="n">
        <v>44.95</v>
      </c>
      <c r="M3278" s="1" t="inlineStr">
        <is>
          <t>32.21%</t>
        </is>
      </c>
      <c r="N3278" s="3" t="n">
        <v>32.21</v>
      </c>
      <c r="O3278" t="n">
        <v>4.6</v>
      </c>
      <c r="P3278" t="n">
        <v>3544</v>
      </c>
      <c r="R3278" t="inlineStr">
        <is>
          <t>InStock</t>
        </is>
      </c>
      <c r="S3278" t="inlineStr">
        <is>
          <t>64.95</t>
        </is>
      </c>
      <c r="T3278" t="inlineStr">
        <is>
          <t>BQ8243</t>
        </is>
      </c>
    </row>
    <row r="3279" hidden="1" ht="15.75" customHeight="1">
      <c r="A3279" s="2">
        <f>HYPERLINK("https://www.soccerplususa.com/adidas/adidas-tiro-17-training-jacket-womens-4954", "https://www.soccerplususa.com/adidas/adidas-tiro-17-training-jacket-womens-4954")</f>
        <v/>
      </c>
      <c r="B3279" t="inlineStr">
        <is>
          <t>undefined</t>
        </is>
      </c>
      <c r="C3279" t="inlineStr">
        <is>
          <t>adidas Tiro 17 Training Jacket Women's</t>
        </is>
      </c>
      <c r="D3279" t="inlineStr">
        <is>
          <t>adidas Women's Tiro 17 Training Pants, Black, Large</t>
        </is>
      </c>
      <c r="E3279" s="2">
        <f>HYPERLINK("https://www.amazon.com/adidas-Womens-Soccer-Training-Pants/dp/B01N0QHAH5/ref=sr_1_5?keywords=adidas+Tiro+17+Training+Jacket+Womens&amp;qid=1695171243&amp;sr=8-5", "https://www.amazon.com/adidas-Womens-Soccer-Training-Pants/dp/B01N0QHAH5/ref=sr_1_5?keywords=adidas+Tiro+17+Training+Jacket+Womens&amp;qid=1695171243&amp;sr=8-5")</f>
        <v/>
      </c>
      <c r="F3279" t="inlineStr">
        <is>
          <t>B01N0QHAH5</t>
        </is>
      </c>
      <c r="G3279">
        <f>_xludf.IMAGE("https://www.soccerplususa.com/prodimages/4534-DEFAULT-l.jpg")</f>
        <v/>
      </c>
      <c r="H3279">
        <f>_xludf.IMAGE("https://m.media-amazon.com/images/I/618pMdyKM9L._AC_UL320_.jpg")</f>
        <v/>
      </c>
      <c r="K3279" t="inlineStr">
        <is>
          <t>34.0</t>
        </is>
      </c>
      <c r="L3279" t="n">
        <v>44.95</v>
      </c>
      <c r="M3279" s="1" t="inlineStr">
        <is>
          <t>32.21%</t>
        </is>
      </c>
      <c r="N3279" s="3" t="n">
        <v>32.21</v>
      </c>
      <c r="O3279" t="n">
        <v>4.6</v>
      </c>
      <c r="P3279" t="n">
        <v>3544</v>
      </c>
      <c r="R3279" t="inlineStr">
        <is>
          <t>InStock</t>
        </is>
      </c>
      <c r="S3279" t="inlineStr">
        <is>
          <t>64.95</t>
        </is>
      </c>
      <c r="T3279" t="inlineStr">
        <is>
          <t>BQ8248</t>
        </is>
      </c>
    </row>
    <row r="3280" hidden="1" ht="15.75" customHeight="1">
      <c r="A3280" s="2">
        <f>HYPERLINK("https://www.soccerplususa.com/adidas/adidas-campeon-15-jersey-7827", "https://www.soccerplususa.com/adidas/adidas-campeon-15-jersey-7827")</f>
        <v/>
      </c>
      <c r="B3280" t="inlineStr">
        <is>
          <t>undefined</t>
        </is>
      </c>
      <c r="C3280" t="inlineStr">
        <is>
          <t>adidas Campeon 15 Jersey</t>
        </is>
      </c>
      <c r="D3280" t="inlineStr">
        <is>
          <t>adidas Campeon 21 Jersey - Kid's Soccer</t>
        </is>
      </c>
      <c r="E3280" s="2">
        <f>HYPERLINK("https://www.amazon.com/adidas-Campeon-21-Jersey-Soccer/dp/B08V5M1PX7/ref=sr_1_8?keywords=adidas+Campeon+15+Jersey&amp;qid=1695171209&amp;sr=8-8", "https://www.amazon.com/adidas-Campeon-21-Jersey-Soccer/dp/B08V5M1PX7/ref=sr_1_8?keywords=adidas+Campeon+15+Jersey&amp;qid=1695171209&amp;sr=8-8")</f>
        <v/>
      </c>
      <c r="F3280" t="inlineStr">
        <is>
          <t>B08V5M1PX7</t>
        </is>
      </c>
      <c r="G3280">
        <f>_xludf.IMAGE("https://www.soccerplususa.com/prodimages/4487-DEFAULT-l.jpg")</f>
        <v/>
      </c>
      <c r="H3280">
        <f>_xludf.IMAGE("https://m.media-amazon.com/images/I/51pEPJW9uxL._AC_UL320_.jpg")</f>
        <v/>
      </c>
      <c r="K3280" t="inlineStr">
        <is>
          <t>30.0</t>
        </is>
      </c>
      <c r="L3280" t="n">
        <v>39.6</v>
      </c>
      <c r="M3280" s="1" t="inlineStr">
        <is>
          <t>32.00%</t>
        </is>
      </c>
      <c r="N3280" s="3" t="n">
        <v>32</v>
      </c>
      <c r="O3280" t="n">
        <v>5</v>
      </c>
      <c r="P3280" t="n">
        <v>7</v>
      </c>
      <c r="R3280" t="inlineStr">
        <is>
          <t>InStock</t>
        </is>
      </c>
      <c r="S3280" t="inlineStr">
        <is>
          <t>59.95</t>
        </is>
      </c>
      <c r="T3280" t="inlineStr">
        <is>
          <t>S15899</t>
        </is>
      </c>
    </row>
    <row r="3281" hidden="1" ht="15.75" customHeight="1">
      <c r="A3281" s="2">
        <f>HYPERLINK("https://www.soccerplususa.com/adidas/adidas-tabela-18-jersey-youth-5110", "https://www.soccerplususa.com/adidas/adidas-tabela-18-jersey-youth-5110")</f>
        <v/>
      </c>
      <c r="B3281" t="inlineStr">
        <is>
          <t>undefined</t>
        </is>
      </c>
      <c r="C3281" t="inlineStr">
        <is>
          <t>adidas Tabela 18 Jersey Youth</t>
        </is>
      </c>
      <c r="D3281" t="inlineStr">
        <is>
          <t>adidas Youth Tabela 18 Jersey Yellow</t>
        </is>
      </c>
      <c r="E3281" s="2">
        <f>HYPERLINK("https://www.amazon.com/adidas-Youth-Tabela-Jersey-Yellow/dp/B07BHKPLG2/ref=sr_1_5?keywords=adidas+Tabela+18+Jersey+Youth&amp;qid=1695171223&amp;sr=8-5", "https://www.amazon.com/adidas-Youth-Tabela-Jersey-Yellow/dp/B07BHKPLG2/ref=sr_1_5?keywords=adidas+Tabela+18+Jersey+Youth&amp;qid=1695171223&amp;sr=8-5")</f>
        <v/>
      </c>
      <c r="F3281" t="inlineStr">
        <is>
          <t>B07BHKPLG2</t>
        </is>
      </c>
      <c r="G3281">
        <f>_xludf.IMAGE("https://www.soccerplususa.com/prodimages//31722-GRAY-M.jpg")</f>
        <v/>
      </c>
      <c r="H3281">
        <f>_xludf.IMAGE("https://m.media-amazon.com/images/I/51tN6c4gMmL._AC_UL320_.jpg")</f>
        <v/>
      </c>
      <c r="K3281" t="inlineStr">
        <is>
          <t>18.99</t>
        </is>
      </c>
      <c r="L3281" t="n">
        <v>25</v>
      </c>
      <c r="M3281" s="1" t="inlineStr">
        <is>
          <t>31.65%</t>
        </is>
      </c>
      <c r="N3281" s="3" t="n">
        <v>31.65</v>
      </c>
      <c r="O3281" t="n">
        <v>3.4</v>
      </c>
      <c r="P3281" t="n">
        <v>2</v>
      </c>
      <c r="R3281" t="inlineStr">
        <is>
          <t>InStock</t>
        </is>
      </c>
      <c r="S3281" t="inlineStr">
        <is>
          <t>24.95</t>
        </is>
      </c>
      <c r="T3281" t="inlineStr">
        <is>
          <t>CE8920</t>
        </is>
      </c>
    </row>
    <row r="3282" hidden="1" ht="15.75" customHeight="1">
      <c r="A3282" s="2">
        <f>HYPERLINK("https://www.soccerplususa.com/adidas/adidas-tabela-18-jersey-youth-5109", "https://www.soccerplususa.com/adidas/adidas-tabela-18-jersey-youth-5109")</f>
        <v/>
      </c>
      <c r="B3282" t="inlineStr">
        <is>
          <t>undefined</t>
        </is>
      </c>
      <c r="C3282" t="inlineStr">
        <is>
          <t>adidas Tabela 18 Jersey Youth</t>
        </is>
      </c>
      <c r="D3282" t="inlineStr">
        <is>
          <t>adidas Youth Tabela 18 Jersey Yellow</t>
        </is>
      </c>
      <c r="E3282" s="2">
        <f>HYPERLINK("https://www.amazon.com/adidas-Youth-Tabela-Jersey-Yellow/dp/B07BHKPLG2/ref=sr_1_5?keywords=adidas+Tabela+18+Jersey+Youth&amp;qid=1695171237&amp;sr=8-5", "https://www.amazon.com/adidas-Youth-Tabela-Jersey-Yellow/dp/B07BHKPLG2/ref=sr_1_5?keywords=adidas+Tabela+18+Jersey+Youth&amp;qid=1695171237&amp;sr=8-5")</f>
        <v/>
      </c>
      <c r="F3282" t="inlineStr">
        <is>
          <t>B07BHKPLG2</t>
        </is>
      </c>
      <c r="G3282">
        <f>_xludf.IMAGE("https://www.soccerplususa.com/prodimages//31738-BLACK-M.jpg")</f>
        <v/>
      </c>
      <c r="H3282">
        <f>_xludf.IMAGE("https://m.media-amazon.com/images/I/51tN6c4gMmL._AC_UL320_.jpg")</f>
        <v/>
      </c>
      <c r="K3282" t="inlineStr">
        <is>
          <t>18.99</t>
        </is>
      </c>
      <c r="L3282" t="n">
        <v>25</v>
      </c>
      <c r="M3282" s="1" t="inlineStr">
        <is>
          <t>31.65%</t>
        </is>
      </c>
      <c r="N3282" s="3" t="n">
        <v>31.65</v>
      </c>
      <c r="O3282" t="n">
        <v>3.4</v>
      </c>
      <c r="P3282" t="n">
        <v>2</v>
      </c>
      <c r="R3282" t="inlineStr">
        <is>
          <t>InStock</t>
        </is>
      </c>
      <c r="S3282" t="inlineStr">
        <is>
          <t>24.95</t>
        </is>
      </c>
      <c r="T3282" t="inlineStr">
        <is>
          <t>CE8918</t>
        </is>
      </c>
    </row>
    <row r="3283" hidden="1" ht="15.75" customHeight="1">
      <c r="A3283" s="2">
        <f>HYPERLINK("https://www.soccerplususa.com/adidas/adidas-tabela-18-jersey-youth-33801", "https://www.soccerplususa.com/adidas/adidas-tabela-18-jersey-youth-33801")</f>
        <v/>
      </c>
      <c r="B3283" t="inlineStr">
        <is>
          <t>undefined</t>
        </is>
      </c>
      <c r="C3283" t="inlineStr">
        <is>
          <t>adidas Tabela 18 Jersey Youth</t>
        </is>
      </c>
      <c r="D3283" t="inlineStr">
        <is>
          <t>adidas Youth Tabela 18 Jersey Yellow</t>
        </is>
      </c>
      <c r="E3283" s="2">
        <f>HYPERLINK("https://www.amazon.com/adidas-Youth-Tabela-Jersey-Yellow/dp/B07BHKPLG2/ref=sr_1_3?keywords=adidas+Tabela+18+Jersey+Youth&amp;qid=1695171174&amp;sr=8-3", "https://www.amazon.com/adidas-Youth-Tabela-Jersey-Yellow/dp/B07BHKPLG2/ref=sr_1_3?keywords=adidas+Tabela+18+Jersey+Youth&amp;qid=1695171174&amp;sr=8-3")</f>
        <v/>
      </c>
      <c r="F3283" t="inlineStr">
        <is>
          <t>B07BHKPLG2</t>
        </is>
      </c>
      <c r="G3283">
        <f>_xludf.IMAGE("https://www.soccerplususa.com/prodimages//35352-REDWHITE-M.jpg")</f>
        <v/>
      </c>
      <c r="H3283">
        <f>_xludf.IMAGE("https://m.media-amazon.com/images/I/51tN6c4gMmL._AC_UL320_.jpg")</f>
        <v/>
      </c>
      <c r="K3283" t="inlineStr">
        <is>
          <t>18.99</t>
        </is>
      </c>
      <c r="L3283" t="n">
        <v>25</v>
      </c>
      <c r="M3283" s="1" t="inlineStr">
        <is>
          <t>31.65%</t>
        </is>
      </c>
      <c r="N3283" s="3" t="n">
        <v>31.65</v>
      </c>
      <c r="O3283" t="n">
        <v>3.4</v>
      </c>
      <c r="P3283" t="n">
        <v>2</v>
      </c>
      <c r="R3283" t="inlineStr">
        <is>
          <t>InStock</t>
        </is>
      </c>
      <c r="S3283" t="inlineStr">
        <is>
          <t>24.95</t>
        </is>
      </c>
      <c r="T3283" t="inlineStr">
        <is>
          <t>CE8914</t>
        </is>
      </c>
    </row>
    <row r="3284" hidden="1" ht="15.75" customHeight="1">
      <c r="A3284" s="2">
        <f>HYPERLINK("https://www.soccerplususa.com/adidas/adidas-tabela-18-jersey-youth-33803", "https://www.soccerplususa.com/adidas/adidas-tabela-18-jersey-youth-33803")</f>
        <v/>
      </c>
      <c r="B3284" t="inlineStr">
        <is>
          <t>undefined</t>
        </is>
      </c>
      <c r="C3284" t="inlineStr">
        <is>
          <t>adidas Tabela 18 Jersey Youth</t>
        </is>
      </c>
      <c r="D3284" t="inlineStr">
        <is>
          <t>adidas Youth Tabela 18 Jersey Yellow</t>
        </is>
      </c>
      <c r="E3284" s="2">
        <f>HYPERLINK("https://www.amazon.com/adidas-Youth-Tabela-Jersey-Yellow/dp/B07BHKPLG2/ref=sr_1_3?keywords=adidas+Tabela+18+Jersey+Youth&amp;qid=1695171168&amp;sr=8-3", "https://www.amazon.com/adidas-Youth-Tabela-Jersey-Yellow/dp/B07BHKPLG2/ref=sr_1_3?keywords=adidas+Tabela+18+Jersey+Youth&amp;qid=1695171168&amp;sr=8-3")</f>
        <v/>
      </c>
      <c r="F3284" t="inlineStr">
        <is>
          <t>B07BHKPLG2</t>
        </is>
      </c>
      <c r="G3284">
        <f>_xludf.IMAGE("https://www.soccerplususa.com/prodimages//35354-WHITE-M.jpg")</f>
        <v/>
      </c>
      <c r="H3284">
        <f>_xludf.IMAGE("https://m.media-amazon.com/images/I/51tN6c4gMmL._AC_UL320_.jpg")</f>
        <v/>
      </c>
      <c r="K3284" t="inlineStr">
        <is>
          <t>18.99</t>
        </is>
      </c>
      <c r="L3284" t="n">
        <v>25</v>
      </c>
      <c r="M3284" s="1" t="inlineStr">
        <is>
          <t>31.65%</t>
        </is>
      </c>
      <c r="N3284" s="3" t="n">
        <v>31.65</v>
      </c>
      <c r="O3284" t="n">
        <v>3.4</v>
      </c>
      <c r="P3284" t="n">
        <v>2</v>
      </c>
      <c r="R3284" t="inlineStr">
        <is>
          <t>InStock</t>
        </is>
      </c>
      <c r="S3284" t="inlineStr">
        <is>
          <t>24.95</t>
        </is>
      </c>
      <c r="T3284" t="inlineStr">
        <is>
          <t>CE8919</t>
        </is>
      </c>
    </row>
    <row r="3285" hidden="1" ht="15.75" customHeight="1">
      <c r="A3285" s="2">
        <f>HYPERLINK("https://www.soccerplususa.com/adidas/adidas-tabela-18-jersey-youth-5111", "https://www.soccerplususa.com/adidas/adidas-tabela-18-jersey-youth-5111")</f>
        <v/>
      </c>
      <c r="B3285" t="inlineStr">
        <is>
          <t>undefined</t>
        </is>
      </c>
      <c r="C3285" t="inlineStr">
        <is>
          <t>adidas Tabela 18 Jersey Youth</t>
        </is>
      </c>
      <c r="D3285" t="inlineStr">
        <is>
          <t>adidas Youth Tabela 18 Jersey Yellow</t>
        </is>
      </c>
      <c r="E3285" s="2">
        <f>HYPERLINK("https://www.amazon.com/adidas-Youth-Tabela-Jersey-Yellow/dp/B07BHKPLG2/ref=sr_1_3?keywords=adidas+Tabela+18+Jersey+Youth&amp;qid=1695171222&amp;sr=8-3", "https://www.amazon.com/adidas-Youth-Tabela-Jersey-Yellow/dp/B07BHKPLG2/ref=sr_1_3?keywords=adidas+Tabela+18+Jersey+Youth&amp;qid=1695171222&amp;sr=8-3")</f>
        <v/>
      </c>
      <c r="F3285" t="inlineStr">
        <is>
          <t>B07BHKPLG2</t>
        </is>
      </c>
      <c r="G3285">
        <f>_xludf.IMAGE("https://www.soccerplususa.com/prodimages//31714-YELLOW-M.jpg")</f>
        <v/>
      </c>
      <c r="H3285">
        <f>_xludf.IMAGE("https://m.media-amazon.com/images/I/51tN6c4gMmL._AC_UL320_.jpg")</f>
        <v/>
      </c>
      <c r="K3285" t="inlineStr">
        <is>
          <t>18.99</t>
        </is>
      </c>
      <c r="L3285" t="n">
        <v>25</v>
      </c>
      <c r="M3285" s="1" t="inlineStr">
        <is>
          <t>31.65%</t>
        </is>
      </c>
      <c r="N3285" s="3" t="n">
        <v>31.65</v>
      </c>
      <c r="O3285" t="n">
        <v>3.4</v>
      </c>
      <c r="P3285" t="n">
        <v>2</v>
      </c>
      <c r="R3285" t="inlineStr">
        <is>
          <t>InStock</t>
        </is>
      </c>
      <c r="S3285" t="inlineStr">
        <is>
          <t>24.95</t>
        </is>
      </c>
      <c r="T3285" t="inlineStr">
        <is>
          <t>CE8921</t>
        </is>
      </c>
    </row>
    <row r="3286" hidden="1" ht="15.75" customHeight="1">
      <c r="A3286" s="2">
        <f>HYPERLINK("https://www.soccerplususa.com/nike/nike-dry-academy-18-football-jacket-youth-34589", "https://www.soccerplususa.com/nike/nike-dry-academy-18-football-jacket-youth-34589")</f>
        <v/>
      </c>
      <c r="B3286" t="inlineStr">
        <is>
          <t>undefined</t>
        </is>
      </c>
      <c r="C3286" t="inlineStr">
        <is>
          <t>Nike Dry Academy 18 Football Jacket Youth</t>
        </is>
      </c>
      <c r="D3286" t="inlineStr">
        <is>
          <t>Nike Youth Dry Academy18 Football Winter Jacket (Youth) (Youth Small) Black</t>
        </is>
      </c>
      <c r="E3286" s="2">
        <f>HYPERLINK("https://www.amazon.com/Nike-Academy18-Football-Winter-Jacket/dp/B079JYPBWF/ref=sr_1_3?keywords=Nike+Dry+Academy+18+Football+Jacket+Youth&amp;qid=1695171163&amp;sr=8-3", "https://www.amazon.com/Nike-Academy18-Football-Winter-Jacket/dp/B079JYPBWF/ref=sr_1_3?keywords=Nike+Dry+Academy+18+Football+Jacket+Youth&amp;qid=1695171163&amp;sr=8-3")</f>
        <v/>
      </c>
      <c r="F3286" t="inlineStr">
        <is>
          <t>B079JYPBWF</t>
        </is>
      </c>
      <c r="G3286">
        <f>_xludf.IMAGE("https://www.soccerplususa.com/prodimages/7468-DEFAULT-l.jpg")</f>
        <v/>
      </c>
      <c r="H3286">
        <f>_xludf.IMAGE("https://m.media-amazon.com/images/I/81cE8FyMd3L._AC_UL320_.jpg")</f>
        <v/>
      </c>
      <c r="K3286" t="inlineStr">
        <is>
          <t>111.99</t>
        </is>
      </c>
      <c r="L3286" t="n">
        <v>147</v>
      </c>
      <c r="M3286" s="1" t="inlineStr">
        <is>
          <t>31.26%</t>
        </is>
      </c>
      <c r="N3286" s="3" t="n">
        <v>31.26</v>
      </c>
      <c r="O3286" t="n">
        <v>5</v>
      </c>
      <c r="P3286" t="n">
        <v>2</v>
      </c>
      <c r="R3286" t="inlineStr">
        <is>
          <t>InStock</t>
        </is>
      </c>
      <c r="S3286" t="inlineStr">
        <is>
          <t>149.95</t>
        </is>
      </c>
      <c r="T3286" t="inlineStr">
        <is>
          <t>893827-010</t>
        </is>
      </c>
    </row>
    <row r="3287" hidden="1" ht="15.75" customHeight="1">
      <c r="A3287" s="2">
        <f>HYPERLINK("https://www.soccerplususa.com/puma/puma-liga-jersey-37884", "https://www.soccerplususa.com/puma/puma-liga-jersey-37884")</f>
        <v/>
      </c>
      <c r="B3287" t="inlineStr">
        <is>
          <t>undefined</t>
        </is>
      </c>
      <c r="C3287" t="inlineStr">
        <is>
          <t>Puma Liga Jersey</t>
        </is>
      </c>
      <c r="D3287" t="inlineStr">
        <is>
          <t>PUMA Women's Teamliga Jersey</t>
        </is>
      </c>
      <c r="E3287" s="2">
        <f>HYPERLINK("https://www.amazon.com/PUMA-Womens-Teamliga-Jersey-Medium/dp/B097LWDSG5/ref=sr_1_9?keywords=Puma+Liga+Jersey&amp;qid=1695171168&amp;sr=8-9", "https://www.amazon.com/PUMA-Womens-Teamliga-Jersey-Medium/dp/B097LWDSG5/ref=sr_1_9?keywords=Puma+Liga+Jersey&amp;qid=1695171168&amp;sr=8-9")</f>
        <v/>
      </c>
      <c r="F3287" t="inlineStr">
        <is>
          <t>B097LWDSG5</t>
        </is>
      </c>
      <c r="G3287">
        <f>_xludf.IMAGE("https://www.soccerplususa.com/prodimages//35270-NAVYWHITE-M.jpg")</f>
        <v/>
      </c>
      <c r="H3287">
        <f>_xludf.IMAGE("https://m.media-amazon.com/images/I/51h1mCcE12L._AC_UL320_.jpg")</f>
        <v/>
      </c>
      <c r="K3287" t="inlineStr">
        <is>
          <t>20.99</t>
        </is>
      </c>
      <c r="L3287" t="n">
        <v>27.16</v>
      </c>
      <c r="M3287" s="1" t="inlineStr">
        <is>
          <t>29.39%</t>
        </is>
      </c>
      <c r="N3287" s="3" t="n">
        <v>29.39</v>
      </c>
      <c r="O3287" t="n">
        <v>4.6</v>
      </c>
      <c r="P3287" t="n">
        <v>52</v>
      </c>
      <c r="R3287" t="inlineStr">
        <is>
          <t>InStock</t>
        </is>
      </c>
      <c r="S3287" t="inlineStr">
        <is>
          <t>27.95</t>
        </is>
      </c>
      <c r="T3287" t="inlineStr">
        <is>
          <t>703417-06</t>
        </is>
      </c>
    </row>
    <row r="3288" hidden="1" ht="15.75" customHeight="1">
      <c r="A3288" s="2">
        <f>HYPERLINK("https://www.soccerplususa.com/nike/nike-epic-training-jacket-24378", "https://www.soccerplususa.com/nike/nike-epic-training-jacket-24378")</f>
        <v/>
      </c>
      <c r="B3288" t="inlineStr">
        <is>
          <t>undefined</t>
        </is>
      </c>
      <c r="C3288" t="inlineStr">
        <is>
          <t>Nike Epic Training Jacket</t>
        </is>
      </c>
      <c r="D3288" t="inlineStr">
        <is>
          <t>Nike Men's Epic Training Jacket</t>
        </is>
      </c>
      <c r="E3288" s="2">
        <f>HYPERLINK("https://www.amazon.com/Nike-Mens-Training-Jacket-Royal/dp/B083QDNKH4/ref=sr_1_2?keywords=Nike+Epic+Training+Jacket&amp;qid=1695171174&amp;sr=8-2", "https://www.amazon.com/Nike-Mens-Training-Jacket-Royal/dp/B083QDNKH4/ref=sr_1_2?keywords=Nike+Epic+Training+Jacket&amp;qid=1695171174&amp;sr=8-2")</f>
        <v/>
      </c>
      <c r="F3288" t="inlineStr">
        <is>
          <t>B083QDNKH4</t>
        </is>
      </c>
      <c r="G3288">
        <f>_xludf.IMAGE("https://www.soccerplususa.com/prodimages/6287-DEFAULT-l.jpg")</f>
        <v/>
      </c>
      <c r="H3288">
        <f>_xludf.IMAGE("https://m.media-amazon.com/images/I/61AlQlDbTRL._AC_UL320_.jpg")</f>
        <v/>
      </c>
      <c r="K3288" t="inlineStr">
        <is>
          <t>40.99</t>
        </is>
      </c>
      <c r="L3288" t="n">
        <v>52.94</v>
      </c>
      <c r="M3288" s="1" t="inlineStr">
        <is>
          <t>29.15%</t>
        </is>
      </c>
      <c r="N3288" s="3" t="n">
        <v>29.15</v>
      </c>
      <c r="O3288" t="n">
        <v>4.8</v>
      </c>
      <c r="P3288" t="n">
        <v>12</v>
      </c>
      <c r="R3288" t="inlineStr">
        <is>
          <t>InStock</t>
        </is>
      </c>
      <c r="S3288" t="inlineStr">
        <is>
          <t>54.95</t>
        </is>
      </c>
      <c r="T3288" t="inlineStr">
        <is>
          <t>835571-466</t>
        </is>
      </c>
    </row>
    <row r="3289" hidden="1" ht="15.75" customHeight="1">
      <c r="A3289" s="2">
        <f>HYPERLINK("https://www.soccerplususa.com/nike/nike-legend-tee-womens-20413", "https://www.soccerplususa.com/nike/nike-legend-tee-womens-20413")</f>
        <v/>
      </c>
      <c r="B3289" t="inlineStr">
        <is>
          <t>undefined</t>
        </is>
      </c>
      <c r="C3289" t="inlineStr">
        <is>
          <t>Nike Legend Tee Women's</t>
        </is>
      </c>
      <c r="D3289" t="inlineStr">
        <is>
          <t>Nike Women's Legend Short Sleeve Shirt</t>
        </is>
      </c>
      <c r="E3289" s="2">
        <f>HYPERLINK("https://www.amazon.com/Womens-Dri-Fit-Legend-Sleeve-T-Shirt/dp/B0085YRWZ4/ref=sr_1_1?keywords=Nike+Legend+Tee+Womens&amp;qid=1695171184&amp;sr=8-1", "https://www.amazon.com/Womens-Dri-Fit-Legend-Sleeve-T-Shirt/dp/B0085YRWZ4/ref=sr_1_1?keywords=Nike+Legend+Tee+Womens&amp;qid=1695171184&amp;sr=8-1")</f>
        <v/>
      </c>
      <c r="F3289" t="inlineStr">
        <is>
          <t>B0085YRWZ4</t>
        </is>
      </c>
      <c r="G3289">
        <f>_xludf.IMAGE("https://www.soccerplususa.com/prodimages/31739-DEFAULT-l.jpg")</f>
        <v/>
      </c>
      <c r="H3289">
        <f>_xludf.IMAGE("https://m.media-amazon.com/images/I/41Gi4G-VnfL._AC_UL320_.jpg")</f>
        <v/>
      </c>
      <c r="K3289" t="inlineStr">
        <is>
          <t>18.99</t>
        </is>
      </c>
      <c r="L3289" t="n">
        <v>24.49</v>
      </c>
      <c r="M3289" s="1" t="inlineStr">
        <is>
          <t>28.96%</t>
        </is>
      </c>
      <c r="N3289" s="3" t="n">
        <v>28.96</v>
      </c>
      <c r="O3289" t="n">
        <v>4.5</v>
      </c>
      <c r="P3289" t="n">
        <v>347</v>
      </c>
      <c r="R3289" t="inlineStr">
        <is>
          <t>InStock</t>
        </is>
      </c>
      <c r="S3289" t="inlineStr">
        <is>
          <t>24.95</t>
        </is>
      </c>
      <c r="T3289" t="inlineStr">
        <is>
          <t>453181-657</t>
        </is>
      </c>
    </row>
    <row r="3290" hidden="1" ht="15.75" customHeight="1">
      <c r="A3290" s="2">
        <f>HYPERLINK("https://www.soccerplususa.com/adidas/adidas-tabela-18-jersey-youth-5110", "https://www.soccerplususa.com/adidas/adidas-tabela-18-jersey-youth-5110")</f>
        <v/>
      </c>
      <c r="B3290" t="inlineStr">
        <is>
          <t>undefined</t>
        </is>
      </c>
      <c r="C3290" t="inlineStr">
        <is>
          <t>adidas Tabela 18 Jersey Youth</t>
        </is>
      </c>
      <c r="D3290" t="inlineStr">
        <is>
          <t>adidas Youth Tabela 18 Jersey</t>
        </is>
      </c>
      <c r="E3290" s="2">
        <f>HYPERLINK("https://www.amazon.com/adidas-TABELA-Jersey-Y%E2%9D%97%EF%B8%8FShips-Directly/dp/B078LCB4LK/ref=sr_1_4?keywords=adidas+Tabela+18+Jersey+Youth&amp;qid=1695171223&amp;sr=8-4", "https://www.amazon.com/adidas-TABELA-Jersey-Y%E2%9D%97%EF%B8%8FShips-Directly/dp/B078LCB4LK/ref=sr_1_4?keywords=adidas+Tabela+18+Jersey+Youth&amp;qid=1695171223&amp;sr=8-4")</f>
        <v/>
      </c>
      <c r="F3290" t="inlineStr">
        <is>
          <t>B078LCB4LK</t>
        </is>
      </c>
      <c r="G3290">
        <f>_xludf.IMAGE("https://www.soccerplususa.com/prodimages//31722-GRAY-M.jpg")</f>
        <v/>
      </c>
      <c r="H3290">
        <f>_xludf.IMAGE("https://m.media-amazon.com/images/I/61G-4wd3sCL._AC_UL320_.jpg")</f>
        <v/>
      </c>
      <c r="K3290" t="inlineStr">
        <is>
          <t>18.99</t>
        </is>
      </c>
      <c r="L3290" t="n">
        <v>24.47</v>
      </c>
      <c r="M3290" s="1" t="inlineStr">
        <is>
          <t>28.86%</t>
        </is>
      </c>
      <c r="N3290" s="3" t="n">
        <v>28.86</v>
      </c>
      <c r="O3290" t="n">
        <v>1.8</v>
      </c>
      <c r="P3290" t="n">
        <v>2</v>
      </c>
      <c r="R3290" t="inlineStr">
        <is>
          <t>InStock</t>
        </is>
      </c>
      <c r="S3290" t="inlineStr">
        <is>
          <t>24.95</t>
        </is>
      </c>
      <c r="T3290" t="inlineStr">
        <is>
          <t>CE8920</t>
        </is>
      </c>
    </row>
    <row r="3291" hidden="1" ht="15.75" customHeight="1">
      <c r="A3291" s="2">
        <f>HYPERLINK("https://www.soccerplususa.com/adidas/adidas-tabela-18-jersey-youth-33803", "https://www.soccerplususa.com/adidas/adidas-tabela-18-jersey-youth-33803")</f>
        <v/>
      </c>
      <c r="B3291" t="inlineStr">
        <is>
          <t>undefined</t>
        </is>
      </c>
      <c r="C3291" t="inlineStr">
        <is>
          <t>adidas Tabela 18 Jersey Youth</t>
        </is>
      </c>
      <c r="D3291" t="inlineStr">
        <is>
          <t>adidas Youth Tabela 18 Jersey</t>
        </is>
      </c>
      <c r="E3291" s="2">
        <f>HYPERLINK("https://www.amazon.com/adidas-TABELA-Jersey-Y%E2%9D%97%EF%B8%8FShips-Directly/dp/B078LCB4LK/ref=sr_1_2?keywords=adidas+Tabela+18+Jersey+Youth&amp;qid=1695171168&amp;sr=8-2", "https://www.amazon.com/adidas-TABELA-Jersey-Y%E2%9D%97%EF%B8%8FShips-Directly/dp/B078LCB4LK/ref=sr_1_2?keywords=adidas+Tabela+18+Jersey+Youth&amp;qid=1695171168&amp;sr=8-2")</f>
        <v/>
      </c>
      <c r="F3291" t="inlineStr">
        <is>
          <t>B078LCB4LK</t>
        </is>
      </c>
      <c r="G3291">
        <f>_xludf.IMAGE("https://www.soccerplususa.com/prodimages//35354-WHITE-M.jpg")</f>
        <v/>
      </c>
      <c r="H3291">
        <f>_xludf.IMAGE("https://m.media-amazon.com/images/I/61G-4wd3sCL._AC_UL320_.jpg")</f>
        <v/>
      </c>
      <c r="K3291" t="inlineStr">
        <is>
          <t>18.99</t>
        </is>
      </c>
      <c r="L3291" t="n">
        <v>24.47</v>
      </c>
      <c r="M3291" s="1" t="inlineStr">
        <is>
          <t>28.86%</t>
        </is>
      </c>
      <c r="N3291" s="3" t="n">
        <v>28.86</v>
      </c>
      <c r="O3291" t="n">
        <v>1.8</v>
      </c>
      <c r="P3291" t="n">
        <v>2</v>
      </c>
      <c r="R3291" t="inlineStr">
        <is>
          <t>InStock</t>
        </is>
      </c>
      <c r="S3291" t="inlineStr">
        <is>
          <t>24.95</t>
        </is>
      </c>
      <c r="T3291" t="inlineStr">
        <is>
          <t>CE8919</t>
        </is>
      </c>
    </row>
    <row r="3292" hidden="1" ht="15.75" customHeight="1">
      <c r="A3292" s="2">
        <f>HYPERLINK("https://www.soccerplususa.com/adidas/adidas-tabela-18-jersey-youth-5109", "https://www.soccerplususa.com/adidas/adidas-tabela-18-jersey-youth-5109")</f>
        <v/>
      </c>
      <c r="B3292" t="inlineStr">
        <is>
          <t>undefined</t>
        </is>
      </c>
      <c r="C3292" t="inlineStr">
        <is>
          <t>adidas Tabela 18 Jersey Youth</t>
        </is>
      </c>
      <c r="D3292" t="inlineStr">
        <is>
          <t>adidas Youth Tabela 18 Jersey</t>
        </is>
      </c>
      <c r="E3292" s="2">
        <f>HYPERLINK("https://www.amazon.com/adidas-TABELA-Jersey-Y%E2%9D%97%EF%B8%8FShips-Directly/dp/B078LCB4LK/ref=sr_1_4?keywords=adidas+Tabela+18+Jersey+Youth&amp;qid=1695171237&amp;sr=8-4", "https://www.amazon.com/adidas-TABELA-Jersey-Y%E2%9D%97%EF%B8%8FShips-Directly/dp/B078LCB4LK/ref=sr_1_4?keywords=adidas+Tabela+18+Jersey+Youth&amp;qid=1695171237&amp;sr=8-4")</f>
        <v/>
      </c>
      <c r="F3292" t="inlineStr">
        <is>
          <t>B078LCB4LK</t>
        </is>
      </c>
      <c r="G3292">
        <f>_xludf.IMAGE("https://www.soccerplususa.com/prodimages//31738-BLACK-M.jpg")</f>
        <v/>
      </c>
      <c r="H3292">
        <f>_xludf.IMAGE("https://m.media-amazon.com/images/I/61G-4wd3sCL._AC_UL320_.jpg")</f>
        <v/>
      </c>
      <c r="K3292" t="inlineStr">
        <is>
          <t>18.99</t>
        </is>
      </c>
      <c r="L3292" t="n">
        <v>24.47</v>
      </c>
      <c r="M3292" s="1" t="inlineStr">
        <is>
          <t>28.86%</t>
        </is>
      </c>
      <c r="N3292" s="3" t="n">
        <v>28.86</v>
      </c>
      <c r="O3292" t="n">
        <v>1.8</v>
      </c>
      <c r="P3292" t="n">
        <v>2</v>
      </c>
      <c r="R3292" t="inlineStr">
        <is>
          <t>InStock</t>
        </is>
      </c>
      <c r="S3292" t="inlineStr">
        <is>
          <t>24.95</t>
        </is>
      </c>
      <c r="T3292" t="inlineStr">
        <is>
          <t>CE8918</t>
        </is>
      </c>
    </row>
    <row r="3293" hidden="1" ht="15.75" customHeight="1">
      <c r="A3293" s="2">
        <f>HYPERLINK("https://www.soccerplususa.com/adidas/adidas-tabela-18-jersey-youth-33801", "https://www.soccerplususa.com/adidas/adidas-tabela-18-jersey-youth-33801")</f>
        <v/>
      </c>
      <c r="B3293" t="inlineStr">
        <is>
          <t>undefined</t>
        </is>
      </c>
      <c r="C3293" t="inlineStr">
        <is>
          <t>adidas Tabela 18 Jersey Youth</t>
        </is>
      </c>
      <c r="D3293" t="inlineStr">
        <is>
          <t>adidas Youth Tabela 18 Jersey</t>
        </is>
      </c>
      <c r="E3293" s="2">
        <f>HYPERLINK("https://www.amazon.com/adidas-TABELA-Jersey-Y%E2%9D%97%EF%B8%8FShips-Directly/dp/B078LCB4LK/ref=sr_1_2?keywords=adidas+Tabela+18+Jersey+Youth&amp;qid=1695171174&amp;sr=8-2", "https://www.amazon.com/adidas-TABELA-Jersey-Y%E2%9D%97%EF%B8%8FShips-Directly/dp/B078LCB4LK/ref=sr_1_2?keywords=adidas+Tabela+18+Jersey+Youth&amp;qid=1695171174&amp;sr=8-2")</f>
        <v/>
      </c>
      <c r="F3293" t="inlineStr">
        <is>
          <t>B078LCB4LK</t>
        </is>
      </c>
      <c r="G3293">
        <f>_xludf.IMAGE("https://www.soccerplususa.com/prodimages//35352-REDWHITE-M.jpg")</f>
        <v/>
      </c>
      <c r="H3293">
        <f>_xludf.IMAGE("https://m.media-amazon.com/images/I/61G-4wd3sCL._AC_UL320_.jpg")</f>
        <v/>
      </c>
      <c r="K3293" t="inlineStr">
        <is>
          <t>18.99</t>
        </is>
      </c>
      <c r="L3293" t="n">
        <v>24.47</v>
      </c>
      <c r="M3293" s="1" t="inlineStr">
        <is>
          <t>28.86%</t>
        </is>
      </c>
      <c r="N3293" s="3" t="n">
        <v>28.86</v>
      </c>
      <c r="O3293" t="n">
        <v>1.8</v>
      </c>
      <c r="P3293" t="n">
        <v>2</v>
      </c>
      <c r="R3293" t="inlineStr">
        <is>
          <t>InStock</t>
        </is>
      </c>
      <c r="S3293" t="inlineStr">
        <is>
          <t>24.95</t>
        </is>
      </c>
      <c r="T3293" t="inlineStr">
        <is>
          <t>CE8914</t>
        </is>
      </c>
    </row>
    <row r="3294" hidden="1" ht="15.75" customHeight="1">
      <c r="A3294" s="2">
        <f>HYPERLINK("https://www.soccerplususa.com/under-armour/under-armour-coldgear-ls-mock-32981", "https://www.soccerplususa.com/under-armour/under-armour-coldgear-ls-mock-32981")</f>
        <v/>
      </c>
      <c r="B3294" t="inlineStr">
        <is>
          <t>undefined</t>
        </is>
      </c>
      <c r="C3294" t="inlineStr">
        <is>
          <t>Under Armour Coldgear LS Mock</t>
        </is>
      </c>
      <c r="D3294" t="inlineStr">
        <is>
          <t>Under Armour Men's ColdGear Compression Mock</t>
        </is>
      </c>
      <c r="E3294" s="2">
        <f>HYPERLINK("https://www.amazon.com/Under-Armour-ColdGear-Compression-Black/dp/B08LPM6J1C/ref=sr_1_4?keywords=Under+Armour+Coldgear+LS+Mock&amp;qid=1695171172&amp;sr=8-4", "https://www.amazon.com/Under-Armour-ColdGear-Compression-Black/dp/B08LPM6J1C/ref=sr_1_4?keywords=Under+Armour+Coldgear+LS+Mock&amp;qid=1695171172&amp;sr=8-4")</f>
        <v/>
      </c>
      <c r="F3294" t="inlineStr">
        <is>
          <t>B08LPM6J1C</t>
        </is>
      </c>
      <c r="G3294">
        <f>_xludf.IMAGE("https://www.soccerplususa.com/prodimages/467-DEFAULT-l.jpg")</f>
        <v/>
      </c>
      <c r="H3294">
        <f>_xludf.IMAGE("https://m.media-amazon.com/images/I/71OiO5xp7oL._AC_UL320_.jpg")</f>
        <v/>
      </c>
      <c r="K3294" t="inlineStr">
        <is>
          <t>34.95</t>
        </is>
      </c>
      <c r="L3294" t="n">
        <v>45</v>
      </c>
      <c r="M3294" s="1" t="inlineStr">
        <is>
          <t>28.76%</t>
        </is>
      </c>
      <c r="N3294" s="3" t="n">
        <v>28.76</v>
      </c>
      <c r="O3294" t="n">
        <v>4.7</v>
      </c>
      <c r="P3294" t="n">
        <v>2091</v>
      </c>
      <c r="R3294" t="inlineStr">
        <is>
          <t>InStock</t>
        </is>
      </c>
      <c r="S3294" t="inlineStr">
        <is>
          <t>44.95</t>
        </is>
      </c>
      <c r="T3294" t="inlineStr">
        <is>
          <t>1000512-100</t>
        </is>
      </c>
    </row>
    <row r="3295" hidden="1" ht="15.75" customHeight="1">
      <c r="A3295" s="2">
        <f>HYPERLINK("https://www.soccerplususa.com/nike/nike-tiempo-premier-jersey-34604", "https://www.soccerplususa.com/nike/nike-tiempo-premier-jersey-34604")</f>
        <v/>
      </c>
      <c r="B3295" t="inlineStr">
        <is>
          <t>undefined</t>
        </is>
      </c>
      <c r="C3295" t="inlineStr">
        <is>
          <t>Nike Tiempo Premier Jersey</t>
        </is>
      </c>
      <c r="D3295" t="inlineStr">
        <is>
          <t>Nike Womens Tiempo Premier Soccer Jersey</t>
        </is>
      </c>
      <c r="E3295" s="2">
        <f>HYPERLINK("https://www.amazon.com/Nike-Womens-Dri-Fit-Premier-Regular/dp/B0C7ZKF5DC/ref=sr_1_2?keywords=Nike+Tiempo+Premier+Jersey&amp;qid=1695171163&amp;sr=8-2", "https://www.amazon.com/Nike-Womens-Dri-Fit-Premier-Regular/dp/B0C7ZKF5DC/ref=sr_1_2?keywords=Nike+Tiempo+Premier+Jersey&amp;qid=1695171163&amp;sr=8-2")</f>
        <v/>
      </c>
      <c r="F3295" t="inlineStr">
        <is>
          <t>B0C7ZKF5DC</t>
        </is>
      </c>
      <c r="G3295">
        <f>_xludf.IMAGE("https://www.soccerplususa.com/prodimages/32882-DEFAULT-l.jpg")</f>
        <v/>
      </c>
      <c r="H3295">
        <f>_xludf.IMAGE("https://m.media-amazon.com/images/I/41Kv4CYLgTL._AC_UL320_.jpg")</f>
        <v/>
      </c>
      <c r="K3295" t="inlineStr">
        <is>
          <t>18.99</t>
        </is>
      </c>
      <c r="L3295" t="n">
        <v>24.45</v>
      </c>
      <c r="M3295" s="1" t="inlineStr">
        <is>
          <t>28.75%</t>
        </is>
      </c>
      <c r="N3295" s="3" t="n">
        <v>28.75</v>
      </c>
      <c r="O3295" t="n">
        <v>3.8</v>
      </c>
      <c r="P3295" t="n">
        <v>7</v>
      </c>
      <c r="R3295" t="inlineStr">
        <is>
          <t>InStock</t>
        </is>
      </c>
      <c r="S3295" t="inlineStr">
        <is>
          <t>23.95</t>
        </is>
      </c>
      <c r="T3295" t="inlineStr">
        <is>
          <t>894293-448</t>
        </is>
      </c>
    </row>
    <row r="3296" hidden="1" ht="15.75" customHeight="1">
      <c r="A3296" s="2">
        <f>HYPERLINK("https://www.soccerplususa.com/nike/nike-tiempo-premier-jersey-34605", "https://www.soccerplususa.com/nike/nike-tiempo-premier-jersey-34605")</f>
        <v/>
      </c>
      <c r="B3296" t="inlineStr">
        <is>
          <t>undefined</t>
        </is>
      </c>
      <c r="C3296" t="inlineStr">
        <is>
          <t>Nike Tiempo Premier Jersey</t>
        </is>
      </c>
      <c r="D3296" t="inlineStr">
        <is>
          <t>Nike Womens Tiempo Premier Soccer Jersey</t>
        </is>
      </c>
      <c r="E3296" s="2">
        <f>HYPERLINK("https://www.amazon.com/Nike-Womens-Dri-Fit-Premier-Regular/dp/B0C7ZKF5DC/ref=sr_1_2?keywords=Nike+Tiempo+Premier+Jersey&amp;qid=1695171160&amp;sr=8-2", "https://www.amazon.com/Nike-Womens-Dri-Fit-Premier-Regular/dp/B0C7ZKF5DC/ref=sr_1_2?keywords=Nike+Tiempo+Premier+Jersey&amp;qid=1695171160&amp;sr=8-2")</f>
        <v/>
      </c>
      <c r="F3296" t="inlineStr">
        <is>
          <t>B0C7ZKF5DC</t>
        </is>
      </c>
      <c r="G3296">
        <f>_xludf.IMAGE("https://www.soccerplususa.com/prodimages/32883-DEFAULT-l.jpg")</f>
        <v/>
      </c>
      <c r="H3296">
        <f>_xludf.IMAGE("https://m.media-amazon.com/images/I/41Kv4CYLgTL._AC_UL320_.jpg")</f>
        <v/>
      </c>
      <c r="K3296" t="inlineStr">
        <is>
          <t>18.99</t>
        </is>
      </c>
      <c r="L3296" t="n">
        <v>24.45</v>
      </c>
      <c r="M3296" s="1" t="inlineStr">
        <is>
          <t>28.75%</t>
        </is>
      </c>
      <c r="N3296" s="3" t="n">
        <v>28.75</v>
      </c>
      <c r="O3296" t="n">
        <v>3.8</v>
      </c>
      <c r="P3296" t="n">
        <v>7</v>
      </c>
      <c r="R3296" t="inlineStr">
        <is>
          <t>InStock</t>
        </is>
      </c>
      <c r="S3296" t="inlineStr">
        <is>
          <t>23.95</t>
        </is>
      </c>
      <c r="T3296" t="inlineStr">
        <is>
          <t>894293-692</t>
        </is>
      </c>
    </row>
    <row r="3297" hidden="1" ht="15.75" customHeight="1">
      <c r="A3297" s="2">
        <f>HYPERLINK("https://www.soccerplususa.com/puma/puma-teamfinal-21-graphic-jersey-40618", "https://www.soccerplususa.com/puma/puma-teamfinal-21-graphic-jersey-40618")</f>
        <v/>
      </c>
      <c r="B3297" t="inlineStr">
        <is>
          <t>undefined</t>
        </is>
      </c>
      <c r="C3297" t="inlineStr">
        <is>
          <t>Puma Teamfinal 21 Graphic Jersey</t>
        </is>
      </c>
      <c r="D3297" t="inlineStr">
        <is>
          <t>PUMA Men's Teamfinal 21 Graphic Jersey</t>
        </is>
      </c>
      <c r="E3297" s="2">
        <f>HYPERLINK("https://www.amazon.com/PUMA-Teamfinal-Graphic-Electric-Lemonade/dp/B086RSH741/ref=sr_1_1?keywords=Puma+Teamfinal+21+Graphic+Jersey&amp;qid=1695171148&amp;sr=8-1", "https://www.amazon.com/PUMA-Teamfinal-Graphic-Electric-Lemonade/dp/B086RSH741/ref=sr_1_1?keywords=Puma+Teamfinal+21+Graphic+Jersey&amp;qid=1695171148&amp;sr=8-1")</f>
        <v/>
      </c>
      <c r="F3297" t="inlineStr">
        <is>
          <t>B086RSH741</t>
        </is>
      </c>
      <c r="G3297">
        <f>_xludf.IMAGE("https://www.soccerplususa.com/prodimages//37414-Pepper_Green-M.jpg")</f>
        <v/>
      </c>
      <c r="H3297">
        <f>_xludf.IMAGE("https://m.media-amazon.com/images/I/61gZBtzx9vL._AC_UL320_.jpg")</f>
        <v/>
      </c>
      <c r="K3297" t="inlineStr">
        <is>
          <t>29.99</t>
        </is>
      </c>
      <c r="L3297" t="n">
        <v>38.61</v>
      </c>
      <c r="M3297" s="1" t="inlineStr">
        <is>
          <t>28.74%</t>
        </is>
      </c>
      <c r="N3297" s="3" t="n">
        <v>28.74</v>
      </c>
      <c r="O3297" t="n">
        <v>4.4</v>
      </c>
      <c r="P3297" t="n">
        <v>87</v>
      </c>
      <c r="R3297" t="inlineStr">
        <is>
          <t>InStock</t>
        </is>
      </c>
      <c r="S3297" t="inlineStr">
        <is>
          <t>39.95</t>
        </is>
      </c>
      <c r="T3297" t="inlineStr">
        <is>
          <t>704150-05</t>
        </is>
      </c>
    </row>
    <row r="3298" hidden="1" ht="15.75" customHeight="1">
      <c r="A3298" s="2">
        <f>HYPERLINK("https://www.soccerplususa.com/puma/puma-teamfinal-21-graphic-jersey-41907", "https://www.soccerplususa.com/puma/puma-teamfinal-21-graphic-jersey-41907")</f>
        <v/>
      </c>
      <c r="B3298" t="inlineStr">
        <is>
          <t>undefined</t>
        </is>
      </c>
      <c r="C3298" t="inlineStr">
        <is>
          <t>Puma Teamfinal 21 Graphic Jersey</t>
        </is>
      </c>
      <c r="D3298" t="inlineStr">
        <is>
          <t>PUMA Men's Teamfinal 21 Graphic Jersey</t>
        </is>
      </c>
      <c r="E3298" s="2">
        <f>HYPERLINK("https://www.amazon.com/PUMA-Teamfinal-Graphic-Electric-Lemonade/dp/B086RSH741/ref=sr_1_1?keywords=Puma+Teamfinal+21+Graphic+Jersey&amp;qid=1695171144&amp;sr=8-1", "https://www.amazon.com/PUMA-Teamfinal-Graphic-Electric-Lemonade/dp/B086RSH741/ref=sr_1_1?keywords=Puma+Teamfinal+21+Graphic+Jersey&amp;qid=1695171144&amp;sr=8-1")</f>
        <v/>
      </c>
      <c r="F3298" t="inlineStr">
        <is>
          <t>B086RSH741</t>
        </is>
      </c>
      <c r="G3298">
        <f>_xludf.IMAGE("https://www.soccerplususa.com/prodimages//37409-NAVY-M.jpg")</f>
        <v/>
      </c>
      <c r="H3298">
        <f>_xludf.IMAGE("https://m.media-amazon.com/images/I/61gZBtzx9vL._AC_UL320_.jpg")</f>
        <v/>
      </c>
      <c r="K3298" t="inlineStr">
        <is>
          <t>29.99</t>
        </is>
      </c>
      <c r="L3298" t="n">
        <v>38.61</v>
      </c>
      <c r="M3298" s="1" t="inlineStr">
        <is>
          <t>28.74%</t>
        </is>
      </c>
      <c r="N3298" s="3" t="n">
        <v>28.74</v>
      </c>
      <c r="O3298" t="n">
        <v>4.4</v>
      </c>
      <c r="P3298" t="n">
        <v>87</v>
      </c>
      <c r="R3298" t="inlineStr">
        <is>
          <t>InStock</t>
        </is>
      </c>
      <c r="S3298" t="inlineStr">
        <is>
          <t>39.95</t>
        </is>
      </c>
      <c r="T3298" t="inlineStr">
        <is>
          <t>704150-06</t>
        </is>
      </c>
    </row>
    <row r="3299" hidden="1" ht="15.75" customHeight="1">
      <c r="A3299" s="2">
        <f>HYPERLINK("https://www.soccerplususa.com/puma/puma-teamfinal-21-graphic-jersey-38602", "https://www.soccerplususa.com/puma/puma-teamfinal-21-graphic-jersey-38602")</f>
        <v/>
      </c>
      <c r="B3299" t="inlineStr">
        <is>
          <t>undefined</t>
        </is>
      </c>
      <c r="C3299" t="inlineStr">
        <is>
          <t>Puma Teamfinal 21 Graphic Jersey</t>
        </is>
      </c>
      <c r="D3299" t="inlineStr">
        <is>
          <t>PUMA Men's Teamfinal 21 Graphic Jersey</t>
        </is>
      </c>
      <c r="E3299" s="2">
        <f>HYPERLINK("https://www.amazon.com/PUMA-Teamfinal-Graphic-Electric-Lemonade/dp/B086RSH741/ref=sr_1_1?keywords=Puma+Teamfinal+21+Graphic+Jersey&amp;qid=1695171165&amp;sr=8-1", "https://www.amazon.com/PUMA-Teamfinal-Graphic-Electric-Lemonade/dp/B086RSH741/ref=sr_1_1?keywords=Puma+Teamfinal+21+Graphic+Jersey&amp;qid=1695171165&amp;sr=8-1")</f>
        <v/>
      </c>
      <c r="F3299" t="inlineStr">
        <is>
          <t>B086RSH741</t>
        </is>
      </c>
      <c r="G3299">
        <f>_xludf.IMAGE("https://www.soccerplususa.com/prodimages//35266-YELLOW-M.jpg")</f>
        <v/>
      </c>
      <c r="H3299">
        <f>_xludf.IMAGE("https://m.media-amazon.com/images/I/61gZBtzx9vL._AC_UL320_.jpg")</f>
        <v/>
      </c>
      <c r="K3299" t="inlineStr">
        <is>
          <t>29.99</t>
        </is>
      </c>
      <c r="L3299" t="n">
        <v>38.61</v>
      </c>
      <c r="M3299" s="1" t="inlineStr">
        <is>
          <t>28.74%</t>
        </is>
      </c>
      <c r="N3299" s="3" t="n">
        <v>28.74</v>
      </c>
      <c r="O3299" t="n">
        <v>4.4</v>
      </c>
      <c r="P3299" t="n">
        <v>87</v>
      </c>
      <c r="R3299" t="inlineStr">
        <is>
          <t>InStock</t>
        </is>
      </c>
      <c r="S3299" t="inlineStr">
        <is>
          <t>39.95</t>
        </is>
      </c>
      <c r="T3299" t="inlineStr">
        <is>
          <t>704150-07</t>
        </is>
      </c>
    </row>
    <row r="3300" hidden="1" ht="15.75" customHeight="1">
      <c r="A3300" s="2">
        <f>HYPERLINK("https://www.soccerplususa.com/puma/puma-teamfinal-21-graphic-jersey-42133", "https://www.soccerplususa.com/puma/puma-teamfinal-21-graphic-jersey-42133")</f>
        <v/>
      </c>
      <c r="B3300" t="inlineStr">
        <is>
          <t>undefined</t>
        </is>
      </c>
      <c r="C3300" t="inlineStr">
        <is>
          <t>Puma Teamfinal 21 Graphic Jersey</t>
        </is>
      </c>
      <c r="D3300" t="inlineStr">
        <is>
          <t>PUMA Men's Teamfinal 21 Graphic Jersey</t>
        </is>
      </c>
      <c r="E3300" s="2">
        <f>HYPERLINK("https://www.amazon.com/PUMA-Teamfinal-Graphic-Electric-Lemonade/dp/B086RSH741/ref=sr_1_1?keywords=Puma+Teamfinal+21+Graphic+Jersey&amp;qid=1695171174&amp;sr=8-1", "https://www.amazon.com/PUMA-Teamfinal-Graphic-Electric-Lemonade/dp/B086RSH741/ref=sr_1_1?keywords=Puma+Teamfinal+21+Graphic+Jersey&amp;qid=1695171174&amp;sr=8-1")</f>
        <v/>
      </c>
      <c r="F3300" t="inlineStr">
        <is>
          <t>B086RSH741</t>
        </is>
      </c>
      <c r="G3300">
        <f>_xludf.IMAGE("https://www.soccerplususa.com/prodimages//37416-GRAY-M.jpg")</f>
        <v/>
      </c>
      <c r="H3300">
        <f>_xludf.IMAGE("https://m.media-amazon.com/images/I/61gZBtzx9vL._AC_UL320_.jpg")</f>
        <v/>
      </c>
      <c r="K3300" t="inlineStr">
        <is>
          <t>29.99</t>
        </is>
      </c>
      <c r="L3300" t="n">
        <v>38.61</v>
      </c>
      <c r="M3300" s="1" t="inlineStr">
        <is>
          <t>28.74%</t>
        </is>
      </c>
      <c r="N3300" s="3" t="n">
        <v>28.74</v>
      </c>
      <c r="O3300" t="n">
        <v>4.4</v>
      </c>
      <c r="P3300" t="n">
        <v>87</v>
      </c>
      <c r="R3300" t="inlineStr">
        <is>
          <t>InStock</t>
        </is>
      </c>
      <c r="S3300" t="inlineStr">
        <is>
          <t>39.95</t>
        </is>
      </c>
      <c r="T3300" t="inlineStr">
        <is>
          <t>704150-13</t>
        </is>
      </c>
    </row>
    <row r="3301" hidden="1" ht="15.75" customHeight="1">
      <c r="A3301" s="2">
        <f>HYPERLINK("https://www.soccerplususa.com/puma/puma-teamfinal-21-graphic-jersey-42093", "https://www.soccerplususa.com/puma/puma-teamfinal-21-graphic-jersey-42093")</f>
        <v/>
      </c>
      <c r="B3301" t="inlineStr">
        <is>
          <t>undefined</t>
        </is>
      </c>
      <c r="C3301" t="inlineStr">
        <is>
          <t>Puma Teamfinal 21 Graphic Jersey</t>
        </is>
      </c>
      <c r="D3301" t="inlineStr">
        <is>
          <t>PUMA Men's Teamfinal 21 Graphic Jersey</t>
        </is>
      </c>
      <c r="E3301" s="2">
        <f>HYPERLINK("https://www.amazon.com/PUMA-Teamfinal-Graphic-Electric-Lemonade/dp/B086RSH741/ref=sr_1_1?keywords=Puma+Teamfinal+21+Graphic+Jersey&amp;qid=1695171154&amp;sr=8-1", "https://www.amazon.com/PUMA-Teamfinal-Graphic-Electric-Lemonade/dp/B086RSH741/ref=sr_1_1?keywords=Puma+Teamfinal+21+Graphic+Jersey&amp;qid=1695171154&amp;sr=8-1")</f>
        <v/>
      </c>
      <c r="F3301" t="inlineStr">
        <is>
          <t>B086RSH741</t>
        </is>
      </c>
      <c r="G3301">
        <f>_xludf.IMAGE("https://www.soccerplususa.com/prodimages//37423-BLACK-M.jpg")</f>
        <v/>
      </c>
      <c r="H3301">
        <f>_xludf.IMAGE("https://m.media-amazon.com/images/I/61gZBtzx9vL._AC_UL320_.jpg")</f>
        <v/>
      </c>
      <c r="K3301" t="inlineStr">
        <is>
          <t>29.99</t>
        </is>
      </c>
      <c r="L3301" t="n">
        <v>38.61</v>
      </c>
      <c r="M3301" s="1" t="inlineStr">
        <is>
          <t>28.74%</t>
        </is>
      </c>
      <c r="N3301" s="3" t="n">
        <v>28.74</v>
      </c>
      <c r="O3301" t="n">
        <v>4.4</v>
      </c>
      <c r="P3301" t="n">
        <v>87</v>
      </c>
      <c r="R3301" t="inlineStr">
        <is>
          <t>InStock</t>
        </is>
      </c>
      <c r="S3301" t="inlineStr">
        <is>
          <t>39.95</t>
        </is>
      </c>
      <c r="T3301" t="inlineStr">
        <is>
          <t>704150-03</t>
        </is>
      </c>
    </row>
    <row r="3302" hidden="1" ht="15.75" customHeight="1">
      <c r="A3302" s="2">
        <f>HYPERLINK("https://www.soccerplususa.com/puma/puma-teamfinal-21-graphic-jersey-42091", "https://www.soccerplususa.com/puma/puma-teamfinal-21-graphic-jersey-42091")</f>
        <v/>
      </c>
      <c r="B3302" t="inlineStr">
        <is>
          <t>undefined</t>
        </is>
      </c>
      <c r="C3302" t="inlineStr">
        <is>
          <t>Puma Teamfinal 21 Graphic Jersey</t>
        </is>
      </c>
      <c r="D3302" t="inlineStr">
        <is>
          <t>PUMA Men's Teamfinal 21 Graphic Jersey</t>
        </is>
      </c>
      <c r="E3302" s="2">
        <f>HYPERLINK("https://www.amazon.com/PUMA-Teamfinal-Graphic-Electric-Lemonade/dp/B086RSH741/ref=sr_1_1?keywords=Puma+Teamfinal+21+Graphic+Jersey&amp;qid=1695171145&amp;sr=8-1", "https://www.amazon.com/PUMA-Teamfinal-Graphic-Electric-Lemonade/dp/B086RSH741/ref=sr_1_1?keywords=Puma+Teamfinal+21+Graphic+Jersey&amp;qid=1695171145&amp;sr=8-1")</f>
        <v/>
      </c>
      <c r="F3302" t="inlineStr">
        <is>
          <t>B086RSH741</t>
        </is>
      </c>
      <c r="G3302">
        <f>_xludf.IMAGE("https://www.soccerplususa.com/prodimages//37420-RED-M.jpg")</f>
        <v/>
      </c>
      <c r="H3302">
        <f>_xludf.IMAGE("https://m.media-amazon.com/images/I/61gZBtzx9vL._AC_UL320_.jpg")</f>
        <v/>
      </c>
      <c r="K3302" t="inlineStr">
        <is>
          <t>29.99</t>
        </is>
      </c>
      <c r="L3302" t="n">
        <v>38.61</v>
      </c>
      <c r="M3302" s="1" t="inlineStr">
        <is>
          <t>28.74%</t>
        </is>
      </c>
      <c r="N3302" s="3" t="n">
        <v>28.74</v>
      </c>
      <c r="O3302" t="n">
        <v>4.4</v>
      </c>
      <c r="P3302" t="n">
        <v>87</v>
      </c>
      <c r="R3302" t="inlineStr">
        <is>
          <t>InStock</t>
        </is>
      </c>
      <c r="S3302" t="inlineStr">
        <is>
          <t>39.95</t>
        </is>
      </c>
      <c r="T3302" t="inlineStr">
        <is>
          <t>704150-01</t>
        </is>
      </c>
    </row>
    <row r="3303" hidden="1" ht="15.75" customHeight="1">
      <c r="A3303" s="2">
        <f>HYPERLINK("https://www.soccerplususa.com/puma/puma-teamfinal-21-graphic-jersey-38698", "https://www.soccerplususa.com/puma/puma-teamfinal-21-graphic-jersey-38698")</f>
        <v/>
      </c>
      <c r="B3303" t="inlineStr">
        <is>
          <t>undefined</t>
        </is>
      </c>
      <c r="C3303" t="inlineStr">
        <is>
          <t>Puma Teamfinal 21 Graphic Jersey</t>
        </is>
      </c>
      <c r="D3303" t="inlineStr">
        <is>
          <t>PUMA Men's Teamfinal 21 Graphic Jersey</t>
        </is>
      </c>
      <c r="E3303" s="2">
        <f>HYPERLINK("https://www.amazon.com/PUMA-Teamfinal-Graphic-Electric-Lemonade/dp/B086RSH741/ref=sr_1_1?keywords=Puma+Teamfinal+21+Graphic+Jersey&amp;qid=1695171152&amp;sr=8-1", "https://www.amazon.com/PUMA-Teamfinal-Graphic-Electric-Lemonade/dp/B086RSH741/ref=sr_1_1?keywords=Puma+Teamfinal+21+Graphic+Jersey&amp;qid=1695171152&amp;sr=8-1")</f>
        <v/>
      </c>
      <c r="F3303" t="inlineStr">
        <is>
          <t>B086RSH741</t>
        </is>
      </c>
      <c r="G3303">
        <f>_xludf.IMAGE("https://www.soccerplususa.com/prodimages//36790-Electric_Blue-M.jpg")</f>
        <v/>
      </c>
      <c r="H3303">
        <f>_xludf.IMAGE("https://m.media-amazon.com/images/I/61gZBtzx9vL._AC_UL320_.jpg")</f>
        <v/>
      </c>
      <c r="K3303" t="inlineStr">
        <is>
          <t>29.99</t>
        </is>
      </c>
      <c r="L3303" t="n">
        <v>38.61</v>
      </c>
      <c r="M3303" s="1" t="inlineStr">
        <is>
          <t>28.74%</t>
        </is>
      </c>
      <c r="N3303" s="3" t="n">
        <v>28.74</v>
      </c>
      <c r="O3303" t="n">
        <v>4.4</v>
      </c>
      <c r="P3303" t="n">
        <v>87</v>
      </c>
      <c r="R3303" t="inlineStr">
        <is>
          <t>InStock</t>
        </is>
      </c>
      <c r="S3303" t="inlineStr">
        <is>
          <t>39.95</t>
        </is>
      </c>
      <c r="T3303" t="inlineStr">
        <is>
          <t>704150-02</t>
        </is>
      </c>
    </row>
    <row r="3304" hidden="1" ht="15.75" customHeight="1">
      <c r="A3304" s="2">
        <f>HYPERLINK("https://www.soccerplususa.com/puma/puma-teamfinal-21-graphic-jersey-38700", "https://www.soccerplususa.com/puma/puma-teamfinal-21-graphic-jersey-38700")</f>
        <v/>
      </c>
      <c r="B3304" t="inlineStr">
        <is>
          <t>undefined</t>
        </is>
      </c>
      <c r="C3304" t="inlineStr">
        <is>
          <t>Puma Teamfinal 21 Graphic Jersey</t>
        </is>
      </c>
      <c r="D3304" t="inlineStr">
        <is>
          <t>PUMA Men's Teamfinal 21 Graphic Jersey</t>
        </is>
      </c>
      <c r="E3304" s="2">
        <f>HYPERLINK("https://www.amazon.com/PUMA-Teamfinal-Graphic-Electric-Lemonade/dp/B086RSH741/ref=sr_1_1?keywords=Puma+Teamfinal+21+Graphic+Jersey&amp;qid=1695171150&amp;sr=8-1", "https://www.amazon.com/PUMA-Teamfinal-Graphic-Electric-Lemonade/dp/B086RSH741/ref=sr_1_1?keywords=Puma+Teamfinal+21+Graphic+Jersey&amp;qid=1695171150&amp;sr=8-1")</f>
        <v/>
      </c>
      <c r="F3304" t="inlineStr">
        <is>
          <t>B086RSH741</t>
        </is>
      </c>
      <c r="G3304">
        <f>_xludf.IMAGE("https://www.soccerplususa.com/prodimages//36789-WhiteGray-M.jpg")</f>
        <v/>
      </c>
      <c r="H3304">
        <f>_xludf.IMAGE("https://m.media-amazon.com/images/I/61gZBtzx9vL._AC_UL320_.jpg")</f>
        <v/>
      </c>
      <c r="K3304" t="inlineStr">
        <is>
          <t>29.99</t>
        </is>
      </c>
      <c r="L3304" t="n">
        <v>38.61</v>
      </c>
      <c r="M3304" s="1" t="inlineStr">
        <is>
          <t>28.74%</t>
        </is>
      </c>
      <c r="N3304" s="3" t="n">
        <v>28.74</v>
      </c>
      <c r="O3304" t="n">
        <v>4.4</v>
      </c>
      <c r="P3304" t="n">
        <v>87</v>
      </c>
      <c r="R3304" t="inlineStr">
        <is>
          <t>InStock</t>
        </is>
      </c>
      <c r="S3304" t="inlineStr">
        <is>
          <t>39.95</t>
        </is>
      </c>
      <c r="T3304" t="inlineStr">
        <is>
          <t>704150-04</t>
        </is>
      </c>
    </row>
    <row r="3305" hidden="1" ht="15.75" customHeight="1">
      <c r="A3305" s="2">
        <f>HYPERLINK("https://www.soccerplususa.com/puma/puma-liga-jersey-womens-39602", "https://www.soccerplususa.com/puma/puma-liga-jersey-womens-39602")</f>
        <v/>
      </c>
      <c r="B3305" t="inlineStr">
        <is>
          <t>undefined</t>
        </is>
      </c>
      <c r="C3305" t="inlineStr">
        <is>
          <t>Puma Liga Jersey Women's</t>
        </is>
      </c>
      <c r="D3305" t="inlineStr">
        <is>
          <t>womens Liga Training Jersey, Electric Blue Lemonadepuma White, Large US</t>
        </is>
      </c>
      <c r="E3305" s="2">
        <f>HYPERLINK("https://www.amazon.com/PUMA-Womens-Training-Electric-Lemonadepuma/dp/B07KWQDQVZ/ref=sr_1_8?keywords=Puma+Liga+Jersey+Womens&amp;qid=1695171150&amp;sr=8-8", "https://www.amazon.com/PUMA-Womens-Training-Electric-Lemonadepuma/dp/B07KWQDQVZ/ref=sr_1_8?keywords=Puma+Liga+Jersey+Womens&amp;qid=1695171150&amp;sr=8-8")</f>
        <v/>
      </c>
      <c r="F3305" t="inlineStr">
        <is>
          <t>B07KWQDQVZ</t>
        </is>
      </c>
      <c r="G3305">
        <f>_xludf.IMAGE("https://www.soccerplususa.com/prodimages//36786-REDWHITE-M.jpg")</f>
        <v/>
      </c>
      <c r="H3305">
        <f>_xludf.IMAGE("https://m.media-amazon.com/images/I/81ycC-g8l+L._AC_UL320_.jpg")</f>
        <v/>
      </c>
      <c r="K3305" t="inlineStr">
        <is>
          <t>20.99</t>
        </is>
      </c>
      <c r="L3305" t="n">
        <v>27</v>
      </c>
      <c r="M3305" s="1" t="inlineStr">
        <is>
          <t>28.63%</t>
        </is>
      </c>
      <c r="N3305" s="3" t="n">
        <v>28.63</v>
      </c>
      <c r="O3305" t="n">
        <v>4.7</v>
      </c>
      <c r="P3305" t="n">
        <v>14</v>
      </c>
      <c r="R3305" t="inlineStr">
        <is>
          <t>InStock</t>
        </is>
      </c>
      <c r="S3305" t="inlineStr">
        <is>
          <t>27.95</t>
        </is>
      </c>
      <c r="T3305" t="inlineStr">
        <is>
          <t>703426-01</t>
        </is>
      </c>
    </row>
    <row r="3306" hidden="1" ht="15.75" customHeight="1">
      <c r="A3306" s="2">
        <f>HYPERLINK("https://www.soccerplususa.com/adidas/adidas-regista-16-jersey-4147", "https://www.soccerplususa.com/adidas/adidas-regista-16-jersey-4147")</f>
        <v/>
      </c>
      <c r="B3306" t="inlineStr">
        <is>
          <t>undefined</t>
        </is>
      </c>
      <c r="C3306" t="inlineStr">
        <is>
          <t>adidas Regista 16 Jersey</t>
        </is>
      </c>
      <c r="D3306" t="inlineStr">
        <is>
          <t>adidas Regista 16 Youth Soccer Jersey L Power Red/White</t>
        </is>
      </c>
      <c r="E3306" s="2">
        <f>HYPERLINK("https://www.amazon.com/Adidas-Regista-Soccer-Jersey-Red-White/dp/B018668S5I/ref=sr_1_3?keywords=adidas+Regista+16+Jersey&amp;qid=1695171233&amp;sr=8-3", "https://www.amazon.com/Adidas-Regista-Soccer-Jersey-Red-White/dp/B018668S5I/ref=sr_1_3?keywords=adidas+Regista+16+Jersey&amp;qid=1695171233&amp;sr=8-3")</f>
        <v/>
      </c>
      <c r="F3306" t="inlineStr">
        <is>
          <t>B018668S5I</t>
        </is>
      </c>
      <c r="G3306">
        <f>_xludf.IMAGE("https://www.soccerplususa.com/prodimages/7616-DEFAULT-l.jpg")</f>
        <v/>
      </c>
      <c r="H3306">
        <f>_xludf.IMAGE("https://m.media-amazon.com/images/I/514dyYJa+IL._AC_UL320_.jpg")</f>
        <v/>
      </c>
      <c r="K3306" t="inlineStr">
        <is>
          <t>17.5</t>
        </is>
      </c>
      <c r="L3306" t="n">
        <v>22.48</v>
      </c>
      <c r="M3306" s="1" t="inlineStr">
        <is>
          <t>28.46%</t>
        </is>
      </c>
      <c r="N3306" s="3" t="n">
        <v>28.46</v>
      </c>
      <c r="O3306" t="n">
        <v>5</v>
      </c>
      <c r="P3306" t="n">
        <v>2</v>
      </c>
      <c r="R3306" t="inlineStr">
        <is>
          <t>InStock</t>
        </is>
      </c>
      <c r="S3306" t="inlineStr">
        <is>
          <t>34.95</t>
        </is>
      </c>
      <c r="T3306" t="inlineStr">
        <is>
          <t>AP0529</t>
        </is>
      </c>
    </row>
    <row r="3307" hidden="1" ht="15.75" customHeight="1">
      <c r="A3307" s="2">
        <f>HYPERLINK("https://www.soccerplususa.com/adidas/adidas-regista-16-jersey-4149", "https://www.soccerplususa.com/adidas/adidas-regista-16-jersey-4149")</f>
        <v/>
      </c>
      <c r="B3307" t="inlineStr">
        <is>
          <t>undefined</t>
        </is>
      </c>
      <c r="C3307" t="inlineStr">
        <is>
          <t>adidas Regista 16 Jersey</t>
        </is>
      </c>
      <c r="D3307" t="inlineStr">
        <is>
          <t>adidas Mens Regista Jersey</t>
        </is>
      </c>
      <c r="E3307" s="2">
        <f>HYPERLINK("https://www.amazon.com/adidas-Regista-18-Jersey%E2%9D%97%EF%B8%8FShips-Directly/dp/B07BHL2RTX/ref=sr_1_8?keywords=adidas+Regista+16+Jersey&amp;qid=1695171233&amp;sr=8-8", "https://www.amazon.com/adidas-Regista-18-Jersey%E2%9D%97%EF%B8%8FShips-Directly/dp/B07BHL2RTX/ref=sr_1_8?keywords=adidas+Regista+16+Jersey&amp;qid=1695171233&amp;sr=8-8")</f>
        <v/>
      </c>
      <c r="F3307" t="inlineStr">
        <is>
          <t>B07BHL2RTX</t>
        </is>
      </c>
      <c r="G3307">
        <f>_xludf.IMAGE("https://www.soccerplususa.com/prodimages/32795-DEFAULT-l.jpg")</f>
        <v/>
      </c>
      <c r="H3307">
        <f>_xludf.IMAGE("https://m.media-amazon.com/images/I/710DBNFeOcL._AC_UL320_.jpg")</f>
        <v/>
      </c>
      <c r="K3307" t="inlineStr">
        <is>
          <t>17.0</t>
        </is>
      </c>
      <c r="L3307" t="n">
        <v>21.7</v>
      </c>
      <c r="M3307" s="1" t="inlineStr">
        <is>
          <t>27.65%</t>
        </is>
      </c>
      <c r="N3307" s="3" t="n">
        <v>27.65</v>
      </c>
      <c r="O3307" t="n">
        <v>5</v>
      </c>
      <c r="P3307" t="n">
        <v>2</v>
      </c>
      <c r="R3307" t="inlineStr">
        <is>
          <t>InStock</t>
        </is>
      </c>
      <c r="S3307" t="inlineStr">
        <is>
          <t>34.95</t>
        </is>
      </c>
      <c r="T3307" t="inlineStr">
        <is>
          <t>AP0535</t>
        </is>
      </c>
    </row>
    <row r="3308" hidden="1" ht="15.75" customHeight="1">
      <c r="A3308" s="2">
        <f>HYPERLINK("https://www.soccerplususa.com/adidas/adidas-core-18-training-top-33852", "https://www.soccerplususa.com/adidas/adidas-core-18-training-top-33852")</f>
        <v/>
      </c>
      <c r="B3308" t="inlineStr">
        <is>
          <t>undefined</t>
        </is>
      </c>
      <c r="C3308" t="inlineStr">
        <is>
          <t>adidas Core 18 Training Top</t>
        </is>
      </c>
      <c r="D3308" t="inlineStr">
        <is>
          <t>adidas Unisex-Child Soccer Core 18 Training Top</t>
        </is>
      </c>
      <c r="E3308" s="2">
        <f>HYPERLINK("https://www.amazon.com/adidas-Unisex-Soccer-Core18-Training/dp/B0716JC1ST/ref=sr_1_5?keywords=adidas+Core+18+Training+Top&amp;qid=1695171165&amp;sr=8-5", "https://www.amazon.com/adidas-Unisex-Soccer-Core18-Training/dp/B0716JC1ST/ref=sr_1_5?keywords=adidas+Core+18+Training+Top&amp;qid=1695171165&amp;sr=8-5")</f>
        <v/>
      </c>
      <c r="F3308" t="inlineStr">
        <is>
          <t>B0716JC1ST</t>
        </is>
      </c>
      <c r="G3308">
        <f>_xludf.IMAGE("https://www.soccerplususa.com/prodimages/33345-DEFAULT-l.jpg")</f>
        <v/>
      </c>
      <c r="H3308">
        <f>_xludf.IMAGE("https://m.media-amazon.com/images/I/71xiD+tXpEL._AC_UL320_.jpg")</f>
        <v/>
      </c>
      <c r="K3308" t="inlineStr">
        <is>
          <t>22.99</t>
        </is>
      </c>
      <c r="L3308" t="n">
        <v>29.28</v>
      </c>
      <c r="M3308" s="1" t="inlineStr">
        <is>
          <t>27.36%</t>
        </is>
      </c>
      <c r="N3308" s="3" t="n">
        <v>27.36</v>
      </c>
      <c r="O3308" t="n">
        <v>4.5</v>
      </c>
      <c r="P3308" t="n">
        <v>244</v>
      </c>
      <c r="R3308" t="inlineStr">
        <is>
          <t>InStock</t>
        </is>
      </c>
      <c r="S3308" t="inlineStr">
        <is>
          <t>30.95</t>
        </is>
      </c>
      <c r="T3308" t="inlineStr">
        <is>
          <t>CV4000</t>
        </is>
      </c>
    </row>
    <row r="3309" hidden="1" ht="15.75" customHeight="1">
      <c r="A3309" s="2">
        <f>HYPERLINK("https://www.soccerplususa.com/adidas/adidas-core-18-training-jersey-33847", "https://www.soccerplususa.com/adidas/adidas-core-18-training-jersey-33847")</f>
        <v/>
      </c>
      <c r="B3309" t="inlineStr">
        <is>
          <t>undefined</t>
        </is>
      </c>
      <c r="C3309" t="inlineStr">
        <is>
          <t>adidas Core 18 Training Jersey</t>
        </is>
      </c>
      <c r="D3309" t="inlineStr">
        <is>
          <t>adidas Men's Core 18 Training Jersey</t>
        </is>
      </c>
      <c r="E3309" s="2">
        <f>HYPERLINK("https://www.amazon.com/adidas-Core18-Jersey-White-Medium/dp/B0721VYW2R/ref=sr_1_1?keywords=adidas+Core+18+Training+Jersey&amp;qid=1695171175&amp;sr=8-1", "https://www.amazon.com/adidas-Core18-Jersey-White-Medium/dp/B0721VYW2R/ref=sr_1_1?keywords=adidas+Core+18+Training+Jersey&amp;qid=1695171175&amp;sr=8-1")</f>
        <v/>
      </c>
      <c r="F3309" t="inlineStr">
        <is>
          <t>B0721VYW2R</t>
        </is>
      </c>
      <c r="G3309">
        <f>_xludf.IMAGE("https://www.soccerplususa.com/prodimages/32787-DEFAULT-l.jpg")</f>
        <v/>
      </c>
      <c r="H3309">
        <f>_xludf.IMAGE("https://m.media-amazon.com/images/I/51Qfy9nv0PL._AC_UL320_.jpg")</f>
        <v/>
      </c>
      <c r="K3309" t="inlineStr">
        <is>
          <t>14.99</t>
        </is>
      </c>
      <c r="L3309" t="n">
        <v>18.99</v>
      </c>
      <c r="M3309" s="1" t="inlineStr">
        <is>
          <t>26.68%</t>
        </is>
      </c>
      <c r="N3309" s="3" t="n">
        <v>26.68</v>
      </c>
      <c r="O3309" t="n">
        <v>4.5</v>
      </c>
      <c r="P3309" t="n">
        <v>3246</v>
      </c>
      <c r="R3309" t="inlineStr">
        <is>
          <t>InStock</t>
        </is>
      </c>
      <c r="S3309" t="inlineStr">
        <is>
          <t>19.95</t>
        </is>
      </c>
      <c r="T3309" t="inlineStr">
        <is>
          <t>CV3452</t>
        </is>
      </c>
    </row>
    <row r="3310" hidden="1" ht="15.75" customHeight="1">
      <c r="A3310" s="2">
        <f>HYPERLINK("https://www.soccerplususa.com/adidas/adidas-regista-16-jersey-youth-4195", "https://www.soccerplususa.com/adidas/adidas-regista-16-jersey-youth-4195")</f>
        <v/>
      </c>
      <c r="B3310" t="inlineStr">
        <is>
          <t>undefined</t>
        </is>
      </c>
      <c r="C3310" t="inlineStr">
        <is>
          <t>adidas Regista 16 Jersey Youth</t>
        </is>
      </c>
      <c r="D3310" t="inlineStr">
        <is>
          <t>adidas Youth Regista 16 Short</t>
        </is>
      </c>
      <c r="E3310" s="2">
        <f>HYPERLINK("https://www.amazon.com/adidas-Youth-Regista-Short-White/dp/B01866F70M/ref=sr_1_2?keywords=adidas+Regista+16+Jersey+Youth&amp;qid=1695171236&amp;sr=8-2", "https://www.amazon.com/adidas-Youth-Regista-Short-White/dp/B01866F70M/ref=sr_1_2?keywords=adidas+Regista+16+Jersey+Youth&amp;qid=1695171236&amp;sr=8-2")</f>
        <v/>
      </c>
      <c r="F3310" t="inlineStr">
        <is>
          <t>B01866F70M</t>
        </is>
      </c>
      <c r="G3310">
        <f>_xludf.IMAGE("https://www.soccerplususa.com/prodimages/9533-DEFAULT-l.jpg")</f>
        <v/>
      </c>
      <c r="H3310">
        <f>_xludf.IMAGE("https://m.media-amazon.com/images/I/71e3xPA56PL._AC_UL320_.jpg")</f>
        <v/>
      </c>
      <c r="K3310" t="inlineStr">
        <is>
          <t>15.0</t>
        </is>
      </c>
      <c r="L3310" t="n">
        <v>18.95</v>
      </c>
      <c r="M3310" s="1" t="inlineStr">
        <is>
          <t>26.33%</t>
        </is>
      </c>
      <c r="N3310" s="3" t="n">
        <v>26.33</v>
      </c>
      <c r="O3310" t="n">
        <v>3.8</v>
      </c>
      <c r="P3310" t="n">
        <v>4</v>
      </c>
      <c r="R3310" t="inlineStr">
        <is>
          <t>InStock</t>
        </is>
      </c>
      <c r="S3310" t="inlineStr">
        <is>
          <t>30.0</t>
        </is>
      </c>
      <c r="T3310" t="inlineStr">
        <is>
          <t>AP1863</t>
        </is>
      </c>
    </row>
    <row r="3311" hidden="1" ht="15.75" customHeight="1">
      <c r="A3311" s="2">
        <f>HYPERLINK("https://www.soccerplususa.com/adidas/adidas-regista-16-jersey-youth-4152", "https://www.soccerplususa.com/adidas/adidas-regista-16-jersey-youth-4152")</f>
        <v/>
      </c>
      <c r="B3311" t="inlineStr">
        <is>
          <t>undefined</t>
        </is>
      </c>
      <c r="C3311" t="inlineStr">
        <is>
          <t>adidas Regista 16 Jersey Youth</t>
        </is>
      </c>
      <c r="D3311" t="inlineStr">
        <is>
          <t>adidas Youth Regista 16 Short</t>
        </is>
      </c>
      <c r="E3311" s="2">
        <f>HYPERLINK("https://www.amazon.com/adidas-Youth-Regista-Short-White/dp/B01866F70M/ref=sr_1_2?keywords=adidas+Regista+16+Jersey+Youth&amp;qid=1695171229&amp;sr=8-2", "https://www.amazon.com/adidas-Youth-Regista-Short-White/dp/B01866F70M/ref=sr_1_2?keywords=adidas+Regista+16+Jersey+Youth&amp;qid=1695171229&amp;sr=8-2")</f>
        <v/>
      </c>
      <c r="F3311" t="inlineStr">
        <is>
          <t>B01866F70M</t>
        </is>
      </c>
      <c r="G3311">
        <f>_xludf.IMAGE("https://www.soccerplususa.com/prodimages/7617-DEFAULT-l.jpg")</f>
        <v/>
      </c>
      <c r="H3311">
        <f>_xludf.IMAGE("https://m.media-amazon.com/images/I/71e3xPA56PL._AC_UL320_.jpg")</f>
        <v/>
      </c>
      <c r="K3311" t="inlineStr">
        <is>
          <t>15.0</t>
        </is>
      </c>
      <c r="L3311" t="n">
        <v>18.95</v>
      </c>
      <c r="M3311" s="1" t="inlineStr">
        <is>
          <t>26.33%</t>
        </is>
      </c>
      <c r="N3311" s="3" t="n">
        <v>26.33</v>
      </c>
      <c r="O3311" t="n">
        <v>3.8</v>
      </c>
      <c r="P3311" t="n">
        <v>4</v>
      </c>
      <c r="R3311" t="inlineStr">
        <is>
          <t>InStock</t>
        </is>
      </c>
      <c r="S3311" t="inlineStr">
        <is>
          <t>29.95</t>
        </is>
      </c>
      <c r="T3311" t="inlineStr">
        <is>
          <t>AP0543</t>
        </is>
      </c>
    </row>
    <row r="3312" hidden="1" ht="15.75" customHeight="1">
      <c r="A3312" s="2">
        <f>HYPERLINK("https://www.soccerplususa.com/new-balance/new-balance-sideline-jacket-41947", "https://www.soccerplususa.com/new-balance/new-balance-sideline-jacket-41947")</f>
        <v/>
      </c>
      <c r="B3312" t="inlineStr">
        <is>
          <t>undefined</t>
        </is>
      </c>
      <c r="C3312" t="inlineStr">
        <is>
          <t>New Balance Sideline Jacket</t>
        </is>
      </c>
      <c r="D3312" t="inlineStr">
        <is>
          <t>New Balance Men's Nb Heatloft Full Zip Jacket 22</t>
        </is>
      </c>
      <c r="E3312" s="2">
        <f>HYPERLINK("https://www.amazon.com/New-Balance-Mens-Black-Large/dp/B09M7QN2VJ/ref=sr_1_5?keywords=New+Balance+Sideline+Jacket&amp;qid=1695171146&amp;sr=8-5", "https://www.amazon.com/New-Balance-Mens-Black-Large/dp/B09M7QN2VJ/ref=sr_1_5?keywords=New+Balance+Sideline+Jacket&amp;qid=1695171146&amp;sr=8-5")</f>
        <v/>
      </c>
      <c r="F3312" t="inlineStr">
        <is>
          <t>B09M7QN2VJ</t>
        </is>
      </c>
      <c r="G3312">
        <f>_xludf.IMAGE("https://www.soccerplususa.com/prodimages//37530-BLACK-M.jpg")</f>
        <v/>
      </c>
      <c r="H3312">
        <f>_xludf.IMAGE("https://m.media-amazon.com/images/I/51L5mjAmdUL._AC_UL320_.jpg")</f>
        <v/>
      </c>
      <c r="K3312" t="inlineStr">
        <is>
          <t>71.49</t>
        </is>
      </c>
      <c r="L3312" t="n">
        <v>90.08</v>
      </c>
      <c r="M3312" s="1" t="inlineStr">
        <is>
          <t>26.00%</t>
        </is>
      </c>
      <c r="N3312" s="3" t="n">
        <v>26</v>
      </c>
      <c r="O3312" t="n">
        <v>4.7</v>
      </c>
      <c r="P3312" t="n">
        <v>4</v>
      </c>
      <c r="R3312" t="inlineStr">
        <is>
          <t>InStock</t>
        </is>
      </c>
      <c r="S3312" t="inlineStr">
        <is>
          <t>95.0</t>
        </is>
      </c>
      <c r="T3312" t="inlineStr">
        <is>
          <t>TMMJ718</t>
        </is>
      </c>
    </row>
    <row r="3313" hidden="1" ht="15.75" customHeight="1">
      <c r="A3313" s="2">
        <f>HYPERLINK("https://www.soccerplususa.com/puma/puma-teamfinal-21-graphic-jersey-42133", "https://www.soccerplususa.com/puma/puma-teamfinal-21-graphic-jersey-42133")</f>
        <v/>
      </c>
      <c r="B3313" t="inlineStr">
        <is>
          <t>undefined</t>
        </is>
      </c>
      <c r="C3313" t="inlineStr">
        <is>
          <t>Puma Teamfinal 21 Graphic Jersey</t>
        </is>
      </c>
      <c r="D3313" t="inlineStr">
        <is>
          <t>PUMA Unisex Youth Teamfinal 21 Graphic Jersey</t>
        </is>
      </c>
      <c r="E3313" s="2">
        <f>HYPERLINK("https://www.amazon.com/PUMA-TEAMFINAL-Graphic-Jersey-White/dp/B084ZXBJKK/ref=sr_1_2?keywords=Puma+Teamfinal+21+Graphic+Jersey&amp;qid=1695171174&amp;sr=8-2", "https://www.amazon.com/PUMA-TEAMFINAL-Graphic-Jersey-White/dp/B084ZXBJKK/ref=sr_1_2?keywords=Puma+Teamfinal+21+Graphic+Jersey&amp;qid=1695171174&amp;sr=8-2")</f>
        <v/>
      </c>
      <c r="F3313" t="inlineStr">
        <is>
          <t>B084ZXBJKK</t>
        </is>
      </c>
      <c r="G3313">
        <f>_xludf.IMAGE("https://www.soccerplususa.com/prodimages//37416-GRAY-M.jpg")</f>
        <v/>
      </c>
      <c r="H3313">
        <f>_xludf.IMAGE("https://m.media-amazon.com/images/I/81AkQRN7R3L._AC_UL320_.jpg")</f>
        <v/>
      </c>
      <c r="K3313" t="inlineStr">
        <is>
          <t>29.99</t>
        </is>
      </c>
      <c r="L3313" t="n">
        <v>37.55</v>
      </c>
      <c r="M3313" s="1" t="inlineStr">
        <is>
          <t>25.21%</t>
        </is>
      </c>
      <c r="N3313" s="3" t="n">
        <v>25.21</v>
      </c>
      <c r="O3313" t="n">
        <v>4.3</v>
      </c>
      <c r="P3313" t="n">
        <v>35</v>
      </c>
      <c r="R3313" t="inlineStr">
        <is>
          <t>InStock</t>
        </is>
      </c>
      <c r="S3313" t="inlineStr">
        <is>
          <t>39.95</t>
        </is>
      </c>
      <c r="T3313" t="inlineStr">
        <is>
          <t>704150-13</t>
        </is>
      </c>
    </row>
    <row r="3314" hidden="1" ht="15.75" customHeight="1">
      <c r="A3314" s="2">
        <f>HYPERLINK("https://www.soccerplususa.com/puma/puma-teamfinal-21-graphic-jersey-41907", "https://www.soccerplususa.com/puma/puma-teamfinal-21-graphic-jersey-41907")</f>
        <v/>
      </c>
      <c r="B3314" t="inlineStr">
        <is>
          <t>undefined</t>
        </is>
      </c>
      <c r="C3314" t="inlineStr">
        <is>
          <t>Puma Teamfinal 21 Graphic Jersey</t>
        </is>
      </c>
      <c r="D3314" t="inlineStr">
        <is>
          <t>PUMA Unisex Youth Teamfinal 21 Graphic Jersey</t>
        </is>
      </c>
      <c r="E3314" s="2">
        <f>HYPERLINK("https://www.amazon.com/PUMA-TEAMFINAL-Graphic-Jersey-White/dp/B084ZXBJKK/ref=sr_1_2?keywords=Puma+Teamfinal+21+Graphic+Jersey&amp;qid=1695171144&amp;sr=8-2", "https://www.amazon.com/PUMA-TEAMFINAL-Graphic-Jersey-White/dp/B084ZXBJKK/ref=sr_1_2?keywords=Puma+Teamfinal+21+Graphic+Jersey&amp;qid=1695171144&amp;sr=8-2")</f>
        <v/>
      </c>
      <c r="F3314" t="inlineStr">
        <is>
          <t>B084ZXBJKK</t>
        </is>
      </c>
      <c r="G3314">
        <f>_xludf.IMAGE("https://www.soccerplususa.com/prodimages//37409-NAVY-M.jpg")</f>
        <v/>
      </c>
      <c r="H3314">
        <f>_xludf.IMAGE("https://m.media-amazon.com/images/I/81AkQRN7R3L._AC_UL320_.jpg")</f>
        <v/>
      </c>
      <c r="K3314" t="inlineStr">
        <is>
          <t>29.99</t>
        </is>
      </c>
      <c r="L3314" t="n">
        <v>37.55</v>
      </c>
      <c r="M3314" s="1" t="inlineStr">
        <is>
          <t>25.21%</t>
        </is>
      </c>
      <c r="N3314" s="3" t="n">
        <v>25.21</v>
      </c>
      <c r="O3314" t="n">
        <v>4.3</v>
      </c>
      <c r="P3314" t="n">
        <v>35</v>
      </c>
      <c r="R3314" t="inlineStr">
        <is>
          <t>InStock</t>
        </is>
      </c>
      <c r="S3314" t="inlineStr">
        <is>
          <t>39.95</t>
        </is>
      </c>
      <c r="T3314" t="inlineStr">
        <is>
          <t>704150-06</t>
        </is>
      </c>
    </row>
    <row r="3315" hidden="1" ht="15.75" customHeight="1">
      <c r="A3315" s="2">
        <f>HYPERLINK("https://www.soccerplususa.com/puma/puma-teamfinal-21-graphic-jersey-42091", "https://www.soccerplususa.com/puma/puma-teamfinal-21-graphic-jersey-42091")</f>
        <v/>
      </c>
      <c r="B3315" t="inlineStr">
        <is>
          <t>undefined</t>
        </is>
      </c>
      <c r="C3315" t="inlineStr">
        <is>
          <t>Puma Teamfinal 21 Graphic Jersey</t>
        </is>
      </c>
      <c r="D3315" t="inlineStr">
        <is>
          <t>PUMA Unisex Youth Teamfinal 21 Graphic Jersey</t>
        </is>
      </c>
      <c r="E3315" s="2">
        <f>HYPERLINK("https://www.amazon.com/PUMA-TEAMFINAL-Graphic-Jersey-White/dp/B084ZXBJKK/ref=sr_1_2?keywords=Puma+Teamfinal+21+Graphic+Jersey&amp;qid=1695171145&amp;sr=8-2", "https://www.amazon.com/PUMA-TEAMFINAL-Graphic-Jersey-White/dp/B084ZXBJKK/ref=sr_1_2?keywords=Puma+Teamfinal+21+Graphic+Jersey&amp;qid=1695171145&amp;sr=8-2")</f>
        <v/>
      </c>
      <c r="F3315" t="inlineStr">
        <is>
          <t>B084ZXBJKK</t>
        </is>
      </c>
      <c r="G3315">
        <f>_xludf.IMAGE("https://www.soccerplususa.com/prodimages//37420-RED-M.jpg")</f>
        <v/>
      </c>
      <c r="H3315">
        <f>_xludf.IMAGE("https://m.media-amazon.com/images/I/81AkQRN7R3L._AC_UL320_.jpg")</f>
        <v/>
      </c>
      <c r="K3315" t="inlineStr">
        <is>
          <t>29.99</t>
        </is>
      </c>
      <c r="L3315" t="n">
        <v>37.55</v>
      </c>
      <c r="M3315" s="1" t="inlineStr">
        <is>
          <t>25.21%</t>
        </is>
      </c>
      <c r="N3315" s="3" t="n">
        <v>25.21</v>
      </c>
      <c r="O3315" t="n">
        <v>4.3</v>
      </c>
      <c r="P3315" t="n">
        <v>35</v>
      </c>
      <c r="R3315" t="inlineStr">
        <is>
          <t>InStock</t>
        </is>
      </c>
      <c r="S3315" t="inlineStr">
        <is>
          <t>39.95</t>
        </is>
      </c>
      <c r="T3315" t="inlineStr">
        <is>
          <t>704150-01</t>
        </is>
      </c>
    </row>
    <row r="3316" hidden="1" ht="15.75" customHeight="1">
      <c r="A3316" s="2">
        <f>HYPERLINK("https://www.soccerplususa.com/puma/puma-teamfinal-21-graphic-jersey-38698", "https://www.soccerplususa.com/puma/puma-teamfinal-21-graphic-jersey-38698")</f>
        <v/>
      </c>
      <c r="B3316" t="inlineStr">
        <is>
          <t>undefined</t>
        </is>
      </c>
      <c r="C3316" t="inlineStr">
        <is>
          <t>Puma Teamfinal 21 Graphic Jersey</t>
        </is>
      </c>
      <c r="D3316" t="inlineStr">
        <is>
          <t>PUMA Unisex Youth Teamfinal 21 Graphic Jersey</t>
        </is>
      </c>
      <c r="E3316" s="2">
        <f>HYPERLINK("https://www.amazon.com/PUMA-TEAMFINAL-Graphic-Jersey-White/dp/B084ZXBJKK/ref=sr_1_2?keywords=Puma+Teamfinal+21+Graphic+Jersey&amp;qid=1695171152&amp;sr=8-2", "https://www.amazon.com/PUMA-TEAMFINAL-Graphic-Jersey-White/dp/B084ZXBJKK/ref=sr_1_2?keywords=Puma+Teamfinal+21+Graphic+Jersey&amp;qid=1695171152&amp;sr=8-2")</f>
        <v/>
      </c>
      <c r="F3316" t="inlineStr">
        <is>
          <t>B084ZXBJKK</t>
        </is>
      </c>
      <c r="G3316">
        <f>_xludf.IMAGE("https://www.soccerplususa.com/prodimages//36790-Electric_Blue-M.jpg")</f>
        <v/>
      </c>
      <c r="H3316">
        <f>_xludf.IMAGE("https://m.media-amazon.com/images/I/81AkQRN7R3L._AC_UL320_.jpg")</f>
        <v/>
      </c>
      <c r="K3316" t="inlineStr">
        <is>
          <t>29.99</t>
        </is>
      </c>
      <c r="L3316" t="n">
        <v>37.55</v>
      </c>
      <c r="M3316" s="1" t="inlineStr">
        <is>
          <t>25.21%</t>
        </is>
      </c>
      <c r="N3316" s="3" t="n">
        <v>25.21</v>
      </c>
      <c r="O3316" t="n">
        <v>4.3</v>
      </c>
      <c r="P3316" t="n">
        <v>35</v>
      </c>
      <c r="R3316" t="inlineStr">
        <is>
          <t>InStock</t>
        </is>
      </c>
      <c r="S3316" t="inlineStr">
        <is>
          <t>39.95</t>
        </is>
      </c>
      <c r="T3316" t="inlineStr">
        <is>
          <t>704150-02</t>
        </is>
      </c>
    </row>
    <row r="3317" hidden="1" ht="15.75" customHeight="1">
      <c r="A3317" s="2">
        <f>HYPERLINK("https://www.soccerplususa.com/puma/puma-teamfinal-21-graphic-jersey-38700", "https://www.soccerplususa.com/puma/puma-teamfinal-21-graphic-jersey-38700")</f>
        <v/>
      </c>
      <c r="B3317" t="inlineStr">
        <is>
          <t>undefined</t>
        </is>
      </c>
      <c r="C3317" t="inlineStr">
        <is>
          <t>Puma Teamfinal 21 Graphic Jersey</t>
        </is>
      </c>
      <c r="D3317" t="inlineStr">
        <is>
          <t>PUMA Unisex Youth Teamfinal 21 Graphic Jersey</t>
        </is>
      </c>
      <c r="E3317" s="2">
        <f>HYPERLINK("https://www.amazon.com/PUMA-TEAMFINAL-Graphic-Jersey-White/dp/B084ZXBJKK/ref=sr_1_2?keywords=Puma+Teamfinal+21+Graphic+Jersey&amp;qid=1695171150&amp;sr=8-2", "https://www.amazon.com/PUMA-TEAMFINAL-Graphic-Jersey-White/dp/B084ZXBJKK/ref=sr_1_2?keywords=Puma+Teamfinal+21+Graphic+Jersey&amp;qid=1695171150&amp;sr=8-2")</f>
        <v/>
      </c>
      <c r="F3317" t="inlineStr">
        <is>
          <t>B084ZXBJKK</t>
        </is>
      </c>
      <c r="G3317">
        <f>_xludf.IMAGE("https://www.soccerplususa.com/prodimages//36789-WhiteGray-M.jpg")</f>
        <v/>
      </c>
      <c r="H3317">
        <f>_xludf.IMAGE("https://m.media-amazon.com/images/I/81AkQRN7R3L._AC_UL320_.jpg")</f>
        <v/>
      </c>
      <c r="K3317" t="inlineStr">
        <is>
          <t>29.99</t>
        </is>
      </c>
      <c r="L3317" t="n">
        <v>37.55</v>
      </c>
      <c r="M3317" s="1" t="inlineStr">
        <is>
          <t>25.21%</t>
        </is>
      </c>
      <c r="N3317" s="3" t="n">
        <v>25.21</v>
      </c>
      <c r="O3317" t="n">
        <v>4.3</v>
      </c>
      <c r="P3317" t="n">
        <v>35</v>
      </c>
      <c r="R3317" t="inlineStr">
        <is>
          <t>InStock</t>
        </is>
      </c>
      <c r="S3317" t="inlineStr">
        <is>
          <t>39.95</t>
        </is>
      </c>
      <c r="T3317" t="inlineStr">
        <is>
          <t>704150-04</t>
        </is>
      </c>
    </row>
    <row r="3318" hidden="1" ht="15.75" customHeight="1">
      <c r="A3318" s="2">
        <f>HYPERLINK("https://www.soccerplususa.com/puma/puma-teamfinal-21-graphic-jersey-42093", "https://www.soccerplususa.com/puma/puma-teamfinal-21-graphic-jersey-42093")</f>
        <v/>
      </c>
      <c r="B3318" t="inlineStr">
        <is>
          <t>undefined</t>
        </is>
      </c>
      <c r="C3318" t="inlineStr">
        <is>
          <t>Puma Teamfinal 21 Graphic Jersey</t>
        </is>
      </c>
      <c r="D3318" t="inlineStr">
        <is>
          <t>PUMA Unisex Youth Teamfinal 21 Graphic Jersey</t>
        </is>
      </c>
      <c r="E3318" s="2">
        <f>HYPERLINK("https://www.amazon.com/PUMA-TEAMFINAL-Graphic-Jersey-White/dp/B084ZXBJKK/ref=sr_1_2?keywords=Puma+Teamfinal+21+Graphic+Jersey&amp;qid=1695171154&amp;sr=8-2", "https://www.amazon.com/PUMA-TEAMFINAL-Graphic-Jersey-White/dp/B084ZXBJKK/ref=sr_1_2?keywords=Puma+Teamfinal+21+Graphic+Jersey&amp;qid=1695171154&amp;sr=8-2")</f>
        <v/>
      </c>
      <c r="F3318" t="inlineStr">
        <is>
          <t>B084ZXBJKK</t>
        </is>
      </c>
      <c r="G3318">
        <f>_xludf.IMAGE("https://www.soccerplususa.com/prodimages//37423-BLACK-M.jpg")</f>
        <v/>
      </c>
      <c r="H3318">
        <f>_xludf.IMAGE("https://m.media-amazon.com/images/I/81AkQRN7R3L._AC_UL320_.jpg")</f>
        <v/>
      </c>
      <c r="K3318" t="inlineStr">
        <is>
          <t>29.99</t>
        </is>
      </c>
      <c r="L3318" t="n">
        <v>37.55</v>
      </c>
      <c r="M3318" s="1" t="inlineStr">
        <is>
          <t>25.21%</t>
        </is>
      </c>
      <c r="N3318" s="3" t="n">
        <v>25.21</v>
      </c>
      <c r="O3318" t="n">
        <v>4.3</v>
      </c>
      <c r="P3318" t="n">
        <v>35</v>
      </c>
      <c r="R3318" t="inlineStr">
        <is>
          <t>InStock</t>
        </is>
      </c>
      <c r="S3318" t="inlineStr">
        <is>
          <t>39.95</t>
        </is>
      </c>
      <c r="T3318" t="inlineStr">
        <is>
          <t>704150-03</t>
        </is>
      </c>
    </row>
    <row r="3319" hidden="1" ht="15.75" customHeight="1">
      <c r="A3319" s="2">
        <f>HYPERLINK("https://www.soccerplususa.com/puma/puma-teamfinal-21-graphic-jersey-38602", "https://www.soccerplususa.com/puma/puma-teamfinal-21-graphic-jersey-38602")</f>
        <v/>
      </c>
      <c r="B3319" t="inlineStr">
        <is>
          <t>undefined</t>
        </is>
      </c>
      <c r="C3319" t="inlineStr">
        <is>
          <t>Puma Teamfinal 21 Graphic Jersey</t>
        </is>
      </c>
      <c r="D3319" t="inlineStr">
        <is>
          <t>PUMA Unisex Youth Teamfinal 21 Graphic Jersey</t>
        </is>
      </c>
      <c r="E3319" s="2">
        <f>HYPERLINK("https://www.amazon.com/PUMA-TEAMFINAL-Graphic-Jersey-White/dp/B084ZXBJKK/ref=sr_1_2?keywords=Puma+Teamfinal+21+Graphic+Jersey&amp;qid=1695171165&amp;sr=8-2", "https://www.amazon.com/PUMA-TEAMFINAL-Graphic-Jersey-White/dp/B084ZXBJKK/ref=sr_1_2?keywords=Puma+Teamfinal+21+Graphic+Jersey&amp;qid=1695171165&amp;sr=8-2")</f>
        <v/>
      </c>
      <c r="F3319" t="inlineStr">
        <is>
          <t>B084ZXBJKK</t>
        </is>
      </c>
      <c r="G3319">
        <f>_xludf.IMAGE("https://www.soccerplususa.com/prodimages//35266-YELLOW-M.jpg")</f>
        <v/>
      </c>
      <c r="H3319">
        <f>_xludf.IMAGE("https://m.media-amazon.com/images/I/81AkQRN7R3L._AC_UL320_.jpg")</f>
        <v/>
      </c>
      <c r="K3319" t="inlineStr">
        <is>
          <t>29.99</t>
        </is>
      </c>
      <c r="L3319" t="n">
        <v>37.55</v>
      </c>
      <c r="M3319" s="1" t="inlineStr">
        <is>
          <t>25.21%</t>
        </is>
      </c>
      <c r="N3319" s="3" t="n">
        <v>25.21</v>
      </c>
      <c r="O3319" t="n">
        <v>4.3</v>
      </c>
      <c r="P3319" t="n">
        <v>35</v>
      </c>
      <c r="R3319" t="inlineStr">
        <is>
          <t>InStock</t>
        </is>
      </c>
      <c r="S3319" t="inlineStr">
        <is>
          <t>39.95</t>
        </is>
      </c>
      <c r="T3319" t="inlineStr">
        <is>
          <t>704150-07</t>
        </is>
      </c>
    </row>
    <row r="3320" hidden="1" ht="15.75" customHeight="1">
      <c r="A3320" s="2">
        <f>HYPERLINK("https://www.soccerplususa.com/puma/puma-teamfinal-21-graphic-jersey-40618", "https://www.soccerplususa.com/puma/puma-teamfinal-21-graphic-jersey-40618")</f>
        <v/>
      </c>
      <c r="B3320" t="inlineStr">
        <is>
          <t>undefined</t>
        </is>
      </c>
      <c r="C3320" t="inlineStr">
        <is>
          <t>Puma Teamfinal 21 Graphic Jersey</t>
        </is>
      </c>
      <c r="D3320" t="inlineStr">
        <is>
          <t>PUMA Unisex Youth Teamfinal 21 Graphic Jersey</t>
        </is>
      </c>
      <c r="E3320" s="2">
        <f>HYPERLINK("https://www.amazon.com/PUMA-TEAMFINAL-Graphic-Jersey-White/dp/B084ZXBJKK/ref=sr_1_2?keywords=Puma+Teamfinal+21+Graphic+Jersey&amp;qid=1695171148&amp;sr=8-2", "https://www.amazon.com/PUMA-TEAMFINAL-Graphic-Jersey-White/dp/B084ZXBJKK/ref=sr_1_2?keywords=Puma+Teamfinal+21+Graphic+Jersey&amp;qid=1695171148&amp;sr=8-2")</f>
        <v/>
      </c>
      <c r="F3320" t="inlineStr">
        <is>
          <t>B084ZXBJKK</t>
        </is>
      </c>
      <c r="G3320">
        <f>_xludf.IMAGE("https://www.soccerplususa.com/prodimages//37414-Pepper_Green-M.jpg")</f>
        <v/>
      </c>
      <c r="H3320">
        <f>_xludf.IMAGE("https://m.media-amazon.com/images/I/81AkQRN7R3L._AC_UL320_.jpg")</f>
        <v/>
      </c>
      <c r="K3320" t="inlineStr">
        <is>
          <t>29.99</t>
        </is>
      </c>
      <c r="L3320" t="n">
        <v>37.55</v>
      </c>
      <c r="M3320" s="1" t="inlineStr">
        <is>
          <t>25.21%</t>
        </is>
      </c>
      <c r="N3320" s="3" t="n">
        <v>25.21</v>
      </c>
      <c r="O3320" t="n">
        <v>4.3</v>
      </c>
      <c r="P3320" t="n">
        <v>35</v>
      </c>
      <c r="R3320" t="inlineStr">
        <is>
          <t>InStock</t>
        </is>
      </c>
      <c r="S3320" t="inlineStr">
        <is>
          <t>39.95</t>
        </is>
      </c>
      <c r="T3320" t="inlineStr">
        <is>
          <t>704150-05</t>
        </is>
      </c>
    </row>
    <row r="3321" hidden="1" ht="15.75" customHeight="1">
      <c r="A3321" s="2">
        <f>HYPERLINK("https://www.soccerplususa.com/storelli-sports/storelli-bodyshield-sleeveless-undershirt-32102", "https://www.soccerplususa.com/storelli-sports/storelli-bodyshield-sleeveless-undershirt-32102")</f>
        <v/>
      </c>
      <c r="B3321" t="inlineStr">
        <is>
          <t>undefined</t>
        </is>
      </c>
      <c r="C3321" t="inlineStr">
        <is>
          <t>Storelli BodyShield Sleeveless Undershirt</t>
        </is>
      </c>
      <c r="D3321" t="inlineStr">
        <is>
          <t>Storelli Women's BodyShield Goalkeeper 3/4 Undershirt | Enhanced Chest and Rib Protection | Black | Medium</t>
        </is>
      </c>
      <c r="E3321" s="2">
        <f>HYPERLINK("https://www.amazon.com/Storelli-BodyShield-Goalkeeper-Undershirt-Protection/dp/B094SBFWNR/ref=sr_1_4?keywords=Storelli+BodyShield+Sleeveless+Undershirt&amp;qid=1695171181&amp;sr=8-4", "https://www.amazon.com/Storelli-BodyShield-Goalkeeper-Undershirt-Protection/dp/B094SBFWNR/ref=sr_1_4?keywords=Storelli+BodyShield+Sleeveless+Undershirt&amp;qid=1695171181&amp;sr=8-4")</f>
        <v/>
      </c>
      <c r="F3321" t="inlineStr">
        <is>
          <t>B094SBFWNR</t>
        </is>
      </c>
      <c r="G3321">
        <f>_xludf.IMAGE("https://www.soccerplususa.com/prodimages/2096-DEFAULT-l.jpg")</f>
        <v/>
      </c>
      <c r="H3321">
        <f>_xludf.IMAGE("https://m.media-amazon.com/images/I/61TTG+3j7fL._AC_UL320_.jpg")</f>
        <v/>
      </c>
      <c r="K3321" t="inlineStr">
        <is>
          <t>59.95</t>
        </is>
      </c>
      <c r="L3321" t="n">
        <v>74.98999999999999</v>
      </c>
      <c r="M3321" s="1" t="inlineStr">
        <is>
          <t>25.09%</t>
        </is>
      </c>
      <c r="N3321" s="3" t="n">
        <v>25.09</v>
      </c>
      <c r="O3321" t="n">
        <v>3.8</v>
      </c>
      <c r="P3321" t="n">
        <v>3</v>
      </c>
      <c r="R3321" t="inlineStr">
        <is>
          <t>InStock</t>
        </is>
      </c>
      <c r="S3321" t="inlineStr">
        <is>
          <t>undefined</t>
        </is>
      </c>
      <c r="T3321" t="inlineStr">
        <is>
          <t>BSFPTOPNSBK</t>
        </is>
      </c>
    </row>
    <row r="3322" hidden="1" ht="15.75" customHeight="1">
      <c r="A3322" s="2">
        <f>HYPERLINK("https://www.soccerplususa.com/adidas/adidas-tiro-13-jersey-8642", "https://www.soccerplususa.com/adidas/adidas-tiro-13-jersey-8642")</f>
        <v/>
      </c>
      <c r="B3322" t="inlineStr">
        <is>
          <t>undefined</t>
        </is>
      </c>
      <c r="C3322" t="inlineStr">
        <is>
          <t>adidas Tiro 13 Jersey</t>
        </is>
      </c>
      <c r="D3322" t="inlineStr">
        <is>
          <t>adidas Men's Tiro 13</t>
        </is>
      </c>
      <c r="E3322" s="2">
        <f>HYPERLINK("https://www.amazon.com/Adidas-Mens-Soccer-Shorts-White/dp/B00CCDMIJO/ref=sr_1_5?keywords=adidas+Tiro+13+Jersey&amp;qid=1695171197&amp;sr=8-5", "https://www.amazon.com/Adidas-Mens-Soccer-Shorts-White/dp/B00CCDMIJO/ref=sr_1_5?keywords=adidas+Tiro+13+Jersey&amp;qid=1695171197&amp;sr=8-5")</f>
        <v/>
      </c>
      <c r="F3322" t="inlineStr">
        <is>
          <t>B00CCDMIJO</t>
        </is>
      </c>
      <c r="G3322">
        <f>_xludf.IMAGE("https://www.soccerplususa.com/prodimages/3217-DEFAULT-l.jpg")</f>
        <v/>
      </c>
      <c r="H3322">
        <f>_xludf.IMAGE("https://m.media-amazon.com/images/I/71UZ2QjgXuL._AC_UL320_.jpg")</f>
        <v/>
      </c>
      <c r="K3322" t="inlineStr">
        <is>
          <t>20.0</t>
        </is>
      </c>
      <c r="L3322" t="n">
        <v>25</v>
      </c>
      <c r="M3322" s="1" t="inlineStr">
        <is>
          <t>25.00%</t>
        </is>
      </c>
      <c r="N3322" s="3" t="n">
        <v>25</v>
      </c>
      <c r="O3322" t="n">
        <v>4</v>
      </c>
      <c r="P3322" t="n">
        <v>1</v>
      </c>
      <c r="R3322" t="inlineStr">
        <is>
          <t>InStock</t>
        </is>
      </c>
      <c r="S3322" t="inlineStr">
        <is>
          <t>39.95</t>
        </is>
      </c>
      <c r="T3322" t="inlineStr">
        <is>
          <t>W53887</t>
        </is>
      </c>
    </row>
    <row r="3323" hidden="1" ht="15.75" customHeight="1">
      <c r="A3323" s="2">
        <f>HYPERLINK("https://www.soccerplususa.com/adidas/adidas-tiro-13-jersey-8992", "https://www.soccerplususa.com/adidas/adidas-tiro-13-jersey-8992")</f>
        <v/>
      </c>
      <c r="B3323" t="inlineStr">
        <is>
          <t>undefined</t>
        </is>
      </c>
      <c r="C3323" t="inlineStr">
        <is>
          <t>adidas Tiro 13 Jersey</t>
        </is>
      </c>
      <c r="D3323" t="inlineStr">
        <is>
          <t>adidas Men's Tiro 13</t>
        </is>
      </c>
      <c r="E3323" s="2">
        <f>HYPERLINK("https://www.amazon.com/Adidas-Mens-Soccer-Shorts-White/dp/B00CCDMIJO/ref=sr_1_5?keywords=adidas+Tiro+13+Jersey&amp;qid=1695171210&amp;sr=8-5", "https://www.amazon.com/Adidas-Mens-Soccer-Shorts-White/dp/B00CCDMIJO/ref=sr_1_5?keywords=adidas+Tiro+13+Jersey&amp;qid=1695171210&amp;sr=8-5")</f>
        <v/>
      </c>
      <c r="F3323" t="inlineStr">
        <is>
          <t>B00CCDMIJO</t>
        </is>
      </c>
      <c r="G3323">
        <f>_xludf.IMAGE("https://www.soccerplususa.com/prodimages/10768-DEFAULT-l.jpg")</f>
        <v/>
      </c>
      <c r="H3323">
        <f>_xludf.IMAGE("https://m.media-amazon.com/images/I/71UZ2QjgXuL._AC_UL320_.jpg")</f>
        <v/>
      </c>
      <c r="K3323" t="inlineStr">
        <is>
          <t>20.0</t>
        </is>
      </c>
      <c r="L3323" t="n">
        <v>25</v>
      </c>
      <c r="M3323" s="1" t="inlineStr">
        <is>
          <t>25.00%</t>
        </is>
      </c>
      <c r="N3323" s="3" t="n">
        <v>25</v>
      </c>
      <c r="O3323" t="n">
        <v>4</v>
      </c>
      <c r="P3323" t="n">
        <v>1</v>
      </c>
      <c r="R3323" t="inlineStr">
        <is>
          <t>InStock</t>
        </is>
      </c>
      <c r="S3323" t="inlineStr">
        <is>
          <t>39.95</t>
        </is>
      </c>
      <c r="T3323" t="inlineStr">
        <is>
          <t>Z20252</t>
        </is>
      </c>
    </row>
    <row r="3324" hidden="1" ht="15.75" customHeight="1">
      <c r="A3324" s="2">
        <f>HYPERLINK("https://www.soccerplususa.com/adidas/adidas-tiro-13-jersey-9163", "https://www.soccerplususa.com/adidas/adidas-tiro-13-jersey-9163")</f>
        <v/>
      </c>
      <c r="B3324" t="inlineStr">
        <is>
          <t>undefined</t>
        </is>
      </c>
      <c r="C3324" t="inlineStr">
        <is>
          <t>adidas Tiro 13 Jersey</t>
        </is>
      </c>
      <c r="D3324" t="inlineStr">
        <is>
          <t>adidas Men's Tiro 13</t>
        </is>
      </c>
      <c r="E3324" s="2">
        <f>HYPERLINK("https://www.amazon.com/Adidas-Mens-Soccer-Shorts-White/dp/B00CCDMIJO/ref=sr_1_5?keywords=adidas+Tiro+13+Jersey&amp;qid=1695171187&amp;sr=8-5", "https://www.amazon.com/Adidas-Mens-Soccer-Shorts-White/dp/B00CCDMIJO/ref=sr_1_5?keywords=adidas+Tiro+13+Jersey&amp;qid=1695171187&amp;sr=8-5")</f>
        <v/>
      </c>
      <c r="F3324" t="inlineStr">
        <is>
          <t>B00CCDMIJO</t>
        </is>
      </c>
      <c r="G3324">
        <f>_xludf.IMAGE("https://www.soccerplususa.com/prodimages/3224-DEFAULT-l.jpg")</f>
        <v/>
      </c>
      <c r="H3324">
        <f>_xludf.IMAGE("https://m.media-amazon.com/images/I/71UZ2QjgXuL._AC_UL320_.jpg")</f>
        <v/>
      </c>
      <c r="K3324" t="inlineStr">
        <is>
          <t>20.0</t>
        </is>
      </c>
      <c r="L3324" t="n">
        <v>25</v>
      </c>
      <c r="M3324" s="1" t="inlineStr">
        <is>
          <t>25.00%</t>
        </is>
      </c>
      <c r="N3324" s="3" t="n">
        <v>25</v>
      </c>
      <c r="O3324" t="n">
        <v>4</v>
      </c>
      <c r="P3324" t="n">
        <v>1</v>
      </c>
      <c r="R3324" t="inlineStr">
        <is>
          <t>InStock</t>
        </is>
      </c>
      <c r="S3324" t="inlineStr">
        <is>
          <t>39.95</t>
        </is>
      </c>
      <c r="T3324" t="inlineStr">
        <is>
          <t>Z69160</t>
        </is>
      </c>
    </row>
    <row r="3325" hidden="1" ht="15.75" customHeight="1">
      <c r="A3325" s="2">
        <f>HYPERLINK("https://www.soccerplususa.com/adidas/adidas-tiro-13-jersey-9163", "https://www.soccerplususa.com/adidas/adidas-tiro-13-jersey-9163")</f>
        <v/>
      </c>
      <c r="B3325" t="inlineStr">
        <is>
          <t>undefined</t>
        </is>
      </c>
      <c r="C3325" t="inlineStr">
        <is>
          <t>adidas Tiro 13 Jersey</t>
        </is>
      </c>
      <c r="D3325" t="inlineStr">
        <is>
          <t>adidas Men's Tiro 13 Short Cobalt/White XL 9</t>
        </is>
      </c>
      <c r="E3325" s="2">
        <f>HYPERLINK("https://www.amazon.com/Adidas-Short-Cobalt-White-XLarge/dp/B00CCDMP06/ref=sr_1_4?keywords=adidas+Tiro+13+Jersey&amp;qid=1695171187&amp;sr=8-4", "https://www.amazon.com/Adidas-Short-Cobalt-White-XLarge/dp/B00CCDMP06/ref=sr_1_4?keywords=adidas+Tiro+13+Jersey&amp;qid=1695171187&amp;sr=8-4")</f>
        <v/>
      </c>
      <c r="F3325" t="inlineStr">
        <is>
          <t>B00CCDMP06</t>
        </is>
      </c>
      <c r="G3325">
        <f>_xludf.IMAGE("https://www.soccerplususa.com/prodimages/3224-DEFAULT-l.jpg")</f>
        <v/>
      </c>
      <c r="H3325">
        <f>_xludf.IMAGE("https://m.media-amazon.com/images/I/71d34SMhNKL._AC_UL320_.jpg")</f>
        <v/>
      </c>
      <c r="K3325" t="inlineStr">
        <is>
          <t>20.0</t>
        </is>
      </c>
      <c r="L3325" t="n">
        <v>24.99</v>
      </c>
      <c r="M3325" s="1" t="inlineStr">
        <is>
          <t>24.95%</t>
        </is>
      </c>
      <c r="N3325" s="3" t="n">
        <v>24.95</v>
      </c>
      <c r="O3325" t="n">
        <v>5</v>
      </c>
      <c r="P3325" t="n">
        <v>1</v>
      </c>
      <c r="R3325" t="inlineStr">
        <is>
          <t>InStock</t>
        </is>
      </c>
      <c r="S3325" t="inlineStr">
        <is>
          <t>39.95</t>
        </is>
      </c>
      <c r="T3325" t="inlineStr">
        <is>
          <t>Z69160</t>
        </is>
      </c>
    </row>
    <row r="3326" hidden="1" ht="15.75" customHeight="1">
      <c r="A3326" s="2">
        <f>HYPERLINK("https://www.soccerplususa.com/adidas/adidas-tiro-13-jersey-8992", "https://www.soccerplususa.com/adidas/adidas-tiro-13-jersey-8992")</f>
        <v/>
      </c>
      <c r="B3326" t="inlineStr">
        <is>
          <t>undefined</t>
        </is>
      </c>
      <c r="C3326" t="inlineStr">
        <is>
          <t>adidas Tiro 13 Jersey</t>
        </is>
      </c>
      <c r="D3326" t="inlineStr">
        <is>
          <t>adidas Women's Tiro 13 Shorts</t>
        </is>
      </c>
      <c r="E3326" s="2">
        <f>HYPERLINK("https://www.amazon.com/Adidas-Womens-Shorts-Black-White/dp/B008J2PJI4/ref=sr_1_3?keywords=adidas+Tiro+13+Jersey&amp;qid=1695171210&amp;sr=8-3", "https://www.amazon.com/Adidas-Womens-Shorts-Black-White/dp/B008J2PJI4/ref=sr_1_3?keywords=adidas+Tiro+13+Jersey&amp;qid=1695171210&amp;sr=8-3")</f>
        <v/>
      </c>
      <c r="F3326" t="inlineStr">
        <is>
          <t>B008J2PJI4</t>
        </is>
      </c>
      <c r="G3326">
        <f>_xludf.IMAGE("https://www.soccerplususa.com/prodimages/10768-DEFAULT-l.jpg")</f>
        <v/>
      </c>
      <c r="H3326">
        <f>_xludf.IMAGE("https://m.media-amazon.com/images/I/713dL1h0iVL._AC_UL320_.jpg")</f>
        <v/>
      </c>
      <c r="K3326" t="inlineStr">
        <is>
          <t>20.0</t>
        </is>
      </c>
      <c r="L3326" t="n">
        <v>24.99</v>
      </c>
      <c r="M3326" s="1" t="inlineStr">
        <is>
          <t>24.95%</t>
        </is>
      </c>
      <c r="N3326" s="3" t="n">
        <v>24.95</v>
      </c>
      <c r="O3326" t="n">
        <v>4.7</v>
      </c>
      <c r="P3326" t="n">
        <v>4</v>
      </c>
      <c r="R3326" t="inlineStr">
        <is>
          <t>InStock</t>
        </is>
      </c>
      <c r="S3326" t="inlineStr">
        <is>
          <t>39.95</t>
        </is>
      </c>
      <c r="T3326" t="inlineStr">
        <is>
          <t>Z20252</t>
        </is>
      </c>
    </row>
    <row r="3327" hidden="1" ht="15.75" customHeight="1">
      <c r="A3327" s="2">
        <f>HYPERLINK("https://www.soccerplususa.com/adidas/adidas-tiro-13-jersey-9163", "https://www.soccerplususa.com/adidas/adidas-tiro-13-jersey-9163")</f>
        <v/>
      </c>
      <c r="B3327" t="inlineStr">
        <is>
          <t>undefined</t>
        </is>
      </c>
      <c r="C3327" t="inlineStr">
        <is>
          <t>adidas Tiro 13 Jersey</t>
        </is>
      </c>
      <c r="D3327" t="inlineStr">
        <is>
          <t>adidas Women's Tiro 13 Shorts</t>
        </is>
      </c>
      <c r="E3327" s="2">
        <f>HYPERLINK("https://www.amazon.com/Adidas-Womens-Shorts-Black-White/dp/B008J2PJI4/ref=sr_1_3?keywords=adidas+Tiro+13+Jersey&amp;qid=1695171187&amp;sr=8-3", "https://www.amazon.com/Adidas-Womens-Shorts-Black-White/dp/B008J2PJI4/ref=sr_1_3?keywords=adidas+Tiro+13+Jersey&amp;qid=1695171187&amp;sr=8-3")</f>
        <v/>
      </c>
      <c r="F3327" t="inlineStr">
        <is>
          <t>B008J2PJI4</t>
        </is>
      </c>
      <c r="G3327">
        <f>_xludf.IMAGE("https://www.soccerplususa.com/prodimages/3224-DEFAULT-l.jpg")</f>
        <v/>
      </c>
      <c r="H3327">
        <f>_xludf.IMAGE("https://m.media-amazon.com/images/I/713dL1h0iVL._AC_UL320_.jpg")</f>
        <v/>
      </c>
      <c r="K3327" t="inlineStr">
        <is>
          <t>20.0</t>
        </is>
      </c>
      <c r="L3327" t="n">
        <v>24.99</v>
      </c>
      <c r="M3327" s="1" t="inlineStr">
        <is>
          <t>24.95%</t>
        </is>
      </c>
      <c r="N3327" s="3" t="n">
        <v>24.95</v>
      </c>
      <c r="O3327" t="n">
        <v>4.7</v>
      </c>
      <c r="P3327" t="n">
        <v>4</v>
      </c>
      <c r="R3327" t="inlineStr">
        <is>
          <t>InStock</t>
        </is>
      </c>
      <c r="S3327" t="inlineStr">
        <is>
          <t>39.95</t>
        </is>
      </c>
      <c r="T3327" t="inlineStr">
        <is>
          <t>Z69160</t>
        </is>
      </c>
    </row>
    <row r="3328" hidden="1" ht="15.75" customHeight="1">
      <c r="A3328" s="2">
        <f>HYPERLINK("https://www.soccerplususa.com/adidas/adidas-tiro-13-jersey-8992", "https://www.soccerplususa.com/adidas/adidas-tiro-13-jersey-8992")</f>
        <v/>
      </c>
      <c r="B3328" t="inlineStr">
        <is>
          <t>undefined</t>
        </is>
      </c>
      <c r="C3328" t="inlineStr">
        <is>
          <t>adidas Tiro 13 Jersey</t>
        </is>
      </c>
      <c r="D3328" t="inlineStr">
        <is>
          <t>adidas Men's Tiro 13 Short Cobalt/White XL 9</t>
        </is>
      </c>
      <c r="E3328" s="2">
        <f>HYPERLINK("https://www.amazon.com/Adidas-Short-Cobalt-White-XLarge/dp/B00CCDMP06/ref=sr_1_4?keywords=adidas+Tiro+13+Jersey&amp;qid=1695171210&amp;sr=8-4", "https://www.amazon.com/Adidas-Short-Cobalt-White-XLarge/dp/B00CCDMP06/ref=sr_1_4?keywords=adidas+Tiro+13+Jersey&amp;qid=1695171210&amp;sr=8-4")</f>
        <v/>
      </c>
      <c r="F3328" t="inlineStr">
        <is>
          <t>B00CCDMP06</t>
        </is>
      </c>
      <c r="G3328">
        <f>_xludf.IMAGE("https://www.soccerplususa.com/prodimages/10768-DEFAULT-l.jpg")</f>
        <v/>
      </c>
      <c r="H3328">
        <f>_xludf.IMAGE("https://m.media-amazon.com/images/I/71d34SMhNKL._AC_UL320_.jpg")</f>
        <v/>
      </c>
      <c r="K3328" t="inlineStr">
        <is>
          <t>20.0</t>
        </is>
      </c>
      <c r="L3328" t="n">
        <v>24.99</v>
      </c>
      <c r="M3328" s="1" t="inlineStr">
        <is>
          <t>24.95%</t>
        </is>
      </c>
      <c r="N3328" s="3" t="n">
        <v>24.95</v>
      </c>
      <c r="O3328" t="n">
        <v>5</v>
      </c>
      <c r="P3328" t="n">
        <v>1</v>
      </c>
      <c r="R3328" t="inlineStr">
        <is>
          <t>InStock</t>
        </is>
      </c>
      <c r="S3328" t="inlineStr">
        <is>
          <t>39.95</t>
        </is>
      </c>
      <c r="T3328" t="inlineStr">
        <is>
          <t>Z20252</t>
        </is>
      </c>
    </row>
    <row r="3329" hidden="1" ht="15.75" customHeight="1">
      <c r="A3329" s="2">
        <f>HYPERLINK("https://www.soccerplususa.com/adidas/adidas-tiro-13-jersey-8642", "https://www.soccerplususa.com/adidas/adidas-tiro-13-jersey-8642")</f>
        <v/>
      </c>
      <c r="B3329" t="inlineStr">
        <is>
          <t>undefined</t>
        </is>
      </c>
      <c r="C3329" t="inlineStr">
        <is>
          <t>adidas Tiro 13 Jersey</t>
        </is>
      </c>
      <c r="D3329" t="inlineStr">
        <is>
          <t>adidas Women's Tiro 13 Shorts</t>
        </is>
      </c>
      <c r="E3329" s="2">
        <f>HYPERLINK("https://www.amazon.com/Adidas-Womens-Shorts-Black-White/dp/B008J2PJI4/ref=sr_1_3?keywords=adidas+Tiro+13+Jersey&amp;qid=1695171197&amp;sr=8-3", "https://www.amazon.com/Adidas-Womens-Shorts-Black-White/dp/B008J2PJI4/ref=sr_1_3?keywords=adidas+Tiro+13+Jersey&amp;qid=1695171197&amp;sr=8-3")</f>
        <v/>
      </c>
      <c r="F3329" t="inlineStr">
        <is>
          <t>B008J2PJI4</t>
        </is>
      </c>
      <c r="G3329">
        <f>_xludf.IMAGE("https://www.soccerplususa.com/prodimages/3217-DEFAULT-l.jpg")</f>
        <v/>
      </c>
      <c r="H3329">
        <f>_xludf.IMAGE("https://m.media-amazon.com/images/I/713dL1h0iVL._AC_UL320_.jpg")</f>
        <v/>
      </c>
      <c r="K3329" t="inlineStr">
        <is>
          <t>20.0</t>
        </is>
      </c>
      <c r="L3329" t="n">
        <v>24.99</v>
      </c>
      <c r="M3329" s="1" t="inlineStr">
        <is>
          <t>24.95%</t>
        </is>
      </c>
      <c r="N3329" s="3" t="n">
        <v>24.95</v>
      </c>
      <c r="O3329" t="n">
        <v>4.7</v>
      </c>
      <c r="P3329" t="n">
        <v>4</v>
      </c>
      <c r="R3329" t="inlineStr">
        <is>
          <t>InStock</t>
        </is>
      </c>
      <c r="S3329" t="inlineStr">
        <is>
          <t>39.95</t>
        </is>
      </c>
      <c r="T3329" t="inlineStr">
        <is>
          <t>W53887</t>
        </is>
      </c>
    </row>
    <row r="3330" hidden="1" ht="15.75" customHeight="1">
      <c r="A3330" s="2">
        <f>HYPERLINK("https://www.soccerplususa.com/adidas/adidas-tiro-13-jersey-8642", "https://www.soccerplususa.com/adidas/adidas-tiro-13-jersey-8642")</f>
        <v/>
      </c>
      <c r="B3330" t="inlineStr">
        <is>
          <t>undefined</t>
        </is>
      </c>
      <c r="C3330" t="inlineStr">
        <is>
          <t>adidas Tiro 13 Jersey</t>
        </is>
      </c>
      <c r="D3330" t="inlineStr">
        <is>
          <t>adidas Men's Tiro 13 Short Cobalt/White XL 9</t>
        </is>
      </c>
      <c r="E3330" s="2">
        <f>HYPERLINK("https://www.amazon.com/Adidas-Short-Cobalt-White-XLarge/dp/B00CCDMP06/ref=sr_1_4?keywords=adidas+Tiro+13+Jersey&amp;qid=1695171197&amp;sr=8-4", "https://www.amazon.com/Adidas-Short-Cobalt-White-XLarge/dp/B00CCDMP06/ref=sr_1_4?keywords=adidas+Tiro+13+Jersey&amp;qid=1695171197&amp;sr=8-4")</f>
        <v/>
      </c>
      <c r="F3330" t="inlineStr">
        <is>
          <t>B00CCDMP06</t>
        </is>
      </c>
      <c r="G3330">
        <f>_xludf.IMAGE("https://www.soccerplususa.com/prodimages/3217-DEFAULT-l.jpg")</f>
        <v/>
      </c>
      <c r="H3330">
        <f>_xludf.IMAGE("https://m.media-amazon.com/images/I/71d34SMhNKL._AC_UL320_.jpg")</f>
        <v/>
      </c>
      <c r="K3330" t="inlineStr">
        <is>
          <t>20.0</t>
        </is>
      </c>
      <c r="L3330" t="n">
        <v>24.99</v>
      </c>
      <c r="M3330" s="1" t="inlineStr">
        <is>
          <t>24.95%</t>
        </is>
      </c>
      <c r="N3330" s="3" t="n">
        <v>24.95</v>
      </c>
      <c r="O3330" t="n">
        <v>5</v>
      </c>
      <c r="P3330" t="n">
        <v>1</v>
      </c>
      <c r="R3330" t="inlineStr">
        <is>
          <t>InStock</t>
        </is>
      </c>
      <c r="S3330" t="inlineStr">
        <is>
          <t>39.95</t>
        </is>
      </c>
      <c r="T3330" t="inlineStr">
        <is>
          <t>W53887</t>
        </is>
      </c>
    </row>
    <row r="3331" hidden="1" ht="15.75" customHeight="1">
      <c r="A3331" s="2">
        <f>HYPERLINK("https://www.soccerplususa.com/adidas/adidas-regista-16-jersey-4147", "https://www.soccerplususa.com/adidas/adidas-regista-16-jersey-4147")</f>
        <v/>
      </c>
      <c r="B3331" t="inlineStr">
        <is>
          <t>undefined</t>
        </is>
      </c>
      <c r="C3331" t="inlineStr">
        <is>
          <t>adidas Regista 16 Jersey</t>
        </is>
      </c>
      <c r="D3331" t="inlineStr">
        <is>
          <t>adidas Mens Regista Jersey</t>
        </is>
      </c>
      <c r="E3331" s="2">
        <f>HYPERLINK("https://www.amazon.com/adidas-Regista-18-Jersey%E2%9D%97%EF%B8%8FShips-Directly/dp/B07BHL2RTX/ref=sr_1_8?keywords=adidas+Regista+16+Jersey&amp;qid=1695171233&amp;sr=8-8", "https://www.amazon.com/adidas-Regista-18-Jersey%E2%9D%97%EF%B8%8FShips-Directly/dp/B07BHL2RTX/ref=sr_1_8?keywords=adidas+Regista+16+Jersey&amp;qid=1695171233&amp;sr=8-8")</f>
        <v/>
      </c>
      <c r="F3331" t="inlineStr">
        <is>
          <t>B07BHL2RTX</t>
        </is>
      </c>
      <c r="G3331">
        <f>_xludf.IMAGE("https://www.soccerplususa.com/prodimages/7616-DEFAULT-l.jpg")</f>
        <v/>
      </c>
      <c r="H3331">
        <f>_xludf.IMAGE("https://m.media-amazon.com/images/I/710DBNFeOcL._AC_UL320_.jpg")</f>
        <v/>
      </c>
      <c r="K3331" t="inlineStr">
        <is>
          <t>17.5</t>
        </is>
      </c>
      <c r="L3331" t="n">
        <v>21.7</v>
      </c>
      <c r="M3331" s="1" t="inlineStr">
        <is>
          <t>24.00%</t>
        </is>
      </c>
      <c r="N3331" s="3" t="n">
        <v>24</v>
      </c>
      <c r="O3331" t="n">
        <v>5</v>
      </c>
      <c r="P3331" t="n">
        <v>2</v>
      </c>
      <c r="R3331" t="inlineStr">
        <is>
          <t>InStock</t>
        </is>
      </c>
      <c r="S3331" t="inlineStr">
        <is>
          <t>34.95</t>
        </is>
      </c>
      <c r="T3331" t="inlineStr">
        <is>
          <t>AP0529</t>
        </is>
      </c>
    </row>
    <row r="3332" hidden="1" ht="15.75" customHeight="1">
      <c r="A3332" s="2">
        <f>HYPERLINK("https://www.soccerplususa.com/adidas/adidas-tiro-17-jersey-4869", "https://www.soccerplususa.com/adidas/adidas-tiro-17-jersey-4869")</f>
        <v/>
      </c>
      <c r="B3332" t="inlineStr">
        <is>
          <t>undefined</t>
        </is>
      </c>
      <c r="C3332" t="inlineStr">
        <is>
          <t>adidas Tiro 17 Jersey</t>
        </is>
      </c>
      <c r="D3332" t="inlineStr">
        <is>
          <t>adidas Womens Tiro 17 Jersey</t>
        </is>
      </c>
      <c r="E3332" s="2">
        <f>HYPERLINK("https://www.amazon.com/adidas-Womens-Embellished-T-Shirt-Medium/dp/B06XX4BHD2/ref=sr_1_6?keywords=adidas+Tiro+17+Jersey&amp;qid=1695171236&amp;sr=8-6", "https://www.amazon.com/adidas-Womens-Embellished-T-Shirt-Medium/dp/B06XX4BHD2/ref=sr_1_6?keywords=adidas+Tiro+17+Jersey&amp;qid=1695171236&amp;sr=8-6")</f>
        <v/>
      </c>
      <c r="F3332" t="inlineStr">
        <is>
          <t>B06XX4BHD2</t>
        </is>
      </c>
      <c r="G3332">
        <f>_xludf.IMAGE("https://www.soccerplususa.com/prodimages/7451-DEFAULT-l.jpg")</f>
        <v/>
      </c>
      <c r="H3332">
        <f>_xludf.IMAGE("https://m.media-amazon.com/images/I/51mgSEt736L._AC_UL320_.jpg")</f>
        <v/>
      </c>
      <c r="K3332" t="inlineStr">
        <is>
          <t>20.0</t>
        </is>
      </c>
      <c r="L3332" t="n">
        <v>24.74</v>
      </c>
      <c r="M3332" s="1" t="inlineStr">
        <is>
          <t>23.70%</t>
        </is>
      </c>
      <c r="N3332" s="3" t="n">
        <v>23.7</v>
      </c>
      <c r="O3332" t="n">
        <v>5</v>
      </c>
      <c r="P3332" t="n">
        <v>6</v>
      </c>
      <c r="R3332" t="inlineStr">
        <is>
          <t>InStock</t>
        </is>
      </c>
      <c r="S3332" t="inlineStr">
        <is>
          <t>39.95</t>
        </is>
      </c>
      <c r="T3332" t="inlineStr">
        <is>
          <t>BK5437</t>
        </is>
      </c>
    </row>
    <row r="3333" hidden="1" ht="15.75" customHeight="1">
      <c r="A3333" s="2">
        <f>HYPERLINK("https://www.soccerplususa.com/adidas/adidas-tiro-17-jersey-4871", "https://www.soccerplususa.com/adidas/adidas-tiro-17-jersey-4871")</f>
        <v/>
      </c>
      <c r="B3333" t="inlineStr">
        <is>
          <t>undefined</t>
        </is>
      </c>
      <c r="C3333" t="inlineStr">
        <is>
          <t>adidas Tiro 17 Jersey</t>
        </is>
      </c>
      <c r="D3333" t="inlineStr">
        <is>
          <t>adidas Womens Tiro 17 Jersey</t>
        </is>
      </c>
      <c r="E3333" s="2">
        <f>HYPERLINK("https://www.amazon.com/adidas-Womens-Embellished-T-Shirt-Medium/dp/B06XX4BHD2/ref=sr_1_5?keywords=adidas+Tiro+17+Jersey&amp;qid=1695171224&amp;sr=8-5", "https://www.amazon.com/adidas-Womens-Embellished-T-Shirt-Medium/dp/B06XX4BHD2/ref=sr_1_5?keywords=adidas+Tiro+17+Jersey&amp;qid=1695171224&amp;sr=8-5")</f>
        <v/>
      </c>
      <c r="F3333" t="inlineStr">
        <is>
          <t>B06XX4BHD2</t>
        </is>
      </c>
      <c r="G3333">
        <f>_xludf.IMAGE("https://www.soccerplususa.com/prodimages/31717-DEFAULT-l.jpg")</f>
        <v/>
      </c>
      <c r="H3333">
        <f>_xludf.IMAGE("https://m.media-amazon.com/images/I/51mgSEt736L._AC_UL320_.jpg")</f>
        <v/>
      </c>
      <c r="K3333" t="inlineStr">
        <is>
          <t>20.0</t>
        </is>
      </c>
      <c r="L3333" t="n">
        <v>24.74</v>
      </c>
      <c r="M3333" s="1" t="inlineStr">
        <is>
          <t>23.70%</t>
        </is>
      </c>
      <c r="N3333" s="3" t="n">
        <v>23.7</v>
      </c>
      <c r="O3333" t="n">
        <v>5</v>
      </c>
      <c r="P3333" t="n">
        <v>6</v>
      </c>
      <c r="R3333" t="inlineStr">
        <is>
          <t>InStock</t>
        </is>
      </c>
      <c r="S3333" t="inlineStr">
        <is>
          <t>39.95</t>
        </is>
      </c>
      <c r="T3333" t="inlineStr">
        <is>
          <t>BK5439</t>
        </is>
      </c>
    </row>
    <row r="3334" hidden="1" ht="15.75" customHeight="1">
      <c r="A3334" s="2">
        <f>HYPERLINK("https://www.soccerplususa.com/adidas/adidas-tiro-15-jersey-youth-7891", "https://www.soccerplususa.com/adidas/adidas-tiro-15-jersey-youth-7891")</f>
        <v/>
      </c>
      <c r="B3334" t="inlineStr">
        <is>
          <t>undefined</t>
        </is>
      </c>
      <c r="C3334" t="inlineStr">
        <is>
          <t>adidas Tiro 15 Jersey Youth</t>
        </is>
      </c>
      <c r="D3334" t="inlineStr">
        <is>
          <t>adidas Boys' Alphaskin Tiro Youth Jersey</t>
        </is>
      </c>
      <c r="E3334" s="2">
        <f>HYPERLINK("https://www.amazon.com/adidas-Alphaskin-Youth-Jersey-X-Large/dp/B07DXQYZG1/ref=sr_1_3?keywords=adidas+Tiro+15+Jersey+Youth&amp;qid=1695171218&amp;sr=8-3", "https://www.amazon.com/adidas-Alphaskin-Youth-Jersey-X-Large/dp/B07DXQYZG1/ref=sr_1_3?keywords=adidas+Tiro+15+Jersey+Youth&amp;qid=1695171218&amp;sr=8-3")</f>
        <v/>
      </c>
      <c r="F3334" t="inlineStr">
        <is>
          <t>B07DXQYZG1</t>
        </is>
      </c>
      <c r="G3334">
        <f>_xludf.IMAGE("https://www.soccerplususa.com/prodimages/6931-DEFAULT-l.jpg")</f>
        <v/>
      </c>
      <c r="H3334">
        <f>_xludf.IMAGE("https://m.media-amazon.com/images/I/51FrkChU33L._AC_UL320_.jpg")</f>
        <v/>
      </c>
      <c r="K3334" t="inlineStr">
        <is>
          <t>11.38</t>
        </is>
      </c>
      <c r="L3334" t="n">
        <v>14.04</v>
      </c>
      <c r="M3334" s="1" t="inlineStr">
        <is>
          <t>23.37%</t>
        </is>
      </c>
      <c r="N3334" s="3" t="n">
        <v>23.37</v>
      </c>
      <c r="O3334" t="n">
        <v>4.9</v>
      </c>
      <c r="P3334" t="n">
        <v>40</v>
      </c>
      <c r="R3334" t="inlineStr">
        <is>
          <t>InStock</t>
        </is>
      </c>
      <c r="S3334" t="inlineStr">
        <is>
          <t>34.95</t>
        </is>
      </c>
      <c r="T3334" t="inlineStr">
        <is>
          <t>S22374</t>
        </is>
      </c>
    </row>
    <row r="3335" hidden="1" ht="15.75" customHeight="1">
      <c r="A3335" s="2">
        <f>HYPERLINK("https://www.soccerplususa.com/under-armour/under-armour-cold-gear-armour-crew-youth-33312", "https://www.soccerplususa.com/under-armour/under-armour-cold-gear-armour-crew-youth-33312")</f>
        <v/>
      </c>
      <c r="B3335" t="inlineStr">
        <is>
          <t>undefined</t>
        </is>
      </c>
      <c r="C3335" t="inlineStr">
        <is>
          <t>Under Armour Cold Gear Armour Crew Youth</t>
        </is>
      </c>
      <c r="D3335" t="inlineStr">
        <is>
          <t>Under Armour Boys' ColdGear Leggings</t>
        </is>
      </c>
      <c r="E3335" s="2">
        <f>HYPERLINK("https://www.amazon.com/Under-Armour-ColdGear-Leggings-Heather/dp/B07YXLT8YY/ref=sr_1_2?keywords=Under+Armour+Cold+Gear+Armour+Crew+Youth&amp;qid=1695171168&amp;sr=8-2", "https://www.amazon.com/Under-Armour-ColdGear-Leggings-Heather/dp/B07YXLT8YY/ref=sr_1_2?keywords=Under+Armour+Cold+Gear+Armour+Crew+Youth&amp;qid=1695171168&amp;sr=8-2")</f>
        <v/>
      </c>
      <c r="F3335" t="inlineStr">
        <is>
          <t>B07YXLT8YY</t>
        </is>
      </c>
      <c r="G3335">
        <f>_xludf.IMAGE("https://www.soccerplususa.com/prodimages/5584-DEFAULT-l.jpg")</f>
        <v/>
      </c>
      <c r="H3335">
        <f>_xludf.IMAGE("https://m.media-amazon.com/images/I/61931HB1b1L._AC_UL320_.jpg")</f>
        <v/>
      </c>
      <c r="K3335" t="inlineStr">
        <is>
          <t>39.95</t>
        </is>
      </c>
      <c r="L3335" t="n">
        <v>48.97</v>
      </c>
      <c r="M3335" s="1" t="inlineStr">
        <is>
          <t>22.58%</t>
        </is>
      </c>
      <c r="N3335" s="3" t="n">
        <v>22.58</v>
      </c>
      <c r="O3335" t="n">
        <v>4.8</v>
      </c>
      <c r="P3335" t="n">
        <v>696</v>
      </c>
      <c r="R3335" t="inlineStr">
        <is>
          <t>InStock</t>
        </is>
      </c>
      <c r="S3335" t="inlineStr">
        <is>
          <t>undefined</t>
        </is>
      </c>
      <c r="T3335" t="inlineStr">
        <is>
          <t>1288344-001</t>
        </is>
      </c>
    </row>
    <row r="3336" hidden="1" ht="15.75" customHeight="1">
      <c r="A3336" s="2">
        <f>HYPERLINK("https://www.soccerplususa.com/under-armour/under-armour-cold-gear-armour-mock-youth-33311", "https://www.soccerplususa.com/under-armour/under-armour-cold-gear-armour-mock-youth-33311")</f>
        <v/>
      </c>
      <c r="B3336" t="inlineStr">
        <is>
          <t>undefined</t>
        </is>
      </c>
      <c r="C3336" t="inlineStr">
        <is>
          <t>Under Armour Cold Gear Armour Mock Youth</t>
        </is>
      </c>
      <c r="D3336" t="inlineStr">
        <is>
          <t>Under Armour Boys' ColdGear Leggings</t>
        </is>
      </c>
      <c r="E3336" s="2">
        <f>HYPERLINK("https://www.amazon.com/Under-Armour-ColdGear-Leggings-Heather/dp/B07YXLT8YY/ref=sr_1_10?keywords=Under+Armour+Cold+Gear+Armour+Mock+Youth&amp;qid=1695171169&amp;sr=8-10", "https://www.amazon.com/Under-Armour-ColdGear-Leggings-Heather/dp/B07YXLT8YY/ref=sr_1_10?keywords=Under+Armour+Cold+Gear+Armour+Mock+Youth&amp;qid=1695171169&amp;sr=8-10")</f>
        <v/>
      </c>
      <c r="F3336" t="inlineStr">
        <is>
          <t>B07YXLT8YY</t>
        </is>
      </c>
      <c r="G3336">
        <f>_xludf.IMAGE("https://www.soccerplususa.com/prodimages/5585-DEFAULT-l.jpg")</f>
        <v/>
      </c>
      <c r="H3336">
        <f>_xludf.IMAGE("https://m.media-amazon.com/images/I/61931HB1b1L._AC_UL320_.jpg")</f>
        <v/>
      </c>
      <c r="K3336" t="inlineStr">
        <is>
          <t>39.95</t>
        </is>
      </c>
      <c r="L3336" t="n">
        <v>48.97</v>
      </c>
      <c r="M3336" s="1" t="inlineStr">
        <is>
          <t>22.58%</t>
        </is>
      </c>
      <c r="N3336" s="3" t="n">
        <v>22.58</v>
      </c>
      <c r="O3336" t="n">
        <v>4.8</v>
      </c>
      <c r="P3336" t="n">
        <v>696</v>
      </c>
      <c r="R3336" t="inlineStr">
        <is>
          <t>InStock</t>
        </is>
      </c>
      <c r="S3336" t="inlineStr">
        <is>
          <t>undefined</t>
        </is>
      </c>
      <c r="T3336" t="inlineStr">
        <is>
          <t>1288343-100</t>
        </is>
      </c>
    </row>
    <row r="3337" hidden="1" ht="15.75" customHeight="1">
      <c r="A3337" s="2">
        <f>HYPERLINK("https://www.soccerplususa.com/under-armour/under-armour-cold-gear-armour-mock-youth-33310", "https://www.soccerplususa.com/under-armour/under-armour-cold-gear-armour-mock-youth-33310")</f>
        <v/>
      </c>
      <c r="B3337" t="inlineStr">
        <is>
          <t>undefined</t>
        </is>
      </c>
      <c r="C3337" t="inlineStr">
        <is>
          <t>Under Armour Cold Gear Armour Mock Youth</t>
        </is>
      </c>
      <c r="D3337" t="inlineStr">
        <is>
          <t>Under Armour Boys' ColdGear Leggings</t>
        </is>
      </c>
      <c r="E3337" s="2">
        <f>HYPERLINK("https://www.amazon.com/Under-Armour-ColdGear-Leggings-Heather/dp/B07YXLT8YY/ref=sr_1_8?keywords=Under+Armour+Cold+Gear+Armour+Mock+Youth&amp;qid=1695171174&amp;sr=8-8", "https://www.amazon.com/Under-Armour-ColdGear-Leggings-Heather/dp/B07YXLT8YY/ref=sr_1_8?keywords=Under+Armour+Cold+Gear+Armour+Mock+Youth&amp;qid=1695171174&amp;sr=8-8")</f>
        <v/>
      </c>
      <c r="F3337" t="inlineStr">
        <is>
          <t>B07YXLT8YY</t>
        </is>
      </c>
      <c r="G3337">
        <f>_xludf.IMAGE("https://www.soccerplususa.com/prodimages/5586-DEFAULT-l.jpg")</f>
        <v/>
      </c>
      <c r="H3337">
        <f>_xludf.IMAGE("https://m.media-amazon.com/images/I/61931HB1b1L._AC_UL320_.jpg")</f>
        <v/>
      </c>
      <c r="K3337" t="inlineStr">
        <is>
          <t>39.95</t>
        </is>
      </c>
      <c r="L3337" t="n">
        <v>48.97</v>
      </c>
      <c r="M3337" s="1" t="inlineStr">
        <is>
          <t>22.58%</t>
        </is>
      </c>
      <c r="N3337" s="3" t="n">
        <v>22.58</v>
      </c>
      <c r="O3337" t="n">
        <v>4.8</v>
      </c>
      <c r="P3337" t="n">
        <v>696</v>
      </c>
      <c r="R3337" t="inlineStr">
        <is>
          <t>InStock</t>
        </is>
      </c>
      <c r="S3337" t="inlineStr">
        <is>
          <t>undefined</t>
        </is>
      </c>
      <c r="T3337" t="inlineStr">
        <is>
          <t>1288343-001</t>
        </is>
      </c>
    </row>
    <row r="3338" hidden="1" ht="15.75" customHeight="1">
      <c r="A3338" s="2">
        <f>HYPERLINK("https://www.soccerplususa.com/adidas/adidas-tiro-19-training-jacket-33996", "https://www.soccerplususa.com/adidas/adidas-tiro-19-training-jacket-33996")</f>
        <v/>
      </c>
      <c r="B3338" t="inlineStr">
        <is>
          <t>undefined</t>
        </is>
      </c>
      <c r="C3338" t="inlineStr">
        <is>
          <t>adidas Tiro 19 Training Jacket</t>
        </is>
      </c>
      <c r="D3338" t="inlineStr">
        <is>
          <t>adidas Men's Tiro 19 Warm Jacket</t>
        </is>
      </c>
      <c r="E3338" s="2">
        <f>HYPERLINK("https://www.amazon.com/adidas-Jacket-Small-Black-White/dp/B07KBC9Y6G/ref=sr_1_8?keywords=adidas+Tiro+19+Training+Jacket&amp;qid=1695171209&amp;sr=8-8", "https://www.amazon.com/adidas-Jacket-Small-Black-White/dp/B07KBC9Y6G/ref=sr_1_8?keywords=adidas+Tiro+19+Training+Jacket&amp;qid=1695171209&amp;sr=8-8")</f>
        <v/>
      </c>
      <c r="F3338" t="inlineStr">
        <is>
          <t>B07KBC9Y6G</t>
        </is>
      </c>
      <c r="G3338">
        <f>_xludf.IMAGE("https://www.soccerplususa.com/prodimages/8018-DEFAULT-l.jpg")</f>
        <v/>
      </c>
      <c r="H3338">
        <f>_xludf.IMAGE("https://m.media-amazon.com/images/I/61ToIcKY3SL._AC_UL320_.jpg")</f>
        <v/>
      </c>
      <c r="K3338" t="inlineStr">
        <is>
          <t>49.0</t>
        </is>
      </c>
      <c r="L3338" t="n">
        <v>59.99</v>
      </c>
      <c r="M3338" s="1" t="inlineStr">
        <is>
          <t>22.43%</t>
        </is>
      </c>
      <c r="N3338" s="3" t="n">
        <v>22.43</v>
      </c>
      <c r="O3338" t="n">
        <v>4.5</v>
      </c>
      <c r="P3338" t="n">
        <v>69</v>
      </c>
      <c r="R3338" t="inlineStr">
        <is>
          <t>InStock</t>
        </is>
      </c>
      <c r="S3338" t="inlineStr">
        <is>
          <t>64.95</t>
        </is>
      </c>
      <c r="T3338" t="inlineStr">
        <is>
          <t>DT5272</t>
        </is>
      </c>
    </row>
    <row r="3339" hidden="1" ht="15.75" customHeight="1">
      <c r="A3339" s="2">
        <f>HYPERLINK("https://www.soccerplususa.com/adidas/adidas-tiro-19-training-jacket-33866", "https://www.soccerplususa.com/adidas/adidas-tiro-19-training-jacket-33866")</f>
        <v/>
      </c>
      <c r="B3339" t="inlineStr">
        <is>
          <t>undefined</t>
        </is>
      </c>
      <c r="C3339" t="inlineStr">
        <is>
          <t>adidas Tiro 19 Training Jacket</t>
        </is>
      </c>
      <c r="D3339" t="inlineStr">
        <is>
          <t>adidas Men's Tiro 19 Warm Jacket</t>
        </is>
      </c>
      <c r="E3339" s="2">
        <f>HYPERLINK("https://www.amazon.com/adidas-Jacket-Small-Black-White/dp/B07KBC9Y6G/ref=sr_1_8?keywords=adidas+Tiro+19+Training+Jacket&amp;qid=1695171181&amp;sr=8-8", "https://www.amazon.com/adidas-Jacket-Small-Black-White/dp/B07KBC9Y6G/ref=sr_1_8?keywords=adidas+Tiro+19+Training+Jacket&amp;qid=1695171181&amp;sr=8-8")</f>
        <v/>
      </c>
      <c r="F3339" t="inlineStr">
        <is>
          <t>B07KBC9Y6G</t>
        </is>
      </c>
      <c r="G3339">
        <f>_xludf.IMAGE("https://www.soccerplususa.com/prodimages/8017-DEFAULT-l.jpg")</f>
        <v/>
      </c>
      <c r="H3339">
        <f>_xludf.IMAGE("https://m.media-amazon.com/images/I/61ToIcKY3SL._AC_UL320_.jpg")</f>
        <v/>
      </c>
      <c r="K3339" t="inlineStr">
        <is>
          <t>49.0</t>
        </is>
      </c>
      <c r="L3339" t="n">
        <v>59.99</v>
      </c>
      <c r="M3339" s="1" t="inlineStr">
        <is>
          <t>22.43%</t>
        </is>
      </c>
      <c r="N3339" s="3" t="n">
        <v>22.43</v>
      </c>
      <c r="O3339" t="n">
        <v>4.5</v>
      </c>
      <c r="P3339" t="n">
        <v>69</v>
      </c>
      <c r="R3339" t="inlineStr">
        <is>
          <t>InStock</t>
        </is>
      </c>
      <c r="S3339" t="inlineStr">
        <is>
          <t>64.95</t>
        </is>
      </c>
      <c r="T3339" t="inlineStr">
        <is>
          <t>D95953</t>
        </is>
      </c>
    </row>
    <row r="3340" hidden="1" ht="15.75" customHeight="1">
      <c r="A3340" s="2">
        <f>HYPERLINK("https://www.soccerplususa.com/nike/nike-academy-18-jacket-34570", "https://www.soccerplususa.com/nike/nike-academy-18-jacket-34570")</f>
        <v/>
      </c>
      <c r="B3340" t="inlineStr">
        <is>
          <t>undefined</t>
        </is>
      </c>
      <c r="C3340" t="inlineStr">
        <is>
          <t>Nike Academy 18 Jacket</t>
        </is>
      </c>
      <c r="D3340" t="inlineStr">
        <is>
          <t>Nike Youth Dry Academy 18 Track Jacket (Black) Size Youth</t>
        </is>
      </c>
      <c r="E3340" s="2">
        <f>HYPERLINK("https://www.amazon.com/NIKE-Youth-Academy-Jacket-Medium/dp/B079JZMVMP/ref=sr_1_2?keywords=Nike+Academy+18+Jacket&amp;qid=1695171165&amp;sr=8-2", "https://www.amazon.com/NIKE-Youth-Academy-Jacket-Medium/dp/B079JZMVMP/ref=sr_1_2?keywords=Nike+Academy+18+Jacket&amp;qid=1695171165&amp;sr=8-2")</f>
        <v/>
      </c>
      <c r="F3340" t="inlineStr">
        <is>
          <t>B079JZMVMP</t>
        </is>
      </c>
      <c r="G3340">
        <f>_xludf.IMAGE("https://www.soccerplususa.com/prodimages/30940-DEFAULT-l.jpg")</f>
        <v/>
      </c>
      <c r="H3340">
        <f>_xludf.IMAGE("https://m.media-amazon.com/images/I/91AsQuYQnIL._AC_UL320_.jpg")</f>
        <v/>
      </c>
      <c r="K3340" t="inlineStr">
        <is>
          <t>44.99</t>
        </is>
      </c>
      <c r="L3340" t="n">
        <v>55</v>
      </c>
      <c r="M3340" s="1" t="inlineStr">
        <is>
          <t>22.25%</t>
        </is>
      </c>
      <c r="N3340" s="3" t="n">
        <v>22.25</v>
      </c>
      <c r="O3340" t="n">
        <v>3.5</v>
      </c>
      <c r="P3340" t="n">
        <v>36</v>
      </c>
      <c r="R3340" t="inlineStr">
        <is>
          <t>InStock</t>
        </is>
      </c>
      <c r="S3340" t="inlineStr">
        <is>
          <t>54.95</t>
        </is>
      </c>
      <c r="T3340" t="inlineStr">
        <is>
          <t>893701-010</t>
        </is>
      </c>
    </row>
    <row r="3341" hidden="1" ht="15.75" customHeight="1">
      <c r="A3341" s="2">
        <f>HYPERLINK("https://www.soccerplususa.com/nike/nike-academy-18-jacket-34570", "https://www.soccerplususa.com/nike/nike-academy-18-jacket-34570")</f>
        <v/>
      </c>
      <c r="B3341" t="inlineStr">
        <is>
          <t>undefined</t>
        </is>
      </c>
      <c r="C3341" t="inlineStr">
        <is>
          <t>Nike Academy 18 Jacket</t>
        </is>
      </c>
      <c r="D3341" t="inlineStr">
        <is>
          <t>Nike Youth Dry Academy 18 Track Jacket (Black) Size Youth</t>
        </is>
      </c>
      <c r="E3341" s="2">
        <f>HYPERLINK("https://www.amazon.com/NIKE-Youth-Academy-Track-Jacket/dp/B079JYTT6W/ref=sr_1_1?keywords=Nike+Academy+18+Jacket&amp;qid=1695171165&amp;sr=8-1", "https://www.amazon.com/NIKE-Youth-Academy-Track-Jacket/dp/B079JYTT6W/ref=sr_1_1?keywords=Nike+Academy+18+Jacket&amp;qid=1695171165&amp;sr=8-1")</f>
        <v/>
      </c>
      <c r="F3341" t="inlineStr">
        <is>
          <t>B079JYTT6W</t>
        </is>
      </c>
      <c r="G3341">
        <f>_xludf.IMAGE("https://www.soccerplususa.com/prodimages/30940-DEFAULT-l.jpg")</f>
        <v/>
      </c>
      <c r="H3341">
        <f>_xludf.IMAGE("https://m.media-amazon.com/images/I/91AsQuYQnIL._AC_UL320_.jpg")</f>
        <v/>
      </c>
      <c r="K3341" t="inlineStr">
        <is>
          <t>44.99</t>
        </is>
      </c>
      <c r="L3341" t="n">
        <v>55</v>
      </c>
      <c r="M3341" s="1" t="inlineStr">
        <is>
          <t>22.25%</t>
        </is>
      </c>
      <c r="N3341" s="3" t="n">
        <v>22.25</v>
      </c>
      <c r="O3341" t="n">
        <v>4</v>
      </c>
      <c r="P3341" t="n">
        <v>34</v>
      </c>
      <c r="R3341" t="inlineStr">
        <is>
          <t>InStock</t>
        </is>
      </c>
      <c r="S3341" t="inlineStr">
        <is>
          <t>54.95</t>
        </is>
      </c>
      <c r="T3341" t="inlineStr">
        <is>
          <t>893701-010</t>
        </is>
      </c>
    </row>
    <row r="3342" hidden="1" ht="15.75" customHeight="1">
      <c r="A3342" s="2">
        <f>HYPERLINK("https://www.soccerplususa.com/nike/nike-academy-18-jacket-34570", "https://www.soccerplususa.com/nike/nike-academy-18-jacket-34570")</f>
        <v/>
      </c>
      <c r="B3342" t="inlineStr">
        <is>
          <t>undefined</t>
        </is>
      </c>
      <c r="C3342" t="inlineStr">
        <is>
          <t>Nike Academy 18 Jacket</t>
        </is>
      </c>
      <c r="D3342" t="inlineStr">
        <is>
          <t>Nike Boys Academy 18 Hoodie</t>
        </is>
      </c>
      <c r="E3342" s="2">
        <f>HYPERLINK("https://www.amazon.com/Nike-Boys-Academy-Hoodie-University/dp/B079K18Y7K/ref=sr_1_9?keywords=Nike+Academy+18+Jacket&amp;qid=1695171165&amp;sr=8-9", "https://www.amazon.com/Nike-Boys-Academy-Hoodie-University/dp/B079K18Y7K/ref=sr_1_9?keywords=Nike+Academy+18+Jacket&amp;qid=1695171165&amp;sr=8-9")</f>
        <v/>
      </c>
      <c r="F3342" t="inlineStr">
        <is>
          <t>B079K18Y7K</t>
        </is>
      </c>
      <c r="G3342">
        <f>_xludf.IMAGE("https://www.soccerplususa.com/prodimages/30940-DEFAULT-l.jpg")</f>
        <v/>
      </c>
      <c r="H3342">
        <f>_xludf.IMAGE("https://m.media-amazon.com/images/I/71pP4kPmcSL._AC_UL320_.jpg")</f>
        <v/>
      </c>
      <c r="K3342" t="inlineStr">
        <is>
          <t>44.99</t>
        </is>
      </c>
      <c r="L3342" t="n">
        <v>54.99</v>
      </c>
      <c r="M3342" s="1" t="inlineStr">
        <is>
          <t>22.23%</t>
        </is>
      </c>
      <c r="N3342" s="3" t="n">
        <v>22.23</v>
      </c>
      <c r="O3342" t="n">
        <v>4.5</v>
      </c>
      <c r="P3342" t="n">
        <v>672</v>
      </c>
      <c r="R3342" t="inlineStr">
        <is>
          <t>InStock</t>
        </is>
      </c>
      <c r="S3342" t="inlineStr">
        <is>
          <t>54.95</t>
        </is>
      </c>
      <c r="T3342" t="inlineStr">
        <is>
          <t>893701-010</t>
        </is>
      </c>
    </row>
    <row r="3343" hidden="1" ht="15.75" customHeight="1">
      <c r="A3343" s="2">
        <f>HYPERLINK("https://www.soccerplususa.com/adidas/adidas-tiro-19-training-jacket-youth-33998", "https://www.soccerplususa.com/adidas/adidas-tiro-19-training-jacket-youth-33998")</f>
        <v/>
      </c>
      <c r="B3343" t="inlineStr">
        <is>
          <t>undefined</t>
        </is>
      </c>
      <c r="C3343" t="inlineStr">
        <is>
          <t>adidas Tiro 19 Training Jacket Youth</t>
        </is>
      </c>
      <c r="D3343" t="inlineStr">
        <is>
          <t>adidas mens Youth Tiro 17 Soccer Training Jacket</t>
        </is>
      </c>
      <c r="E3343" s="2">
        <f>HYPERLINK("https://www.amazon.com/Adidas-Soccer-Training-Jacket-Red-Black-White/dp/B01MG8Q0PJ/ref=sr_1_3?keywords=adidas+Tiro+19+Training+Jacket+Youth&amp;qid=1695171164&amp;sr=8-3", "https://www.amazon.com/Adidas-Soccer-Training-Jacket-Red-Black-White/dp/B01MG8Q0PJ/ref=sr_1_3?keywords=adidas+Tiro+19+Training+Jacket+Youth&amp;qid=1695171164&amp;sr=8-3")</f>
        <v/>
      </c>
      <c r="F3343" t="inlineStr">
        <is>
          <t>B01MG8Q0PJ</t>
        </is>
      </c>
      <c r="G3343">
        <f>_xludf.IMAGE("https://www.soccerplususa.com/prodimages/7897-DEFAULT-l.jpg")</f>
        <v/>
      </c>
      <c r="H3343">
        <f>_xludf.IMAGE("https://m.media-amazon.com/images/I/71vhAIEa4+L._AC_UL320_.jpg")</f>
        <v/>
      </c>
      <c r="K3343" t="inlineStr">
        <is>
          <t>45.0</t>
        </is>
      </c>
      <c r="L3343" t="n">
        <v>54.95</v>
      </c>
      <c r="M3343" s="1" t="inlineStr">
        <is>
          <t>22.11%</t>
        </is>
      </c>
      <c r="N3343" s="3" t="n">
        <v>22.11</v>
      </c>
      <c r="O3343" t="n">
        <v>3.6</v>
      </c>
      <c r="P3343" t="n">
        <v>37</v>
      </c>
      <c r="R3343" t="inlineStr">
        <is>
          <t>InStock</t>
        </is>
      </c>
      <c r="S3343" t="inlineStr">
        <is>
          <t>59.95</t>
        </is>
      </c>
      <c r="T3343" t="inlineStr">
        <is>
          <t>DT5276</t>
        </is>
      </c>
    </row>
    <row r="3344" hidden="1" ht="15.75" customHeight="1">
      <c r="A3344" s="2">
        <f>HYPERLINK("https://www.soccerplususa.com/adidas/adidas-tiro-19-training-jacket-youth-33858", "https://www.soccerplususa.com/adidas/adidas-tiro-19-training-jacket-youth-33858")</f>
        <v/>
      </c>
      <c r="B3344" t="inlineStr">
        <is>
          <t>undefined</t>
        </is>
      </c>
      <c r="C3344" t="inlineStr">
        <is>
          <t>adidas Tiro 19 Training Jacket Youth</t>
        </is>
      </c>
      <c r="D3344" t="inlineStr">
        <is>
          <t>adidas mens Youth Tiro 17 Soccer Training Jacket</t>
        </is>
      </c>
      <c r="E3344" s="2">
        <f>HYPERLINK("https://www.amazon.com/Adidas-Soccer-Training-Jacket-Red-Black-White/dp/B01MG8Q0PJ/ref=sr_1_7?keywords=adidas+Tiro+19+Training+Jacket+Youth&amp;qid=1695171168&amp;sr=8-7", "https://www.amazon.com/Adidas-Soccer-Training-Jacket-Red-Black-White/dp/B01MG8Q0PJ/ref=sr_1_7?keywords=adidas+Tiro+19+Training+Jacket+Youth&amp;qid=1695171168&amp;sr=8-7")</f>
        <v/>
      </c>
      <c r="F3344" t="inlineStr">
        <is>
          <t>B01MG8Q0PJ</t>
        </is>
      </c>
      <c r="G3344">
        <f>_xludf.IMAGE("https://www.soccerplususa.com/prodimages/8020-DEFAULT-l.jpg")</f>
        <v/>
      </c>
      <c r="H3344">
        <f>_xludf.IMAGE("https://m.media-amazon.com/images/I/71vhAIEa4+L._AC_UL320_.jpg")</f>
        <v/>
      </c>
      <c r="K3344" t="inlineStr">
        <is>
          <t>45.0</t>
        </is>
      </c>
      <c r="L3344" t="n">
        <v>54.95</v>
      </c>
      <c r="M3344" s="1" t="inlineStr">
        <is>
          <t>22.11%</t>
        </is>
      </c>
      <c r="N3344" s="3" t="n">
        <v>22.11</v>
      </c>
      <c r="O3344" t="n">
        <v>3.6</v>
      </c>
      <c r="P3344" t="n">
        <v>37</v>
      </c>
      <c r="R3344" t="inlineStr">
        <is>
          <t>InStock</t>
        </is>
      </c>
      <c r="S3344" t="inlineStr">
        <is>
          <t>59.95</t>
        </is>
      </c>
      <c r="T3344" t="inlineStr">
        <is>
          <t>D95922</t>
        </is>
      </c>
    </row>
    <row r="3345" hidden="1" ht="15.75" customHeight="1">
      <c r="A3345" s="2">
        <f>HYPERLINK("https://www.soccerplususa.com/puma/puma-liga-jersey-youth-37885", "https://www.soccerplususa.com/puma/puma-liga-jersey-youth-37885")</f>
        <v/>
      </c>
      <c r="B3345" t="inlineStr">
        <is>
          <t>undefined</t>
        </is>
      </c>
      <c r="C3345" t="inlineStr">
        <is>
          <t>Puma Liga Jersey Youth</t>
        </is>
      </c>
      <c r="D3345" t="inlineStr">
        <is>
          <t>PUMA Unisex Youth Liga Jersey Core, Cyber Yellow/Black, M</t>
        </is>
      </c>
      <c r="E3345" s="2">
        <f>HYPERLINK("https://www.amazon.com/PUMA-Jersey-Cyber-Yellowpuma-Black/dp/B07KWYYR1G/ref=sr_1_8?keywords=Puma+Liga+Jersey+Youth&amp;qid=1695171154&amp;sr=8-8", "https://www.amazon.com/PUMA-Jersey-Cyber-Yellowpuma-Black/dp/B07KWYYR1G/ref=sr_1_8?keywords=Puma+Liga+Jersey+Youth&amp;qid=1695171154&amp;sr=8-8")</f>
        <v/>
      </c>
      <c r="F3345" t="inlineStr">
        <is>
          <t>B07KWYYR1G</t>
        </is>
      </c>
      <c r="G3345">
        <f>_xludf.IMAGE("https://www.soccerplususa.com/prodimages//36779-REDWHITE-M.jpg")</f>
        <v/>
      </c>
      <c r="H3345">
        <f>_xludf.IMAGE("https://m.media-amazon.com/images/I/61vDxC4BEBL._AC_UL320_.jpg")</f>
        <v/>
      </c>
      <c r="K3345" t="inlineStr">
        <is>
          <t>20.99</t>
        </is>
      </c>
      <c r="L3345" t="n">
        <v>25.5</v>
      </c>
      <c r="M3345" s="1" t="inlineStr">
        <is>
          <t>21.49%</t>
        </is>
      </c>
      <c r="N3345" s="3" t="n">
        <v>21.49</v>
      </c>
      <c r="O3345" t="n">
        <v>3.2</v>
      </c>
      <c r="P3345" t="n">
        <v>17</v>
      </c>
      <c r="R3345" t="inlineStr">
        <is>
          <t>InStock</t>
        </is>
      </c>
      <c r="S3345" t="inlineStr">
        <is>
          <t>27.95</t>
        </is>
      </c>
      <c r="T3345" t="inlineStr">
        <is>
          <t>703418-01</t>
        </is>
      </c>
    </row>
    <row r="3346" hidden="1" ht="15.75" customHeight="1">
      <c r="A3346" s="2">
        <f>HYPERLINK("https://www.soccerplususa.com/puma/puma-liga-jersey-youth-37886", "https://www.soccerplususa.com/puma/puma-liga-jersey-youth-37886")</f>
        <v/>
      </c>
      <c r="B3346" t="inlineStr">
        <is>
          <t>undefined</t>
        </is>
      </c>
      <c r="C3346" t="inlineStr">
        <is>
          <t>Puma Liga Jersey Youth</t>
        </is>
      </c>
      <c r="D3346" t="inlineStr">
        <is>
          <t>PUMA Unisex Youth Liga Jersey Core, Cyber Yellow/Black, M</t>
        </is>
      </c>
      <c r="E3346" s="2">
        <f>HYPERLINK("https://www.amazon.com/PUMA-Jersey-Cyber-Yellowpuma-Black/dp/B07KWYYR1G/ref=sr_1_8?keywords=Puma+Liga+Jersey+Youth&amp;qid=1695171188&amp;sr=8-8", "https://www.amazon.com/PUMA-Jersey-Cyber-Yellowpuma-Black/dp/B07KWYYR1G/ref=sr_1_8?keywords=Puma+Liga+Jersey+Youth&amp;qid=1695171188&amp;sr=8-8")</f>
        <v/>
      </c>
      <c r="F3346" t="inlineStr">
        <is>
          <t>B07KWYYR1G</t>
        </is>
      </c>
      <c r="G3346">
        <f>_xludf.IMAGE("https://www.soccerplususa.com/prodimages//35271-NAVYWHITE-M.jpg")</f>
        <v/>
      </c>
      <c r="H3346">
        <f>_xludf.IMAGE("https://m.media-amazon.com/images/I/61vDxC4BEBL._AC_UL320_.jpg")</f>
        <v/>
      </c>
      <c r="K3346" t="inlineStr">
        <is>
          <t>20.99</t>
        </is>
      </c>
      <c r="L3346" t="n">
        <v>25.5</v>
      </c>
      <c r="M3346" s="1" t="inlineStr">
        <is>
          <t>21.49%</t>
        </is>
      </c>
      <c r="N3346" s="3" t="n">
        <v>21.49</v>
      </c>
      <c r="O3346" t="n">
        <v>3.2</v>
      </c>
      <c r="P3346" t="n">
        <v>17</v>
      </c>
      <c r="R3346" t="inlineStr">
        <is>
          <t>InStock</t>
        </is>
      </c>
      <c r="S3346" t="inlineStr">
        <is>
          <t>27.95</t>
        </is>
      </c>
      <c r="T3346" t="inlineStr">
        <is>
          <t>703418-06</t>
        </is>
      </c>
    </row>
    <row r="3347" hidden="1" ht="15.75" customHeight="1">
      <c r="A3347" s="2">
        <f>HYPERLINK("https://www.soccerplususa.com/puma/puma-liga-jersey-youth-39601", "https://www.soccerplususa.com/puma/puma-liga-jersey-youth-39601")</f>
        <v/>
      </c>
      <c r="B3347" t="inlineStr">
        <is>
          <t>undefined</t>
        </is>
      </c>
      <c r="C3347" t="inlineStr">
        <is>
          <t>Puma Liga Jersey Youth</t>
        </is>
      </c>
      <c r="D3347" t="inlineStr">
        <is>
          <t>PUMA Unisex Youth Liga Jersey Core, Cyber Yellow/Black, M</t>
        </is>
      </c>
      <c r="E3347" s="2">
        <f>HYPERLINK("https://www.amazon.com/PUMA-Jersey-Cyber-Yellowpuma-Black/dp/B07KWYYR1G/ref=sr_1_8?keywords=Puma+Liga+Jersey+Youth&amp;qid=1695171161&amp;sr=8-8", "https://www.amazon.com/PUMA-Jersey-Cyber-Yellowpuma-Black/dp/B07KWYYR1G/ref=sr_1_8?keywords=Puma+Liga+Jersey+Youth&amp;qid=1695171161&amp;sr=8-8")</f>
        <v/>
      </c>
      <c r="F3347" t="inlineStr">
        <is>
          <t>B07KWYYR1G</t>
        </is>
      </c>
      <c r="G3347">
        <f>_xludf.IMAGE("https://www.soccerplususa.com/prodimages//36796-WHITE-M.jpg")</f>
        <v/>
      </c>
      <c r="H3347">
        <f>_xludf.IMAGE("https://m.media-amazon.com/images/I/61vDxC4BEBL._AC_UL320_.jpg")</f>
        <v/>
      </c>
      <c r="K3347" t="inlineStr">
        <is>
          <t>20.99</t>
        </is>
      </c>
      <c r="L3347" t="n">
        <v>25.5</v>
      </c>
      <c r="M3347" s="1" t="inlineStr">
        <is>
          <t>21.49%</t>
        </is>
      </c>
      <c r="N3347" s="3" t="n">
        <v>21.49</v>
      </c>
      <c r="O3347" t="n">
        <v>3.2</v>
      </c>
      <c r="P3347" t="n">
        <v>17</v>
      </c>
      <c r="R3347" t="inlineStr">
        <is>
          <t>InStock</t>
        </is>
      </c>
      <c r="S3347" t="inlineStr">
        <is>
          <t>27.95</t>
        </is>
      </c>
      <c r="T3347" t="inlineStr">
        <is>
          <t>703418-14</t>
        </is>
      </c>
    </row>
    <row r="3348" hidden="1" ht="15.75" customHeight="1">
      <c r="A3348" s="2">
        <f>HYPERLINK("https://www.soccerplususa.com/new-balance/new-balance-sideline-jacket-41947", "https://www.soccerplususa.com/new-balance/new-balance-sideline-jacket-41947")</f>
        <v/>
      </c>
      <c r="B3348" t="inlineStr">
        <is>
          <t>undefined</t>
        </is>
      </c>
      <c r="C3348" t="inlineStr">
        <is>
          <t>New Balance Sideline Jacket</t>
        </is>
      </c>
      <c r="D3348" t="inlineStr">
        <is>
          <t>New Balance Women's Impact Run Water Defy Jacket</t>
        </is>
      </c>
      <c r="E3348" s="2">
        <f>HYPERLINK("https://www.amazon.com/New-Balance-Womens-Impact-Jacket/dp/B09251LW64/ref=sr_1_10?keywords=New+Balance+Sideline+Jacket&amp;qid=1695171146&amp;sr=8-10", "https://www.amazon.com/New-Balance-Womens-Impact-Jacket/dp/B09251LW64/ref=sr_1_10?keywords=New+Balance+Sideline+Jacket&amp;qid=1695171146&amp;sr=8-10")</f>
        <v/>
      </c>
      <c r="F3348" t="inlineStr">
        <is>
          <t>B09251LW64</t>
        </is>
      </c>
      <c r="G3348">
        <f>_xludf.IMAGE("https://www.soccerplususa.com/prodimages//37530-BLACK-M.jpg")</f>
        <v/>
      </c>
      <c r="H3348">
        <f>_xludf.IMAGE("https://m.media-amazon.com/images/I/814uwog7nKL._AC_UL320_.jpg")</f>
        <v/>
      </c>
      <c r="K3348" t="inlineStr">
        <is>
          <t>71.49</t>
        </is>
      </c>
      <c r="L3348" t="n">
        <v>86.7</v>
      </c>
      <c r="M3348" s="1" t="inlineStr">
        <is>
          <t>21.28%</t>
        </is>
      </c>
      <c r="N3348" s="3" t="n">
        <v>21.28</v>
      </c>
      <c r="O3348" t="n">
        <v>5</v>
      </c>
      <c r="P3348" t="n">
        <v>1</v>
      </c>
      <c r="R3348" t="inlineStr">
        <is>
          <t>InStock</t>
        </is>
      </c>
      <c r="S3348" t="inlineStr">
        <is>
          <t>95.0</t>
        </is>
      </c>
      <c r="T3348" t="inlineStr">
        <is>
          <t>TMMJ718</t>
        </is>
      </c>
    </row>
    <row r="3349" hidden="1" ht="15.75" customHeight="1">
      <c r="A3349" s="2">
        <f>HYPERLINK("https://www.soccerplususa.com/nike/nike-academy-drill-top-youth-43256", "https://www.soccerplususa.com/nike/nike-academy-drill-top-youth-43256")</f>
        <v/>
      </c>
      <c r="B3349" t="inlineStr">
        <is>
          <t>undefined</t>
        </is>
      </c>
      <c r="C3349" t="inlineStr">
        <is>
          <t>Nike Academy Drill Top Youth</t>
        </is>
      </c>
      <c r="D3349" t="inlineStr">
        <is>
          <t>Nike Men's Dry Academy 18 Drill Football Top (Green Spark/Pine Green/White, XL)</t>
        </is>
      </c>
      <c r="E3349" s="2">
        <f>HYPERLINK("https://www.amazon.com/Nike-Academy-Drill-Football-Green/dp/B078SS9Z6C/ref=sr_1_8?keywords=Nike+Academy+Drill+Top+Youth&amp;qid=1695171160&amp;sr=8-8", "https://www.amazon.com/Nike-Academy-Drill-Football-Green/dp/B078SS9Z6C/ref=sr_1_8?keywords=Nike+Academy+Drill+Top+Youth&amp;qid=1695171160&amp;sr=8-8")</f>
        <v/>
      </c>
      <c r="F3349" t="inlineStr">
        <is>
          <t>B078SS9Z6C</t>
        </is>
      </c>
      <c r="G3349">
        <f>_xludf.IMAGE("https://www.soccerplususa.com/prodimages//35431-BLACKWHITE-M.jpg")</f>
        <v/>
      </c>
      <c r="H3349">
        <f>_xludf.IMAGE("https://m.media-amazon.com/images/I/716sSQrItBL._AC_UL320_.jpg")</f>
        <v/>
      </c>
      <c r="K3349" t="inlineStr">
        <is>
          <t>49.95</t>
        </is>
      </c>
      <c r="L3349" t="n">
        <v>60</v>
      </c>
      <c r="M3349" s="1" t="inlineStr">
        <is>
          <t>20.12%</t>
        </is>
      </c>
      <c r="N3349" s="3" t="n">
        <v>20.12</v>
      </c>
      <c r="O3349" t="n">
        <v>4.8</v>
      </c>
      <c r="P3349" t="n">
        <v>12</v>
      </c>
      <c r="R3349" t="inlineStr">
        <is>
          <t>InStock</t>
        </is>
      </c>
      <c r="S3349" t="inlineStr">
        <is>
          <t>undefined</t>
        </is>
      </c>
      <c r="T3349" t="inlineStr">
        <is>
          <t>CW6112-010</t>
        </is>
      </c>
    </row>
    <row r="3350" hidden="1" ht="15.75" customHeight="1">
      <c r="A3350" s="2">
        <f>HYPERLINK("https://www.soccerplususa.com/under-armour/under-armour-coldgear-mock-womens-33129", "https://www.soccerplususa.com/under-armour/under-armour-coldgear-mock-womens-33129")</f>
        <v/>
      </c>
      <c r="B3350" t="inlineStr">
        <is>
          <t>undefined</t>
        </is>
      </c>
      <c r="C3350" t="inlineStr">
        <is>
          <t>Under Armour Coldgear Mock Women's</t>
        </is>
      </c>
      <c r="D3350" t="inlineStr">
        <is>
          <t>Under Armour Women's Authentics ColdGear ¼ Zip T-Shirt</t>
        </is>
      </c>
      <c r="E3350" s="2">
        <f>HYPERLINK("https://www.amazon.com/Under-Armour-Authentics-ColdGear-T-Shirt/dp/B08LMTDNBF/ref=sr_1_4?keywords=Under+Armour+Coldgear+Mock+Women%27s&amp;qid=1695171175&amp;sr=8-4", "https://www.amazon.com/Under-Armour-Authentics-ColdGear-T-Shirt/dp/B08LMTDNBF/ref=sr_1_4?keywords=Under+Armour+Coldgear+Mock+Women%27s&amp;qid=1695171175&amp;sr=8-4")</f>
        <v/>
      </c>
      <c r="F3350" t="inlineStr">
        <is>
          <t>B08LMTDNBF</t>
        </is>
      </c>
      <c r="G3350">
        <f>_xludf.IMAGE("https://www.soccerplususa.com/prodimages/2365-DEFAULT-l.jpg")</f>
        <v/>
      </c>
      <c r="H3350">
        <f>_xludf.IMAGE("https://m.media-amazon.com/images/I/41ePEpa2GyL._AC_UL320_.jpg")</f>
        <v/>
      </c>
      <c r="K3350" t="inlineStr">
        <is>
          <t>49.95</t>
        </is>
      </c>
      <c r="L3350" t="n">
        <v>59.99</v>
      </c>
      <c r="M3350" s="1" t="inlineStr">
        <is>
          <t>20.10%</t>
        </is>
      </c>
      <c r="N3350" s="3" t="n">
        <v>20.1</v>
      </c>
      <c r="O3350" t="n">
        <v>4.6</v>
      </c>
      <c r="P3350" t="n">
        <v>60</v>
      </c>
      <c r="R3350" t="inlineStr">
        <is>
          <t>InStock</t>
        </is>
      </c>
      <c r="S3350" t="inlineStr">
        <is>
          <t>undefined</t>
        </is>
      </c>
      <c r="T3350" t="inlineStr">
        <is>
          <t>1215968-100</t>
        </is>
      </c>
    </row>
    <row r="3351" hidden="1" ht="15.75" customHeight="1">
      <c r="A3351" s="2">
        <f>HYPERLINK("https://www.soccerplususa.com/adidas/adidas-regista-14-jersey-youth-6072", "https://www.soccerplususa.com/adidas/adidas-regista-14-jersey-youth-6072")</f>
        <v/>
      </c>
      <c r="B3351" t="inlineStr">
        <is>
          <t>undefined</t>
        </is>
      </c>
      <c r="C3351" t="inlineStr">
        <is>
          <t>adidas Regista 14 Jersey Youth</t>
        </is>
      </c>
      <c r="D3351" t="inlineStr">
        <is>
          <t>adidas Youth/Men's Climacool Regista 14 Soccer Jersey (Cobalt|White/Small)</t>
        </is>
      </c>
      <c r="E3351" s="2">
        <f>HYPERLINK("https://www.amazon.com/Adidas-Climacool-Regista-Soccer-Jersey/dp/B00GWNLPCQ/ref=sr_1_4?keywords=adidas+Regista+14+Jersey+Youth&amp;qid=1695171215&amp;sr=8-4", "https://www.amazon.com/Adidas-Climacool-Regista-Soccer-Jersey/dp/B00GWNLPCQ/ref=sr_1_4?keywords=adidas+Regista+14+Jersey+Youth&amp;qid=1695171215&amp;sr=8-4")</f>
        <v/>
      </c>
      <c r="F3351" t="inlineStr">
        <is>
          <t>B00GWNLPCQ</t>
        </is>
      </c>
      <c r="G3351">
        <f>_xludf.IMAGE("https://www.soccerplususa.com/prodimages/31720-DEFAULT-l.jpg")</f>
        <v/>
      </c>
      <c r="H3351">
        <f>_xludf.IMAGE("https://m.media-amazon.com/images/I/610nKY0QmSL._AC_UL320_.jpg")</f>
        <v/>
      </c>
      <c r="K3351" t="inlineStr">
        <is>
          <t>20.0</t>
        </is>
      </c>
      <c r="L3351" t="n">
        <v>23.99</v>
      </c>
      <c r="M3351" s="1" t="inlineStr">
        <is>
          <t>19.95%</t>
        </is>
      </c>
      <c r="N3351" s="3" t="n">
        <v>19.95</v>
      </c>
      <c r="O3351" t="n">
        <v>5</v>
      </c>
      <c r="P3351" t="n">
        <v>1</v>
      </c>
      <c r="R3351" t="inlineStr">
        <is>
          <t>InStock</t>
        </is>
      </c>
      <c r="S3351" t="inlineStr">
        <is>
          <t>39.95</t>
        </is>
      </c>
      <c r="T3351" t="inlineStr">
        <is>
          <t>F50034</t>
        </is>
      </c>
    </row>
    <row r="3352" hidden="1" ht="15.75" customHeight="1">
      <c r="A3352" s="2">
        <f>HYPERLINK("https://www.soccerplususa.com/adidas/adidas-regista-14-jersey-youth-6677", "https://www.soccerplususa.com/adidas/adidas-regista-14-jersey-youth-6677")</f>
        <v/>
      </c>
      <c r="B3352" t="inlineStr">
        <is>
          <t>undefined</t>
        </is>
      </c>
      <c r="C3352" t="inlineStr">
        <is>
          <t>adidas Regista 14 Jersey Youth</t>
        </is>
      </c>
      <c r="D3352" t="inlineStr">
        <is>
          <t>adidas Youth/Men's Climacool Regista 14 Soccer Jersey (Cobalt|White/Small)</t>
        </is>
      </c>
      <c r="E3352" s="2">
        <f>HYPERLINK("https://www.amazon.com/Adidas-Climacool-Regista-Soccer-Jersey/dp/B00GWNLPCQ/ref=sr_1_4?keywords=adidas+Regista+14+Jersey+Youth&amp;qid=1695171214&amp;sr=8-4", "https://www.amazon.com/Adidas-Climacool-Regista-Soccer-Jersey/dp/B00GWNLPCQ/ref=sr_1_4?keywords=adidas+Regista+14+Jersey+Youth&amp;qid=1695171214&amp;sr=8-4")</f>
        <v/>
      </c>
      <c r="F3352" t="inlineStr">
        <is>
          <t>B00GWNLPCQ</t>
        </is>
      </c>
      <c r="G3352">
        <f>_xludf.IMAGE("https://www.soccerplususa.com/prodimages/32791-DEFAULT-l.jpg")</f>
        <v/>
      </c>
      <c r="H3352">
        <f>_xludf.IMAGE("https://m.media-amazon.com/images/I/610nKY0QmSL._AC_UL320_.jpg")</f>
        <v/>
      </c>
      <c r="K3352" t="inlineStr">
        <is>
          <t>20.0</t>
        </is>
      </c>
      <c r="L3352" t="n">
        <v>23.99</v>
      </c>
      <c r="M3352" s="1" t="inlineStr">
        <is>
          <t>19.95%</t>
        </is>
      </c>
      <c r="N3352" s="3" t="n">
        <v>19.95</v>
      </c>
      <c r="O3352" t="n">
        <v>5</v>
      </c>
      <c r="P3352" t="n">
        <v>1</v>
      </c>
      <c r="R3352" t="inlineStr">
        <is>
          <t>InStock</t>
        </is>
      </c>
      <c r="S3352" t="inlineStr">
        <is>
          <t>39.95</t>
        </is>
      </c>
      <c r="T3352" t="inlineStr">
        <is>
          <t>G70837</t>
        </is>
      </c>
    </row>
    <row r="3353" hidden="1" ht="15.75" customHeight="1">
      <c r="A3353" s="2">
        <f>HYPERLINK("https://www.soccerplususa.com/adidas/adidas-regista-14-jersey-youth-6073", "https://www.soccerplususa.com/adidas/adidas-regista-14-jersey-youth-6073")</f>
        <v/>
      </c>
      <c r="B3353" t="inlineStr">
        <is>
          <t>undefined</t>
        </is>
      </c>
      <c r="C3353" t="inlineStr">
        <is>
          <t>adidas Regista 14 Jersey Youth</t>
        </is>
      </c>
      <c r="D3353" t="inlineStr">
        <is>
          <t>adidas Youth/Men's Climacool Regista 14 Soccer Jersey (Cobalt|White/Small)</t>
        </is>
      </c>
      <c r="E3353" s="2">
        <f>HYPERLINK("https://www.amazon.com/Adidas-Climacool-Regista-Soccer-Jersey/dp/B00GWNLPCQ/ref=sr_1_4?keywords=adidas+Regista+14+Jersey+Youth&amp;qid=1695171211&amp;sr=8-4", "https://www.amazon.com/Adidas-Climacool-Regista-Soccer-Jersey/dp/B00GWNLPCQ/ref=sr_1_4?keywords=adidas+Regista+14+Jersey+Youth&amp;qid=1695171211&amp;sr=8-4")</f>
        <v/>
      </c>
      <c r="F3353" t="inlineStr">
        <is>
          <t>B00GWNLPCQ</t>
        </is>
      </c>
      <c r="G3353">
        <f>_xludf.IMAGE("https://www.soccerplususa.com/prodimages/32794-DEFAULT-l.jpg")</f>
        <v/>
      </c>
      <c r="H3353">
        <f>_xludf.IMAGE("https://m.media-amazon.com/images/I/610nKY0QmSL._AC_UL320_.jpg")</f>
        <v/>
      </c>
      <c r="K3353" t="inlineStr">
        <is>
          <t>20.0</t>
        </is>
      </c>
      <c r="L3353" t="n">
        <v>23.99</v>
      </c>
      <c r="M3353" s="1" t="inlineStr">
        <is>
          <t>19.95%</t>
        </is>
      </c>
      <c r="N3353" s="3" t="n">
        <v>19.95</v>
      </c>
      <c r="O3353" t="n">
        <v>5</v>
      </c>
      <c r="P3353" t="n">
        <v>1</v>
      </c>
      <c r="R3353" t="inlineStr">
        <is>
          <t>InStock</t>
        </is>
      </c>
      <c r="S3353" t="inlineStr">
        <is>
          <t>39.95</t>
        </is>
      </c>
      <c r="T3353" t="inlineStr">
        <is>
          <t>F50035</t>
        </is>
      </c>
    </row>
    <row r="3354" hidden="1" ht="15.75" customHeight="1">
      <c r="A3354" s="2">
        <f>HYPERLINK("https://www.soccerplususa.com/puma/puma-liga-jersey-37883", "https://www.soccerplususa.com/puma/puma-liga-jersey-37883")</f>
        <v/>
      </c>
      <c r="B3354" t="inlineStr">
        <is>
          <t>undefined</t>
        </is>
      </c>
      <c r="C3354" t="inlineStr">
        <is>
          <t>Puma Liga Jersey</t>
        </is>
      </c>
      <c r="D3354" t="inlineStr">
        <is>
          <t>PUMA Men's Liga Training Jersey</t>
        </is>
      </c>
      <c r="E3354" s="2">
        <f>HYPERLINK("https://www.amazon.com/PUMA-Mens-Training-Jersey-White/dp/B07DYB6JB7/ref=sr_1_8?keywords=Puma+Liga+Jersey&amp;qid=1695171159&amp;sr=8-8", "https://www.amazon.com/PUMA-Mens-Training-Jersey-White/dp/B07DYB6JB7/ref=sr_1_8?keywords=Puma+Liga+Jersey&amp;qid=1695171159&amp;sr=8-8")</f>
        <v/>
      </c>
      <c r="F3354" t="inlineStr">
        <is>
          <t>B07DYB6JB7</t>
        </is>
      </c>
      <c r="G3354">
        <f>_xludf.IMAGE("https://www.soccerplususa.com/prodimages//36780-REDWHITE-M.jpg")</f>
        <v/>
      </c>
      <c r="H3354">
        <f>_xludf.IMAGE("https://m.media-amazon.com/images/I/51zmfGeYYZL._AC_UL320_.jpg")</f>
        <v/>
      </c>
      <c r="K3354" t="inlineStr">
        <is>
          <t>27.95</t>
        </is>
      </c>
      <c r="L3354" t="n">
        <v>33.47</v>
      </c>
      <c r="M3354" s="1" t="inlineStr">
        <is>
          <t>19.75%</t>
        </is>
      </c>
      <c r="N3354" s="3" t="n">
        <v>19.75</v>
      </c>
      <c r="O3354" t="n">
        <v>4.6</v>
      </c>
      <c r="P3354" t="n">
        <v>242</v>
      </c>
      <c r="R3354" t="inlineStr">
        <is>
          <t>InStock</t>
        </is>
      </c>
      <c r="S3354" t="inlineStr">
        <is>
          <t>undefined</t>
        </is>
      </c>
      <c r="T3354" t="inlineStr">
        <is>
          <t>703417-01</t>
        </is>
      </c>
    </row>
    <row r="3355" hidden="1" ht="15.75" customHeight="1">
      <c r="A3355" s="2">
        <f>HYPERLINK("https://www.soccerplususa.com/nike/nike-academy-18-jacket-34570", "https://www.soccerplususa.com/nike/nike-academy-18-jacket-34570")</f>
        <v/>
      </c>
      <c r="B3355" t="inlineStr">
        <is>
          <t>undefined</t>
        </is>
      </c>
      <c r="C3355" t="inlineStr">
        <is>
          <t>Nike Academy 18 Jacket</t>
        </is>
      </c>
      <c r="D3355" t="inlineStr">
        <is>
          <t>Men's Nike Dry Academy18 Football Jacket</t>
        </is>
      </c>
      <c r="E3355" s="2">
        <f>HYPERLINK("https://www.amazon.com/Nike-Academy18-Football-Jacket-Anthracite/dp/B079JWH66W/ref=sr_1_10?keywords=Nike+Academy+18+Jacket&amp;qid=1695171165&amp;sr=8-10", "https://www.amazon.com/Nike-Academy18-Football-Jacket-Anthracite/dp/B079JWH66W/ref=sr_1_10?keywords=Nike+Academy+18+Jacket&amp;qid=1695171165&amp;sr=8-10")</f>
        <v/>
      </c>
      <c r="F3355" t="inlineStr">
        <is>
          <t>B079JWH66W</t>
        </is>
      </c>
      <c r="G3355">
        <f>_xludf.IMAGE("https://www.soccerplususa.com/prodimages/30940-DEFAULT-l.jpg")</f>
        <v/>
      </c>
      <c r="H3355">
        <f>_xludf.IMAGE("https://m.media-amazon.com/images/I/8152gVymWCL._AC_UL320_.jpg")</f>
        <v/>
      </c>
      <c r="K3355" t="inlineStr">
        <is>
          <t>44.99</t>
        </is>
      </c>
      <c r="L3355" t="n">
        <v>53.79</v>
      </c>
      <c r="M3355" s="1" t="inlineStr">
        <is>
          <t>19.56%</t>
        </is>
      </c>
      <c r="N3355" s="3" t="n">
        <v>19.56</v>
      </c>
      <c r="O3355" t="n">
        <v>4.4</v>
      </c>
      <c r="P3355" t="n">
        <v>1577</v>
      </c>
      <c r="R3355" t="inlineStr">
        <is>
          <t>InStock</t>
        </is>
      </c>
      <c r="S3355" t="inlineStr">
        <is>
          <t>54.95</t>
        </is>
      </c>
      <c r="T3355" t="inlineStr">
        <is>
          <t>893701-010</t>
        </is>
      </c>
    </row>
    <row r="3356" hidden="1" ht="15.75" customHeight="1">
      <c r="A3356" s="2">
        <f>HYPERLINK("https://www.soccerplususa.com/adidas/adidas-condivo-14-training-top-36188", "https://www.soccerplususa.com/adidas/adidas-condivo-14-training-top-36188")</f>
        <v/>
      </c>
      <c r="B3356" t="inlineStr">
        <is>
          <t>undefined</t>
        </is>
      </c>
      <c r="C3356" t="inlineStr">
        <is>
          <t>adidas Condivo 14 Training Top</t>
        </is>
      </c>
      <c r="D3356" t="inlineStr">
        <is>
          <t>adidas Women's Condivo 22 Training Top</t>
        </is>
      </c>
      <c r="E3356" s="2">
        <f>HYPERLINK("https://www.amazon.com/adidas-Womens-Condivo-Training-Medium/dp/B09HJKW33X/ref=sr_1_4?keywords=adidas+Condivo+14+Training+Top&amp;qid=1695171163&amp;sr=8-4", "https://www.amazon.com/adidas-Womens-Condivo-Training-Medium/dp/B09HJKW33X/ref=sr_1_4?keywords=adidas+Condivo+14+Training+Top&amp;qid=1695171163&amp;sr=8-4")</f>
        <v/>
      </c>
      <c r="F3356" t="inlineStr">
        <is>
          <t>B09HJKW33X</t>
        </is>
      </c>
      <c r="G3356">
        <f>_xludf.IMAGE("https://www.soccerplususa.com/prodimages/10436-DEFAULT-l.jpg")</f>
        <v/>
      </c>
      <c r="H3356">
        <f>_xludf.IMAGE("https://m.media-amazon.com/images/I/51809whMXpL._MCnd_AC_UL320_.jpg")</f>
        <v/>
      </c>
      <c r="K3356" t="inlineStr">
        <is>
          <t>30.0</t>
        </is>
      </c>
      <c r="L3356" t="n">
        <v>35.75</v>
      </c>
      <c r="M3356" s="1" t="inlineStr">
        <is>
          <t>19.17%</t>
        </is>
      </c>
      <c r="N3356" s="3" t="n">
        <v>19.17</v>
      </c>
      <c r="O3356" t="n">
        <v>5</v>
      </c>
      <c r="P3356" t="n">
        <v>4</v>
      </c>
      <c r="R3356" t="inlineStr">
        <is>
          <t>InStock</t>
        </is>
      </c>
      <c r="S3356" t="inlineStr">
        <is>
          <t>59.95</t>
        </is>
      </c>
      <c r="T3356" t="inlineStr">
        <is>
          <t>G80802</t>
        </is>
      </c>
    </row>
    <row r="3357" hidden="1" ht="15.75" customHeight="1">
      <c r="A3357" s="2">
        <f>HYPERLINK("https://www.soccerplususa.com/new-balance/new-balance-thermal-half-zip-top-womens-39182", "https://www.soccerplususa.com/new-balance/new-balance-thermal-half-zip-top-womens-39182")</f>
        <v/>
      </c>
      <c r="B3357" t="inlineStr">
        <is>
          <t>undefined</t>
        </is>
      </c>
      <c r="C3357" t="inlineStr">
        <is>
          <t>New Balance Thermal Half Zip Top Women's</t>
        </is>
      </c>
      <c r="D3357" t="inlineStr">
        <is>
          <t>New Balance Women's Nb Heat Grid Half Zip 21</t>
        </is>
      </c>
      <c r="E3357" s="2">
        <f>HYPERLINK("https://www.amazon.com/New-Balance-Womens-Standard-Impact/dp/B08NM3HPRS/ref=sr_1_1?keywords=New+Balance+Thermal+Half+Zip+Top+Womens&amp;qid=1695171153&amp;sr=8-1", "https://www.amazon.com/New-Balance-Womens-Standard-Impact/dp/B08NM3HPRS/ref=sr_1_1?keywords=New+Balance+Thermal+Half+Zip+Top+Womens&amp;qid=1695171153&amp;sr=8-1")</f>
        <v/>
      </c>
      <c r="F3357" t="inlineStr">
        <is>
          <t>B08NM3HPRS</t>
        </is>
      </c>
      <c r="G3357">
        <f>_xludf.IMAGE("https://www.soccerplususa.com/prodimages/35277-DEFAULT-l.jpg")</f>
        <v/>
      </c>
      <c r="H3357">
        <f>_xludf.IMAGE("https://m.media-amazon.com/images/I/51TadRYhR4S._AC_UL320_.jpg")</f>
        <v/>
      </c>
      <c r="K3357" t="inlineStr">
        <is>
          <t>48.99</t>
        </is>
      </c>
      <c r="L3357" t="n">
        <v>57.84</v>
      </c>
      <c r="M3357" s="1" t="inlineStr">
        <is>
          <t>18.06%</t>
        </is>
      </c>
      <c r="N3357" s="3" t="n">
        <v>18.06</v>
      </c>
      <c r="O3357" t="n">
        <v>5</v>
      </c>
      <c r="P3357" t="n">
        <v>14</v>
      </c>
      <c r="R3357" t="inlineStr">
        <is>
          <t>InStock</t>
        </is>
      </c>
      <c r="S3357" t="inlineStr">
        <is>
          <t>65.0</t>
        </is>
      </c>
      <c r="T3357" t="inlineStr">
        <is>
          <t>TMWT725</t>
        </is>
      </c>
    </row>
    <row r="3358" hidden="1" ht="15.75" customHeight="1">
      <c r="A3358" s="2">
        <f>HYPERLINK("https://www.soccerplususa.com/adidas/adidas-regista-16-jersey-4149", "https://www.soccerplususa.com/adidas/adidas-regista-16-jersey-4149")</f>
        <v/>
      </c>
      <c r="B3358" t="inlineStr">
        <is>
          <t>undefined</t>
        </is>
      </c>
      <c r="C3358" t="inlineStr">
        <is>
          <t>adidas Regista 16 Jersey</t>
        </is>
      </c>
      <c r="D3358" t="inlineStr">
        <is>
          <t>adidas mens Regista 18 Jersey</t>
        </is>
      </c>
      <c r="E3358" s="2">
        <f>HYPERLINK("https://www.amazon.com/adidas-Regista-Jersey-Soccer-White-Bold/dp/B078LJ1RTZ/ref=sr_1_7?keywords=adidas+Regista+16+Jersey&amp;qid=1695171233&amp;sr=8-7", "https://www.amazon.com/adidas-Regista-Jersey-Soccer-White-Bold/dp/B078LJ1RTZ/ref=sr_1_7?keywords=adidas+Regista+16+Jersey&amp;qid=1695171233&amp;sr=8-7")</f>
        <v/>
      </c>
      <c r="F3358" t="inlineStr">
        <is>
          <t>B078LJ1RTZ</t>
        </is>
      </c>
      <c r="G3358">
        <f>_xludf.IMAGE("https://www.soccerplususa.com/prodimages/32795-DEFAULT-l.jpg")</f>
        <v/>
      </c>
      <c r="H3358">
        <f>_xludf.IMAGE("https://m.media-amazon.com/images/I/418ed8POJFL._AC_UL320_.jpg")</f>
        <v/>
      </c>
      <c r="K3358" t="inlineStr">
        <is>
          <t>17.0</t>
        </is>
      </c>
      <c r="L3358" t="n">
        <v>19.95</v>
      </c>
      <c r="M3358" s="1" t="inlineStr">
        <is>
          <t>17.35%</t>
        </is>
      </c>
      <c r="N3358" s="3" t="n">
        <v>17.35</v>
      </c>
      <c r="O3358" t="n">
        <v>5</v>
      </c>
      <c r="P3358" t="n">
        <v>1</v>
      </c>
      <c r="R3358" t="inlineStr">
        <is>
          <t>InStock</t>
        </is>
      </c>
      <c r="S3358" t="inlineStr">
        <is>
          <t>34.95</t>
        </is>
      </c>
      <c r="T3358" t="inlineStr">
        <is>
          <t>AP0535</t>
        </is>
      </c>
    </row>
    <row r="3359" hidden="1" ht="15.75" customHeight="1">
      <c r="A3359" s="2">
        <f>HYPERLINK("https://www.soccerplususa.com/adidas/adidas-tiro-17-jersey-4868", "https://www.soccerplususa.com/adidas/adidas-tiro-17-jersey-4868")</f>
        <v/>
      </c>
      <c r="B3359" t="inlineStr">
        <is>
          <t>undefined</t>
        </is>
      </c>
      <c r="C3359" t="inlineStr">
        <is>
          <t>adidas Tiro 17 Jersey</t>
        </is>
      </c>
      <c r="D3359" t="inlineStr">
        <is>
          <t>adidas Men's Tiro 23 Jersey</t>
        </is>
      </c>
      <c r="E3359" s="2">
        <f>HYPERLINK("https://www.amazon.com/adidas-Jersey-Shirt-Black-X-Small/dp/B09YG5GTJB/ref=sr_1_2?keywords=adidas+Tiro+17+Jersey&amp;qid=1695171228&amp;sr=8-2", "https://www.amazon.com/adidas-Jersey-Shirt-Black-X-Small/dp/B09YG5GTJB/ref=sr_1_2?keywords=adidas+Tiro+17+Jersey&amp;qid=1695171228&amp;sr=8-2")</f>
        <v/>
      </c>
      <c r="F3359" t="inlineStr">
        <is>
          <t>B09YG5GTJB</t>
        </is>
      </c>
      <c r="G3359">
        <f>_xludf.IMAGE("https://www.soccerplususa.com/prodimages/32792-DEFAULT-l.jpg")</f>
        <v/>
      </c>
      <c r="H3359">
        <f>_xludf.IMAGE("https://m.media-amazon.com/images/I/410bSxr-tiL._AC_UL320_.jpg")</f>
        <v/>
      </c>
      <c r="K3359" t="inlineStr">
        <is>
          <t>29.99</t>
        </is>
      </c>
      <c r="L3359" t="n">
        <v>35</v>
      </c>
      <c r="M3359" s="1" t="inlineStr">
        <is>
          <t>16.71%</t>
        </is>
      </c>
      <c r="N3359" s="3" t="n">
        <v>16.71</v>
      </c>
      <c r="O3359" t="n">
        <v>4.6</v>
      </c>
      <c r="P3359" t="n">
        <v>46</v>
      </c>
      <c r="R3359" t="inlineStr">
        <is>
          <t>InStock</t>
        </is>
      </c>
      <c r="S3359" t="inlineStr">
        <is>
          <t>39.95</t>
        </is>
      </c>
      <c r="T3359" t="inlineStr">
        <is>
          <t>BK5435</t>
        </is>
      </c>
    </row>
    <row r="3360" hidden="1" ht="15.75" customHeight="1">
      <c r="A3360" s="2">
        <f>HYPERLINK("https://www.soccerplususa.com/adidas/adidas-tiro-17-jersey-womens-4818", "https://www.soccerplususa.com/adidas/adidas-tiro-17-jersey-womens-4818")</f>
        <v/>
      </c>
      <c r="B3360" t="inlineStr">
        <is>
          <t>undefined</t>
        </is>
      </c>
      <c r="C3360" t="inlineStr">
        <is>
          <t>adidas Tiro 17 Jersey Women's</t>
        </is>
      </c>
      <c r="D3360" t="inlineStr">
        <is>
          <t>adidas Tiro 19 Jersey- Women's Soccer M Dark Grey/White</t>
        </is>
      </c>
      <c r="E3360" s="2">
        <f>HYPERLINK("https://www.amazon.com/adidas-Jersey-Womens-Soccer-White/dp/B07H3VS5D7/ref=sr_1_9?keywords=adidas+Tiro+17+Jersey+Women%27s&amp;qid=1695171228&amp;sr=8-9", "https://www.amazon.com/adidas-Jersey-Womens-Soccer-White/dp/B07H3VS5D7/ref=sr_1_9?keywords=adidas+Tiro+17+Jersey+Women%27s&amp;qid=1695171228&amp;sr=8-9")</f>
        <v/>
      </c>
      <c r="F3360" t="inlineStr">
        <is>
          <t>B07H3VS5D7</t>
        </is>
      </c>
      <c r="G3360">
        <f>_xludf.IMAGE("https://www.soccerplususa.com/prodimages/33189-DEFAULT-l.jpg")</f>
        <v/>
      </c>
      <c r="H3360">
        <f>_xludf.IMAGE("https://m.media-amazon.com/images/I/61ASNTLz-dL._AC_UL320_.jpg")</f>
        <v/>
      </c>
      <c r="K3360" t="inlineStr">
        <is>
          <t>30.0</t>
        </is>
      </c>
      <c r="L3360" t="n">
        <v>34.98</v>
      </c>
      <c r="M3360" s="1" t="inlineStr">
        <is>
          <t>16.60%</t>
        </is>
      </c>
      <c r="N3360" s="3" t="n">
        <v>16.6</v>
      </c>
      <c r="O3360" t="n">
        <v>5</v>
      </c>
      <c r="P3360" t="n">
        <v>3</v>
      </c>
      <c r="R3360" t="inlineStr">
        <is>
          <t>InStock</t>
        </is>
      </c>
      <c r="S3360" t="inlineStr">
        <is>
          <t>39.95</t>
        </is>
      </c>
      <c r="T3360" t="inlineStr">
        <is>
          <t>BJ9095</t>
        </is>
      </c>
    </row>
    <row r="3361" hidden="1" ht="15.75" customHeight="1">
      <c r="A3361" s="2">
        <f>HYPERLINK("https://www.soccerplususa.com/puma/puma-liga-jersey-37884", "https://www.soccerplususa.com/puma/puma-liga-jersey-37884")</f>
        <v/>
      </c>
      <c r="B3361" t="inlineStr">
        <is>
          <t>undefined</t>
        </is>
      </c>
      <c r="C3361" t="inlineStr">
        <is>
          <t>Puma Liga Jersey</t>
        </is>
      </c>
      <c r="D3361" t="inlineStr">
        <is>
          <t>PUMA Men's Liga Long Sleeve Jersey</t>
        </is>
      </c>
      <c r="E3361" s="2">
        <f>HYPERLINK("https://www.amazon.com/PUMA-Jersey-Sleeve-Electric-Lemonadewhite/dp/B07892Y29D/ref=sr_1_5?keywords=Puma+Liga+Jersey&amp;qid=1695171168&amp;sr=8-5", "https://www.amazon.com/PUMA-Jersey-Sleeve-Electric-Lemonadewhite/dp/B07892Y29D/ref=sr_1_5?keywords=Puma+Liga+Jersey&amp;qid=1695171168&amp;sr=8-5")</f>
        <v/>
      </c>
      <c r="F3361" t="inlineStr">
        <is>
          <t>B07892Y29D</t>
        </is>
      </c>
      <c r="G3361">
        <f>_xludf.IMAGE("https://www.soccerplususa.com/prodimages//35270-NAVYWHITE-M.jpg")</f>
        <v/>
      </c>
      <c r="H3361">
        <f>_xludf.IMAGE("https://m.media-amazon.com/images/I/81o8g03CC7S._AC_UL320_.jpg")</f>
        <v/>
      </c>
      <c r="K3361" t="inlineStr">
        <is>
          <t>20.99</t>
        </is>
      </c>
      <c r="L3361" t="n">
        <v>24.37</v>
      </c>
      <c r="M3361" s="1" t="inlineStr">
        <is>
          <t>16.10%</t>
        </is>
      </c>
      <c r="N3361" s="3" t="n">
        <v>16.1</v>
      </c>
      <c r="O3361" t="n">
        <v>4.5</v>
      </c>
      <c r="P3361" t="n">
        <v>410</v>
      </c>
      <c r="R3361" t="inlineStr">
        <is>
          <t>InStock</t>
        </is>
      </c>
      <c r="S3361" t="inlineStr">
        <is>
          <t>27.95</t>
        </is>
      </c>
      <c r="T3361" t="inlineStr">
        <is>
          <t>703417-06</t>
        </is>
      </c>
    </row>
    <row r="3362" hidden="1" ht="15.75" customHeight="1">
      <c r="A3362" s="2">
        <f>HYPERLINK("https://www.soccerplususa.com/new-balance/new-balance-thermal-half-zip-top-womens-39182", "https://www.soccerplususa.com/new-balance/new-balance-thermal-half-zip-top-womens-39182")</f>
        <v/>
      </c>
      <c r="B3362" t="inlineStr">
        <is>
          <t>undefined</t>
        </is>
      </c>
      <c r="C3362" t="inlineStr">
        <is>
          <t>New Balance Thermal Half Zip Top Women's</t>
        </is>
      </c>
      <c r="D3362" t="inlineStr">
        <is>
          <t>New Balance Women's Q Speed Shift Half Zip</t>
        </is>
      </c>
      <c r="E3362" s="2">
        <f>HYPERLINK("https://www.amazon.com/New-Balance-Womens-Speed-Medium/dp/B09ZPW2HGB/ref=sr_1_6?keywords=New+Balance+Thermal+Half+Zip+Top+Womens&amp;qid=1695171153&amp;sr=8-6", "https://www.amazon.com/New-Balance-Womens-Speed-Medium/dp/B09ZPW2HGB/ref=sr_1_6?keywords=New+Balance+Thermal+Half+Zip+Top+Womens&amp;qid=1695171153&amp;sr=8-6")</f>
        <v/>
      </c>
      <c r="F3362" t="inlineStr">
        <is>
          <t>B09ZPW2HGB</t>
        </is>
      </c>
      <c r="G3362">
        <f>_xludf.IMAGE("https://www.soccerplususa.com/prodimages/35277-DEFAULT-l.jpg")</f>
        <v/>
      </c>
      <c r="H3362">
        <f>_xludf.IMAGE("https://m.media-amazon.com/images/I/91YxsuNY8kL._AC_UL320_.jpg")</f>
        <v/>
      </c>
      <c r="K3362" t="inlineStr">
        <is>
          <t>48.99</t>
        </is>
      </c>
      <c r="L3362" t="n">
        <v>56.76</v>
      </c>
      <c r="M3362" s="1" t="inlineStr">
        <is>
          <t>15.86%</t>
        </is>
      </c>
      <c r="N3362" s="3" t="n">
        <v>15.86</v>
      </c>
      <c r="O3362" t="n">
        <v>5</v>
      </c>
      <c r="P3362" t="n">
        <v>1</v>
      </c>
      <c r="R3362" t="inlineStr">
        <is>
          <t>InStock</t>
        </is>
      </c>
      <c r="S3362" t="inlineStr">
        <is>
          <t>65.0</t>
        </is>
      </c>
      <c r="T3362" t="inlineStr">
        <is>
          <t>TMWT725</t>
        </is>
      </c>
    </row>
    <row r="3363" hidden="1" ht="15.75" customHeight="1">
      <c r="A3363" s="2">
        <f>HYPERLINK("https://www.soccerplususa.com/nike/nike-challenge-jersey-22798", "https://www.soccerplususa.com/nike/nike-challenge-jersey-22798")</f>
        <v/>
      </c>
      <c r="B3363" t="inlineStr">
        <is>
          <t>undefined</t>
        </is>
      </c>
      <c r="C3363" t="inlineStr">
        <is>
          <t>Nike Challenge Jersey</t>
        </is>
      </c>
      <c r="D3363" t="inlineStr">
        <is>
          <t>Nike Challenge II Soccer Jersey White Womens</t>
        </is>
      </c>
      <c r="E3363" s="2">
        <f>HYPERLINK("https://www.amazon.com/Nike-Challenge-Soccer-Jersey-Womens/dp/B087WNLLV9/ref=sr_1_2?keywords=Nike+Challenge+Jersey&amp;qid=1695171194&amp;sr=8-2", "https://www.amazon.com/Nike-Challenge-Soccer-Jersey-Womens/dp/B087WNLLV9/ref=sr_1_2?keywords=Nike+Challenge+Jersey&amp;qid=1695171194&amp;sr=8-2")</f>
        <v/>
      </c>
      <c r="F3363" t="inlineStr">
        <is>
          <t>B087WNLLV9</t>
        </is>
      </c>
      <c r="G3363">
        <f>_xludf.IMAGE("https://www.soccerplususa.com/prodimages/32879-DEFAULT-l.jpg")</f>
        <v/>
      </c>
      <c r="H3363">
        <f>_xludf.IMAGE("https://m.media-amazon.com/images/I/517wx+xrFML._AC_UL320_.jpg")</f>
        <v/>
      </c>
      <c r="K3363" t="inlineStr">
        <is>
          <t>25.99</t>
        </is>
      </c>
      <c r="L3363" t="n">
        <v>29.99</v>
      </c>
      <c r="M3363" s="1" t="inlineStr">
        <is>
          <t>15.39%</t>
        </is>
      </c>
      <c r="N3363" s="3" t="n">
        <v>15.39</v>
      </c>
      <c r="O3363" t="n">
        <v>4.7</v>
      </c>
      <c r="P3363" t="n">
        <v>20</v>
      </c>
      <c r="R3363" t="inlineStr">
        <is>
          <t>InStock</t>
        </is>
      </c>
      <c r="S3363" t="inlineStr">
        <is>
          <t>34.95</t>
        </is>
      </c>
      <c r="T3363" t="inlineStr">
        <is>
          <t>645500-419</t>
        </is>
      </c>
    </row>
    <row r="3364" hidden="1" ht="15.75" customHeight="1">
      <c r="A3364" s="2">
        <f>HYPERLINK("https://www.soccerplususa.com/nike/nike-challenge-jersey-22798", "https://www.soccerplususa.com/nike/nike-challenge-jersey-22798")</f>
        <v/>
      </c>
      <c r="B3364" t="inlineStr">
        <is>
          <t>undefined</t>
        </is>
      </c>
      <c r="C3364" t="inlineStr">
        <is>
          <t>Nike Challenge Jersey</t>
        </is>
      </c>
      <c r="D3364" t="inlineStr">
        <is>
          <t>Nike Challenge Youth Soccer Training Jersey</t>
        </is>
      </c>
      <c r="E3364" s="2">
        <f>HYPERLINK("https://www.amazon.com/Challenge-Short-Sleeve-Jersey-BLACK-FOOTBALL/dp/B00SLRI14Q/ref=sr_1_6?keywords=Nike+Challenge+Jersey&amp;qid=1695171194&amp;sr=8-6", "https://www.amazon.com/Challenge-Short-Sleeve-Jersey-BLACK-FOOTBALL/dp/B00SLRI14Q/ref=sr_1_6?keywords=Nike+Challenge+Jersey&amp;qid=1695171194&amp;sr=8-6")</f>
        <v/>
      </c>
      <c r="F3364" t="inlineStr">
        <is>
          <t>B00SLRI14Q</t>
        </is>
      </c>
      <c r="G3364">
        <f>_xludf.IMAGE("https://www.soccerplususa.com/prodimages/32879-DEFAULT-l.jpg")</f>
        <v/>
      </c>
      <c r="H3364">
        <f>_xludf.IMAGE("https://m.media-amazon.com/images/I/51kFfarZ0HL._AC_UL320_.jpg")</f>
        <v/>
      </c>
      <c r="K3364" t="inlineStr">
        <is>
          <t>25.99</t>
        </is>
      </c>
      <c r="L3364" t="n">
        <v>29.99</v>
      </c>
      <c r="M3364" s="1" t="inlineStr">
        <is>
          <t>15.39%</t>
        </is>
      </c>
      <c r="N3364" s="3" t="n">
        <v>15.39</v>
      </c>
      <c r="O3364" t="n">
        <v>5</v>
      </c>
      <c r="P3364" t="n">
        <v>3</v>
      </c>
      <c r="R3364" t="inlineStr">
        <is>
          <t>InStock</t>
        </is>
      </c>
      <c r="S3364" t="inlineStr">
        <is>
          <t>34.95</t>
        </is>
      </c>
      <c r="T3364" t="inlineStr">
        <is>
          <t>645500-419</t>
        </is>
      </c>
    </row>
    <row r="3365" hidden="1" ht="15.75" customHeight="1">
      <c r="A3365" s="2">
        <f>HYPERLINK("https://www.soccerplususa.com/nike/nike-epic-training-jacket-youth-24431", "https://www.soccerplususa.com/nike/nike-epic-training-jacket-youth-24431")</f>
        <v/>
      </c>
      <c r="B3365" t="inlineStr">
        <is>
          <t>undefined</t>
        </is>
      </c>
      <c r="C3365" t="inlineStr">
        <is>
          <t>Nike Epic Training Jacket Youth</t>
        </is>
      </c>
      <c r="D3365" t="inlineStr">
        <is>
          <t>Nike Epic Women's Training Track Jacket</t>
        </is>
      </c>
      <c r="E3365" s="2">
        <f>HYPERLINK("https://www.amazon.com/Nike-Training-Jacket-Female-X-Small/dp/B076V4HM6F/ref=sr_1_8?keywords=Nike+Epic+Training+Jacket+Youth&amp;qid=1695171179&amp;sr=8-8", "https://www.amazon.com/Nike-Training-Jacket-Female-X-Small/dp/B076V4HM6F/ref=sr_1_8?keywords=Nike+Epic+Training+Jacket+Youth&amp;qid=1695171179&amp;sr=8-8")</f>
        <v/>
      </c>
      <c r="F3365" t="inlineStr">
        <is>
          <t>B076V4HM6F</t>
        </is>
      </c>
      <c r="G3365">
        <f>_xludf.IMAGE("https://www.soccerplususa.com/prodimages/6288-DEFAULT-l.jpg")</f>
        <v/>
      </c>
      <c r="H3365">
        <f>_xludf.IMAGE("https://m.media-amazon.com/images/I/515dzHWcfwL._AC_UL320_.jpg")</f>
        <v/>
      </c>
      <c r="K3365" t="inlineStr">
        <is>
          <t>36.99</t>
        </is>
      </c>
      <c r="L3365" t="n">
        <v>42.46</v>
      </c>
      <c r="M3365" s="1" t="inlineStr">
        <is>
          <t>14.79%</t>
        </is>
      </c>
      <c r="N3365" s="3" t="n">
        <v>14.79</v>
      </c>
      <c r="O3365" t="n">
        <v>5</v>
      </c>
      <c r="P3365" t="n">
        <v>4</v>
      </c>
      <c r="R3365" t="inlineStr">
        <is>
          <t>InStock</t>
        </is>
      </c>
      <c r="S3365" t="inlineStr">
        <is>
          <t>49.95</t>
        </is>
      </c>
      <c r="T3365" t="inlineStr">
        <is>
          <t>836306-494</t>
        </is>
      </c>
    </row>
    <row r="3366" hidden="1" ht="15.75" customHeight="1">
      <c r="A3366" s="2">
        <f>HYPERLINK("https://www.soccerplususa.com/adidas/adidas-tiro-17-training-jersey-4924", "https://www.soccerplususa.com/adidas/adidas-tiro-17-training-jersey-4924")</f>
        <v/>
      </c>
      <c r="B3366" t="inlineStr">
        <is>
          <t>undefined</t>
        </is>
      </c>
      <c r="C3366" t="inlineStr">
        <is>
          <t>adidas Tiro 17 Training Jersey</t>
        </is>
      </c>
      <c r="D3366" t="inlineStr">
        <is>
          <t>adidas Men's Tiro 21 Training Jersey</t>
        </is>
      </c>
      <c r="E3366" s="2">
        <f>HYPERLINK("https://www.amazon.com/adidas-Training-Jersey-Black-Medium/dp/B087785299/ref=sr_1_2?keywords=adidas+Tiro+17+Training+Jersey&amp;qid=1695171226&amp;sr=8-2", "https://www.amazon.com/adidas-Training-Jersey-Black-Medium/dp/B087785299/ref=sr_1_2?keywords=adidas+Tiro+17+Training+Jersey&amp;qid=1695171226&amp;sr=8-2")</f>
        <v/>
      </c>
      <c r="F3366" t="inlineStr">
        <is>
          <t>B087785299</t>
        </is>
      </c>
      <c r="G3366">
        <f>_xludf.IMAGE("https://www.soccerplususa.com/prodimages/6626-DEFAULT-l.jpg")</f>
        <v/>
      </c>
      <c r="H3366">
        <f>_xludf.IMAGE("https://m.media-amazon.com/images/I/41o+9cIOzqL._AC_UL320_.jpg")</f>
        <v/>
      </c>
      <c r="K3366" t="inlineStr">
        <is>
          <t>26.21</t>
        </is>
      </c>
      <c r="L3366" t="n">
        <v>29.99</v>
      </c>
      <c r="M3366" s="1" t="inlineStr">
        <is>
          <t>14.42%</t>
        </is>
      </c>
      <c r="N3366" s="3" t="n">
        <v>14.42</v>
      </c>
      <c r="O3366" t="n">
        <v>4.6</v>
      </c>
      <c r="P3366" t="n">
        <v>1018</v>
      </c>
      <c r="R3366" t="inlineStr">
        <is>
          <t>InStock</t>
        </is>
      </c>
      <c r="S3366" t="inlineStr">
        <is>
          <t>34.95</t>
        </is>
      </c>
      <c r="T3366" t="inlineStr">
        <is>
          <t>BQ2806</t>
        </is>
      </c>
    </row>
    <row r="3367" hidden="1" ht="15.75" customHeight="1">
      <c r="A3367" s="2">
        <f>HYPERLINK("https://www.soccerplususa.com/adidas/adidas-regista-16-jersey-4147", "https://www.soccerplususa.com/adidas/adidas-regista-16-jersey-4147")</f>
        <v/>
      </c>
      <c r="B3367" t="inlineStr">
        <is>
          <t>undefined</t>
        </is>
      </c>
      <c r="C3367" t="inlineStr">
        <is>
          <t>adidas Regista 16 Jersey</t>
        </is>
      </c>
      <c r="D3367" t="inlineStr">
        <is>
          <t>adidas mens Regista 18 Jersey</t>
        </is>
      </c>
      <c r="E3367" s="2">
        <f>HYPERLINK("https://www.amazon.com/adidas-Regista-Jersey-Soccer-White-Bold/dp/B078LJ1RTZ/ref=sr_1_7?keywords=adidas+Regista+16+Jersey&amp;qid=1695171233&amp;sr=8-7", "https://www.amazon.com/adidas-Regista-Jersey-Soccer-White-Bold/dp/B078LJ1RTZ/ref=sr_1_7?keywords=adidas+Regista+16+Jersey&amp;qid=1695171233&amp;sr=8-7")</f>
        <v/>
      </c>
      <c r="F3367" t="inlineStr">
        <is>
          <t>B078LJ1RTZ</t>
        </is>
      </c>
      <c r="G3367">
        <f>_xludf.IMAGE("https://www.soccerplususa.com/prodimages/7616-DEFAULT-l.jpg")</f>
        <v/>
      </c>
      <c r="H3367">
        <f>_xludf.IMAGE("https://m.media-amazon.com/images/I/418ed8POJFL._AC_UL320_.jpg")</f>
        <v/>
      </c>
      <c r="K3367" t="inlineStr">
        <is>
          <t>17.5</t>
        </is>
      </c>
      <c r="L3367" t="n">
        <v>19.95</v>
      </c>
      <c r="M3367" s="1" t="inlineStr">
        <is>
          <t>14.00%</t>
        </is>
      </c>
      <c r="N3367" s="3" t="n">
        <v>14</v>
      </c>
      <c r="O3367" t="n">
        <v>5</v>
      </c>
      <c r="P3367" t="n">
        <v>1</v>
      </c>
      <c r="R3367" t="inlineStr">
        <is>
          <t>InStock</t>
        </is>
      </c>
      <c r="S3367" t="inlineStr">
        <is>
          <t>34.95</t>
        </is>
      </c>
      <c r="T3367" t="inlineStr">
        <is>
          <t>AP0529</t>
        </is>
      </c>
    </row>
    <row r="3368" hidden="1" ht="15.75" customHeight="1">
      <c r="A3368" s="2">
        <f>HYPERLINK("https://www.soccerplususa.com/adidas/adidas-tabela-18-jersey-womens-33807", "https://www.soccerplususa.com/adidas/adidas-tabela-18-jersey-womens-33807")</f>
        <v/>
      </c>
      <c r="B3368" t="inlineStr">
        <is>
          <t>undefined</t>
        </is>
      </c>
      <c r="C3368" t="inlineStr">
        <is>
          <t>adidas Tabela 18 Jersey Women's</t>
        </is>
      </c>
      <c r="D3368" t="inlineStr">
        <is>
          <t>adidas Womens Tabela 18 Soccer Jersey</t>
        </is>
      </c>
      <c r="E3368" s="2">
        <f>HYPERLINK("https://www.amazon.com/adidas-Tabela-Jersey-Womens-Orange-White/dp/B078LC9D2M/ref=sr_1_1?keywords=adidas+Tabela+18+Jersey+Womens&amp;qid=1695171168&amp;sr=8-1", "https://www.amazon.com/adidas-Tabela-Jersey-Womens-Orange-White/dp/B078LC9D2M/ref=sr_1_1?keywords=adidas+Tabela+18+Jersey+Womens&amp;qid=1695171168&amp;sr=8-1")</f>
        <v/>
      </c>
      <c r="F3368" t="inlineStr">
        <is>
          <t>B078LC9D2M</t>
        </is>
      </c>
      <c r="G3368">
        <f>_xludf.IMAGE("https://www.soccerplususa.com/prodimages/35357-DEFAULT-l.jpg")</f>
        <v/>
      </c>
      <c r="H3368">
        <f>_xludf.IMAGE("https://m.media-amazon.com/images/I/51t07DGO0oL._AC_UL320_.jpg")</f>
        <v/>
      </c>
      <c r="K3368" t="inlineStr">
        <is>
          <t>21.99</t>
        </is>
      </c>
      <c r="L3368" t="n">
        <v>25</v>
      </c>
      <c r="M3368" s="1" t="inlineStr">
        <is>
          <t>13.69%</t>
        </is>
      </c>
      <c r="N3368" s="3" t="n">
        <v>13.69</v>
      </c>
      <c r="O3368" t="n">
        <v>4.6</v>
      </c>
      <c r="P3368" t="n">
        <v>135</v>
      </c>
      <c r="R3368" t="inlineStr">
        <is>
          <t>InStock</t>
        </is>
      </c>
      <c r="S3368" t="inlineStr">
        <is>
          <t>29.95</t>
        </is>
      </c>
      <c r="T3368" t="inlineStr">
        <is>
          <t>CE8933</t>
        </is>
      </c>
    </row>
    <row r="3369" hidden="1" ht="15.75" customHeight="1">
      <c r="A3369" s="2">
        <f>HYPERLINK("https://www.soccerplususa.com/adidas/adidas-tabela-18-jersey-womens-33806", "https://www.soccerplususa.com/adidas/adidas-tabela-18-jersey-womens-33806")</f>
        <v/>
      </c>
      <c r="B3369" t="inlineStr">
        <is>
          <t>undefined</t>
        </is>
      </c>
      <c r="C3369" t="inlineStr">
        <is>
          <t>adidas Tabela 18 Jersey Women's</t>
        </is>
      </c>
      <c r="D3369" t="inlineStr">
        <is>
          <t>adidas Womens Tabela 18 Soccer Jersey</t>
        </is>
      </c>
      <c r="E3369" s="2">
        <f>HYPERLINK("https://www.amazon.com/adidas-Tabela-Jersey-Womens-Orange-White/dp/B078LC9D2M/ref=sr_1_1?keywords=adidas+Tabela+18+Jersey+Womens&amp;qid=1695171171&amp;sr=8-1", "https://www.amazon.com/adidas-Tabela-Jersey-Womens-Orange-White/dp/B078LC9D2M/ref=sr_1_1?keywords=adidas+Tabela+18+Jersey+Womens&amp;qid=1695171171&amp;sr=8-1")</f>
        <v/>
      </c>
      <c r="F3369" t="inlineStr">
        <is>
          <t>B078LC9D2M</t>
        </is>
      </c>
      <c r="G3369">
        <f>_xludf.IMAGE("https://www.soccerplususa.com/prodimages/35358-DEFAULT-l.jpg")</f>
        <v/>
      </c>
      <c r="H3369">
        <f>_xludf.IMAGE("https://m.media-amazon.com/images/I/51t07DGO0oL._AC_UL320_.jpg")</f>
        <v/>
      </c>
      <c r="K3369" t="inlineStr">
        <is>
          <t>21.99</t>
        </is>
      </c>
      <c r="L3369" t="n">
        <v>25</v>
      </c>
      <c r="M3369" s="1" t="inlineStr">
        <is>
          <t>13.69%</t>
        </is>
      </c>
      <c r="N3369" s="3" t="n">
        <v>13.69</v>
      </c>
      <c r="O3369" t="n">
        <v>4.6</v>
      </c>
      <c r="P3369" t="n">
        <v>135</v>
      </c>
      <c r="R3369" t="inlineStr">
        <is>
          <t>InStock</t>
        </is>
      </c>
      <c r="S3369" t="inlineStr">
        <is>
          <t>29.95</t>
        </is>
      </c>
      <c r="T3369" t="inlineStr">
        <is>
          <t>CE8932</t>
        </is>
      </c>
    </row>
    <row r="3370" hidden="1" ht="15.75" customHeight="1">
      <c r="A3370" s="2">
        <f>HYPERLINK("https://www.soccerplususa.com/nike/nike-striker-iv-jersey-36828", "https://www.soccerplususa.com/nike/nike-striker-iv-jersey-36828")</f>
        <v/>
      </c>
      <c r="B3370" t="inlineStr">
        <is>
          <t>undefined</t>
        </is>
      </c>
      <c r="C3370" t="inlineStr">
        <is>
          <t>Nike Striker IV Jersey</t>
        </is>
      </c>
      <c r="D3370" t="inlineStr">
        <is>
          <t>Nike Short-Sleeve Striker III Us Jersey [White/White/Black]</t>
        </is>
      </c>
      <c r="E3370" s="2">
        <f>HYPERLINK("https://www.amazon.com/Short-Sleeve-Striker-Jersey-WHITE-BLACK/dp/B00AX6IGZ2/ref=sr_1_3?keywords=Nike+Striker+IV+Jersey&amp;qid=1695171155&amp;sr=8-3", "https://www.amazon.com/Short-Sleeve-Striker-Jersey-WHITE-BLACK/dp/B00AX6IGZ2/ref=sr_1_3?keywords=Nike+Striker+IV+Jersey&amp;qid=1695171155&amp;sr=8-3")</f>
        <v/>
      </c>
      <c r="F3370" t="inlineStr">
        <is>
          <t>B00AX6IGZ2</t>
        </is>
      </c>
      <c r="G3370">
        <f>_xludf.IMAGE("https://www.soccerplususa.com/prodimages/32887-DEFAULT-l.jpg")</f>
        <v/>
      </c>
      <c r="H3370">
        <f>_xludf.IMAGE("https://m.media-amazon.com/images/I/31BgPqXbPbL._AC_UL320_.jpg")</f>
        <v/>
      </c>
      <c r="K3370" t="inlineStr">
        <is>
          <t>21.99</t>
        </is>
      </c>
      <c r="L3370" t="n">
        <v>24.99</v>
      </c>
      <c r="M3370" s="1" t="inlineStr">
        <is>
          <t>13.64%</t>
        </is>
      </c>
      <c r="N3370" s="3" t="n">
        <v>13.64</v>
      </c>
      <c r="O3370" t="n">
        <v>5</v>
      </c>
      <c r="P3370" t="n">
        <v>1</v>
      </c>
      <c r="R3370" t="inlineStr">
        <is>
          <t>InStock</t>
        </is>
      </c>
      <c r="S3370" t="inlineStr">
        <is>
          <t>29.95</t>
        </is>
      </c>
      <c r="T3370" t="inlineStr">
        <is>
          <t>725898-692</t>
        </is>
      </c>
    </row>
    <row r="3371" hidden="1" ht="15.75" customHeight="1">
      <c r="A3371" s="2">
        <f>HYPERLINK("https://www.soccerplususa.com/adidas/adidas-regista-14-jersey-6065", "https://www.soccerplususa.com/adidas/adidas-regista-14-jersey-6065")</f>
        <v/>
      </c>
      <c r="B3371" t="inlineStr">
        <is>
          <t>undefined</t>
        </is>
      </c>
      <c r="C3371" t="inlineStr">
        <is>
          <t>adidas Regista 14 Jersey</t>
        </is>
      </c>
      <c r="D3371" t="inlineStr">
        <is>
          <t>adidas Regista 18 Jersey</t>
        </is>
      </c>
      <c r="E3371" s="2">
        <f>HYPERLINK("https://www.amazon.com/adidas-Regista-Jersey-Juniors-White-Bold/dp/B078LC816M/ref=sr_1_10?keywords=adidas+Regista+14+Jersey&amp;qid=1695171215&amp;sr=8-10", "https://www.amazon.com/adidas-Regista-Jersey-Juniors-White-Bold/dp/B078LC816M/ref=sr_1_10?keywords=adidas+Regista+14+Jersey&amp;qid=1695171215&amp;sr=8-10")</f>
        <v/>
      </c>
      <c r="F3371" t="inlineStr">
        <is>
          <t>B078LC816M</t>
        </is>
      </c>
      <c r="G3371">
        <f>_xludf.IMAGE("https://www.soccerplususa.com/prodimages/32793-DEFAULT-l.jpg")</f>
        <v/>
      </c>
      <c r="H3371">
        <f>_xludf.IMAGE("https://m.media-amazon.com/images/I/51yG-+TbhAL._AC_UL320_.jpg")</f>
        <v/>
      </c>
      <c r="K3371" t="inlineStr">
        <is>
          <t>22.0</t>
        </is>
      </c>
      <c r="L3371" t="n">
        <v>24.99</v>
      </c>
      <c r="M3371" s="1" t="inlineStr">
        <is>
          <t>13.59%</t>
        </is>
      </c>
      <c r="N3371" s="3" t="n">
        <v>13.59</v>
      </c>
      <c r="O3371" t="n">
        <v>4.4</v>
      </c>
      <c r="P3371" t="n">
        <v>107</v>
      </c>
      <c r="R3371" t="inlineStr">
        <is>
          <t>InStock</t>
        </is>
      </c>
      <c r="S3371" t="inlineStr">
        <is>
          <t>44.95</t>
        </is>
      </c>
      <c r="T3371" t="inlineStr">
        <is>
          <t>F50009</t>
        </is>
      </c>
    </row>
    <row r="3372" hidden="1" ht="15.75" customHeight="1">
      <c r="A3372" s="2">
        <f>HYPERLINK("https://www.soccerplususa.com/adidas/adidas-regista-14-jersey-6065", "https://www.soccerplususa.com/adidas/adidas-regista-14-jersey-6065")</f>
        <v/>
      </c>
      <c r="B3372" t="inlineStr">
        <is>
          <t>undefined</t>
        </is>
      </c>
      <c r="C3372" t="inlineStr">
        <is>
          <t>adidas Regista 14 Jersey</t>
        </is>
      </c>
      <c r="D3372" t="inlineStr">
        <is>
          <t>adidas Mens Climacool Regista 14 Short</t>
        </is>
      </c>
      <c r="E3372" s="2">
        <f>HYPERLINK("https://www.amazon.com/Adidas-Climacool-Regista-Short-Small/dp/B00GVA0RTM/ref=sr_1_5?keywords=adidas+Regista+14+Jersey&amp;qid=1695171215&amp;sr=8-5", "https://www.amazon.com/Adidas-Climacool-Regista-Short-Small/dp/B00GVA0RTM/ref=sr_1_5?keywords=adidas+Regista+14+Jersey&amp;qid=1695171215&amp;sr=8-5")</f>
        <v/>
      </c>
      <c r="F3372" t="inlineStr">
        <is>
          <t>B00GVA0RTM</t>
        </is>
      </c>
      <c r="G3372">
        <f>_xludf.IMAGE("https://www.soccerplususa.com/prodimages/32793-DEFAULT-l.jpg")</f>
        <v/>
      </c>
      <c r="H3372">
        <f>_xludf.IMAGE("https://m.media-amazon.com/images/I/51wfQQhR5RL._AC_UL320_.jpg")</f>
        <v/>
      </c>
      <c r="K3372" t="inlineStr">
        <is>
          <t>22.0</t>
        </is>
      </c>
      <c r="L3372" t="n">
        <v>24.99</v>
      </c>
      <c r="M3372" s="1" t="inlineStr">
        <is>
          <t>13.59%</t>
        </is>
      </c>
      <c r="N3372" s="3" t="n">
        <v>13.59</v>
      </c>
      <c r="O3372" t="n">
        <v>3.5</v>
      </c>
      <c r="P3372" t="n">
        <v>6</v>
      </c>
      <c r="R3372" t="inlineStr">
        <is>
          <t>InStock</t>
        </is>
      </c>
      <c r="S3372" t="inlineStr">
        <is>
          <t>44.95</t>
        </is>
      </c>
      <c r="T3372" t="inlineStr">
        <is>
          <t>F50009</t>
        </is>
      </c>
    </row>
    <row r="3373" hidden="1" ht="15.75" customHeight="1">
      <c r="A3373" s="2">
        <f>HYPERLINK("https://www.soccerplususa.com/under-armour/under-armour-cold-gear-armour-mock-youth-33311", "https://www.soccerplususa.com/under-armour/under-armour-cold-gear-armour-mock-youth-33311")</f>
        <v/>
      </c>
      <c r="B3373" t="inlineStr">
        <is>
          <t>undefined</t>
        </is>
      </c>
      <c r="C3373" t="inlineStr">
        <is>
          <t>Under Armour Cold Gear Armour Mock Youth</t>
        </is>
      </c>
      <c r="D3373" t="inlineStr">
        <is>
          <t>Under Armour Men's ColdGear Compression Mock</t>
        </is>
      </c>
      <c r="E3373" s="2">
        <f>HYPERLINK("https://www.amazon.com/Under-Armour-ColdGear-Compression-Black/dp/B08LPM6J1C/ref=sr_1_7?keywords=Under+Armour+Cold+Gear+Armour+Mock+Youth&amp;qid=1695171169&amp;sr=8-7", "https://www.amazon.com/Under-Armour-ColdGear-Compression-Black/dp/B08LPM6J1C/ref=sr_1_7?keywords=Under+Armour+Cold+Gear+Armour+Mock+Youth&amp;qid=1695171169&amp;sr=8-7")</f>
        <v/>
      </c>
      <c r="F3373" t="inlineStr">
        <is>
          <t>B08LPM6J1C</t>
        </is>
      </c>
      <c r="G3373">
        <f>_xludf.IMAGE("https://www.soccerplususa.com/prodimages/5585-DEFAULT-l.jpg")</f>
        <v/>
      </c>
      <c r="H3373">
        <f>_xludf.IMAGE("https://m.media-amazon.com/images/I/71OiO5xp7oL._AC_UL320_.jpg")</f>
        <v/>
      </c>
      <c r="K3373" t="inlineStr">
        <is>
          <t>39.95</t>
        </is>
      </c>
      <c r="L3373" t="n">
        <v>45</v>
      </c>
      <c r="M3373" s="1" t="inlineStr">
        <is>
          <t>12.64%</t>
        </is>
      </c>
      <c r="N3373" s="3" t="n">
        <v>12.64</v>
      </c>
      <c r="O3373" t="n">
        <v>4.7</v>
      </c>
      <c r="P3373" t="n">
        <v>2091</v>
      </c>
      <c r="R3373" t="inlineStr">
        <is>
          <t>InStock</t>
        </is>
      </c>
      <c r="S3373" t="inlineStr">
        <is>
          <t>undefined</t>
        </is>
      </c>
      <c r="T3373" t="inlineStr">
        <is>
          <t>1288343-100</t>
        </is>
      </c>
    </row>
    <row r="3374" hidden="1" ht="15.75" customHeight="1">
      <c r="A3374" s="2">
        <f>HYPERLINK("https://www.soccerplususa.com/under-armour/under-armour-cold-gear-armour-mock-youth-33310", "https://www.soccerplususa.com/under-armour/under-armour-cold-gear-armour-mock-youth-33310")</f>
        <v/>
      </c>
      <c r="B3374" t="inlineStr">
        <is>
          <t>undefined</t>
        </is>
      </c>
      <c r="C3374" t="inlineStr">
        <is>
          <t>Under Armour Cold Gear Armour Mock Youth</t>
        </is>
      </c>
      <c r="D3374" t="inlineStr">
        <is>
          <t>Under Armour Men's ColdGear Compression Mock</t>
        </is>
      </c>
      <c r="E3374" s="2">
        <f>HYPERLINK("https://www.amazon.com/Under-Armour-ColdGear-Compression-Black/dp/B08LPM6J1C/ref=sr_1_5?keywords=Under+Armour+Cold+Gear+Armour+Mock+Youth&amp;qid=1695171174&amp;sr=8-5", "https://www.amazon.com/Under-Armour-ColdGear-Compression-Black/dp/B08LPM6J1C/ref=sr_1_5?keywords=Under+Armour+Cold+Gear+Armour+Mock+Youth&amp;qid=1695171174&amp;sr=8-5")</f>
        <v/>
      </c>
      <c r="F3374" t="inlineStr">
        <is>
          <t>B08LPM6J1C</t>
        </is>
      </c>
      <c r="G3374">
        <f>_xludf.IMAGE("https://www.soccerplususa.com/prodimages/5586-DEFAULT-l.jpg")</f>
        <v/>
      </c>
      <c r="H3374">
        <f>_xludf.IMAGE("https://m.media-amazon.com/images/I/71OiO5xp7oL._AC_UL320_.jpg")</f>
        <v/>
      </c>
      <c r="K3374" t="inlineStr">
        <is>
          <t>39.95</t>
        </is>
      </c>
      <c r="L3374" t="n">
        <v>45</v>
      </c>
      <c r="M3374" s="1" t="inlineStr">
        <is>
          <t>12.64%</t>
        </is>
      </c>
      <c r="N3374" s="3" t="n">
        <v>12.64</v>
      </c>
      <c r="O3374" t="n">
        <v>4.7</v>
      </c>
      <c r="P3374" t="n">
        <v>2091</v>
      </c>
      <c r="R3374" t="inlineStr">
        <is>
          <t>InStock</t>
        </is>
      </c>
      <c r="S3374" t="inlineStr">
        <is>
          <t>undefined</t>
        </is>
      </c>
      <c r="T3374" t="inlineStr">
        <is>
          <t>1288343-001</t>
        </is>
      </c>
    </row>
    <row r="3375" hidden="1" ht="15.75" customHeight="1">
      <c r="A3375" s="2">
        <f>HYPERLINK("https://www.soccerplususa.com/adidas/adidas-tiro-19-training-jacket-33866", "https://www.soccerplususa.com/adidas/adidas-tiro-19-training-jacket-33866")</f>
        <v/>
      </c>
      <c r="B3375" t="inlineStr">
        <is>
          <t>undefined</t>
        </is>
      </c>
      <c r="C3375" t="inlineStr">
        <is>
          <t>adidas Tiro 19 Training Jacket</t>
        </is>
      </c>
      <c r="D3375" t="inlineStr">
        <is>
          <t>adidas mens Youth Tiro 17 Soccer Training Jacket</t>
        </is>
      </c>
      <c r="E3375" s="2">
        <f>HYPERLINK("https://www.amazon.com/Adidas-Soccer-Training-Jacket-Red-Black-White/dp/B01MG8Q0PJ/ref=sr_1_7?keywords=adidas+Tiro+19+Training+Jacket&amp;qid=1695171181&amp;sr=8-7", "https://www.amazon.com/Adidas-Soccer-Training-Jacket-Red-Black-White/dp/B01MG8Q0PJ/ref=sr_1_7?keywords=adidas+Tiro+19+Training+Jacket&amp;qid=1695171181&amp;sr=8-7")</f>
        <v/>
      </c>
      <c r="F3375" t="inlineStr">
        <is>
          <t>B01MG8Q0PJ</t>
        </is>
      </c>
      <c r="G3375">
        <f>_xludf.IMAGE("https://www.soccerplususa.com/prodimages/8017-DEFAULT-l.jpg")</f>
        <v/>
      </c>
      <c r="H3375">
        <f>_xludf.IMAGE("https://m.media-amazon.com/images/I/71vhAIEa4+L._AC_UL320_.jpg")</f>
        <v/>
      </c>
      <c r="K3375" t="inlineStr">
        <is>
          <t>49.0</t>
        </is>
      </c>
      <c r="L3375" t="n">
        <v>54.95</v>
      </c>
      <c r="M3375" s="1" t="inlineStr">
        <is>
          <t>12.14%</t>
        </is>
      </c>
      <c r="N3375" s="3" t="n">
        <v>12.14</v>
      </c>
      <c r="O3375" t="n">
        <v>3.6</v>
      </c>
      <c r="P3375" t="n">
        <v>37</v>
      </c>
      <c r="R3375" t="inlineStr">
        <is>
          <t>InStock</t>
        </is>
      </c>
      <c r="S3375" t="inlineStr">
        <is>
          <t>64.95</t>
        </is>
      </c>
      <c r="T3375" t="inlineStr">
        <is>
          <t>D95953</t>
        </is>
      </c>
    </row>
    <row r="3376" hidden="1" ht="15.75" customHeight="1">
      <c r="A3376" s="2">
        <f>HYPERLINK("https://www.soccerplususa.com/adidas/adidas-tiro-19-training-jacket-33996", "https://www.soccerplususa.com/adidas/adidas-tiro-19-training-jacket-33996")</f>
        <v/>
      </c>
      <c r="B3376" t="inlineStr">
        <is>
          <t>undefined</t>
        </is>
      </c>
      <c r="C3376" t="inlineStr">
        <is>
          <t>adidas Tiro 19 Training Jacket</t>
        </is>
      </c>
      <c r="D3376" t="inlineStr">
        <is>
          <t>adidas mens Youth Tiro 17 Soccer Training Jacket</t>
        </is>
      </c>
      <c r="E3376" s="2">
        <f>HYPERLINK("https://www.amazon.com/Adidas-Soccer-Training-Jacket-Red-Black-White/dp/B01MG8Q0PJ/ref=sr_1_7?keywords=adidas+Tiro+19+Training+Jacket&amp;qid=1695171209&amp;sr=8-7", "https://www.amazon.com/Adidas-Soccer-Training-Jacket-Red-Black-White/dp/B01MG8Q0PJ/ref=sr_1_7?keywords=adidas+Tiro+19+Training+Jacket&amp;qid=1695171209&amp;sr=8-7")</f>
        <v/>
      </c>
      <c r="F3376" t="inlineStr">
        <is>
          <t>B01MG8Q0PJ</t>
        </is>
      </c>
      <c r="G3376">
        <f>_xludf.IMAGE("https://www.soccerplususa.com/prodimages/8018-DEFAULT-l.jpg")</f>
        <v/>
      </c>
      <c r="H3376">
        <f>_xludf.IMAGE("https://m.media-amazon.com/images/I/71vhAIEa4+L._AC_UL320_.jpg")</f>
        <v/>
      </c>
      <c r="K3376" t="inlineStr">
        <is>
          <t>49.0</t>
        </is>
      </c>
      <c r="L3376" t="n">
        <v>54.95</v>
      </c>
      <c r="M3376" s="1" t="inlineStr">
        <is>
          <t>12.14%</t>
        </is>
      </c>
      <c r="N3376" s="3" t="n">
        <v>12.14</v>
      </c>
      <c r="O3376" t="n">
        <v>3.6</v>
      </c>
      <c r="P3376" t="n">
        <v>37</v>
      </c>
      <c r="R3376" t="inlineStr">
        <is>
          <t>InStock</t>
        </is>
      </c>
      <c r="S3376" t="inlineStr">
        <is>
          <t>64.95</t>
        </is>
      </c>
      <c r="T3376" t="inlineStr">
        <is>
          <t>DT5272</t>
        </is>
      </c>
    </row>
    <row r="3377" hidden="1" ht="15.75" customHeight="1">
      <c r="A3377" s="2">
        <f>HYPERLINK("https://www.soccerplususa.com/puma/puma-teamfinal-21-graphic-jersey-youth-42095", "https://www.soccerplususa.com/puma/puma-teamfinal-21-graphic-jersey-youth-42095")</f>
        <v/>
      </c>
      <c r="B3377" t="inlineStr">
        <is>
          <t>undefined</t>
        </is>
      </c>
      <c r="C3377" t="inlineStr">
        <is>
          <t>Puma Teamfinal 21 Graphic Jersey Youth</t>
        </is>
      </c>
      <c r="D3377" t="inlineStr">
        <is>
          <t>PUMA Unisex Youth Teamfinal 21 Graphic Jersey</t>
        </is>
      </c>
      <c r="E3377" s="2">
        <f>HYPERLINK("https://www.amazon.com/PUMA-TEAMFINAL-Graphic-Jersey-White/dp/B084ZXCDZZ/ref=sr_1_1?keywords=Puma+Teamfinal+21+Graphic+Jersey+Youth&amp;qid=1695171148&amp;sr=8-1", "https://www.amazon.com/PUMA-TEAMFINAL-Graphic-Jersey-White/dp/B084ZXCDZZ/ref=sr_1_1?keywords=Puma+Teamfinal+21+Graphic+Jersey+Youth&amp;qid=1695171148&amp;sr=8-1")</f>
        <v/>
      </c>
      <c r="F3377" t="inlineStr">
        <is>
          <t>B084ZXCDZZ</t>
        </is>
      </c>
      <c r="G3377">
        <f>_xludf.IMAGE("https://www.soccerplususa.com/prodimages//37424-BLACK-M.jpg")</f>
        <v/>
      </c>
      <c r="H3377">
        <f>_xludf.IMAGE("https://m.media-amazon.com/images/I/71QNgNqxdUL._AC_UL320_.jpg")</f>
        <v/>
      </c>
      <c r="K3377" t="inlineStr">
        <is>
          <t>29.99</t>
        </is>
      </c>
      <c r="L3377" t="n">
        <v>33.62</v>
      </c>
      <c r="M3377" s="1" t="inlineStr">
        <is>
          <t>12.10%</t>
        </is>
      </c>
      <c r="N3377" s="3" t="n">
        <v>12.1</v>
      </c>
      <c r="O3377" t="n">
        <v>4.3</v>
      </c>
      <c r="P3377" t="n">
        <v>35</v>
      </c>
      <c r="R3377" t="inlineStr">
        <is>
          <t>InStock</t>
        </is>
      </c>
      <c r="S3377" t="inlineStr">
        <is>
          <t>39.95</t>
        </is>
      </c>
      <c r="T3377" t="inlineStr">
        <is>
          <t>704369-03</t>
        </is>
      </c>
    </row>
    <row r="3378" hidden="1" ht="15.75" customHeight="1">
      <c r="A3378" s="2">
        <f>HYPERLINK("https://www.soccerplususa.com/puma/puma-teamfinal-21-graphic-jersey-youth-41908", "https://www.soccerplususa.com/puma/puma-teamfinal-21-graphic-jersey-youth-41908")</f>
        <v/>
      </c>
      <c r="B3378" t="inlineStr">
        <is>
          <t>undefined</t>
        </is>
      </c>
      <c r="C3378" t="inlineStr">
        <is>
          <t>Puma Teamfinal 21 Graphic Jersey Youth</t>
        </is>
      </c>
      <c r="D3378" t="inlineStr">
        <is>
          <t>PUMA Unisex Youth Teamfinal 21 Graphic Jersey</t>
        </is>
      </c>
      <c r="E3378" s="2">
        <f>HYPERLINK("https://www.amazon.com/PUMA-TEAMFINAL-Graphic-Jersey-White/dp/B084ZXCDZZ/ref=sr_1_1?keywords=Puma+Teamfinal+21+Graphic+Jersey+Youth&amp;qid=1695171144&amp;sr=8-1", "https://www.amazon.com/PUMA-TEAMFINAL-Graphic-Jersey-White/dp/B084ZXCDZZ/ref=sr_1_1?keywords=Puma+Teamfinal+21+Graphic+Jersey+Youth&amp;qid=1695171144&amp;sr=8-1")</f>
        <v/>
      </c>
      <c r="F3378" t="inlineStr">
        <is>
          <t>B084ZXCDZZ</t>
        </is>
      </c>
      <c r="G3378">
        <f>_xludf.IMAGE("https://www.soccerplususa.com/prodimages//37410-NAVY-M.jpg")</f>
        <v/>
      </c>
      <c r="H3378">
        <f>_xludf.IMAGE("https://m.media-amazon.com/images/I/71QNgNqxdUL._AC_UL320_.jpg")</f>
        <v/>
      </c>
      <c r="K3378" t="inlineStr">
        <is>
          <t>29.99</t>
        </is>
      </c>
      <c r="L3378" t="n">
        <v>33.62</v>
      </c>
      <c r="M3378" s="1" t="inlineStr">
        <is>
          <t>12.10%</t>
        </is>
      </c>
      <c r="N3378" s="3" t="n">
        <v>12.1</v>
      </c>
      <c r="O3378" t="n">
        <v>4.3</v>
      </c>
      <c r="P3378" t="n">
        <v>35</v>
      </c>
      <c r="R3378" t="inlineStr">
        <is>
          <t>InStock</t>
        </is>
      </c>
      <c r="S3378" t="inlineStr">
        <is>
          <t>39.95</t>
        </is>
      </c>
      <c r="T3378" t="inlineStr">
        <is>
          <t>704369-06</t>
        </is>
      </c>
    </row>
    <row r="3379" hidden="1" ht="15.75" customHeight="1">
      <c r="A3379" s="2">
        <f>HYPERLINK("https://www.soccerplususa.com/puma/puma-teamfinal-21-graphic-jersey-youth-42092", "https://www.soccerplususa.com/puma/puma-teamfinal-21-graphic-jersey-youth-42092")</f>
        <v/>
      </c>
      <c r="B3379" t="inlineStr">
        <is>
          <t>undefined</t>
        </is>
      </c>
      <c r="C3379" t="inlineStr">
        <is>
          <t>Puma Teamfinal 21 Graphic Jersey Youth</t>
        </is>
      </c>
      <c r="D3379" t="inlineStr">
        <is>
          <t>PUMA Unisex Youth Teamfinal 21 Graphic Jersey</t>
        </is>
      </c>
      <c r="E3379" s="2">
        <f>HYPERLINK("https://www.amazon.com/PUMA-TEAMFINAL-Graphic-Jersey-White/dp/B084ZXCDZZ/ref=sr_1_1?keywords=Puma+Teamfinal+21+Graphic+Jersey+Youth&amp;qid=1695171145&amp;sr=8-1", "https://www.amazon.com/PUMA-TEAMFINAL-Graphic-Jersey-White/dp/B084ZXCDZZ/ref=sr_1_1?keywords=Puma+Teamfinal+21+Graphic+Jersey+Youth&amp;qid=1695171145&amp;sr=8-1")</f>
        <v/>
      </c>
      <c r="F3379" t="inlineStr">
        <is>
          <t>B084ZXCDZZ</t>
        </is>
      </c>
      <c r="G3379">
        <f>_xludf.IMAGE("https://www.soccerplususa.com/prodimages//37421-RED-M.jpg")</f>
        <v/>
      </c>
      <c r="H3379">
        <f>_xludf.IMAGE("https://m.media-amazon.com/images/I/71QNgNqxdUL._AC_UL320_.jpg")</f>
        <v/>
      </c>
      <c r="K3379" t="inlineStr">
        <is>
          <t>29.99</t>
        </is>
      </c>
      <c r="L3379" t="n">
        <v>33.62</v>
      </c>
      <c r="M3379" s="1" t="inlineStr">
        <is>
          <t>12.10%</t>
        </is>
      </c>
      <c r="N3379" s="3" t="n">
        <v>12.1</v>
      </c>
      <c r="O3379" t="n">
        <v>4.3</v>
      </c>
      <c r="P3379" t="n">
        <v>35</v>
      </c>
      <c r="R3379" t="inlineStr">
        <is>
          <t>InStock</t>
        </is>
      </c>
      <c r="S3379" t="inlineStr">
        <is>
          <t>39.95</t>
        </is>
      </c>
      <c r="T3379" t="inlineStr">
        <is>
          <t>704369-01</t>
        </is>
      </c>
    </row>
    <row r="3380" hidden="1" ht="15.75" customHeight="1">
      <c r="A3380" s="2">
        <f>HYPERLINK("https://www.soccerplususa.com/puma/puma-teamfinal-21-graphic-jersey-youth-38699", "https://www.soccerplususa.com/puma/puma-teamfinal-21-graphic-jersey-youth-38699")</f>
        <v/>
      </c>
      <c r="B3380" t="inlineStr">
        <is>
          <t>undefined</t>
        </is>
      </c>
      <c r="C3380" t="inlineStr">
        <is>
          <t>Puma Teamfinal 21 Graphic Jersey Youth</t>
        </is>
      </c>
      <c r="D3380" t="inlineStr">
        <is>
          <t>PUMA Unisex Youth Teamfinal 21 Graphic Jersey</t>
        </is>
      </c>
      <c r="E3380" s="2">
        <f>HYPERLINK("https://www.amazon.com/PUMA-TEAMFINAL-Graphic-Jersey-White/dp/B084ZXCDZZ/ref=sr_1_1?keywords=Puma+Teamfinal+21+Graphic+Jersey+Youth&amp;qid=1695171153&amp;sr=8-1", "https://www.amazon.com/PUMA-TEAMFINAL-Graphic-Jersey-White/dp/B084ZXCDZZ/ref=sr_1_1?keywords=Puma+Teamfinal+21+Graphic+Jersey+Youth&amp;qid=1695171153&amp;sr=8-1")</f>
        <v/>
      </c>
      <c r="F3380" t="inlineStr">
        <is>
          <t>B084ZXCDZZ</t>
        </is>
      </c>
      <c r="G3380">
        <f>_xludf.IMAGE("https://www.soccerplususa.com/prodimages//36783-WhiteGray-M.jpg")</f>
        <v/>
      </c>
      <c r="H3380">
        <f>_xludf.IMAGE("https://m.media-amazon.com/images/I/71QNgNqxdUL._AC_UL320_.jpg")</f>
        <v/>
      </c>
      <c r="K3380" t="inlineStr">
        <is>
          <t>29.99</t>
        </is>
      </c>
      <c r="L3380" t="n">
        <v>33.62</v>
      </c>
      <c r="M3380" s="1" t="inlineStr">
        <is>
          <t>12.10%</t>
        </is>
      </c>
      <c r="N3380" s="3" t="n">
        <v>12.1</v>
      </c>
      <c r="O3380" t="n">
        <v>4.3</v>
      </c>
      <c r="P3380" t="n">
        <v>35</v>
      </c>
      <c r="R3380" t="inlineStr">
        <is>
          <t>InStock</t>
        </is>
      </c>
      <c r="S3380" t="inlineStr">
        <is>
          <t>39.95</t>
        </is>
      </c>
      <c r="T3380" t="inlineStr">
        <is>
          <t>704369-04</t>
        </is>
      </c>
    </row>
    <row r="3381" hidden="1" ht="15.75" customHeight="1">
      <c r="A3381" s="2">
        <f>HYPERLINK("https://www.soccerplususa.com/puma/puma-teamfinal-21-graphic-jersey-youth-40619", "https://www.soccerplususa.com/puma/puma-teamfinal-21-graphic-jersey-youth-40619")</f>
        <v/>
      </c>
      <c r="B3381" t="inlineStr">
        <is>
          <t>undefined</t>
        </is>
      </c>
      <c r="C3381" t="inlineStr">
        <is>
          <t>Puma Teamfinal 21 Graphic Jersey Youth</t>
        </is>
      </c>
      <c r="D3381" t="inlineStr">
        <is>
          <t>PUMA Unisex Youth Teamfinal 21 Graphic Jersey</t>
        </is>
      </c>
      <c r="E3381" s="2">
        <f>HYPERLINK("https://www.amazon.com/PUMA-TEAMFINAL-Graphic-Jersey-White/dp/B084ZXCDZZ/ref=sr_1_1?keywords=Puma+Teamfinal+21+Graphic+Jersey+Youth&amp;qid=1695171149&amp;sr=8-1", "https://www.amazon.com/PUMA-TEAMFINAL-Graphic-Jersey-White/dp/B084ZXCDZZ/ref=sr_1_1?keywords=Puma+Teamfinal+21+Graphic+Jersey+Youth&amp;qid=1695171149&amp;sr=8-1")</f>
        <v/>
      </c>
      <c r="F3381" t="inlineStr">
        <is>
          <t>B084ZXCDZZ</t>
        </is>
      </c>
      <c r="G3381">
        <f>_xludf.IMAGE("https://www.soccerplususa.com/prodimages//37415-Pepper_Green-M.jpg")</f>
        <v/>
      </c>
      <c r="H3381">
        <f>_xludf.IMAGE("https://m.media-amazon.com/images/I/71QNgNqxdUL._AC_UL320_.jpg")</f>
        <v/>
      </c>
      <c r="K3381" t="inlineStr">
        <is>
          <t>29.99</t>
        </is>
      </c>
      <c r="L3381" t="n">
        <v>33.62</v>
      </c>
      <c r="M3381" s="1" t="inlineStr">
        <is>
          <t>12.10%</t>
        </is>
      </c>
      <c r="N3381" s="3" t="n">
        <v>12.1</v>
      </c>
      <c r="O3381" t="n">
        <v>4.3</v>
      </c>
      <c r="P3381" t="n">
        <v>35</v>
      </c>
      <c r="R3381" t="inlineStr">
        <is>
          <t>InStock</t>
        </is>
      </c>
      <c r="S3381" t="inlineStr">
        <is>
          <t>39.95</t>
        </is>
      </c>
      <c r="T3381" t="inlineStr">
        <is>
          <t>704369-05</t>
        </is>
      </c>
    </row>
    <row r="3382" hidden="1" ht="15.75" customHeight="1">
      <c r="A3382" s="2">
        <f>HYPERLINK("https://www.soccerplususa.com/puma/puma-teamfinal-21-graphic-jersey-youth-42132", "https://www.soccerplususa.com/puma/puma-teamfinal-21-graphic-jersey-youth-42132")</f>
        <v/>
      </c>
      <c r="B3382" t="inlineStr">
        <is>
          <t>undefined</t>
        </is>
      </c>
      <c r="C3382" t="inlineStr">
        <is>
          <t>Puma Teamfinal 21 Graphic Jersey Youth</t>
        </is>
      </c>
      <c r="D3382" t="inlineStr">
        <is>
          <t>PUMA Unisex Youth Teamfinal 21 Graphic Jersey</t>
        </is>
      </c>
      <c r="E3382" s="2">
        <f>HYPERLINK("https://www.amazon.com/PUMA-TEAMFINAL-Graphic-Jersey-White/dp/B084ZXCDZZ/ref=sr_1_1?keywords=Puma+Teamfinal+21+Graphic+Jersey+Youth&amp;qid=1695171148&amp;sr=8-1", "https://www.amazon.com/PUMA-TEAMFINAL-Graphic-Jersey-White/dp/B084ZXCDZZ/ref=sr_1_1?keywords=Puma+Teamfinal+21+Graphic+Jersey+Youth&amp;qid=1695171148&amp;sr=8-1")</f>
        <v/>
      </c>
      <c r="F3382" t="inlineStr">
        <is>
          <t>B084ZXCDZZ</t>
        </is>
      </c>
      <c r="G3382">
        <f>_xludf.IMAGE("https://www.soccerplususa.com/prodimages//37417-GRAY-M.jpg")</f>
        <v/>
      </c>
      <c r="H3382">
        <f>_xludf.IMAGE("https://m.media-amazon.com/images/I/71QNgNqxdUL._AC_UL320_.jpg")</f>
        <v/>
      </c>
      <c r="K3382" t="inlineStr">
        <is>
          <t>29.99</t>
        </is>
      </c>
      <c r="L3382" t="n">
        <v>33.62</v>
      </c>
      <c r="M3382" s="1" t="inlineStr">
        <is>
          <t>12.10%</t>
        </is>
      </c>
      <c r="N3382" s="3" t="n">
        <v>12.1</v>
      </c>
      <c r="O3382" t="n">
        <v>4.3</v>
      </c>
      <c r="P3382" t="n">
        <v>35</v>
      </c>
      <c r="R3382" t="inlineStr">
        <is>
          <t>InStock</t>
        </is>
      </c>
      <c r="S3382" t="inlineStr">
        <is>
          <t>39.95</t>
        </is>
      </c>
      <c r="T3382" t="inlineStr">
        <is>
          <t>704369-13</t>
        </is>
      </c>
    </row>
    <row r="3383" hidden="1" ht="15.75" customHeight="1">
      <c r="A3383" s="2">
        <f>HYPERLINK("https://www.soccerplususa.com/puma/puma-teamfinal-21-graphic-jersey-youth-38697", "https://www.soccerplususa.com/puma/puma-teamfinal-21-graphic-jersey-youth-38697")</f>
        <v/>
      </c>
      <c r="B3383" t="inlineStr">
        <is>
          <t>undefined</t>
        </is>
      </c>
      <c r="C3383" t="inlineStr">
        <is>
          <t>Puma Teamfinal 21 Graphic Jersey Youth</t>
        </is>
      </c>
      <c r="D3383" t="inlineStr">
        <is>
          <t>PUMA Unisex Youth Teamfinal 21 Graphic Jersey</t>
        </is>
      </c>
      <c r="E3383" s="2">
        <f>HYPERLINK("https://www.amazon.com/PUMA-TEAMFINAL-Graphic-Jersey-White/dp/B084ZXCDZZ/ref=sr_1_1?keywords=Puma+Teamfinal+21+Graphic+Jersey+Youth&amp;qid=1695171156&amp;sr=8-1", "https://www.amazon.com/PUMA-TEAMFINAL-Graphic-Jersey-White/dp/B084ZXCDZZ/ref=sr_1_1?keywords=Puma+Teamfinal+21+Graphic+Jersey+Youth&amp;qid=1695171156&amp;sr=8-1")</f>
        <v/>
      </c>
      <c r="F3383" t="inlineStr">
        <is>
          <t>B084ZXCDZZ</t>
        </is>
      </c>
      <c r="G3383">
        <f>_xludf.IMAGE("https://www.soccerplususa.com/prodimages//36781-Electric_Blue-M.jpg")</f>
        <v/>
      </c>
      <c r="H3383">
        <f>_xludf.IMAGE("https://m.media-amazon.com/images/I/71QNgNqxdUL._AC_UL320_.jpg")</f>
        <v/>
      </c>
      <c r="K3383" t="inlineStr">
        <is>
          <t>29.99</t>
        </is>
      </c>
      <c r="L3383" t="n">
        <v>33.62</v>
      </c>
      <c r="M3383" s="1" t="inlineStr">
        <is>
          <t>12.10%</t>
        </is>
      </c>
      <c r="N3383" s="3" t="n">
        <v>12.1</v>
      </c>
      <c r="O3383" t="n">
        <v>4.3</v>
      </c>
      <c r="P3383" t="n">
        <v>35</v>
      </c>
      <c r="R3383" t="inlineStr">
        <is>
          <t>InStock</t>
        </is>
      </c>
      <c r="S3383" t="inlineStr">
        <is>
          <t>39.95</t>
        </is>
      </c>
      <c r="T3383" t="inlineStr">
        <is>
          <t>704369-02</t>
        </is>
      </c>
    </row>
    <row r="3384" hidden="1" ht="15.75" customHeight="1">
      <c r="A3384" s="2">
        <f>HYPERLINK("https://www.soccerplususa.com/adidas/adidas-tiro-19-all-weather-jacket-33860", "https://www.soccerplususa.com/adidas/adidas-tiro-19-all-weather-jacket-33860")</f>
        <v/>
      </c>
      <c r="B3384" t="inlineStr">
        <is>
          <t>undefined</t>
        </is>
      </c>
      <c r="C3384" t="inlineStr">
        <is>
          <t>adidas Tiro 19 All Weather Jacket</t>
        </is>
      </c>
      <c r="D3384" t="inlineStr">
        <is>
          <t>adidas Boys Tiro 19 All Weather Jacket</t>
        </is>
      </c>
      <c r="E3384" s="2">
        <f>HYPERLINK("https://www.amazon.com/adidas-Soccer-Weather-Jackets-Medium/dp/B07JYNMC8M/ref=sr_1_4?keywords=adidas+Tiro+19+All+Weather+Jacket&amp;qid=1695171164&amp;sr=8-4", "https://www.amazon.com/adidas-Soccer-Weather-Jackets-Medium/dp/B07JYNMC8M/ref=sr_1_4?keywords=adidas+Tiro+19+All+Weather+Jacket&amp;qid=1695171164&amp;sr=8-4")</f>
        <v/>
      </c>
      <c r="F3384" t="inlineStr">
        <is>
          <t>B07JYNMC8M</t>
        </is>
      </c>
      <c r="G3384">
        <f>_xludf.IMAGE("https://www.soccerplususa.com/prodimages/7914-DEFAULT-l.jpg")</f>
        <v/>
      </c>
      <c r="H3384">
        <f>_xludf.IMAGE("https://m.media-amazon.com/images/I/61RM8+TKm0L._AC_UL320_.jpg")</f>
        <v/>
      </c>
      <c r="K3384" t="inlineStr">
        <is>
          <t>66.99</t>
        </is>
      </c>
      <c r="L3384" t="n">
        <v>74.98999999999999</v>
      </c>
      <c r="M3384" s="1" t="inlineStr">
        <is>
          <t>11.94%</t>
        </is>
      </c>
      <c r="N3384" s="3" t="n">
        <v>11.94</v>
      </c>
      <c r="O3384" t="n">
        <v>1</v>
      </c>
      <c r="P3384" t="n">
        <v>3</v>
      </c>
      <c r="R3384" t="inlineStr">
        <is>
          <t>InStock</t>
        </is>
      </c>
      <c r="S3384" t="inlineStr">
        <is>
          <t>89.95</t>
        </is>
      </c>
      <c r="T3384" t="inlineStr">
        <is>
          <t>D95937</t>
        </is>
      </c>
    </row>
    <row r="3385" hidden="1" ht="15.75" customHeight="1">
      <c r="A3385" s="2">
        <f>HYPERLINK("https://www.soccerplususa.com/adidas/adidas-tiro-13-jersey-youth-8932", "https://www.soccerplususa.com/adidas/adidas-tiro-13-jersey-youth-8932")</f>
        <v/>
      </c>
      <c r="B3385" t="inlineStr">
        <is>
          <t>undefined</t>
        </is>
      </c>
      <c r="C3385" t="inlineStr">
        <is>
          <t>adidas Tiro 13 Jersey Youth</t>
        </is>
      </c>
      <c r="D3385" t="inlineStr">
        <is>
          <t>adidas Youth Climacool Tiro 13 Short X-Large Red/White</t>
        </is>
      </c>
      <c r="E3385" s="2">
        <f>HYPERLINK("https://www.amazon.com/Adidas-Youth-Climacool-Short-X-Large/dp/B008K9WJY8/ref=sr_1_2?keywords=adidas+Tiro+13+Jersey+Youth&amp;qid=1695171191&amp;sr=8-2", "https://www.amazon.com/Adidas-Youth-Climacool-Short-X-Large/dp/B008K9WJY8/ref=sr_1_2?keywords=adidas+Tiro+13+Jersey+Youth&amp;qid=1695171191&amp;sr=8-2")</f>
        <v/>
      </c>
      <c r="F3385" t="inlineStr">
        <is>
          <t>B008K9WJY8</t>
        </is>
      </c>
      <c r="G3385">
        <f>_xludf.IMAGE("https://www.soccerplususa.com/prodimages/3219-DEFAULT-l.jpg")</f>
        <v/>
      </c>
      <c r="H3385">
        <f>_xludf.IMAGE("https://m.media-amazon.com/images/I/81Efdr+CzrL._AC_UL320_.jpg")</f>
        <v/>
      </c>
      <c r="K3385" t="inlineStr">
        <is>
          <t>17.0</t>
        </is>
      </c>
      <c r="L3385" t="n">
        <v>18.99</v>
      </c>
      <c r="M3385" s="1" t="inlineStr">
        <is>
          <t>11.71%</t>
        </is>
      </c>
      <c r="N3385" s="3" t="n">
        <v>11.71</v>
      </c>
      <c r="O3385" t="n">
        <v>5</v>
      </c>
      <c r="P3385" t="n">
        <v>1</v>
      </c>
      <c r="R3385" t="inlineStr">
        <is>
          <t>InStock</t>
        </is>
      </c>
      <c r="S3385" t="inlineStr">
        <is>
          <t>34.95</t>
        </is>
      </c>
      <c r="T3385" t="inlineStr">
        <is>
          <t>X58022</t>
        </is>
      </c>
    </row>
    <row r="3386" hidden="1" ht="15.75" customHeight="1">
      <c r="A3386" s="2">
        <f>HYPERLINK("https://www.soccerplususa.com/adidas/adidas-tiro-13-jersey-youth-9168", "https://www.soccerplususa.com/adidas/adidas-tiro-13-jersey-youth-9168")</f>
        <v/>
      </c>
      <c r="B3386" t="inlineStr">
        <is>
          <t>undefined</t>
        </is>
      </c>
      <c r="C3386" t="inlineStr">
        <is>
          <t>adidas Tiro 13 Jersey Youth</t>
        </is>
      </c>
      <c r="D3386" t="inlineStr">
        <is>
          <t>adidas Youth Climacool Tiro 13 Short X-Large Red/White</t>
        </is>
      </c>
      <c r="E3386" s="2">
        <f>HYPERLINK("https://www.amazon.com/Adidas-Youth-Climacool-Short-X-Large/dp/B008K9WJY8/ref=sr_1_2?keywords=adidas+Tiro+13+Jersey+Youth&amp;qid=1695171197&amp;sr=8-2", "https://www.amazon.com/Adidas-Youth-Climacool-Short-X-Large/dp/B008K9WJY8/ref=sr_1_2?keywords=adidas+Tiro+13+Jersey+Youth&amp;qid=1695171197&amp;sr=8-2")</f>
        <v/>
      </c>
      <c r="F3386" t="inlineStr">
        <is>
          <t>B008K9WJY8</t>
        </is>
      </c>
      <c r="G3386">
        <f>_xludf.IMAGE("https://www.soccerplususa.com/prodimages/3221-DEFAULT-l.jpg")</f>
        <v/>
      </c>
      <c r="H3386">
        <f>_xludf.IMAGE("https://m.media-amazon.com/images/I/81Efdr+CzrL._AC_UL320_.jpg")</f>
        <v/>
      </c>
      <c r="K3386" t="inlineStr">
        <is>
          <t>17.0</t>
        </is>
      </c>
      <c r="L3386" t="n">
        <v>18.99</v>
      </c>
      <c r="M3386" s="1" t="inlineStr">
        <is>
          <t>11.71%</t>
        </is>
      </c>
      <c r="N3386" s="3" t="n">
        <v>11.71</v>
      </c>
      <c r="O3386" t="n">
        <v>5</v>
      </c>
      <c r="P3386" t="n">
        <v>1</v>
      </c>
      <c r="R3386" t="inlineStr">
        <is>
          <t>InStock</t>
        </is>
      </c>
      <c r="S3386" t="inlineStr">
        <is>
          <t>34.95</t>
        </is>
      </c>
      <c r="T3386" t="inlineStr">
        <is>
          <t>Z71497</t>
        </is>
      </c>
    </row>
    <row r="3387" hidden="1" ht="15.75" customHeight="1">
      <c r="A3387" s="2">
        <f>HYPERLINK("https://www.soccerplususa.com/adidas/adidas-tiro-13-jersey-youth-9166", "https://www.soccerplususa.com/adidas/adidas-tiro-13-jersey-youth-9166")</f>
        <v/>
      </c>
      <c r="B3387" t="inlineStr">
        <is>
          <t>undefined</t>
        </is>
      </c>
      <c r="C3387" t="inlineStr">
        <is>
          <t>adidas Tiro 13 Jersey Youth</t>
        </is>
      </c>
      <c r="D3387" t="inlineStr">
        <is>
          <t>adidas Youth Climacool Tiro 13 Short X-Large Red/White</t>
        </is>
      </c>
      <c r="E3387" s="2">
        <f>HYPERLINK("https://www.amazon.com/Adidas-Youth-Climacool-Short-X-Large/dp/B008K9WJY8/ref=sr_1_2?keywords=adidas+Tiro+13+Jersey+Youth&amp;qid=1695171198&amp;sr=8-2", "https://www.amazon.com/Adidas-Youth-Climacool-Short-X-Large/dp/B008K9WJY8/ref=sr_1_2?keywords=adidas+Tiro+13+Jersey+Youth&amp;qid=1695171198&amp;sr=8-2")</f>
        <v/>
      </c>
      <c r="F3387" t="inlineStr">
        <is>
          <t>B008K9WJY8</t>
        </is>
      </c>
      <c r="G3387">
        <f>_xludf.IMAGE("https://www.soccerplususa.com/prodimages/3220-DEFAULT-l.jpg")</f>
        <v/>
      </c>
      <c r="H3387">
        <f>_xludf.IMAGE("https://m.media-amazon.com/images/I/81Efdr+CzrL._AC_UL320_.jpg")</f>
        <v/>
      </c>
      <c r="K3387" t="inlineStr">
        <is>
          <t>17.0</t>
        </is>
      </c>
      <c r="L3387" t="n">
        <v>18.99</v>
      </c>
      <c r="M3387" s="1" t="inlineStr">
        <is>
          <t>11.71%</t>
        </is>
      </c>
      <c r="N3387" s="3" t="n">
        <v>11.71</v>
      </c>
      <c r="O3387" t="n">
        <v>5</v>
      </c>
      <c r="P3387" t="n">
        <v>1</v>
      </c>
      <c r="R3387" t="inlineStr">
        <is>
          <t>InStock</t>
        </is>
      </c>
      <c r="S3387" t="inlineStr">
        <is>
          <t>34.95</t>
        </is>
      </c>
      <c r="T3387" t="inlineStr">
        <is>
          <t>Z71495</t>
        </is>
      </c>
    </row>
    <row r="3388" hidden="1" ht="15.75" customHeight="1">
      <c r="A3388" s="2">
        <f>HYPERLINK("https://www.soccerplususa.com/adidas/adidas-tabela-18-jersey-5113", "https://www.soccerplususa.com/adidas/adidas-tabela-18-jersey-5113")</f>
        <v/>
      </c>
      <c r="B3388" t="inlineStr">
        <is>
          <t>undefined</t>
        </is>
      </c>
      <c r="C3388" t="inlineStr">
        <is>
          <t>adidas Tabela 18 Jersey</t>
        </is>
      </c>
      <c r="D3388" t="inlineStr">
        <is>
          <t>adidas Youth Tabela 18 Jersey</t>
        </is>
      </c>
      <c r="E3388" s="2">
        <f>HYPERLINK("https://www.amazon.com/adidas-TABELA-Jersey-Y%E2%9D%97%EF%B8%8FShips-Directly/dp/B078LCB4LK/ref=sr_1_8?keywords=adidas+Tabela+18+Jersey&amp;qid=1695171233&amp;sr=8-8", "https://www.amazon.com/adidas-TABELA-Jersey-Y%E2%9D%97%EF%B8%8FShips-Directly/dp/B078LCB4LK/ref=sr_1_8?keywords=adidas+Tabela+18+Jersey&amp;qid=1695171233&amp;sr=8-8")</f>
        <v/>
      </c>
      <c r="F3388" t="inlineStr">
        <is>
          <t>B078LCB4LK</t>
        </is>
      </c>
      <c r="G3388">
        <f>_xludf.IMAGE("https://www.soccerplususa.com/prodimages//31723-BLACK-M.jpg")</f>
        <v/>
      </c>
      <c r="H3388">
        <f>_xludf.IMAGE("https://m.media-amazon.com/images/I/61G-4wd3sCL._AC_UL320_.jpg")</f>
        <v/>
      </c>
      <c r="K3388" t="inlineStr">
        <is>
          <t>21.99</t>
        </is>
      </c>
      <c r="L3388" t="n">
        <v>24.47</v>
      </c>
      <c r="M3388" s="1" t="inlineStr">
        <is>
          <t>11.28%</t>
        </is>
      </c>
      <c r="N3388" s="3" t="n">
        <v>11.28</v>
      </c>
      <c r="O3388" t="n">
        <v>1.8</v>
      </c>
      <c r="P3388" t="n">
        <v>2</v>
      </c>
      <c r="R3388" t="inlineStr">
        <is>
          <t>InStock</t>
        </is>
      </c>
      <c r="S3388" t="inlineStr">
        <is>
          <t>29.95</t>
        </is>
      </c>
      <c r="T3388" t="inlineStr">
        <is>
          <t>CE8934</t>
        </is>
      </c>
    </row>
    <row r="3389" hidden="1" ht="15.75" customHeight="1">
      <c r="A3389" s="2">
        <f>HYPERLINK("https://www.soccerplususa.com/adidas/adidas-condivo-18-storm-jacket-4941", "https://www.soccerplususa.com/adidas/adidas-condivo-18-storm-jacket-4941")</f>
        <v/>
      </c>
      <c r="B3389" t="inlineStr">
        <is>
          <t>undefined</t>
        </is>
      </c>
      <c r="C3389" t="inlineStr">
        <is>
          <t>adidas Condivo 18 Storm Jacket</t>
        </is>
      </c>
      <c r="D3389" t="inlineStr">
        <is>
          <t>adidas Condivo 18 Storm Jacket</t>
        </is>
      </c>
      <c r="E3389" s="2">
        <f>HYPERLINK("https://www.amazon.com/adidas-CON18-STRM-Jacket%E2%9D%97%EF%B8%8FShips-Directly/dp/B078LYY948/ref=sr_1_1?keywords=adidas+Condivo+18+Storm+Jacket&amp;qid=1695171222&amp;sr=8-1", "https://www.amazon.com/adidas-CON18-STRM-Jacket%E2%9D%97%EF%B8%8FShips-Directly/dp/B078LYY948/ref=sr_1_1?keywords=adidas+Condivo+18+Storm+Jacket&amp;qid=1695171222&amp;sr=8-1")</f>
        <v/>
      </c>
      <c r="F3389" t="inlineStr">
        <is>
          <t>B078LYY948</t>
        </is>
      </c>
      <c r="G3389">
        <f>_xludf.IMAGE("https://www.soccerplususa.com/prodimages/5712-DEFAULT-l.jpg")</f>
        <v/>
      </c>
      <c r="H3389">
        <f>_xludf.IMAGE("https://m.media-amazon.com/images/I/41600zWbPHL._MCnd_AC_UL320_.jpg")</f>
        <v/>
      </c>
      <c r="K3389" t="inlineStr">
        <is>
          <t>89.99</t>
        </is>
      </c>
      <c r="L3389" t="n">
        <v>99.98999999999999</v>
      </c>
      <c r="M3389" s="1" t="inlineStr">
        <is>
          <t>11.11%</t>
        </is>
      </c>
      <c r="N3389" s="3" t="n">
        <v>11.11</v>
      </c>
      <c r="O3389" t="n">
        <v>4.2</v>
      </c>
      <c r="P3389" t="n">
        <v>41</v>
      </c>
      <c r="R3389" t="inlineStr">
        <is>
          <t>InStock</t>
        </is>
      </c>
      <c r="S3389" t="inlineStr">
        <is>
          <t>119.95</t>
        </is>
      </c>
      <c r="T3389" t="inlineStr">
        <is>
          <t>BQ6548</t>
        </is>
      </c>
    </row>
    <row r="3390" hidden="1" ht="15.75" customHeight="1">
      <c r="A3390" s="2">
        <f>HYPERLINK("https://www.soccerplususa.com/adidas/adidas-condivo-21-training-top-youth-41951", "https://www.soccerplususa.com/adidas/adidas-condivo-21-training-top-youth-41951")</f>
        <v/>
      </c>
      <c r="B3390" t="inlineStr">
        <is>
          <t>undefined</t>
        </is>
      </c>
      <c r="C3390" t="inlineStr">
        <is>
          <t>adidas Condivo 21 Training Top Youth</t>
        </is>
      </c>
      <c r="D3390" t="inlineStr">
        <is>
          <t>adidas Condivo 21 Training Top</t>
        </is>
      </c>
      <c r="E3390" s="2">
        <f>HYPERLINK("https://www.amazon.com/adidas-Condivo-Training-Top-Black-White/dp/B08XFZP9PJ/ref=sr_1_2?keywords=adidas+Condivo+21+Training+Top+Youth&amp;qid=1695171160&amp;sr=8-2", "https://www.amazon.com/adidas-Condivo-Training-Top-Black-White/dp/B08XFZP9PJ/ref=sr_1_2?keywords=adidas+Condivo+21+Training+Top+Youth&amp;qid=1695171160&amp;sr=8-2")</f>
        <v/>
      </c>
      <c r="F3390" t="inlineStr">
        <is>
          <t>B08XFZP9PJ</t>
        </is>
      </c>
      <c r="G3390">
        <f>_xludf.IMAGE("https://www.soccerplususa.com/prodimages//36793-GREYWHITE-M.jpg")</f>
        <v/>
      </c>
      <c r="H3390">
        <f>_xludf.IMAGE("https://m.media-amazon.com/images/I/51aT9dU2t5L._AC_UL320_.jpg")</f>
        <v/>
      </c>
      <c r="K3390" t="inlineStr">
        <is>
          <t>44.99</t>
        </is>
      </c>
      <c r="L3390" t="n">
        <v>49.98</v>
      </c>
      <c r="M3390" s="1" t="inlineStr">
        <is>
          <t>11.09%</t>
        </is>
      </c>
      <c r="N3390" s="3" t="n">
        <v>11.09</v>
      </c>
      <c r="O3390" t="n">
        <v>4.7</v>
      </c>
      <c r="P3390" t="n">
        <v>10</v>
      </c>
      <c r="R3390" t="inlineStr">
        <is>
          <t>InStock</t>
        </is>
      </c>
      <c r="S3390" t="inlineStr">
        <is>
          <t>59.95</t>
        </is>
      </c>
      <c r="T3390" t="inlineStr">
        <is>
          <t>GP1901</t>
        </is>
      </c>
    </row>
    <row r="3391" hidden="1" ht="15.75" customHeight="1">
      <c r="A3391" s="2">
        <f>HYPERLINK("https://www.soccerplususa.com/adidas/adidas-tiro-19-training-jacket-youth-33858", "https://www.soccerplususa.com/adidas/adidas-tiro-19-training-jacket-youth-33858")</f>
        <v/>
      </c>
      <c r="B3391" t="inlineStr">
        <is>
          <t>undefined</t>
        </is>
      </c>
      <c r="C3391" t="inlineStr">
        <is>
          <t>adidas Tiro 19 Training Jacket Youth</t>
        </is>
      </c>
      <c r="D3391" t="inlineStr">
        <is>
          <t>adidas Tiro19 Youth Training Jacket</t>
        </is>
      </c>
      <c r="E3391" s="2">
        <f>HYPERLINK("https://www.amazon.com/adidas-DT5276-TIRO19-TR-JKTY/dp/B07H3VS4M6/ref=sr_1_8?keywords=adidas+Tiro+19+Training+Jacket+Youth&amp;qid=1695171168&amp;sr=8-8", "https://www.amazon.com/adidas-DT5276-TIRO19-TR-JKTY/dp/B07H3VS4M6/ref=sr_1_8?keywords=adidas+Tiro+19+Training+Jacket+Youth&amp;qid=1695171168&amp;sr=8-8")</f>
        <v/>
      </c>
      <c r="F3391" t="inlineStr">
        <is>
          <t>B07H3VS4M6</t>
        </is>
      </c>
      <c r="G3391">
        <f>_xludf.IMAGE("https://www.soccerplususa.com/prodimages/8020-DEFAULT-l.jpg")</f>
        <v/>
      </c>
      <c r="H3391">
        <f>_xludf.IMAGE("https://m.media-amazon.com/images/I/41j90cyk9hL._AC_UL320_.jpg")</f>
        <v/>
      </c>
      <c r="K3391" t="inlineStr">
        <is>
          <t>45.0</t>
        </is>
      </c>
      <c r="L3391" t="n">
        <v>49.99</v>
      </c>
      <c r="M3391" s="1" t="inlineStr">
        <is>
          <t>11.09%</t>
        </is>
      </c>
      <c r="N3391" s="3" t="n">
        <v>11.09</v>
      </c>
      <c r="O3391" t="n">
        <v>5</v>
      </c>
      <c r="P3391" t="n">
        <v>5</v>
      </c>
      <c r="R3391" t="inlineStr">
        <is>
          <t>InStock</t>
        </is>
      </c>
      <c r="S3391" t="inlineStr">
        <is>
          <t>59.95</t>
        </is>
      </c>
      <c r="T3391" t="inlineStr">
        <is>
          <t>D95922</t>
        </is>
      </c>
    </row>
    <row r="3392" hidden="1" ht="15.75" customHeight="1">
      <c r="A3392" s="2">
        <f>HYPERLINK("https://www.soccerplususa.com/adidas/adidas-tiro-19-training-jacket-youth-33998", "https://www.soccerplususa.com/adidas/adidas-tiro-19-training-jacket-youth-33998")</f>
        <v/>
      </c>
      <c r="B3392" t="inlineStr">
        <is>
          <t>undefined</t>
        </is>
      </c>
      <c r="C3392" t="inlineStr">
        <is>
          <t>adidas Tiro 19 Training Jacket Youth</t>
        </is>
      </c>
      <c r="D3392" t="inlineStr">
        <is>
          <t>adidas Tiro19 Youth Training Jacket</t>
        </is>
      </c>
      <c r="E3392" s="2">
        <f>HYPERLINK("https://www.amazon.com/adidas-DT5276-TIRO19-TR-JKTY/dp/B07H3VS4M6/ref=sr_1_4?keywords=adidas+Tiro+19+Training+Jacket+Youth&amp;qid=1695171164&amp;sr=8-4", "https://www.amazon.com/adidas-DT5276-TIRO19-TR-JKTY/dp/B07H3VS4M6/ref=sr_1_4?keywords=adidas+Tiro+19+Training+Jacket+Youth&amp;qid=1695171164&amp;sr=8-4")</f>
        <v/>
      </c>
      <c r="F3392" t="inlineStr">
        <is>
          <t>B07H3VS4M6</t>
        </is>
      </c>
      <c r="G3392">
        <f>_xludf.IMAGE("https://www.soccerplususa.com/prodimages/7897-DEFAULT-l.jpg")</f>
        <v/>
      </c>
      <c r="H3392">
        <f>_xludf.IMAGE("https://m.media-amazon.com/images/I/41j90cyk9hL._AC_UL320_.jpg")</f>
        <v/>
      </c>
      <c r="K3392" t="inlineStr">
        <is>
          <t>45.0</t>
        </is>
      </c>
      <c r="L3392" t="n">
        <v>49.99</v>
      </c>
      <c r="M3392" s="1" t="inlineStr">
        <is>
          <t>11.09%</t>
        </is>
      </c>
      <c r="N3392" s="3" t="n">
        <v>11.09</v>
      </c>
      <c r="O3392" t="n">
        <v>5</v>
      </c>
      <c r="P3392" t="n">
        <v>5</v>
      </c>
      <c r="R3392" t="inlineStr">
        <is>
          <t>InStock</t>
        </is>
      </c>
      <c r="S3392" t="inlineStr">
        <is>
          <t>59.95</t>
        </is>
      </c>
      <c r="T3392" t="inlineStr">
        <is>
          <t>DT5276</t>
        </is>
      </c>
    </row>
    <row r="3393" hidden="1" ht="15.75" customHeight="1">
      <c r="A3393" s="2">
        <f>HYPERLINK("https://www.soccerplususa.com/adidas/adidas-regista-14-jersey-6672", "https://www.soccerplususa.com/adidas/adidas-regista-14-jersey-6672")</f>
        <v/>
      </c>
      <c r="B3393" t="inlineStr">
        <is>
          <t>undefined</t>
        </is>
      </c>
      <c r="C3393" t="inlineStr">
        <is>
          <t>adidas Regista 14 Jersey</t>
        </is>
      </c>
      <c r="D3393" t="inlineStr">
        <is>
          <t>adidas Regista 18 Jersey</t>
        </is>
      </c>
      <c r="E3393" s="2">
        <f>HYPERLINK("https://www.amazon.com/adidas-Regista-Jersey-Juniors-White-Bold/dp/B078LC816M/ref=sr_1_10?keywords=adidas+Regista+14+Jersey&amp;qid=1695171217&amp;sr=8-10", "https://www.amazon.com/adidas-Regista-Jersey-Juniors-White-Bold/dp/B078LC816M/ref=sr_1_10?keywords=adidas+Regista+14+Jersey&amp;qid=1695171217&amp;sr=8-10")</f>
        <v/>
      </c>
      <c r="F3393" t="inlineStr">
        <is>
          <t>B078LC816M</t>
        </is>
      </c>
      <c r="G3393">
        <f>_xludf.IMAGE("https://www.soccerplususa.com/prodimages/10435-DEFAULT-l.jpg")</f>
        <v/>
      </c>
      <c r="H3393">
        <f>_xludf.IMAGE("https://m.media-amazon.com/images/I/51yG-+TbhAL._AC_UL320_.jpg")</f>
        <v/>
      </c>
      <c r="K3393" t="inlineStr">
        <is>
          <t>22.5</t>
        </is>
      </c>
      <c r="L3393" t="n">
        <v>24.99</v>
      </c>
      <c r="M3393" s="1" t="inlineStr">
        <is>
          <t>11.07%</t>
        </is>
      </c>
      <c r="N3393" s="3" t="n">
        <v>11.07</v>
      </c>
      <c r="O3393" t="n">
        <v>4.4</v>
      </c>
      <c r="P3393" t="n">
        <v>107</v>
      </c>
      <c r="R3393" t="inlineStr">
        <is>
          <t>InStock</t>
        </is>
      </c>
      <c r="S3393" t="inlineStr">
        <is>
          <t>44.95</t>
        </is>
      </c>
      <c r="T3393" t="inlineStr">
        <is>
          <t>G70830</t>
        </is>
      </c>
    </row>
    <row r="3394" hidden="1" ht="15.75" customHeight="1">
      <c r="A3394" s="2">
        <f>HYPERLINK("https://www.soccerplususa.com/adidas/adidas-regista-14-jersey-6067", "https://www.soccerplususa.com/adidas/adidas-regista-14-jersey-6067")</f>
        <v/>
      </c>
      <c r="B3394" t="inlineStr">
        <is>
          <t>undefined</t>
        </is>
      </c>
      <c r="C3394" t="inlineStr">
        <is>
          <t>adidas Regista 14 Jersey</t>
        </is>
      </c>
      <c r="D3394" t="inlineStr">
        <is>
          <t>adidas Regista 18 Jersey</t>
        </is>
      </c>
      <c r="E3394" s="2">
        <f>HYPERLINK("https://www.amazon.com/adidas-Regista-Jersey-Juniors-White-Bold/dp/B078LC816M/ref=sr_1_10?keywords=adidas+Regista+14+Jersey&amp;qid=1695171231&amp;sr=8-10", "https://www.amazon.com/adidas-Regista-Jersey-Juniors-White-Bold/dp/B078LC816M/ref=sr_1_10?keywords=adidas+Regista+14+Jersey&amp;qid=1695171231&amp;sr=8-10")</f>
        <v/>
      </c>
      <c r="F3394" t="inlineStr">
        <is>
          <t>B078LC816M</t>
        </is>
      </c>
      <c r="G3394">
        <f>_xludf.IMAGE("https://www.soccerplususa.com/prodimages/10329-DEFAULT-l.jpg")</f>
        <v/>
      </c>
      <c r="H3394">
        <f>_xludf.IMAGE("https://m.media-amazon.com/images/I/51yG-+TbhAL._AC_UL320_.jpg")</f>
        <v/>
      </c>
      <c r="K3394" t="inlineStr">
        <is>
          <t>22.5</t>
        </is>
      </c>
      <c r="L3394" t="n">
        <v>24.99</v>
      </c>
      <c r="M3394" s="1" t="inlineStr">
        <is>
          <t>11.07%</t>
        </is>
      </c>
      <c r="N3394" s="3" t="n">
        <v>11.07</v>
      </c>
      <c r="O3394" t="n">
        <v>4.4</v>
      </c>
      <c r="P3394" t="n">
        <v>107</v>
      </c>
      <c r="R3394" t="inlineStr">
        <is>
          <t>InStock</t>
        </is>
      </c>
      <c r="S3394" t="inlineStr">
        <is>
          <t>44.95</t>
        </is>
      </c>
      <c r="T3394" t="inlineStr">
        <is>
          <t>F50011</t>
        </is>
      </c>
    </row>
    <row r="3395" hidden="1" ht="15.75" customHeight="1">
      <c r="A3395" s="2">
        <f>HYPERLINK("https://www.soccerplususa.com/adidas/adidas-regista-14-jersey-6672", "https://www.soccerplususa.com/adidas/adidas-regista-14-jersey-6672")</f>
        <v/>
      </c>
      <c r="B3395" t="inlineStr">
        <is>
          <t>undefined</t>
        </is>
      </c>
      <c r="C3395" t="inlineStr">
        <is>
          <t>adidas Regista 14 Jersey</t>
        </is>
      </c>
      <c r="D3395" t="inlineStr">
        <is>
          <t>adidas Mens Climacool Regista 14 Short</t>
        </is>
      </c>
      <c r="E3395" s="2">
        <f>HYPERLINK("https://www.amazon.com/Adidas-Climacool-Regista-Short-Small/dp/B00GVA0RTM/ref=sr_1_5?keywords=adidas+Regista+14+Jersey&amp;qid=1695171217&amp;sr=8-5", "https://www.amazon.com/Adidas-Climacool-Regista-Short-Small/dp/B00GVA0RTM/ref=sr_1_5?keywords=adidas+Regista+14+Jersey&amp;qid=1695171217&amp;sr=8-5")</f>
        <v/>
      </c>
      <c r="F3395" t="inlineStr">
        <is>
          <t>B00GVA0RTM</t>
        </is>
      </c>
      <c r="G3395">
        <f>_xludf.IMAGE("https://www.soccerplususa.com/prodimages/10435-DEFAULT-l.jpg")</f>
        <v/>
      </c>
      <c r="H3395">
        <f>_xludf.IMAGE("https://m.media-amazon.com/images/I/51wfQQhR5RL._AC_UL320_.jpg")</f>
        <v/>
      </c>
      <c r="K3395" t="inlineStr">
        <is>
          <t>22.5</t>
        </is>
      </c>
      <c r="L3395" t="n">
        <v>24.99</v>
      </c>
      <c r="M3395" s="1" t="inlineStr">
        <is>
          <t>11.07%</t>
        </is>
      </c>
      <c r="N3395" s="3" t="n">
        <v>11.07</v>
      </c>
      <c r="O3395" t="n">
        <v>3.5</v>
      </c>
      <c r="P3395" t="n">
        <v>6</v>
      </c>
      <c r="R3395" t="inlineStr">
        <is>
          <t>InStock</t>
        </is>
      </c>
      <c r="S3395" t="inlineStr">
        <is>
          <t>44.95</t>
        </is>
      </c>
      <c r="T3395" t="inlineStr">
        <is>
          <t>G70830</t>
        </is>
      </c>
    </row>
    <row r="3396" hidden="1" ht="15.75" customHeight="1">
      <c r="A3396" s="2">
        <f>HYPERLINK("https://www.soccerplususa.com/adidas/adidas-regista-14-jersey-6067", "https://www.soccerplususa.com/adidas/adidas-regista-14-jersey-6067")</f>
        <v/>
      </c>
      <c r="B3396" t="inlineStr">
        <is>
          <t>undefined</t>
        </is>
      </c>
      <c r="C3396" t="inlineStr">
        <is>
          <t>adidas Regista 14 Jersey</t>
        </is>
      </c>
      <c r="D3396" t="inlineStr">
        <is>
          <t>adidas Mens Climacool Regista 14 Short</t>
        </is>
      </c>
      <c r="E3396" s="2">
        <f>HYPERLINK("https://www.amazon.com/Adidas-Climacool-Regista-Short-Small/dp/B00GVA0RTM/ref=sr_1_5?keywords=adidas+Regista+14+Jersey&amp;qid=1695171231&amp;sr=8-5", "https://www.amazon.com/Adidas-Climacool-Regista-Short-Small/dp/B00GVA0RTM/ref=sr_1_5?keywords=adidas+Regista+14+Jersey&amp;qid=1695171231&amp;sr=8-5")</f>
        <v/>
      </c>
      <c r="F3396" t="inlineStr">
        <is>
          <t>B00GVA0RTM</t>
        </is>
      </c>
      <c r="G3396">
        <f>_xludf.IMAGE("https://www.soccerplususa.com/prodimages/10329-DEFAULT-l.jpg")</f>
        <v/>
      </c>
      <c r="H3396">
        <f>_xludf.IMAGE("https://m.media-amazon.com/images/I/51wfQQhR5RL._AC_UL320_.jpg")</f>
        <v/>
      </c>
      <c r="K3396" t="inlineStr">
        <is>
          <t>22.5</t>
        </is>
      </c>
      <c r="L3396" t="n">
        <v>24.99</v>
      </c>
      <c r="M3396" s="1" t="inlineStr">
        <is>
          <t>11.07%</t>
        </is>
      </c>
      <c r="N3396" s="3" t="n">
        <v>11.07</v>
      </c>
      <c r="O3396" t="n">
        <v>3.5</v>
      </c>
      <c r="P3396" t="n">
        <v>6</v>
      </c>
      <c r="R3396" t="inlineStr">
        <is>
          <t>InStock</t>
        </is>
      </c>
      <c r="S3396" t="inlineStr">
        <is>
          <t>44.95</t>
        </is>
      </c>
      <c r="T3396" t="inlineStr">
        <is>
          <t>F50011</t>
        </is>
      </c>
    </row>
    <row r="3397" hidden="1" ht="15.75" customHeight="1">
      <c r="A3397" s="2">
        <f>HYPERLINK("https://www.soccerplususa.com/puma/puma-liga-training-jacket-youth-35521", "https://www.soccerplususa.com/puma/puma-liga-training-jacket-youth-35521")</f>
        <v/>
      </c>
      <c r="B3397" t="inlineStr">
        <is>
          <t>undefined</t>
        </is>
      </c>
      <c r="C3397" t="inlineStr">
        <is>
          <t>Puma Liga Training Jacket Youth</t>
        </is>
      </c>
      <c r="D3397" t="inlineStr">
        <is>
          <t>PUMA Unisex Youth Liga Casuals Padded Jacket</t>
        </is>
      </c>
      <c r="E3397" s="2">
        <f>HYPERLINK("https://www.amazon.com/PUMA-Casuals-Padded-Jacket-Peacoat/dp/B07B869FVX/ref=sr_1_8?keywords=Puma+Liga+Training+Jacket+Youth&amp;qid=1695171158&amp;sr=8-8", "https://www.amazon.com/PUMA-Casuals-Padded-Jacket-Peacoat/dp/B07B869FVX/ref=sr_1_8?keywords=Puma+Liga+Training+Jacket+Youth&amp;qid=1695171158&amp;sr=8-8")</f>
        <v/>
      </c>
      <c r="F3397" t="inlineStr">
        <is>
          <t>B07B869FVX</t>
        </is>
      </c>
      <c r="G3397">
        <f>_xludf.IMAGE("https://www.soccerplususa.com/prodimages/32219-DEFAULT-l.jpg")</f>
        <v/>
      </c>
      <c r="H3397">
        <f>_xludf.IMAGE("https://m.media-amazon.com/images/I/814gO7Ro+EL._AC_UL320_.jpg")</f>
        <v/>
      </c>
      <c r="K3397" t="inlineStr">
        <is>
          <t>45.0</t>
        </is>
      </c>
      <c r="L3397" t="n">
        <v>49.95</v>
      </c>
      <c r="M3397" s="1" t="inlineStr">
        <is>
          <t>11.00%</t>
        </is>
      </c>
      <c r="N3397" s="3" t="n">
        <v>11</v>
      </c>
      <c r="O3397" t="n">
        <v>3.9</v>
      </c>
      <c r="P3397" t="n">
        <v>31</v>
      </c>
      <c r="R3397" t="inlineStr">
        <is>
          <t>InStock</t>
        </is>
      </c>
      <c r="S3397" t="inlineStr">
        <is>
          <t>59.95</t>
        </is>
      </c>
      <c r="T3397" t="inlineStr">
        <is>
          <t>655688-02</t>
        </is>
      </c>
    </row>
    <row r="3398" hidden="1" ht="15.75" customHeight="1">
      <c r="A3398" s="2">
        <f>HYPERLINK("https://www.soccerplususa.com/adidas/adidas-tiro-19-training-top-youth-33999", "https://www.soccerplususa.com/adidas/adidas-tiro-19-training-top-youth-33999")</f>
        <v/>
      </c>
      <c r="B3398" t="inlineStr">
        <is>
          <t>undefined</t>
        </is>
      </c>
      <c r="C3398" t="inlineStr">
        <is>
          <t>adidas Tiro 19 Training Top Youth</t>
        </is>
      </c>
      <c r="D3398" t="inlineStr">
        <is>
          <t>adidas Tiro 19 Youth Warm Top Soccer Jacket</t>
        </is>
      </c>
      <c r="E3398" s="2">
        <f>HYPERLINK("https://www.amazon.com/adidas-Youth-Soccer-Jacket-Medium/dp/B07JBBM66J/ref=sr_1_1?keywords=adidas+Tiro+19+Training+Top+Youth&amp;qid=1695171166&amp;sr=8-1", "https://www.amazon.com/adidas-Youth-Soccer-Jacket-Medium/dp/B07JBBM66J/ref=sr_1_1?keywords=adidas+Tiro+19+Training+Top+Youth&amp;qid=1695171166&amp;sr=8-1")</f>
        <v/>
      </c>
      <c r="F3398" t="inlineStr">
        <is>
          <t>B07JBBM66J</t>
        </is>
      </c>
      <c r="G3398">
        <f>_xludf.IMAGE("https://www.soccerplususa.com/prodimages/31273-DEFAULT-l.jpg")</f>
        <v/>
      </c>
      <c r="H3398">
        <f>_xludf.IMAGE("https://m.media-amazon.com/images/I/5115MWy0jsL._AC_UL320_.jpg")</f>
        <v/>
      </c>
      <c r="K3398" t="inlineStr">
        <is>
          <t>41.0</t>
        </is>
      </c>
      <c r="L3398" t="n">
        <v>45.5</v>
      </c>
      <c r="M3398" s="1" t="inlineStr">
        <is>
          <t>10.98%</t>
        </is>
      </c>
      <c r="N3398" s="3" t="n">
        <v>10.98</v>
      </c>
      <c r="O3398" t="n">
        <v>4.4</v>
      </c>
      <c r="P3398" t="n">
        <v>17</v>
      </c>
      <c r="R3398" t="inlineStr">
        <is>
          <t>InStock</t>
        </is>
      </c>
      <c r="S3398" t="inlineStr">
        <is>
          <t>54.95</t>
        </is>
      </c>
      <c r="T3398" t="inlineStr">
        <is>
          <t>DT5281</t>
        </is>
      </c>
    </row>
    <row r="3399" hidden="1" ht="15.75" customHeight="1">
      <c r="A3399" s="2">
        <f>HYPERLINK("https://www.soccerplususa.com/adidas/adidas-tiro-19-training-top-youth-34015", "https://www.soccerplususa.com/adidas/adidas-tiro-19-training-top-youth-34015")</f>
        <v/>
      </c>
      <c r="B3399" t="inlineStr">
        <is>
          <t>undefined</t>
        </is>
      </c>
      <c r="C3399" t="inlineStr">
        <is>
          <t>adidas Tiro 19 Training Top Youth</t>
        </is>
      </c>
      <c r="D3399" t="inlineStr">
        <is>
          <t>adidas Tiro 19 Youth Warm Top Soccer Jacket</t>
        </is>
      </c>
      <c r="E3399" s="2">
        <f>HYPERLINK("https://www.amazon.com/adidas-Youth-Soccer-Jacket-Medium/dp/B07JBBM66J/ref=sr_1_1?keywords=adidas+Tiro+19+Training+Top+Youth&amp;qid=1695171196&amp;sr=8-1", "https://www.amazon.com/adidas-Youth-Soccer-Jacket-Medium/dp/B07JBBM66J/ref=sr_1_1?keywords=adidas+Tiro+19+Training+Top+Youth&amp;qid=1695171196&amp;sr=8-1")</f>
        <v/>
      </c>
      <c r="F3399" t="inlineStr">
        <is>
          <t>B07JBBM66J</t>
        </is>
      </c>
      <c r="G3399">
        <f>_xludf.IMAGE("https://www.soccerplususa.com/prodimages/7901-DEFAULT-l.jpg")</f>
        <v/>
      </c>
      <c r="H3399">
        <f>_xludf.IMAGE("https://m.media-amazon.com/images/I/5115MWy0jsL._AC_UL320_.jpg")</f>
        <v/>
      </c>
      <c r="K3399" t="inlineStr">
        <is>
          <t>41.0</t>
        </is>
      </c>
      <c r="L3399" t="n">
        <v>45.5</v>
      </c>
      <c r="M3399" s="1" t="inlineStr">
        <is>
          <t>10.98%</t>
        </is>
      </c>
      <c r="N3399" s="3" t="n">
        <v>10.98</v>
      </c>
      <c r="O3399" t="n">
        <v>4.4</v>
      </c>
      <c r="P3399" t="n">
        <v>17</v>
      </c>
      <c r="R3399" t="inlineStr">
        <is>
          <t>InStock</t>
        </is>
      </c>
      <c r="S3399" t="inlineStr">
        <is>
          <t>54.95</t>
        </is>
      </c>
      <c r="T3399" t="inlineStr">
        <is>
          <t>DW4798</t>
        </is>
      </c>
    </row>
    <row r="3400" hidden="1" ht="15.75" customHeight="1">
      <c r="A3400" s="2">
        <f>HYPERLINK("https://www.soccerplususa.com/under-armour/under-armour-coldgear-mock-womens-33129", "https://www.soccerplususa.com/under-armour/under-armour-coldgear-mock-womens-33129")</f>
        <v/>
      </c>
      <c r="B3400" t="inlineStr">
        <is>
          <t>undefined</t>
        </is>
      </c>
      <c r="C3400" t="inlineStr">
        <is>
          <t>Under Armour Coldgear Mock Women's</t>
        </is>
      </c>
      <c r="D3400" t="inlineStr">
        <is>
          <t>Under Armour Women's ColdGear Compression Leggings</t>
        </is>
      </c>
      <c r="E3400" s="2">
        <f>HYPERLINK("https://www.amazon.com/Under-Armour-ColdGear-Authentic-Compression/dp/B00GPG6NU4/ref=sr_1_5?keywords=Under+Armour+Coldgear+Mock+Women%27s&amp;qid=1695171175&amp;sr=8-5", "https://www.amazon.com/Under-Armour-ColdGear-Authentic-Compression/dp/B00GPG6NU4/ref=sr_1_5?keywords=Under+Armour+Coldgear+Mock+Women%27s&amp;qid=1695171175&amp;sr=8-5")</f>
        <v/>
      </c>
      <c r="F3400" t="inlineStr">
        <is>
          <t>B00GPG6NU4</t>
        </is>
      </c>
      <c r="G3400">
        <f>_xludf.IMAGE("https://www.soccerplususa.com/prodimages/2365-DEFAULT-l.jpg")</f>
        <v/>
      </c>
      <c r="H3400">
        <f>_xludf.IMAGE("https://m.media-amazon.com/images/I/41qbEH1SatL._AC_UL320_.jpg")</f>
        <v/>
      </c>
      <c r="K3400" t="inlineStr">
        <is>
          <t>49.95</t>
        </is>
      </c>
      <c r="L3400" t="n">
        <v>54.95</v>
      </c>
      <c r="M3400" s="1" t="inlineStr">
        <is>
          <t>10.01%</t>
        </is>
      </c>
      <c r="N3400" s="3" t="n">
        <v>10.01</v>
      </c>
      <c r="O3400" t="n">
        <v>4.6</v>
      </c>
      <c r="P3400" t="n">
        <v>6070</v>
      </c>
      <c r="R3400" t="inlineStr">
        <is>
          <t>InStock</t>
        </is>
      </c>
      <c r="S3400" t="inlineStr">
        <is>
          <t>undefined</t>
        </is>
      </c>
      <c r="T3400" t="inlineStr">
        <is>
          <t>1215968-100</t>
        </is>
      </c>
    </row>
    <row r="3401" hidden="1" ht="15.75" customHeight="1">
      <c r="A3401" s="2">
        <f>HYPERLINK("https://www.soccerplususa.com/under-armour/under-armour-coldgear-authentics-mock-womens-44305", "https://www.soccerplususa.com/under-armour/under-armour-coldgear-authentics-mock-womens-44305")</f>
        <v/>
      </c>
      <c r="B3401" t="inlineStr">
        <is>
          <t>undefined</t>
        </is>
      </c>
      <c r="C3401" t="inlineStr">
        <is>
          <t>Under Armour ColdGear Authentics Mock Women's</t>
        </is>
      </c>
      <c r="D3401" t="inlineStr">
        <is>
          <t>Under Armour Women's Authentics ColdGear ¼ Zip T-Shirt</t>
        </is>
      </c>
      <c r="E3401" s="2">
        <f>HYPERLINK("https://www.amazon.com/Under-Armour-Authentics-ColdGear-T-Shirt/dp/B08LMTDNBF/ref=sr_1_3?keywords=Under+Armour+ColdGear+Authentics+Mock+Womens&amp;qid=1695171151&amp;sr=8-3", "https://www.amazon.com/Under-Armour-Authentics-ColdGear-T-Shirt/dp/B08LMTDNBF/ref=sr_1_3?keywords=Under+Armour+ColdGear+Authentics+Mock+Womens&amp;qid=1695171151&amp;sr=8-3")</f>
        <v/>
      </c>
      <c r="F3401" t="inlineStr">
        <is>
          <t>B08LMTDNBF</t>
        </is>
      </c>
      <c r="G3401">
        <f>_xludf.IMAGE("https://www.soccerplususa.com/prodimages//36058-WHITE-M.jpg")</f>
        <v/>
      </c>
      <c r="H3401">
        <f>_xludf.IMAGE("https://m.media-amazon.com/images/I/41ePEpa2GyL._AC_UL320_.jpg")</f>
        <v/>
      </c>
      <c r="K3401" t="inlineStr">
        <is>
          <t>54.95</t>
        </is>
      </c>
      <c r="L3401" t="n">
        <v>59.99</v>
      </c>
      <c r="M3401" s="1" t="inlineStr">
        <is>
          <t>9.17%</t>
        </is>
      </c>
      <c r="N3401" s="3" t="n">
        <v>9.17</v>
      </c>
      <c r="O3401" t="n">
        <v>4.6</v>
      </c>
      <c r="P3401" t="n">
        <v>60</v>
      </c>
      <c r="R3401" t="inlineStr">
        <is>
          <t>InStock</t>
        </is>
      </c>
      <c r="S3401" t="inlineStr">
        <is>
          <t>undefined</t>
        </is>
      </c>
      <c r="T3401" t="inlineStr">
        <is>
          <t>1368702-100</t>
        </is>
      </c>
    </row>
    <row r="3402" hidden="1" ht="15.75" customHeight="1">
      <c r="A3402" s="2">
        <f>HYPERLINK("https://www.soccerplususa.com/under-armour/under-armour-coldgear-authentics-mock-womens-44304", "https://www.soccerplususa.com/under-armour/under-armour-coldgear-authentics-mock-womens-44304")</f>
        <v/>
      </c>
      <c r="B3402" t="inlineStr">
        <is>
          <t>undefined</t>
        </is>
      </c>
      <c r="C3402" t="inlineStr">
        <is>
          <t>Under Armour ColdGear Authentics Mock Women's</t>
        </is>
      </c>
      <c r="D3402" t="inlineStr">
        <is>
          <t>Under Armour Women's Authentics ColdGear ¼ Zip T-Shirt</t>
        </is>
      </c>
      <c r="E3402" s="2">
        <f>HYPERLINK("https://www.amazon.com/Under-Armour-Authentics-ColdGear-T-Shirt/dp/B08LMTDNBF/ref=sr_1_3?keywords=Under+Armour+ColdGear+Authentics+Mock+Womens&amp;qid=1695171145&amp;sr=8-3", "https://www.amazon.com/Under-Armour-Authentics-ColdGear-T-Shirt/dp/B08LMTDNBF/ref=sr_1_3?keywords=Under+Armour+ColdGear+Authentics+Mock+Womens&amp;qid=1695171145&amp;sr=8-3")</f>
        <v/>
      </c>
      <c r="F3402" t="inlineStr">
        <is>
          <t>B08LMTDNBF</t>
        </is>
      </c>
      <c r="G3402">
        <f>_xludf.IMAGE("https://www.soccerplususa.com/prodimages//36059-BLACK-M.jpg")</f>
        <v/>
      </c>
      <c r="H3402">
        <f>_xludf.IMAGE("https://m.media-amazon.com/images/I/41ePEpa2GyL._AC_UL320_.jpg")</f>
        <v/>
      </c>
      <c r="K3402" t="inlineStr">
        <is>
          <t>54.95</t>
        </is>
      </c>
      <c r="L3402" t="n">
        <v>59.99</v>
      </c>
      <c r="M3402" s="1" t="inlineStr">
        <is>
          <t>9.17%</t>
        </is>
      </c>
      <c r="N3402" s="3" t="n">
        <v>9.17</v>
      </c>
      <c r="O3402" t="n">
        <v>4.6</v>
      </c>
      <c r="P3402" t="n">
        <v>60</v>
      </c>
      <c r="R3402" t="inlineStr">
        <is>
          <t>InStock</t>
        </is>
      </c>
      <c r="S3402" t="inlineStr">
        <is>
          <t>undefined</t>
        </is>
      </c>
      <c r="T3402" t="inlineStr">
        <is>
          <t>1368702-001</t>
        </is>
      </c>
    </row>
    <row r="3403" hidden="1" ht="15.75" customHeight="1">
      <c r="A3403" s="2">
        <f>HYPERLINK("https://www.soccerplususa.com/adidas/adidas-tiro-17-jersey-youth-4820", "https://www.soccerplususa.com/adidas/adidas-tiro-17-jersey-youth-4820")</f>
        <v/>
      </c>
      <c r="B3403" t="inlineStr">
        <is>
          <t>undefined</t>
        </is>
      </c>
      <c r="C3403" t="inlineStr">
        <is>
          <t>adidas Tiro 17 Jersey Youth</t>
        </is>
      </c>
      <c r="D3403" t="inlineStr">
        <is>
          <t>adidas Mens Tiro 17 Jersey Black/White S</t>
        </is>
      </c>
      <c r="E3403" s="2">
        <f>HYPERLINK("https://www.amazon.com/Adidas-Mens-Jersey-Black-White/dp/B01N64GCZ6/ref=sr_1_2?keywords=adidas+Tiro+17+Jersey+Youth&amp;qid=1695171227&amp;sr=8-2", "https://www.amazon.com/Adidas-Mens-Jersey-Black-White/dp/B01N64GCZ6/ref=sr_1_2?keywords=adidas+Tiro+17+Jersey+Youth&amp;qid=1695171227&amp;sr=8-2")</f>
        <v/>
      </c>
      <c r="F3403" t="inlineStr">
        <is>
          <t>B01N64GCZ6</t>
        </is>
      </c>
      <c r="G3403">
        <f>_xludf.IMAGE("https://www.soccerplususa.com/prodimages/9820-DEFAULT-l.jpg")</f>
        <v/>
      </c>
      <c r="H3403">
        <f>_xludf.IMAGE("https://m.media-amazon.com/images/I/61WO-O2xDLL._AC_UL320_.jpg")</f>
        <v/>
      </c>
      <c r="K3403" t="inlineStr">
        <is>
          <t>17.5</t>
        </is>
      </c>
      <c r="L3403" t="n">
        <v>19.07</v>
      </c>
      <c r="M3403" s="1" t="inlineStr">
        <is>
          <t>8.97%</t>
        </is>
      </c>
      <c r="N3403" s="3" t="n">
        <v>8.970000000000001</v>
      </c>
      <c r="O3403" t="n">
        <v>4.3</v>
      </c>
      <c r="P3403" t="n">
        <v>8</v>
      </c>
      <c r="R3403" t="inlineStr">
        <is>
          <t>InStock</t>
        </is>
      </c>
      <c r="S3403" t="inlineStr">
        <is>
          <t>34.95</t>
        </is>
      </c>
      <c r="T3403" t="inlineStr">
        <is>
          <t>BJ9111</t>
        </is>
      </c>
    </row>
    <row r="3404" hidden="1" ht="15.75" customHeight="1">
      <c r="A3404" s="2">
        <f>HYPERLINK("https://www.soccerplususa.com/nike/nike-academy-18-jacket-34570", "https://www.soccerplususa.com/nike/nike-academy-18-jacket-34570")</f>
        <v/>
      </c>
      <c r="B3404" t="inlineStr">
        <is>
          <t>undefined</t>
        </is>
      </c>
      <c r="C3404" t="inlineStr">
        <is>
          <t>Nike Academy 18 Jacket</t>
        </is>
      </c>
      <c r="D3404" t="inlineStr">
        <is>
          <t>Nike Boys' Academy 18 Track Jacket</t>
        </is>
      </c>
      <c r="E3404" s="2">
        <f>HYPERLINK("https://www.amazon.com/Nike-Academy-Track-Jacket-Yellow/dp/B079K1PJC3/ref=sr_1_5?keywords=Nike+Academy+18+Jacket&amp;qid=1695171165&amp;sr=8-5", "https://www.amazon.com/Nike-Academy-Track-Jacket-Yellow/dp/B079K1PJC3/ref=sr_1_5?keywords=Nike+Academy+18+Jacket&amp;qid=1695171165&amp;sr=8-5")</f>
        <v/>
      </c>
      <c r="F3404" t="inlineStr">
        <is>
          <t>B079K1PJC3</t>
        </is>
      </c>
      <c r="G3404">
        <f>_xludf.IMAGE("https://www.soccerplususa.com/prodimages/30940-DEFAULT-l.jpg")</f>
        <v/>
      </c>
      <c r="H3404">
        <f>_xludf.IMAGE("https://m.media-amazon.com/images/I/91O9qUcPcsL._AC_UL320_.jpg")</f>
        <v/>
      </c>
      <c r="K3404" t="inlineStr">
        <is>
          <t>44.99</t>
        </is>
      </c>
      <c r="L3404" t="n">
        <v>49</v>
      </c>
      <c r="M3404" s="1" t="inlineStr">
        <is>
          <t>8.91%</t>
        </is>
      </c>
      <c r="N3404" s="3" t="n">
        <v>8.91</v>
      </c>
      <c r="O3404" t="n">
        <v>4.1</v>
      </c>
      <c r="P3404" t="n">
        <v>220</v>
      </c>
      <c r="R3404" t="inlineStr">
        <is>
          <t>InStock</t>
        </is>
      </c>
      <c r="S3404" t="inlineStr">
        <is>
          <t>54.95</t>
        </is>
      </c>
      <c r="T3404" t="inlineStr">
        <is>
          <t>893701-010</t>
        </is>
      </c>
    </row>
    <row r="3405" hidden="1" ht="15.75" customHeight="1">
      <c r="A3405" s="2">
        <f>HYPERLINK("https://www.soccerplususa.com/adidas/adidas-tiro-17-jersey-womens-4818", "https://www.soccerplususa.com/adidas/adidas-tiro-17-jersey-womens-4818")</f>
        <v/>
      </c>
      <c r="B3405" t="inlineStr">
        <is>
          <t>undefined</t>
        </is>
      </c>
      <c r="C3405" t="inlineStr">
        <is>
          <t>adidas Tiro 17 Jersey Women's</t>
        </is>
      </c>
      <c r="D3405" t="inlineStr">
        <is>
          <t>adidas Tiro 19 Jersey- Women's Soccer L Dark Grey/White</t>
        </is>
      </c>
      <c r="E3405" s="2">
        <f>HYPERLINK("https://www.amazon.com/adidas-Jersey-Womens-Soccer-White/dp/B07H3VHQNW/ref=sr_1_8?keywords=adidas+Tiro+17+Jersey+Women%27s&amp;qid=1695171228&amp;sr=8-8", "https://www.amazon.com/adidas-Jersey-Womens-Soccer-White/dp/B07H3VHQNW/ref=sr_1_8?keywords=adidas+Tiro+17+Jersey+Women%27s&amp;qid=1695171228&amp;sr=8-8")</f>
        <v/>
      </c>
      <c r="F3405" t="inlineStr">
        <is>
          <t>B07H3VHQNW</t>
        </is>
      </c>
      <c r="G3405">
        <f>_xludf.IMAGE("https://www.soccerplususa.com/prodimages/33189-DEFAULT-l.jpg")</f>
        <v/>
      </c>
      <c r="H3405">
        <f>_xludf.IMAGE("https://m.media-amazon.com/images/I/61ASNTLz-dL._AC_UL320_.jpg")</f>
        <v/>
      </c>
      <c r="K3405" t="inlineStr">
        <is>
          <t>30.0</t>
        </is>
      </c>
      <c r="L3405" t="n">
        <v>32.67</v>
      </c>
      <c r="M3405" s="1" t="inlineStr">
        <is>
          <t>8.90%</t>
        </is>
      </c>
      <c r="N3405" s="3" t="n">
        <v>8.9</v>
      </c>
      <c r="O3405" t="n">
        <v>5</v>
      </c>
      <c r="P3405" t="n">
        <v>1</v>
      </c>
      <c r="R3405" t="inlineStr">
        <is>
          <t>InStock</t>
        </is>
      </c>
      <c r="S3405" t="inlineStr">
        <is>
          <t>39.95</t>
        </is>
      </c>
      <c r="T3405" t="inlineStr">
        <is>
          <t>BJ9095</t>
        </is>
      </c>
    </row>
    <row r="3406" hidden="1" ht="15.75" customHeight="1">
      <c r="A3406" s="2">
        <f>HYPERLINK("https://www.soccerplususa.com/adidas/adidas-core-18-training-top-33852", "https://www.soccerplususa.com/adidas/adidas-core-18-training-top-33852")</f>
        <v/>
      </c>
      <c r="B3406" t="inlineStr">
        <is>
          <t>undefined</t>
        </is>
      </c>
      <c r="C3406" t="inlineStr">
        <is>
          <t>adidas Core 18 Training Top</t>
        </is>
      </c>
      <c r="D3406" t="inlineStr">
        <is>
          <t>adidas Men's Core 18 Training Top</t>
        </is>
      </c>
      <c r="E3406" s="2">
        <f>HYPERLINK("https://www.amazon.com/adidas-Core18-Training-Power-White/dp/B073H8C1L2/ref=sr_1_1?keywords=adidas+Core+18+Training+Top&amp;qid=1695171165&amp;sr=8-1", "https://www.amazon.com/adidas-Core18-Training-Power-White/dp/B073H8C1L2/ref=sr_1_1?keywords=adidas+Core+18+Training+Top&amp;qid=1695171165&amp;sr=8-1")</f>
        <v/>
      </c>
      <c r="F3406" t="inlineStr">
        <is>
          <t>B073H8C1L2</t>
        </is>
      </c>
      <c r="G3406">
        <f>_xludf.IMAGE("https://www.soccerplususa.com/prodimages/33345-DEFAULT-l.jpg")</f>
        <v/>
      </c>
      <c r="H3406">
        <f>_xludf.IMAGE("https://m.media-amazon.com/images/I/51nbttt-bJL._AC_UL320_.jpg")</f>
        <v/>
      </c>
      <c r="K3406" t="inlineStr">
        <is>
          <t>22.99</t>
        </is>
      </c>
      <c r="L3406" t="n">
        <v>24.99</v>
      </c>
      <c r="M3406" s="1" t="inlineStr">
        <is>
          <t>8.70%</t>
        </is>
      </c>
      <c r="N3406" s="3" t="n">
        <v>8.699999999999999</v>
      </c>
      <c r="O3406" t="n">
        <v>4.5</v>
      </c>
      <c r="P3406" t="n">
        <v>491</v>
      </c>
      <c r="R3406" t="inlineStr">
        <is>
          <t>InStock</t>
        </is>
      </c>
      <c r="S3406" t="inlineStr">
        <is>
          <t>30.95</t>
        </is>
      </c>
      <c r="T3406" t="inlineStr">
        <is>
          <t>CV4000</t>
        </is>
      </c>
    </row>
    <row r="3407" hidden="1" ht="15.75" customHeight="1">
      <c r="A3407" s="2">
        <f>HYPERLINK("https://www.soccerplususa.com/puma/puma-liga-casual-padded-jacket-37830", "https://www.soccerplususa.com/puma/puma-liga-casual-padded-jacket-37830")</f>
        <v/>
      </c>
      <c r="B3407" t="inlineStr">
        <is>
          <t>undefined</t>
        </is>
      </c>
      <c r="C3407" t="inlineStr">
        <is>
          <t>Puma Liga Casual Padded Jacket</t>
        </is>
      </c>
      <c r="D3407" t="inlineStr">
        <is>
          <t>PUMA Men's Teamliga Padded Jacket</t>
        </is>
      </c>
      <c r="E3407" s="2">
        <f>HYPERLINK("https://www.amazon.com/PUMA-TeamLIGA-Padded-Jacket-Black/dp/B091DF1938/ref=sr_1_8?keywords=Puma+Liga+Casual+Padded+Jacket&amp;qid=1695171170&amp;sr=8-8", "https://www.amazon.com/PUMA-TeamLIGA-Padded-Jacket-Black/dp/B091DF1938/ref=sr_1_8?keywords=Puma+Liga+Casual+Padded+Jacket&amp;qid=1695171170&amp;sr=8-8")</f>
        <v/>
      </c>
      <c r="F3407" t="inlineStr">
        <is>
          <t>B091DF1938</t>
        </is>
      </c>
      <c r="G3407">
        <f>_xludf.IMAGE("https://www.soccerplususa.com/prodimages/32203-DEFAULT-l.jpg")</f>
        <v/>
      </c>
      <c r="H3407">
        <f>_xludf.IMAGE("https://m.media-amazon.com/images/I/71qaflwB4QL._AC_UL320_.jpg")</f>
        <v/>
      </c>
      <c r="K3407" t="inlineStr">
        <is>
          <t>82.49</t>
        </is>
      </c>
      <c r="L3407" t="n">
        <v>89.5</v>
      </c>
      <c r="M3407" s="1" t="inlineStr">
        <is>
          <t>8.50%</t>
        </is>
      </c>
      <c r="N3407" s="3" t="n">
        <v>8.5</v>
      </c>
      <c r="O3407" t="n">
        <v>4.3</v>
      </c>
      <c r="P3407" t="n">
        <v>14</v>
      </c>
      <c r="R3407" t="inlineStr">
        <is>
          <t>InStock</t>
        </is>
      </c>
      <c r="S3407" t="inlineStr">
        <is>
          <t>109.95</t>
        </is>
      </c>
      <c r="T3407" t="inlineStr">
        <is>
          <t>655301-01</t>
        </is>
      </c>
    </row>
    <row r="3408" hidden="1" ht="15.75" customHeight="1">
      <c r="A3408" s="2">
        <f>HYPERLINK("https://www.soccerplususa.com/nike/nike-epic-training-jacket-youth-24431", "https://www.soccerplususa.com/nike/nike-epic-training-jacket-youth-24431")</f>
        <v/>
      </c>
      <c r="B3408" t="inlineStr">
        <is>
          <t>undefined</t>
        </is>
      </c>
      <c r="C3408" t="inlineStr">
        <is>
          <t>Nike Epic Training Jacket Youth</t>
        </is>
      </c>
      <c r="D3408" t="inlineStr">
        <is>
          <t>Nike Epic Training Jacket Youth Youth</t>
        </is>
      </c>
      <c r="E3408" s="2">
        <f>HYPERLINK("https://www.amazon.com/NIKE-Training-Jacket-Scarlet-X-Large/dp/B0773TDNZ6/ref=sr_1_1?keywords=Nike+Epic+Training+Jacket+Youth&amp;qid=1695171179&amp;sr=8-1", "https://www.amazon.com/NIKE-Training-Jacket-Scarlet-X-Large/dp/B0773TDNZ6/ref=sr_1_1?keywords=Nike+Epic+Training+Jacket+Youth&amp;qid=1695171179&amp;sr=8-1")</f>
        <v/>
      </c>
      <c r="F3408" t="inlineStr">
        <is>
          <t>B0773TDNZ6</t>
        </is>
      </c>
      <c r="G3408">
        <f>_xludf.IMAGE("https://www.soccerplususa.com/prodimages/6288-DEFAULT-l.jpg")</f>
        <v/>
      </c>
      <c r="H3408">
        <f>_xludf.IMAGE("https://m.media-amazon.com/images/I/61JShaVUQJL._AC_UL320_.jpg")</f>
        <v/>
      </c>
      <c r="K3408" t="inlineStr">
        <is>
          <t>36.99</t>
        </is>
      </c>
      <c r="L3408" t="n">
        <v>40.07</v>
      </c>
      <c r="M3408" s="1" t="inlineStr">
        <is>
          <t>8.33%</t>
        </is>
      </c>
      <c r="N3408" s="3" t="n">
        <v>8.33</v>
      </c>
      <c r="O3408" t="n">
        <v>4.5</v>
      </c>
      <c r="P3408" t="n">
        <v>12</v>
      </c>
      <c r="R3408" t="inlineStr">
        <is>
          <t>InStock</t>
        </is>
      </c>
      <c r="S3408" t="inlineStr">
        <is>
          <t>49.95</t>
        </is>
      </c>
      <c r="T3408" t="inlineStr">
        <is>
          <t>836306-494</t>
        </is>
      </c>
    </row>
    <row r="3409" hidden="1" ht="15.75" customHeight="1">
      <c r="A3409" s="2">
        <f>HYPERLINK("https://www.soccerplususa.com/adidas/adidas-tiro-19-training-jacket-33919", "https://www.soccerplususa.com/adidas/adidas-tiro-19-training-jacket-33919")</f>
        <v/>
      </c>
      <c r="B3409" t="inlineStr">
        <is>
          <t>undefined</t>
        </is>
      </c>
      <c r="C3409" t="inlineStr">
        <is>
          <t>adidas Tiro 19 Training Jacket</t>
        </is>
      </c>
      <c r="D3409" t="inlineStr">
        <is>
          <t>adidas Tiro 19 Adult Training Jacket (TIRO19-JACKET)</t>
        </is>
      </c>
      <c r="E3409" s="2">
        <f>HYPERLINK("https://www.amazon.com/adidas-Mens-Training-Jackets-White/dp/B07H3VS11S/ref=sr_1_1?keywords=adidas+Tiro+19+Training+Jacket&amp;qid=1695171165&amp;sr=8-1", "https://www.amazon.com/adidas-Mens-Training-Jackets-White/dp/B07H3VS11S/ref=sr_1_1?keywords=adidas+Tiro+19+Training+Jacket&amp;qid=1695171165&amp;sr=8-1")</f>
        <v/>
      </c>
      <c r="F3409" t="inlineStr">
        <is>
          <t>B07H3VS11S</t>
        </is>
      </c>
      <c r="G3409">
        <f>_xludf.IMAGE("https://www.soccerplususa.com/prodimages/7895-DEFAULT-l.jpg")</f>
        <v/>
      </c>
      <c r="H3409">
        <f>_xludf.IMAGE("https://m.media-amazon.com/images/I/6106Puy+7xL._AC_UL320_.jpg")</f>
        <v/>
      </c>
      <c r="K3409" t="inlineStr">
        <is>
          <t>49.0</t>
        </is>
      </c>
      <c r="L3409" t="n">
        <v>52.98</v>
      </c>
      <c r="M3409" s="1" t="inlineStr">
        <is>
          <t>8.12%</t>
        </is>
      </c>
      <c r="N3409" s="3" t="n">
        <v>8.119999999999999</v>
      </c>
      <c r="O3409" t="n">
        <v>4.7</v>
      </c>
      <c r="P3409" t="n">
        <v>1515</v>
      </c>
      <c r="R3409" t="inlineStr">
        <is>
          <t>InStock</t>
        </is>
      </c>
      <c r="S3409" t="inlineStr">
        <is>
          <t>64.95</t>
        </is>
      </c>
      <c r="T3409" t="inlineStr">
        <is>
          <t>DJ2594</t>
        </is>
      </c>
    </row>
    <row r="3410" hidden="1" ht="15.75" customHeight="1">
      <c r="A3410" s="2">
        <f>HYPERLINK("https://www.soccerplususa.com/adidas/adidas-tiro-19-training-jacket-33866", "https://www.soccerplususa.com/adidas/adidas-tiro-19-training-jacket-33866")</f>
        <v/>
      </c>
      <c r="B3410" t="inlineStr">
        <is>
          <t>undefined</t>
        </is>
      </c>
      <c r="C3410" t="inlineStr">
        <is>
          <t>adidas Tiro 19 Training Jacket</t>
        </is>
      </c>
      <c r="D3410" t="inlineStr">
        <is>
          <t>adidas Tiro 19 Adult Training Jacket (TIRO19-JACKET)</t>
        </is>
      </c>
      <c r="E3410" s="2">
        <f>HYPERLINK("https://www.amazon.com/adidas-Mens-Training-Jackets-White/dp/B07H3VS11S/ref=sr_1_1?keywords=adidas+Tiro+19+Training+Jacket&amp;qid=1695171181&amp;sr=8-1", "https://www.amazon.com/adidas-Mens-Training-Jackets-White/dp/B07H3VS11S/ref=sr_1_1?keywords=adidas+Tiro+19+Training+Jacket&amp;qid=1695171181&amp;sr=8-1")</f>
        <v/>
      </c>
      <c r="F3410" t="inlineStr">
        <is>
          <t>B07H3VS11S</t>
        </is>
      </c>
      <c r="G3410">
        <f>_xludf.IMAGE("https://www.soccerplususa.com/prodimages/8017-DEFAULT-l.jpg")</f>
        <v/>
      </c>
      <c r="H3410">
        <f>_xludf.IMAGE("https://m.media-amazon.com/images/I/6106Puy+7xL._AC_UL320_.jpg")</f>
        <v/>
      </c>
      <c r="K3410" t="inlineStr">
        <is>
          <t>49.0</t>
        </is>
      </c>
      <c r="L3410" t="n">
        <v>52.98</v>
      </c>
      <c r="M3410" s="1" t="inlineStr">
        <is>
          <t>8.12%</t>
        </is>
      </c>
      <c r="N3410" s="3" t="n">
        <v>8.119999999999999</v>
      </c>
      <c r="O3410" t="n">
        <v>4.7</v>
      </c>
      <c r="P3410" t="n">
        <v>1515</v>
      </c>
      <c r="R3410" t="inlineStr">
        <is>
          <t>InStock</t>
        </is>
      </c>
      <c r="S3410" t="inlineStr">
        <is>
          <t>64.95</t>
        </is>
      </c>
      <c r="T3410" t="inlineStr">
        <is>
          <t>D95953</t>
        </is>
      </c>
    </row>
    <row r="3411" hidden="1" ht="15.75" customHeight="1">
      <c r="A3411" s="2">
        <f>HYPERLINK("https://www.soccerplususa.com/adidas/adidas-tiro-19-training-jacket-33996", "https://www.soccerplususa.com/adidas/adidas-tiro-19-training-jacket-33996")</f>
        <v/>
      </c>
      <c r="B3411" t="inlineStr">
        <is>
          <t>undefined</t>
        </is>
      </c>
      <c r="C3411" t="inlineStr">
        <is>
          <t>adidas Tiro 19 Training Jacket</t>
        </is>
      </c>
      <c r="D3411" t="inlineStr">
        <is>
          <t>adidas Tiro 19 Adult Training Jacket (TIRO19-JACKET)</t>
        </is>
      </c>
      <c r="E3411" s="2">
        <f>HYPERLINK("https://www.amazon.com/adidas-Mens-Training-Jackets-White/dp/B07H3VS11S/ref=sr_1_1?keywords=adidas+Tiro+19+Training+Jacket&amp;qid=1695171209&amp;sr=8-1", "https://www.amazon.com/adidas-Mens-Training-Jackets-White/dp/B07H3VS11S/ref=sr_1_1?keywords=adidas+Tiro+19+Training+Jacket&amp;qid=1695171209&amp;sr=8-1")</f>
        <v/>
      </c>
      <c r="F3411" t="inlineStr">
        <is>
          <t>B07H3VS11S</t>
        </is>
      </c>
      <c r="G3411">
        <f>_xludf.IMAGE("https://www.soccerplususa.com/prodimages/8018-DEFAULT-l.jpg")</f>
        <v/>
      </c>
      <c r="H3411">
        <f>_xludf.IMAGE("https://m.media-amazon.com/images/I/6106Puy+7xL._AC_UL320_.jpg")</f>
        <v/>
      </c>
      <c r="K3411" t="inlineStr">
        <is>
          <t>49.0</t>
        </is>
      </c>
      <c r="L3411" t="n">
        <v>52.98</v>
      </c>
      <c r="M3411" s="1" t="inlineStr">
        <is>
          <t>8.12%</t>
        </is>
      </c>
      <c r="N3411" s="3" t="n">
        <v>8.119999999999999</v>
      </c>
      <c r="O3411" t="n">
        <v>4.7</v>
      </c>
      <c r="P3411" t="n">
        <v>1515</v>
      </c>
      <c r="R3411" t="inlineStr">
        <is>
          <t>InStock</t>
        </is>
      </c>
      <c r="S3411" t="inlineStr">
        <is>
          <t>64.95</t>
        </is>
      </c>
      <c r="T3411" t="inlineStr">
        <is>
          <t>DT5272</t>
        </is>
      </c>
    </row>
    <row r="3412" hidden="1" ht="15.75" customHeight="1">
      <c r="A3412" s="2">
        <f>HYPERLINK("https://www.soccerplususa.com/nike/nike-tiempo-premier-jersey-25073", "https://www.soccerplususa.com/nike/nike-tiempo-premier-jersey-25073")</f>
        <v/>
      </c>
      <c r="B3412" t="inlineStr">
        <is>
          <t>undefined</t>
        </is>
      </c>
      <c r="C3412" t="inlineStr">
        <is>
          <t>Nike Tiempo Premier Jersey</t>
        </is>
      </c>
      <c r="D3412" t="inlineStr">
        <is>
          <t>Nike Youth Dry Tiempo Prem S/S Soccer Jersey 894114-010 (Large, Black/White)</t>
        </is>
      </c>
      <c r="E3412" s="2">
        <f>HYPERLINK("https://www.amazon.com/Nike-Tiempo-Soccer-Jersey-894114-010/dp/B07MVM5NHG/ref=sr_1_7?keywords=Nike+Tiempo+Premier+Jersey&amp;qid=1695171172&amp;sr=8-7", "https://www.amazon.com/Nike-Tiempo-Soccer-Jersey-894114-010/dp/B07MVM5NHG/ref=sr_1_7?keywords=Nike+Tiempo+Premier+Jersey&amp;qid=1695171172&amp;sr=8-7")</f>
        <v/>
      </c>
      <c r="F3412" t="inlineStr">
        <is>
          <t>B07MVM5NHG</t>
        </is>
      </c>
      <c r="G3412">
        <f>_xludf.IMAGE("https://www.soccerplususa.com/prodimages/31750-DEFAULT-l.jpg")</f>
        <v/>
      </c>
      <c r="H3412">
        <f>_xludf.IMAGE("https://m.media-amazon.com/images/I/61HWQtd3KOL._AC_UL320_.jpg")</f>
        <v/>
      </c>
      <c r="K3412" t="inlineStr">
        <is>
          <t>18.49</t>
        </is>
      </c>
      <c r="L3412" t="n">
        <v>19.99</v>
      </c>
      <c r="M3412" s="1" t="inlineStr">
        <is>
          <t>8.11%</t>
        </is>
      </c>
      <c r="N3412" s="3" t="n">
        <v>8.109999999999999</v>
      </c>
      <c r="O3412" t="n">
        <v>5</v>
      </c>
      <c r="P3412" t="n">
        <v>1</v>
      </c>
      <c r="R3412" t="inlineStr">
        <is>
          <t>InStock</t>
        </is>
      </c>
      <c r="S3412" t="inlineStr">
        <is>
          <t>23.95</t>
        </is>
      </c>
      <c r="T3412" t="inlineStr">
        <is>
          <t>894293-101</t>
        </is>
      </c>
    </row>
    <row r="3413" hidden="1" ht="15.75" customHeight="1">
      <c r="A3413" s="2">
        <f>HYPERLINK("https://www.soccerplususa.com/puma/puma-liga-jersey-37883", "https://www.soccerplususa.com/puma/puma-liga-jersey-37883")</f>
        <v/>
      </c>
      <c r="B3413" t="inlineStr">
        <is>
          <t>undefined</t>
        </is>
      </c>
      <c r="C3413" t="inlineStr">
        <is>
          <t>Puma Liga Jersey</t>
        </is>
      </c>
      <c r="D3413" t="inlineStr">
        <is>
          <t>PUMA Men's Teamliga Jersey</t>
        </is>
      </c>
      <c r="E3413" s="2">
        <f>HYPERLINK("https://www.amazon.com/PUMA-TeamLIGA-Jersey-Peacoat-White/dp/B091DHCJVM/ref=sr_1_1?keywords=Puma+Liga+Jersey&amp;qid=1695171159&amp;sr=8-1", "https://www.amazon.com/PUMA-TeamLIGA-Jersey-Peacoat-White/dp/B091DHCJVM/ref=sr_1_1?keywords=Puma+Liga+Jersey&amp;qid=1695171159&amp;sr=8-1")</f>
        <v/>
      </c>
      <c r="F3413" t="inlineStr">
        <is>
          <t>B091DHCJVM</t>
        </is>
      </c>
      <c r="G3413">
        <f>_xludf.IMAGE("https://www.soccerplususa.com/prodimages//36780-REDWHITE-M.jpg")</f>
        <v/>
      </c>
      <c r="H3413">
        <f>_xludf.IMAGE("https://m.media-amazon.com/images/I/81lxrWQaicS._AC_UL320_.jpg")</f>
        <v/>
      </c>
      <c r="K3413" t="inlineStr">
        <is>
          <t>27.95</t>
        </is>
      </c>
      <c r="L3413" t="n">
        <v>29.88</v>
      </c>
      <c r="M3413" s="1" t="inlineStr">
        <is>
          <t>6.91%</t>
        </is>
      </c>
      <c r="N3413" s="3" t="n">
        <v>6.91</v>
      </c>
      <c r="O3413" t="n">
        <v>4.5</v>
      </c>
      <c r="P3413" t="n">
        <v>282</v>
      </c>
      <c r="R3413" t="inlineStr">
        <is>
          <t>InStock</t>
        </is>
      </c>
      <c r="S3413" t="inlineStr">
        <is>
          <t>undefined</t>
        </is>
      </c>
      <c r="T3413" t="inlineStr">
        <is>
          <t>703417-01</t>
        </is>
      </c>
    </row>
    <row r="3414" hidden="1" ht="15.75" customHeight="1">
      <c r="A3414" s="2">
        <f>HYPERLINK("https://www.soccerplususa.com/puma/puma-liga-training-jacket-35519", "https://www.soccerplususa.com/puma/puma-liga-training-jacket-35519")</f>
        <v/>
      </c>
      <c r="B3414" t="inlineStr">
        <is>
          <t>undefined</t>
        </is>
      </c>
      <c r="C3414" t="inlineStr">
        <is>
          <t>Puma Liga Training Jacket</t>
        </is>
      </c>
      <c r="D3414" t="inlineStr">
        <is>
          <t>PUMA Men's Liga Training Rain Jacket</t>
        </is>
      </c>
      <c r="E3414" s="2">
        <f>HYPERLINK("https://www.amazon.com/PUMA-Training-Jacket-Black-White/dp/B07DY9HZBP/ref=sr_1_8?keywords=Puma+Liga+Training+Jacket&amp;qid=1695171164&amp;sr=8-8", "https://www.amazon.com/PUMA-Training-Jacket-Black-White/dp/B07DY9HZBP/ref=sr_1_8?keywords=Puma+Liga+Training+Jacket&amp;qid=1695171164&amp;sr=8-8")</f>
        <v/>
      </c>
      <c r="F3414" t="inlineStr">
        <is>
          <t>B07DY9HZBP</t>
        </is>
      </c>
      <c r="G3414">
        <f>_xludf.IMAGE("https://www.soccerplususa.com/prodimages/32207-DEFAULT-l.jpg")</f>
        <v/>
      </c>
      <c r="H3414">
        <f>_xludf.IMAGE("https://m.media-amazon.com/images/I/81LmNBkmtXL._AC_UL320_.jpg")</f>
        <v/>
      </c>
      <c r="K3414" t="inlineStr">
        <is>
          <t>45.0</t>
        </is>
      </c>
      <c r="L3414" t="n">
        <v>48.08</v>
      </c>
      <c r="M3414" s="1" t="inlineStr">
        <is>
          <t>6.84%</t>
        </is>
      </c>
      <c r="N3414" s="3" t="n">
        <v>6.84</v>
      </c>
      <c r="O3414" t="n">
        <v>4.4</v>
      </c>
      <c r="P3414" t="n">
        <v>40</v>
      </c>
      <c r="R3414" t="inlineStr">
        <is>
          <t>InStock</t>
        </is>
      </c>
      <c r="S3414" t="inlineStr">
        <is>
          <t>59.95</t>
        </is>
      </c>
      <c r="T3414" t="inlineStr">
        <is>
          <t>655687-02</t>
        </is>
      </c>
    </row>
    <row r="3415" hidden="1" ht="15.75" customHeight="1">
      <c r="A3415" s="2">
        <f>HYPERLINK("https://www.soccerplususa.com/puma/puma-liga-training-jacket-youth-35521", "https://www.soccerplususa.com/puma/puma-liga-training-jacket-youth-35521")</f>
        <v/>
      </c>
      <c r="B3415" t="inlineStr">
        <is>
          <t>undefined</t>
        </is>
      </c>
      <c r="C3415" t="inlineStr">
        <is>
          <t>Puma Liga Training Jacket Youth</t>
        </is>
      </c>
      <c r="D3415" t="inlineStr">
        <is>
          <t>PUMA Men's Liga Training Rain Jacket</t>
        </is>
      </c>
      <c r="E3415" s="2">
        <f>HYPERLINK("https://www.amazon.com/PUMA-Training-Jacket-Black-White/dp/B07DY9HZBP/ref=sr_1_10?keywords=Puma+Liga+Training+Jacket+Youth&amp;qid=1695171158&amp;sr=8-10", "https://www.amazon.com/PUMA-Training-Jacket-Black-White/dp/B07DY9HZBP/ref=sr_1_10?keywords=Puma+Liga+Training+Jacket+Youth&amp;qid=1695171158&amp;sr=8-10")</f>
        <v/>
      </c>
      <c r="F3415" t="inlineStr">
        <is>
          <t>B07DY9HZBP</t>
        </is>
      </c>
      <c r="G3415">
        <f>_xludf.IMAGE("https://www.soccerplususa.com/prodimages/32219-DEFAULT-l.jpg")</f>
        <v/>
      </c>
      <c r="H3415">
        <f>_xludf.IMAGE("https://m.media-amazon.com/images/I/81LmNBkmtXL._AC_UL320_.jpg")</f>
        <v/>
      </c>
      <c r="K3415" t="inlineStr">
        <is>
          <t>45.0</t>
        </is>
      </c>
      <c r="L3415" t="n">
        <v>48.08</v>
      </c>
      <c r="M3415" s="1" t="inlineStr">
        <is>
          <t>6.84%</t>
        </is>
      </c>
      <c r="N3415" s="3" t="n">
        <v>6.84</v>
      </c>
      <c r="O3415" t="n">
        <v>4.4</v>
      </c>
      <c r="P3415" t="n">
        <v>40</v>
      </c>
      <c r="R3415" t="inlineStr">
        <is>
          <t>InStock</t>
        </is>
      </c>
      <c r="S3415" t="inlineStr">
        <is>
          <t>59.95</t>
        </is>
      </c>
      <c r="T3415" t="inlineStr">
        <is>
          <t>655688-02</t>
        </is>
      </c>
    </row>
    <row r="3416" hidden="1" ht="15.75" customHeight="1">
      <c r="A3416" s="2">
        <f>HYPERLINK("https://www.soccerplususa.com/adidas/adidas-tabela-14-jersey-6151", "https://www.soccerplususa.com/adidas/adidas-tabela-14-jersey-6151")</f>
        <v/>
      </c>
      <c r="B3416" t="inlineStr">
        <is>
          <t>undefined</t>
        </is>
      </c>
      <c r="C3416" t="inlineStr">
        <is>
          <t>adidas Tabela 14 Jersey</t>
        </is>
      </c>
      <c r="D3416" t="inlineStr">
        <is>
          <t>adidas Kids' Tabela 23 Jersey</t>
        </is>
      </c>
      <c r="E3416" s="2">
        <f>HYPERLINK("https://www.amazon.com/adidas-Tabela-Jersey-Black-White/dp/B09YG6J77F/ref=sr_1_4?keywords=adidas+Tabela+14+Jersey&amp;qid=1695171220&amp;sr=8-4", "https://www.amazon.com/adidas-Tabela-Jersey-Black-White/dp/B09YG6J77F/ref=sr_1_4?keywords=adidas+Tabela+14+Jersey&amp;qid=1695171220&amp;sr=8-4")</f>
        <v/>
      </c>
      <c r="F3416" t="inlineStr">
        <is>
          <t>B09YG6J77F</t>
        </is>
      </c>
      <c r="G3416">
        <f>_xludf.IMAGE("https://www.soccerplususa.com/prodimages/4588-DEFAULT-l.jpg")</f>
        <v/>
      </c>
      <c r="H3416">
        <f>_xludf.IMAGE("https://m.media-amazon.com/images/I/71v3s6ZRHCL._AC_UL320_.jpg")</f>
        <v/>
      </c>
      <c r="K3416" t="inlineStr">
        <is>
          <t>17.5</t>
        </is>
      </c>
      <c r="L3416" t="n">
        <v>18.55</v>
      </c>
      <c r="M3416" s="1" t="inlineStr">
        <is>
          <t>6.00%</t>
        </is>
      </c>
      <c r="N3416" s="3" t="n">
        <v>6</v>
      </c>
      <c r="O3416" t="n">
        <v>4.8</v>
      </c>
      <c r="P3416" t="n">
        <v>31</v>
      </c>
      <c r="R3416" t="inlineStr">
        <is>
          <t>InStock</t>
        </is>
      </c>
      <c r="S3416" t="inlineStr">
        <is>
          <t>34.95</t>
        </is>
      </c>
      <c r="T3416" t="inlineStr">
        <is>
          <t>F84835</t>
        </is>
      </c>
    </row>
    <row r="3417" hidden="1" ht="15.75" customHeight="1">
      <c r="A3417" s="2">
        <f>HYPERLINK("https://www.soccerplususa.com/adidas/adidas-tabela-14-jersey-6078", "https://www.soccerplususa.com/adidas/adidas-tabela-14-jersey-6078")</f>
        <v/>
      </c>
      <c r="B3417" t="inlineStr">
        <is>
          <t>undefined</t>
        </is>
      </c>
      <c r="C3417" t="inlineStr">
        <is>
          <t>adidas Tabela 14 Jersey</t>
        </is>
      </c>
      <c r="D3417" t="inlineStr">
        <is>
          <t>adidas Kids' Tabela 23 Jersey</t>
        </is>
      </c>
      <c r="E3417" s="2">
        <f>HYPERLINK("https://www.amazon.com/adidas-Tabela-Jersey-Black-White/dp/B09YG6J77F/ref=sr_1_4?keywords=adidas+Tabela+14+Jersey&amp;qid=1695171215&amp;sr=8-4", "https://www.amazon.com/adidas-Tabela-Jersey-Black-White/dp/B09YG6J77F/ref=sr_1_4?keywords=adidas+Tabela+14+Jersey&amp;qid=1695171215&amp;sr=8-4")</f>
        <v/>
      </c>
      <c r="F3417" t="inlineStr">
        <is>
          <t>B09YG6J77F</t>
        </is>
      </c>
      <c r="G3417">
        <f>_xludf.IMAGE("https://www.soccerplususa.com/prodimages/4489-DEFAULT-l.jpg")</f>
        <v/>
      </c>
      <c r="H3417">
        <f>_xludf.IMAGE("https://m.media-amazon.com/images/I/71v3s6ZRHCL._AC_UL320_.jpg")</f>
        <v/>
      </c>
      <c r="K3417" t="inlineStr">
        <is>
          <t>17.5</t>
        </is>
      </c>
      <c r="L3417" t="n">
        <v>18.55</v>
      </c>
      <c r="M3417" s="1" t="inlineStr">
        <is>
          <t>6.00%</t>
        </is>
      </c>
      <c r="N3417" s="3" t="n">
        <v>6</v>
      </c>
      <c r="O3417" t="n">
        <v>4.8</v>
      </c>
      <c r="P3417" t="n">
        <v>31</v>
      </c>
      <c r="R3417" t="inlineStr">
        <is>
          <t>InStock</t>
        </is>
      </c>
      <c r="S3417" t="inlineStr">
        <is>
          <t>34.95</t>
        </is>
      </c>
      <c r="T3417" t="inlineStr">
        <is>
          <t>F50269</t>
        </is>
      </c>
    </row>
    <row r="3418" hidden="1" ht="15.75" customHeight="1">
      <c r="A3418" s="2">
        <f>HYPERLINK("https://www.soccerplususa.com/adidas/adidas-tabela-14-jersey-6082", "https://www.soccerplususa.com/adidas/adidas-tabela-14-jersey-6082")</f>
        <v/>
      </c>
      <c r="B3418" t="inlineStr">
        <is>
          <t>undefined</t>
        </is>
      </c>
      <c r="C3418" t="inlineStr">
        <is>
          <t>adidas Tabela 14 Jersey</t>
        </is>
      </c>
      <c r="D3418" t="inlineStr">
        <is>
          <t>adidas Kids' Tabela 23 Jersey</t>
        </is>
      </c>
      <c r="E3418" s="2">
        <f>HYPERLINK("https://www.amazon.com/adidas-Tabela-Jersey-Black-White/dp/B09YG6J77F/ref=sr_1_1?keywords=adidas+Tabela+14+Jersey&amp;qid=1695171211&amp;sr=8-1", "https://www.amazon.com/adidas-Tabela-Jersey-Black-White/dp/B09YG6J77F/ref=sr_1_1?keywords=adidas+Tabela+14+Jersey&amp;qid=1695171211&amp;sr=8-1")</f>
        <v/>
      </c>
      <c r="F3418" t="inlineStr">
        <is>
          <t>B09YG6J77F</t>
        </is>
      </c>
      <c r="G3418">
        <f>_xludf.IMAGE("https://www.soccerplususa.com/prodimages/2638-DEFAULT-l.jpg")</f>
        <v/>
      </c>
      <c r="H3418">
        <f>_xludf.IMAGE("https://m.media-amazon.com/images/I/71v3s6ZRHCL._AC_UL320_.jpg")</f>
        <v/>
      </c>
      <c r="K3418" t="inlineStr">
        <is>
          <t>17.5</t>
        </is>
      </c>
      <c r="L3418" t="n">
        <v>18.55</v>
      </c>
      <c r="M3418" s="1" t="inlineStr">
        <is>
          <t>6.00%</t>
        </is>
      </c>
      <c r="N3418" s="3" t="n">
        <v>6</v>
      </c>
      <c r="O3418" t="n">
        <v>4.8</v>
      </c>
      <c r="P3418" t="n">
        <v>31</v>
      </c>
      <c r="R3418" t="inlineStr">
        <is>
          <t>InStock</t>
        </is>
      </c>
      <c r="S3418" t="inlineStr">
        <is>
          <t>34.95</t>
        </is>
      </c>
      <c r="T3418" t="inlineStr">
        <is>
          <t>F50284</t>
        </is>
      </c>
    </row>
    <row r="3419" hidden="1" ht="15.75" customHeight="1">
      <c r="A3419" s="2">
        <f>HYPERLINK("https://www.soccerplususa.com/under-armour/under-armour-coldgear-armour-fitted-mock-41592", "https://www.soccerplususa.com/under-armour/under-armour-coldgear-armour-fitted-mock-41592")</f>
        <v/>
      </c>
      <c r="B3419" t="inlineStr">
        <is>
          <t>undefined</t>
        </is>
      </c>
      <c r="C3419" t="inlineStr">
        <is>
          <t>Under Armour ColdGear Armour Fitted Mock</t>
        </is>
      </c>
      <c r="D3419" t="inlineStr">
        <is>
          <t>Under Armour Men's Tac Mock Coldgear Infrared Base T-shirt</t>
        </is>
      </c>
      <c r="E3419" s="2">
        <f>HYPERLINK("https://www.amazon.com/Under-Armour-ColdGear-Infrared-T-Shirt/dp/B08LP2D9VJ/ref=sr_1_10?keywords=Under+Armour+ColdGear+Armour+Fitted+Mock&amp;qid=1695171146&amp;sr=8-10", "https://www.amazon.com/Under-Armour-ColdGear-Infrared-T-Shirt/dp/B08LP2D9VJ/ref=sr_1_10?keywords=Under+Armour+ColdGear+Armour+Fitted+Mock&amp;qid=1695171146&amp;sr=8-10")</f>
        <v/>
      </c>
      <c r="F3419" t="inlineStr">
        <is>
          <t>B08LP2D9VJ</t>
        </is>
      </c>
      <c r="G3419">
        <f>_xludf.IMAGE("https://www.soccerplususa.com/prodimages//36795-BLACK-M.jpg")</f>
        <v/>
      </c>
      <c r="H3419">
        <f>_xludf.IMAGE("https://m.media-amazon.com/images/I/41sc0RZTJ0L._AC_UL320_.jpg")</f>
        <v/>
      </c>
      <c r="K3419" t="inlineStr">
        <is>
          <t>54.95</t>
        </is>
      </c>
      <c r="L3419" t="n">
        <v>58.22</v>
      </c>
      <c r="M3419" s="1" t="inlineStr">
        <is>
          <t>5.95%</t>
        </is>
      </c>
      <c r="N3419" s="3" t="n">
        <v>5.95</v>
      </c>
      <c r="O3419" t="n">
        <v>4.2</v>
      </c>
      <c r="P3419" t="n">
        <v>14</v>
      </c>
      <c r="R3419" t="inlineStr">
        <is>
          <t>InStock</t>
        </is>
      </c>
      <c r="S3419" t="inlineStr">
        <is>
          <t>undefined</t>
        </is>
      </c>
      <c r="T3419" t="inlineStr">
        <is>
          <t>1366066-001</t>
        </is>
      </c>
    </row>
    <row r="3420" hidden="1" ht="15.75" customHeight="1">
      <c r="A3420" s="2">
        <f>HYPERLINK("https://www.soccerplususa.com/under-armour/under-armour-coldgear-ls-mock-32981", "https://www.soccerplususa.com/under-armour/under-armour-coldgear-ls-mock-32981")</f>
        <v/>
      </c>
      <c r="B3420" t="inlineStr">
        <is>
          <t>undefined</t>
        </is>
      </c>
      <c r="C3420" t="inlineStr">
        <is>
          <t>Under Armour Coldgear LS Mock</t>
        </is>
      </c>
      <c r="D3420" t="inlineStr">
        <is>
          <t>Under Armour Men's ColdGear Fitted Mock</t>
        </is>
      </c>
      <c r="E3420" s="2">
        <f>HYPERLINK("https://www.amazon.com/Under-Armour-ColdGear-Fitted-Medium/dp/B08LNZ74C7/ref=sr_1_3?keywords=Under+Armour+Coldgear+LS+Mock&amp;qid=1695171172&amp;sr=8-3", "https://www.amazon.com/Under-Armour-ColdGear-Fitted-Medium/dp/B08LNZ74C7/ref=sr_1_3?keywords=Under+Armour+Coldgear+LS+Mock&amp;qid=1695171172&amp;sr=8-3")</f>
        <v/>
      </c>
      <c r="F3420" t="inlineStr">
        <is>
          <t>B08LNZ74C7</t>
        </is>
      </c>
      <c r="G3420">
        <f>_xludf.IMAGE("https://www.soccerplususa.com/prodimages/467-DEFAULT-l.jpg")</f>
        <v/>
      </c>
      <c r="H3420">
        <f>_xludf.IMAGE("https://m.media-amazon.com/images/I/41kGm2fUC1L._AC_UL320_.jpg")</f>
        <v/>
      </c>
      <c r="K3420" t="inlineStr">
        <is>
          <t>34.95</t>
        </is>
      </c>
      <c r="L3420" t="n">
        <v>36.99</v>
      </c>
      <c r="M3420" s="1" t="inlineStr">
        <is>
          <t>5.84%</t>
        </is>
      </c>
      <c r="N3420" s="3" t="n">
        <v>5.84</v>
      </c>
      <c r="O3420" t="n">
        <v>4.7</v>
      </c>
      <c r="P3420" t="n">
        <v>2138</v>
      </c>
      <c r="R3420" t="inlineStr">
        <is>
          <t>InStock</t>
        </is>
      </c>
      <c r="S3420" t="inlineStr">
        <is>
          <t>44.95</t>
        </is>
      </c>
      <c r="T3420" t="inlineStr">
        <is>
          <t>1000512-100</t>
        </is>
      </c>
    </row>
    <row r="3421" hidden="1" ht="15.75" customHeight="1">
      <c r="A3421" s="2">
        <f>HYPERLINK("https://www.soccerplususa.com/adidas/adidas-tabela-18-jersey-youth-5111", "https://www.soccerplususa.com/adidas/adidas-tabela-18-jersey-youth-5111")</f>
        <v/>
      </c>
      <c r="B3421" t="inlineStr">
        <is>
          <t>undefined</t>
        </is>
      </c>
      <c r="C3421" t="inlineStr">
        <is>
          <t>adidas Tabela 18 Jersey Youth</t>
        </is>
      </c>
      <c r="D3421" t="inlineStr">
        <is>
          <t>adidas Youth Tabela 18 Jersey</t>
        </is>
      </c>
      <c r="E3421" s="2">
        <f>HYPERLINK("https://www.amazon.com/adidas-TABELA-Jersey-Y%E2%9D%97%EF%B8%8FShips-Directly/dp/B078LCB4LK/ref=sr_1_2?keywords=adidas+Tabela+18+Jersey+Youth&amp;qid=1695171222&amp;sr=8-2", "https://www.amazon.com/adidas-TABELA-Jersey-Y%E2%9D%97%EF%B8%8FShips-Directly/dp/B078LCB4LK/ref=sr_1_2?keywords=adidas+Tabela+18+Jersey+Youth&amp;qid=1695171222&amp;sr=8-2")</f>
        <v/>
      </c>
      <c r="F3421" t="inlineStr">
        <is>
          <t>B078LCB4LK</t>
        </is>
      </c>
      <c r="G3421">
        <f>_xludf.IMAGE("https://www.soccerplususa.com/prodimages//31714-YELLOW-M.jpg")</f>
        <v/>
      </c>
      <c r="H3421">
        <f>_xludf.IMAGE("https://m.media-amazon.com/images/I/61G-4wd3sCL._AC_UL320_.jpg")</f>
        <v/>
      </c>
      <c r="K3421" t="inlineStr">
        <is>
          <t>18.99</t>
        </is>
      </c>
      <c r="L3421" t="n">
        <v>19.99</v>
      </c>
      <c r="M3421" s="1" t="inlineStr">
        <is>
          <t>5.27%</t>
        </is>
      </c>
      <c r="N3421" s="3" t="n">
        <v>5.27</v>
      </c>
      <c r="O3421" t="n">
        <v>1.8</v>
      </c>
      <c r="P3421" t="n">
        <v>2</v>
      </c>
      <c r="R3421" t="inlineStr">
        <is>
          <t>InStock</t>
        </is>
      </c>
      <c r="S3421" t="inlineStr">
        <is>
          <t>24.95</t>
        </is>
      </c>
      <c r="T3421" t="inlineStr">
        <is>
          <t>CE8921</t>
        </is>
      </c>
    </row>
    <row r="3422" hidden="1" ht="15.75" customHeight="1">
      <c r="A3422" s="2">
        <f>HYPERLINK("https://www.soccerplususa.com/nike/nike-tiempo-premier-jersey-34605", "https://www.soccerplususa.com/nike/nike-tiempo-premier-jersey-34605")</f>
        <v/>
      </c>
      <c r="B3422" t="inlineStr">
        <is>
          <t>undefined</t>
        </is>
      </c>
      <c r="C3422" t="inlineStr">
        <is>
          <t>Nike Tiempo Premier Jersey</t>
        </is>
      </c>
      <c r="D3422" t="inlineStr">
        <is>
          <t>Nike Youth Dry Tiempo Prem S/S Soccer Jersey 894114-010 (Large, Black/White)</t>
        </is>
      </c>
      <c r="E3422" s="2">
        <f>HYPERLINK("https://www.amazon.com/Nike-Tiempo-Soccer-Jersey-894114-010/dp/B07MVM5NHG/ref=sr_1_7?keywords=Nike+Tiempo+Premier+Jersey&amp;qid=1695171160&amp;sr=8-7", "https://www.amazon.com/Nike-Tiempo-Soccer-Jersey-894114-010/dp/B07MVM5NHG/ref=sr_1_7?keywords=Nike+Tiempo+Premier+Jersey&amp;qid=1695171160&amp;sr=8-7")</f>
        <v/>
      </c>
      <c r="F3422" t="inlineStr">
        <is>
          <t>B07MVM5NHG</t>
        </is>
      </c>
      <c r="G3422">
        <f>_xludf.IMAGE("https://www.soccerplususa.com/prodimages/32883-DEFAULT-l.jpg")</f>
        <v/>
      </c>
      <c r="H3422">
        <f>_xludf.IMAGE("https://m.media-amazon.com/images/I/61HWQtd3KOL._AC_UL320_.jpg")</f>
        <v/>
      </c>
      <c r="K3422" t="inlineStr">
        <is>
          <t>18.99</t>
        </is>
      </c>
      <c r="L3422" t="n">
        <v>19.99</v>
      </c>
      <c r="M3422" s="1" t="inlineStr">
        <is>
          <t>5.27%</t>
        </is>
      </c>
      <c r="N3422" s="3" t="n">
        <v>5.27</v>
      </c>
      <c r="O3422" t="n">
        <v>5</v>
      </c>
      <c r="P3422" t="n">
        <v>1</v>
      </c>
      <c r="R3422" t="inlineStr">
        <is>
          <t>InStock</t>
        </is>
      </c>
      <c r="S3422" t="inlineStr">
        <is>
          <t>23.95</t>
        </is>
      </c>
      <c r="T3422" t="inlineStr">
        <is>
          <t>894293-692</t>
        </is>
      </c>
    </row>
    <row r="3423" hidden="1" ht="15.75" customHeight="1">
      <c r="A3423" s="2">
        <f>HYPERLINK("https://www.soccerplususa.com/nike/nike-tiempo-premier-jersey-34604", "https://www.soccerplususa.com/nike/nike-tiempo-premier-jersey-34604")</f>
        <v/>
      </c>
      <c r="B3423" t="inlineStr">
        <is>
          <t>undefined</t>
        </is>
      </c>
      <c r="C3423" t="inlineStr">
        <is>
          <t>Nike Tiempo Premier Jersey</t>
        </is>
      </c>
      <c r="D3423" t="inlineStr">
        <is>
          <t>Nike Youth Dry Tiempo Prem S/S Soccer Jersey 894114-010 (Large, Black/White)</t>
        </is>
      </c>
      <c r="E3423" s="2">
        <f>HYPERLINK("https://www.amazon.com/Nike-Tiempo-Soccer-Jersey-894114-010/dp/B07MVM5NHG/ref=sr_1_7?keywords=Nike+Tiempo+Premier+Jersey&amp;qid=1695171163&amp;sr=8-7", "https://www.amazon.com/Nike-Tiempo-Soccer-Jersey-894114-010/dp/B07MVM5NHG/ref=sr_1_7?keywords=Nike+Tiempo+Premier+Jersey&amp;qid=1695171163&amp;sr=8-7")</f>
        <v/>
      </c>
      <c r="F3423" t="inlineStr">
        <is>
          <t>B07MVM5NHG</t>
        </is>
      </c>
      <c r="G3423">
        <f>_xludf.IMAGE("https://www.soccerplususa.com/prodimages/32882-DEFAULT-l.jpg")</f>
        <v/>
      </c>
      <c r="H3423">
        <f>_xludf.IMAGE("https://m.media-amazon.com/images/I/61HWQtd3KOL._AC_UL320_.jpg")</f>
        <v/>
      </c>
      <c r="K3423" t="inlineStr">
        <is>
          <t>18.99</t>
        </is>
      </c>
      <c r="L3423" t="n">
        <v>19.97</v>
      </c>
      <c r="M3423" s="1" t="inlineStr">
        <is>
          <t>5.16%</t>
        </is>
      </c>
      <c r="N3423" s="3" t="n">
        <v>5.16</v>
      </c>
      <c r="O3423" t="n">
        <v>5</v>
      </c>
      <c r="P3423" t="n">
        <v>1</v>
      </c>
      <c r="R3423" t="inlineStr">
        <is>
          <t>InStock</t>
        </is>
      </c>
      <c r="S3423" t="inlineStr">
        <is>
          <t>23.95</t>
        </is>
      </c>
      <c r="T3423" t="inlineStr">
        <is>
          <t>894293-448</t>
        </is>
      </c>
    </row>
    <row r="3424" hidden="1" ht="15.75" customHeight="1">
      <c r="A3424" s="2">
        <f>HYPERLINK("https://www.soccerplususa.com/adidas/adidas-tabela-14-jersey-6152", "https://www.soccerplususa.com/adidas/adidas-tabela-14-jersey-6152")</f>
        <v/>
      </c>
      <c r="B3424" t="inlineStr">
        <is>
          <t>undefined</t>
        </is>
      </c>
      <c r="C3424" t="inlineStr">
        <is>
          <t>adidas Tabela 14 Jersey</t>
        </is>
      </c>
      <c r="D3424" t="inlineStr">
        <is>
          <t>adidas Kids' Tabela 23 Jersey</t>
        </is>
      </c>
      <c r="E3424" s="2">
        <f>HYPERLINK("https://www.amazon.com/adidas-Tabela-Jersey-Black-White/dp/B09YG6J77F/ref=sr_1_4?keywords=adidas+Tabela+14+Jersey&amp;qid=1695171217&amp;sr=8-4", "https://www.amazon.com/adidas-Tabela-Jersey-Black-White/dp/B09YG6J77F/ref=sr_1_4?keywords=adidas+Tabela+14+Jersey&amp;qid=1695171217&amp;sr=8-4")</f>
        <v/>
      </c>
      <c r="F3424" t="inlineStr">
        <is>
          <t>B09YG6J77F</t>
        </is>
      </c>
      <c r="G3424">
        <f>_xludf.IMAGE("https://www.soccerplususa.com/prodimages/4589-DEFAULT-l.jpg")</f>
        <v/>
      </c>
      <c r="H3424">
        <f>_xludf.IMAGE("https://m.media-amazon.com/images/I/71v3s6ZRHCL._AC_UL320_.jpg")</f>
        <v/>
      </c>
      <c r="K3424" t="inlineStr">
        <is>
          <t>17.5</t>
        </is>
      </c>
      <c r="L3424" t="n">
        <v>18.27</v>
      </c>
      <c r="M3424" s="1" t="inlineStr">
        <is>
          <t>4.40%</t>
        </is>
      </c>
      <c r="N3424" s="3" t="n">
        <v>4.4</v>
      </c>
      <c r="O3424" t="n">
        <v>4.8</v>
      </c>
      <c r="P3424" t="n">
        <v>31</v>
      </c>
      <c r="R3424" t="inlineStr">
        <is>
          <t>InStock</t>
        </is>
      </c>
      <c r="S3424" t="inlineStr">
        <is>
          <t>34.95</t>
        </is>
      </c>
      <c r="T3424" t="inlineStr">
        <is>
          <t>F84836</t>
        </is>
      </c>
    </row>
    <row r="3425" hidden="1" ht="15.75" customHeight="1">
      <c r="A3425" s="2">
        <f>HYPERLINK("https://www.soccerplususa.com/storelli-sports/storelli-bodyshield-sleeveless-undershirt-32102", "https://www.soccerplususa.com/storelli-sports/storelli-bodyshield-sleeveless-undershirt-32102")</f>
        <v/>
      </c>
      <c r="B3425" t="inlineStr">
        <is>
          <t>undefined</t>
        </is>
      </c>
      <c r="C3425" t="inlineStr">
        <is>
          <t>Storelli BodyShield Sleeveless Undershirt</t>
        </is>
      </c>
      <c r="D3425" t="inlineStr">
        <is>
          <t>Storelli BodyShield Goalkeeper Light Matchday 3/4 Undershirt | Lightweight Compression Soccer Shirt</t>
        </is>
      </c>
      <c r="E3425" s="2">
        <f>HYPERLINK("https://www.amazon.com/Storelli-BodyShield-Lightweight-Compression-Anti-Abrasion/dp/B08CL13GXK/ref=sr_1_3?keywords=Storelli+BodyShield+Sleeveless+Undershirt&amp;qid=1695171181&amp;sr=8-3", "https://www.amazon.com/Storelli-BodyShield-Lightweight-Compression-Anti-Abrasion/dp/B08CL13GXK/ref=sr_1_3?keywords=Storelli+BodyShield+Sleeveless+Undershirt&amp;qid=1695171181&amp;sr=8-3")</f>
        <v/>
      </c>
      <c r="F3425" t="inlineStr">
        <is>
          <t>B08CL13GXK</t>
        </is>
      </c>
      <c r="G3425">
        <f>_xludf.IMAGE("https://www.soccerplususa.com/prodimages/2096-DEFAULT-l.jpg")</f>
        <v/>
      </c>
      <c r="H3425">
        <f>_xludf.IMAGE("https://m.media-amazon.com/images/I/61JeDq7f4wL._AC_UL320_.jpg")</f>
        <v/>
      </c>
      <c r="K3425" t="inlineStr">
        <is>
          <t>59.95</t>
        </is>
      </c>
      <c r="L3425" t="n">
        <v>62.46</v>
      </c>
      <c r="M3425" s="1" t="inlineStr">
        <is>
          <t>4.19%</t>
        </is>
      </c>
      <c r="N3425" s="3" t="n">
        <v>4.19</v>
      </c>
      <c r="O3425" t="n">
        <v>4.9</v>
      </c>
      <c r="P3425" t="n">
        <v>24</v>
      </c>
      <c r="R3425" t="inlineStr">
        <is>
          <t>InStock</t>
        </is>
      </c>
      <c r="S3425" t="inlineStr">
        <is>
          <t>undefined</t>
        </is>
      </c>
      <c r="T3425" t="inlineStr">
        <is>
          <t>BSFPTOPNSBK</t>
        </is>
      </c>
    </row>
    <row r="3426" hidden="1" ht="15.75" customHeight="1">
      <c r="A3426" s="2">
        <f>HYPERLINK("https://www.soccerplususa.com/new-balance/new-balance-sideline-jacket-41947", "https://www.soccerplususa.com/new-balance/new-balance-sideline-jacket-41947")</f>
        <v/>
      </c>
      <c r="B3426" t="inlineStr">
        <is>
          <t>undefined</t>
        </is>
      </c>
      <c r="C3426" t="inlineStr">
        <is>
          <t>New Balance Sideline Jacket</t>
        </is>
      </c>
      <c r="D3426" t="inlineStr">
        <is>
          <t>New Balance Women's NB Heatloft Athletic Jacket, Deep Olive Green, Medium</t>
        </is>
      </c>
      <c r="E3426" s="2">
        <f>HYPERLINK("https://www.amazon.com/New-Balance-Womens-Athletic-Jacket/dp/B09M7PQ2HM/ref=sr_1_4?keywords=New+Balance+Sideline+Jacket&amp;qid=1695171146&amp;sr=8-4", "https://www.amazon.com/New-Balance-Womens-Athletic-Jacket/dp/B09M7PQ2HM/ref=sr_1_4?keywords=New+Balance+Sideline+Jacket&amp;qid=1695171146&amp;sr=8-4")</f>
        <v/>
      </c>
      <c r="F3426" t="inlineStr">
        <is>
          <t>B09M7PQ2HM</t>
        </is>
      </c>
      <c r="G3426">
        <f>_xludf.IMAGE("https://www.soccerplususa.com/prodimages//37530-BLACK-M.jpg")</f>
        <v/>
      </c>
      <c r="H3426">
        <f>_xludf.IMAGE("https://m.media-amazon.com/images/I/71zXyDOs8TL._AC_UL320_.jpg")</f>
        <v/>
      </c>
      <c r="K3426" t="inlineStr">
        <is>
          <t>71.49</t>
        </is>
      </c>
      <c r="L3426" t="n">
        <v>74.48</v>
      </c>
      <c r="M3426" s="1" t="inlineStr">
        <is>
          <t>4.18%</t>
        </is>
      </c>
      <c r="N3426" s="3" t="n">
        <v>4.18</v>
      </c>
      <c r="O3426" t="n">
        <v>5</v>
      </c>
      <c r="P3426" t="n">
        <v>1</v>
      </c>
      <c r="R3426" t="inlineStr">
        <is>
          <t>InStock</t>
        </is>
      </c>
      <c r="S3426" t="inlineStr">
        <is>
          <t>95.0</t>
        </is>
      </c>
      <c r="T3426" t="inlineStr">
        <is>
          <t>TMMJ718</t>
        </is>
      </c>
    </row>
    <row r="3427" hidden="1" ht="15.75" customHeight="1">
      <c r="A3427" s="2">
        <f>HYPERLINK("https://www.soccerplususa.com/adidas/adidas-core-18-training-top-33852", "https://www.soccerplususa.com/adidas/adidas-core-18-training-top-33852")</f>
        <v/>
      </c>
      <c r="B3427" t="inlineStr">
        <is>
          <t>undefined</t>
        </is>
      </c>
      <c r="C3427" t="inlineStr">
        <is>
          <t>adidas Core 18 Training Top</t>
        </is>
      </c>
      <c r="D3427" t="inlineStr">
        <is>
          <t>adidas Women's Core 18 Training Pants</t>
        </is>
      </c>
      <c r="E3427" s="2">
        <f>HYPERLINK("https://www.amazon.com/adidas-Core18-Training-Pants-XX-Small/dp/B0721VRWM9/ref=sr_1_2?keywords=adidas+Core+18+Training+Top&amp;qid=1695171165&amp;sr=8-2", "https://www.amazon.com/adidas-Core18-Training-Pants-XX-Small/dp/B0721VRWM9/ref=sr_1_2?keywords=adidas+Core+18+Training+Top&amp;qid=1695171165&amp;sr=8-2")</f>
        <v/>
      </c>
      <c r="F3427" t="inlineStr">
        <is>
          <t>B0721VRWM9</t>
        </is>
      </c>
      <c r="G3427">
        <f>_xludf.IMAGE("https://www.soccerplususa.com/prodimages/33345-DEFAULT-l.jpg")</f>
        <v/>
      </c>
      <c r="H3427">
        <f>_xludf.IMAGE("https://m.media-amazon.com/images/I/71hjyjSAC1L._AC_UL320_.jpg")</f>
        <v/>
      </c>
      <c r="K3427" t="inlineStr">
        <is>
          <t>22.99</t>
        </is>
      </c>
      <c r="L3427" t="n">
        <v>23.95</v>
      </c>
      <c r="M3427" s="1" t="inlineStr">
        <is>
          <t>4.18%</t>
        </is>
      </c>
      <c r="N3427" s="3" t="n">
        <v>4.18</v>
      </c>
      <c r="O3427" t="n">
        <v>4.5</v>
      </c>
      <c r="P3427" t="n">
        <v>1417</v>
      </c>
      <c r="R3427" t="inlineStr">
        <is>
          <t>InStock</t>
        </is>
      </c>
      <c r="S3427" t="inlineStr">
        <is>
          <t>30.95</t>
        </is>
      </c>
      <c r="T3427" t="inlineStr">
        <is>
          <t>CV4000</t>
        </is>
      </c>
    </row>
    <row r="3428" hidden="1" ht="15.75" customHeight="1">
      <c r="A3428" s="2">
        <f>HYPERLINK("https://www.soccerplususa.com/under-armour/under-armour-coldgear-mock-womens-33129", "https://www.soccerplususa.com/under-armour/under-armour-coldgear-mock-womens-33129")</f>
        <v/>
      </c>
      <c r="B3428" t="inlineStr">
        <is>
          <t>undefined</t>
        </is>
      </c>
      <c r="C3428" t="inlineStr">
        <is>
          <t>Under Armour Coldgear Mock Women's</t>
        </is>
      </c>
      <c r="D3428" t="inlineStr">
        <is>
          <t>Under Armour Women's Tac Mock Cofgear Infrared Base T-Shirt</t>
        </is>
      </c>
      <c r="E3428" s="2">
        <f>HYPERLINK("https://www.amazon.com/Under-Armour-CofGear-Infrared-T-Shirt/dp/B08LMZDG84/ref=sr_1_7?keywords=Under+Armour+Coldgear+Mock+Women%27s&amp;qid=1695171175&amp;sr=8-7", "https://www.amazon.com/Under-Armour-CofGear-Infrared-T-Shirt/dp/B08LMZDG84/ref=sr_1_7?keywords=Under+Armour+Coldgear+Mock+Women%27s&amp;qid=1695171175&amp;sr=8-7")</f>
        <v/>
      </c>
      <c r="F3428" t="inlineStr">
        <is>
          <t>B08LMZDG84</t>
        </is>
      </c>
      <c r="G3428">
        <f>_xludf.IMAGE("https://www.soccerplususa.com/prodimages/2365-DEFAULT-l.jpg")</f>
        <v/>
      </c>
      <c r="H3428">
        <f>_xludf.IMAGE("https://m.media-amazon.com/images/I/71NbiMW72EL._AC_UL320_.jpg")</f>
        <v/>
      </c>
      <c r="K3428" t="inlineStr">
        <is>
          <t>49.95</t>
        </is>
      </c>
      <c r="L3428" t="n">
        <v>52</v>
      </c>
      <c r="M3428" s="1" t="inlineStr">
        <is>
          <t>4.10%</t>
        </is>
      </c>
      <c r="N3428" s="3" t="n">
        <v>4.1</v>
      </c>
      <c r="O3428" t="n">
        <v>5</v>
      </c>
      <c r="P3428" t="n">
        <v>1</v>
      </c>
      <c r="R3428" t="inlineStr">
        <is>
          <t>InStock</t>
        </is>
      </c>
      <c r="S3428" t="inlineStr">
        <is>
          <t>undefined</t>
        </is>
      </c>
      <c r="T3428" t="inlineStr">
        <is>
          <t>1215968-100</t>
        </is>
      </c>
    </row>
    <row r="3429" hidden="1" ht="15.75" customHeight="1">
      <c r="A3429" s="2">
        <f>HYPERLINK("https://www.soccerplususa.com/new-balance/new-balance-thermal-half-zip-top-womens-39182", "https://www.soccerplususa.com/new-balance/new-balance-thermal-half-zip-top-womens-39182")</f>
        <v/>
      </c>
      <c r="B3429" t="inlineStr">
        <is>
          <t>undefined</t>
        </is>
      </c>
      <c r="C3429" t="inlineStr">
        <is>
          <t>New Balance Thermal Half Zip Top Women's</t>
        </is>
      </c>
      <c r="D3429" t="inlineStr">
        <is>
          <t>New Balance Women's Boylston Half Zip</t>
        </is>
      </c>
      <c r="E3429" s="2">
        <f>HYPERLINK("https://www.amazon.com/New-Balance-Womens-Boylston-Black/dp/B00DJTLBCU/ref=sr_1_10?keywords=New+Balance+Thermal+Half+Zip+Top+Womens&amp;qid=1695171153&amp;sr=8-10", "https://www.amazon.com/New-Balance-Womens-Boylston-Black/dp/B00DJTLBCU/ref=sr_1_10?keywords=New+Balance+Thermal+Half+Zip+Top+Womens&amp;qid=1695171153&amp;sr=8-10")</f>
        <v/>
      </c>
      <c r="F3429" t="inlineStr">
        <is>
          <t>B00DJTLBCU</t>
        </is>
      </c>
      <c r="G3429">
        <f>_xludf.IMAGE("https://www.soccerplususa.com/prodimages/35277-DEFAULT-l.jpg")</f>
        <v/>
      </c>
      <c r="H3429">
        <f>_xludf.IMAGE("https://m.media-amazon.com/images/I/91dkwTAuSwL._AC_UL320_.jpg")</f>
        <v/>
      </c>
      <c r="K3429" t="inlineStr">
        <is>
          <t>48.99</t>
        </is>
      </c>
      <c r="L3429" t="n">
        <v>51</v>
      </c>
      <c r="M3429" s="1" t="inlineStr">
        <is>
          <t>4.10%</t>
        </is>
      </c>
      <c r="N3429" s="3" t="n">
        <v>4.1</v>
      </c>
      <c r="O3429" t="n">
        <v>4</v>
      </c>
      <c r="P3429" t="n">
        <v>3</v>
      </c>
      <c r="R3429" t="inlineStr">
        <is>
          <t>InStock</t>
        </is>
      </c>
      <c r="S3429" t="inlineStr">
        <is>
          <t>65.0</t>
        </is>
      </c>
      <c r="T3429" t="inlineStr">
        <is>
          <t>TMWT725</t>
        </is>
      </c>
    </row>
    <row r="3430" hidden="1" ht="15.75" customHeight="1">
      <c r="A3430" s="2">
        <f>HYPERLINK("https://www.soccerplususa.com/adidas/adidas-tiro-21-track-jacket-41183", "https://www.soccerplususa.com/adidas/adidas-tiro-21-track-jacket-41183")</f>
        <v/>
      </c>
      <c r="B3430" t="inlineStr">
        <is>
          <t>undefined</t>
        </is>
      </c>
      <c r="C3430" t="inlineStr">
        <is>
          <t>adidas Tiro 21 Track Jacket</t>
        </is>
      </c>
      <c r="D3430" t="inlineStr">
        <is>
          <t>adidas Tiro '21 Winterized Track Jacket Black/Solar Gold LG</t>
        </is>
      </c>
      <c r="E3430" s="2">
        <f>HYPERLINK("https://www.amazon.com/adidas-Winterized-Track-Jacket-Black/dp/B08LF4SYHW/ref=sr_1_8?keywords=adidas+Tiro+21+Track+Jacket&amp;qid=1695171147&amp;sr=8-8", "https://www.amazon.com/adidas-Winterized-Track-Jacket-Black/dp/B08LF4SYHW/ref=sr_1_8?keywords=adidas+Tiro+21+Track+Jacket&amp;qid=1695171147&amp;sr=8-8")</f>
        <v/>
      </c>
      <c r="F3430" t="inlineStr">
        <is>
          <t>B08LF4SYHW</t>
        </is>
      </c>
      <c r="G3430">
        <f>_xludf.IMAGE("https://www.soccerplususa.com/prodimages//36165-BLACKWHITE-M.jpg")</f>
        <v/>
      </c>
      <c r="H3430">
        <f>_xludf.IMAGE("https://m.media-amazon.com/images/I/71Fk6GQlYML._AC_UL320_.jpg")</f>
        <v/>
      </c>
      <c r="K3430" t="inlineStr">
        <is>
          <t>50.0</t>
        </is>
      </c>
      <c r="L3430" t="n">
        <v>51.95</v>
      </c>
      <c r="M3430" s="1" t="inlineStr">
        <is>
          <t>3.90%</t>
        </is>
      </c>
      <c r="N3430" s="3" t="n">
        <v>3.9</v>
      </c>
      <c r="O3430" t="n">
        <v>4.6</v>
      </c>
      <c r="P3430" t="n">
        <v>2</v>
      </c>
      <c r="R3430" t="inlineStr">
        <is>
          <t>InStock</t>
        </is>
      </c>
      <c r="S3430" t="inlineStr">
        <is>
          <t>undefined</t>
        </is>
      </c>
      <c r="T3430" t="inlineStr">
        <is>
          <t>GM7319</t>
        </is>
      </c>
    </row>
    <row r="3431" hidden="1" ht="15.75" customHeight="1">
      <c r="A3431" s="2">
        <f>HYPERLINK("https://www.soccerplususa.com/new-balance/new-balance-sideline-jacket-41947", "https://www.soccerplususa.com/new-balance/new-balance-sideline-jacket-41947")</f>
        <v/>
      </c>
      <c r="B3431" t="inlineStr">
        <is>
          <t>undefined</t>
        </is>
      </c>
      <c r="C3431" t="inlineStr">
        <is>
          <t>New Balance Sideline Jacket</t>
        </is>
      </c>
      <c r="D3431" t="inlineStr">
        <is>
          <t>New Balance Men's Impact Run Packable Jacket</t>
        </is>
      </c>
      <c r="E3431" s="2">
        <f>HYPERLINK("https://www.amazon.com/New-Balance-Impact-Jacket-XX-Large/dp/B0924YLPFM/ref=sr_1_2?keywords=New+Balance+Sideline+Jacket&amp;qid=1695171146&amp;sr=8-2", "https://www.amazon.com/New-Balance-Impact-Jacket-XX-Large/dp/B0924YLPFM/ref=sr_1_2?keywords=New+Balance+Sideline+Jacket&amp;qid=1695171146&amp;sr=8-2")</f>
        <v/>
      </c>
      <c r="F3431" t="inlineStr">
        <is>
          <t>B0924YLPFM</t>
        </is>
      </c>
      <c r="G3431">
        <f>_xludf.IMAGE("https://www.soccerplususa.com/prodimages//37530-BLACK-M.jpg")</f>
        <v/>
      </c>
      <c r="H3431">
        <f>_xludf.IMAGE("https://m.media-amazon.com/images/I/71gzFIDMsAL._AC_UL320_.jpg")</f>
        <v/>
      </c>
      <c r="K3431" t="inlineStr">
        <is>
          <t>71.49</t>
        </is>
      </c>
      <c r="L3431" t="n">
        <v>74.26000000000001</v>
      </c>
      <c r="M3431" s="1" t="inlineStr">
        <is>
          <t>3.87%</t>
        </is>
      </c>
      <c r="N3431" s="3" t="n">
        <v>3.87</v>
      </c>
      <c r="O3431" t="n">
        <v>3.7</v>
      </c>
      <c r="P3431" t="n">
        <v>14</v>
      </c>
      <c r="R3431" t="inlineStr">
        <is>
          <t>InStock</t>
        </is>
      </c>
      <c r="S3431" t="inlineStr">
        <is>
          <t>95.0</t>
        </is>
      </c>
      <c r="T3431" t="inlineStr">
        <is>
          <t>TMMJ718</t>
        </is>
      </c>
    </row>
    <row r="3432" hidden="1" ht="15.75" customHeight="1">
      <c r="A3432" s="2">
        <f>HYPERLINK("https://www.soccerplususa.com/puma/puma-liga-training-rain-jacket-youth-35518", "https://www.soccerplususa.com/puma/puma-liga-training-rain-jacket-youth-35518")</f>
        <v/>
      </c>
      <c r="B3432" t="inlineStr">
        <is>
          <t>undefined</t>
        </is>
      </c>
      <c r="C3432" t="inlineStr">
        <is>
          <t>Puma Liga Training Rain Jacket Youth</t>
        </is>
      </c>
      <c r="D3432" t="inlineStr">
        <is>
          <t>PUMA Unisex-Youth Liga Training Fleece Jacket</t>
        </is>
      </c>
      <c r="E3432" s="2">
        <f>HYPERLINK("https://www.amazon.com/PUMA-Training-Fleece-X-Large-Black-Puma/dp/B07B8CCKHG/ref=sr_1_4?keywords=Puma+Liga+Training+Rain+Jacket+Youth&amp;qid=1695171159&amp;sr=8-4", "https://www.amazon.com/PUMA-Training-Fleece-X-Large-Black-Puma/dp/B07B8CCKHG/ref=sr_1_4?keywords=Puma+Liga+Training+Rain+Jacket+Youth&amp;qid=1695171159&amp;sr=8-4")</f>
        <v/>
      </c>
      <c r="F3432" t="inlineStr">
        <is>
          <t>B07B8CCKHG</t>
        </is>
      </c>
      <c r="G3432">
        <f>_xludf.IMAGE("https://www.soccerplususa.com/prodimages/13113-DEFAULT-l.jpg")</f>
        <v/>
      </c>
      <c r="H3432">
        <f>_xludf.IMAGE("https://m.media-amazon.com/images/I/51od9y5GiJL._AC_UL320_.jpg")</f>
        <v/>
      </c>
      <c r="K3432" t="inlineStr">
        <is>
          <t>59.95</t>
        </is>
      </c>
      <c r="L3432" t="n">
        <v>62.12</v>
      </c>
      <c r="M3432" s="1" t="inlineStr">
        <is>
          <t>3.62%</t>
        </is>
      </c>
      <c r="N3432" s="3" t="n">
        <v>3.62</v>
      </c>
      <c r="O3432" t="n">
        <v>3.7</v>
      </c>
      <c r="P3432" t="n">
        <v>23</v>
      </c>
      <c r="R3432" t="inlineStr">
        <is>
          <t>InStock</t>
        </is>
      </c>
      <c r="S3432" t="inlineStr">
        <is>
          <t>undefined</t>
        </is>
      </c>
      <c r="T3432" t="inlineStr">
        <is>
          <t>655660-03</t>
        </is>
      </c>
    </row>
    <row r="3433" hidden="1" ht="15.75" customHeight="1">
      <c r="A3433" s="2">
        <f>HYPERLINK("https://www.soccerplususa.com/adidas/adidas-tiro-17-jersey-33798", "https://www.soccerplususa.com/adidas/adidas-tiro-17-jersey-33798")</f>
        <v/>
      </c>
      <c r="B3433" t="inlineStr">
        <is>
          <t>undefined</t>
        </is>
      </c>
      <c r="C3433" t="inlineStr">
        <is>
          <t>adidas Tiro 17 Jersey</t>
        </is>
      </c>
      <c r="D3433" t="inlineStr">
        <is>
          <t>adidas Womens Tiro 17 Jersey</t>
        </is>
      </c>
      <c r="E3433" s="2">
        <f>HYPERLINK("https://www.amazon.com/adidas-Womens-Embellished-T-Shirt-Medium/dp/B06XX4BHD2/ref=sr_1_5?keywords=adidas+Tiro+17+Jersey&amp;qid=1695171166&amp;sr=8-5", "https://www.amazon.com/adidas-Womens-Embellished-T-Shirt-Medium/dp/B06XX4BHD2/ref=sr_1_5?keywords=adidas+Tiro+17+Jersey&amp;qid=1695171166&amp;sr=8-5")</f>
        <v/>
      </c>
      <c r="F3433" t="inlineStr">
        <is>
          <t>B06XX4BHD2</t>
        </is>
      </c>
      <c r="G3433">
        <f>_xludf.IMAGE("https://www.soccerplususa.com/prodimages/7452-DEFAULT-l.jpg")</f>
        <v/>
      </c>
      <c r="H3433">
        <f>_xludf.IMAGE("https://m.media-amazon.com/images/I/51mgSEt736L._AC_UL320_.jpg")</f>
        <v/>
      </c>
      <c r="K3433" t="inlineStr">
        <is>
          <t>23.97</t>
        </is>
      </c>
      <c r="L3433" t="n">
        <v>24.74</v>
      </c>
      <c r="M3433" s="1" t="inlineStr">
        <is>
          <t>3.21%</t>
        </is>
      </c>
      <c r="N3433" s="3" t="n">
        <v>3.21</v>
      </c>
      <c r="O3433" t="n">
        <v>5</v>
      </c>
      <c r="P3433" t="n">
        <v>6</v>
      </c>
      <c r="R3433" t="inlineStr">
        <is>
          <t>InStock</t>
        </is>
      </c>
      <c r="S3433" t="inlineStr">
        <is>
          <t>39.95</t>
        </is>
      </c>
      <c r="T3433" t="inlineStr">
        <is>
          <t>BS4216</t>
        </is>
      </c>
    </row>
    <row r="3434" hidden="1" ht="15.75" customHeight="1">
      <c r="A3434" s="2">
        <f>HYPERLINK("https://www.soccerplususa.com/adidas/adidas-condivo-21-training-top-womens-41950", "https://www.soccerplususa.com/adidas/adidas-condivo-21-training-top-womens-41950")</f>
        <v/>
      </c>
      <c r="B3434" t="inlineStr">
        <is>
          <t>undefined</t>
        </is>
      </c>
      <c r="C3434" t="inlineStr">
        <is>
          <t>adidas Condivo 21 Training Top Women's</t>
        </is>
      </c>
      <c r="D3434" t="inlineStr">
        <is>
          <t>adidas Condivo 21 Training Top</t>
        </is>
      </c>
      <c r="E3434" s="2">
        <f>HYPERLINK("https://www.amazon.com/adidas-Condivo-Training-Top-Black-White/dp/B08XFZP9PJ/ref=sr_1_1?keywords=adidas+Condivo+21+Training+Top+Womens&amp;qid=1695171149&amp;sr=8-1", "https://www.amazon.com/adidas-Condivo-Training-Top-Black-White/dp/B08XFZP9PJ/ref=sr_1_1?keywords=adidas+Condivo+21+Training+Top+Womens&amp;qid=1695171149&amp;sr=8-1")</f>
        <v/>
      </c>
      <c r="F3434" t="inlineStr">
        <is>
          <t>B08XFZP9PJ</t>
        </is>
      </c>
      <c r="G3434">
        <f>_xludf.IMAGE("https://www.soccerplususa.com/prodimages//37061-GREYWHITE-M.jpg")</f>
        <v/>
      </c>
      <c r="H3434">
        <f>_xludf.IMAGE("https://m.media-amazon.com/images/I/51aT9dU2t5L._AC_UL320_.jpg")</f>
        <v/>
      </c>
      <c r="K3434" t="inlineStr">
        <is>
          <t>48.49</t>
        </is>
      </c>
      <c r="L3434" t="n">
        <v>49.98</v>
      </c>
      <c r="M3434" s="1" t="inlineStr">
        <is>
          <t>3.07%</t>
        </is>
      </c>
      <c r="N3434" s="3" t="n">
        <v>3.07</v>
      </c>
      <c r="O3434" t="n">
        <v>4.7</v>
      </c>
      <c r="P3434" t="n">
        <v>10</v>
      </c>
      <c r="R3434" t="inlineStr">
        <is>
          <t>InStock</t>
        </is>
      </c>
      <c r="S3434" t="inlineStr">
        <is>
          <t>64.95</t>
        </is>
      </c>
      <c r="T3434" t="inlineStr">
        <is>
          <t>GP1902</t>
        </is>
      </c>
    </row>
    <row r="3435" hidden="1" ht="15.75" customHeight="1">
      <c r="A3435" s="2">
        <f>HYPERLINK("https://www.soccerplususa.com/adidas/adidas-tabela-14-jersey-6151", "https://www.soccerplususa.com/adidas/adidas-tabela-14-jersey-6151")</f>
        <v/>
      </c>
      <c r="B3435" t="inlineStr">
        <is>
          <t>undefined</t>
        </is>
      </c>
      <c r="C3435" t="inlineStr">
        <is>
          <t>adidas Tabela 14 Jersey</t>
        </is>
      </c>
      <c r="D3435" t="inlineStr">
        <is>
          <t>adidas Womens Tabela 18 Soccer Jersey</t>
        </is>
      </c>
      <c r="E3435" s="2">
        <f>HYPERLINK("https://www.amazon.com/adidas-TABELA-18-Jersey-W/dp/B078LKGV12/ref=sr_1_6?keywords=adidas+Tabela+14+Jersey&amp;qid=1695171220&amp;sr=8-6", "https://www.amazon.com/adidas-TABELA-18-Jersey-W/dp/B078LKGV12/ref=sr_1_6?keywords=adidas+Tabela+14+Jersey&amp;qid=1695171220&amp;sr=8-6")</f>
        <v/>
      </c>
      <c r="F3435" t="inlineStr">
        <is>
          <t>B078LKGV12</t>
        </is>
      </c>
      <c r="G3435">
        <f>_xludf.IMAGE("https://www.soccerplususa.com/prodimages/4588-DEFAULT-l.jpg")</f>
        <v/>
      </c>
      <c r="H3435">
        <f>_xludf.IMAGE("https://m.media-amazon.com/images/I/61ya9ZWdpuL._AC_UL320_.jpg")</f>
        <v/>
      </c>
      <c r="K3435" t="inlineStr">
        <is>
          <t>17.5</t>
        </is>
      </c>
      <c r="L3435" t="n">
        <v>17.95</v>
      </c>
      <c r="M3435" s="1" t="inlineStr">
        <is>
          <t>2.57%</t>
        </is>
      </c>
      <c r="N3435" s="3" t="n">
        <v>2.57</v>
      </c>
      <c r="O3435" t="n">
        <v>4.6</v>
      </c>
      <c r="P3435" t="n">
        <v>135</v>
      </c>
      <c r="R3435" t="inlineStr">
        <is>
          <t>InStock</t>
        </is>
      </c>
      <c r="S3435" t="inlineStr">
        <is>
          <t>34.95</t>
        </is>
      </c>
      <c r="T3435" t="inlineStr">
        <is>
          <t>F84835</t>
        </is>
      </c>
    </row>
    <row r="3436" hidden="1" ht="15.75" customHeight="1">
      <c r="A3436" s="2">
        <f>HYPERLINK("https://www.soccerplususa.com/adidas/adidas-tabela-14-jersey-6082", "https://www.soccerplususa.com/adidas/adidas-tabela-14-jersey-6082")</f>
        <v/>
      </c>
      <c r="B3436" t="inlineStr">
        <is>
          <t>undefined</t>
        </is>
      </c>
      <c r="C3436" t="inlineStr">
        <is>
          <t>adidas Tabela 14 Jersey</t>
        </is>
      </c>
      <c r="D3436" t="inlineStr">
        <is>
          <t>adidas Womens Tabela 18 Soccer Jersey</t>
        </is>
      </c>
      <c r="E3436" s="2">
        <f>HYPERLINK("https://www.amazon.com/adidas-TABELA-18-Jersey-W/dp/B078LKGV12/ref=sr_1_5?keywords=adidas+Tabela+14+Jersey&amp;qid=1695171211&amp;sr=8-5", "https://www.amazon.com/adidas-TABELA-18-Jersey-W/dp/B078LKGV12/ref=sr_1_5?keywords=adidas+Tabela+14+Jersey&amp;qid=1695171211&amp;sr=8-5")</f>
        <v/>
      </c>
      <c r="F3436" t="inlineStr">
        <is>
          <t>B078LKGV12</t>
        </is>
      </c>
      <c r="G3436">
        <f>_xludf.IMAGE("https://www.soccerplususa.com/prodimages/2638-DEFAULT-l.jpg")</f>
        <v/>
      </c>
      <c r="H3436">
        <f>_xludf.IMAGE("https://m.media-amazon.com/images/I/61ya9ZWdpuL._AC_UL320_.jpg")</f>
        <v/>
      </c>
      <c r="K3436" t="inlineStr">
        <is>
          <t>17.5</t>
        </is>
      </c>
      <c r="L3436" t="n">
        <v>17.95</v>
      </c>
      <c r="M3436" s="1" t="inlineStr">
        <is>
          <t>2.57%</t>
        </is>
      </c>
      <c r="N3436" s="3" t="n">
        <v>2.57</v>
      </c>
      <c r="O3436" t="n">
        <v>4.6</v>
      </c>
      <c r="P3436" t="n">
        <v>135</v>
      </c>
      <c r="R3436" t="inlineStr">
        <is>
          <t>InStock</t>
        </is>
      </c>
      <c r="S3436" t="inlineStr">
        <is>
          <t>34.95</t>
        </is>
      </c>
      <c r="T3436" t="inlineStr">
        <is>
          <t>F50284</t>
        </is>
      </c>
    </row>
    <row r="3437" hidden="1" ht="15.75" customHeight="1">
      <c r="A3437" s="2">
        <f>HYPERLINK("https://www.soccerplususa.com/adidas/adidas-tabela-14-jersey-6078", "https://www.soccerplususa.com/adidas/adidas-tabela-14-jersey-6078")</f>
        <v/>
      </c>
      <c r="B3437" t="inlineStr">
        <is>
          <t>undefined</t>
        </is>
      </c>
      <c r="C3437" t="inlineStr">
        <is>
          <t>adidas Tabela 14 Jersey</t>
        </is>
      </c>
      <c r="D3437" t="inlineStr">
        <is>
          <t>adidas Womens Tabela 18 Soccer Jersey</t>
        </is>
      </c>
      <c r="E3437" s="2">
        <f>HYPERLINK("https://www.amazon.com/adidas-TABELA-18-Jersey-W/dp/B078LKGV12/ref=sr_1_6?keywords=adidas+Tabela+14+Jersey&amp;qid=1695171215&amp;sr=8-6", "https://www.amazon.com/adidas-TABELA-18-Jersey-W/dp/B078LKGV12/ref=sr_1_6?keywords=adidas+Tabela+14+Jersey&amp;qid=1695171215&amp;sr=8-6")</f>
        <v/>
      </c>
      <c r="F3437" t="inlineStr">
        <is>
          <t>B078LKGV12</t>
        </is>
      </c>
      <c r="G3437">
        <f>_xludf.IMAGE("https://www.soccerplususa.com/prodimages/4489-DEFAULT-l.jpg")</f>
        <v/>
      </c>
      <c r="H3437">
        <f>_xludf.IMAGE("https://m.media-amazon.com/images/I/61ya9ZWdpuL._AC_UL320_.jpg")</f>
        <v/>
      </c>
      <c r="K3437" t="inlineStr">
        <is>
          <t>17.5</t>
        </is>
      </c>
      <c r="L3437" t="n">
        <v>17.95</v>
      </c>
      <c r="M3437" s="1" t="inlineStr">
        <is>
          <t>2.57%</t>
        </is>
      </c>
      <c r="N3437" s="3" t="n">
        <v>2.57</v>
      </c>
      <c r="O3437" t="n">
        <v>4.6</v>
      </c>
      <c r="P3437" t="n">
        <v>135</v>
      </c>
      <c r="R3437" t="inlineStr">
        <is>
          <t>InStock</t>
        </is>
      </c>
      <c r="S3437" t="inlineStr">
        <is>
          <t>34.95</t>
        </is>
      </c>
      <c r="T3437" t="inlineStr">
        <is>
          <t>F50269</t>
        </is>
      </c>
    </row>
    <row r="3438" hidden="1" ht="15.75" customHeight="1">
      <c r="A3438" s="2">
        <f>HYPERLINK("https://www.soccerplususa.com/adidas/adidas-tabela-14-jersey-6152", "https://www.soccerplususa.com/adidas/adidas-tabela-14-jersey-6152")</f>
        <v/>
      </c>
      <c r="B3438" t="inlineStr">
        <is>
          <t>undefined</t>
        </is>
      </c>
      <c r="C3438" t="inlineStr">
        <is>
          <t>adidas Tabela 14 Jersey</t>
        </is>
      </c>
      <c r="D3438" t="inlineStr">
        <is>
          <t>adidas Womens Tabela 18 Soccer Jersey</t>
        </is>
      </c>
      <c r="E3438" s="2">
        <f>HYPERLINK("https://www.amazon.com/adidas-TABELA-18-Jersey-W/dp/B078LKGV12/ref=sr_1_6?keywords=adidas+Tabela+14+Jersey&amp;qid=1695171217&amp;sr=8-6", "https://www.amazon.com/adidas-TABELA-18-Jersey-W/dp/B078LKGV12/ref=sr_1_6?keywords=adidas+Tabela+14+Jersey&amp;qid=1695171217&amp;sr=8-6")</f>
        <v/>
      </c>
      <c r="F3438" t="inlineStr">
        <is>
          <t>B078LKGV12</t>
        </is>
      </c>
      <c r="G3438">
        <f>_xludf.IMAGE("https://www.soccerplususa.com/prodimages/4589-DEFAULT-l.jpg")</f>
        <v/>
      </c>
      <c r="H3438">
        <f>_xludf.IMAGE("https://m.media-amazon.com/images/I/61ya9ZWdpuL._AC_UL320_.jpg")</f>
        <v/>
      </c>
      <c r="K3438" t="inlineStr">
        <is>
          <t>17.5</t>
        </is>
      </c>
      <c r="L3438" t="n">
        <v>17.94</v>
      </c>
      <c r="M3438" s="1" t="inlineStr">
        <is>
          <t>2.51%</t>
        </is>
      </c>
      <c r="N3438" s="3" t="n">
        <v>2.51</v>
      </c>
      <c r="O3438" t="n">
        <v>4.6</v>
      </c>
      <c r="P3438" t="n">
        <v>135</v>
      </c>
      <c r="R3438" t="inlineStr">
        <is>
          <t>InStock</t>
        </is>
      </c>
      <c r="S3438" t="inlineStr">
        <is>
          <t>34.95</t>
        </is>
      </c>
      <c r="T3438" t="inlineStr">
        <is>
          <t>F84836</t>
        </is>
      </c>
    </row>
    <row r="3439" hidden="1" ht="15.75" customHeight="1">
      <c r="A3439" s="2">
        <f>HYPERLINK("https://www.soccerplususa.com/adidas/adidas-regista-14-jersey-6065", "https://www.soccerplususa.com/adidas/adidas-regista-14-jersey-6065")</f>
        <v/>
      </c>
      <c r="B3439" t="inlineStr">
        <is>
          <t>undefined</t>
        </is>
      </c>
      <c r="C3439" t="inlineStr">
        <is>
          <t>adidas Regista 14 Jersey</t>
        </is>
      </c>
      <c r="D3439" t="inlineStr">
        <is>
          <t>adidas Men's Regista 14 Soccer Jersey</t>
        </is>
      </c>
      <c r="E3439" s="2">
        <f>HYPERLINK("https://www.amazon.com/adidas-Mens-Regista-Soccer-Jersey/dp/B00H3HX2ZI/ref=sr_1_3?keywords=adidas+Regista+14+Jersey&amp;qid=1695171215&amp;sr=8-3", "https://www.amazon.com/adidas-Mens-Regista-Soccer-Jersey/dp/B00H3HX2ZI/ref=sr_1_3?keywords=adidas+Regista+14+Jersey&amp;qid=1695171215&amp;sr=8-3")</f>
        <v/>
      </c>
      <c r="F3439" t="inlineStr">
        <is>
          <t>B00H3HX2ZI</t>
        </is>
      </c>
      <c r="G3439">
        <f>_xludf.IMAGE("https://www.soccerplususa.com/prodimages/32793-DEFAULT-l.jpg")</f>
        <v/>
      </c>
      <c r="H3439">
        <f>_xludf.IMAGE("https://m.media-amazon.com/images/I/61jM32B1pbL._AC_UL320_.jpg")</f>
        <v/>
      </c>
      <c r="K3439" t="inlineStr">
        <is>
          <t>22.0</t>
        </is>
      </c>
      <c r="L3439" t="n">
        <v>22.5</v>
      </c>
      <c r="M3439" s="1" t="inlineStr">
        <is>
          <t>2.27%</t>
        </is>
      </c>
      <c r="N3439" s="3" t="n">
        <v>2.27</v>
      </c>
      <c r="O3439" t="n">
        <v>5</v>
      </c>
      <c r="P3439" t="n">
        <v>1</v>
      </c>
      <c r="R3439" t="inlineStr">
        <is>
          <t>InStock</t>
        </is>
      </c>
      <c r="S3439" t="inlineStr">
        <is>
          <t>44.95</t>
        </is>
      </c>
      <c r="T3439" t="inlineStr">
        <is>
          <t>F50009</t>
        </is>
      </c>
    </row>
    <row r="3440" hidden="1" ht="15.75" customHeight="1">
      <c r="A3440" s="2">
        <f>HYPERLINK("https://www.soccerplususa.com/adidas/adidas-condivo-18-training-jacket-womens-5188", "https://www.soccerplususa.com/adidas/adidas-condivo-18-training-jacket-womens-5188")</f>
        <v/>
      </c>
      <c r="B3440" t="inlineStr">
        <is>
          <t>undefined</t>
        </is>
      </c>
      <c r="C3440" t="inlineStr">
        <is>
          <t>adidas Condivo 18 Training Jacket Women's</t>
        </is>
      </c>
      <c r="D3440" t="inlineStr">
        <is>
          <t>adidas Women's Condivo 18 Polyester Jacket</t>
        </is>
      </c>
      <c r="E3440" s="2">
        <f>HYPERLINK("https://www.amazon.com/adidas-Condivo-Jacket-Blue-Dark-Blue-White/dp/B07BHG9LLC/ref=sr_1_1?keywords=adidas+Condivo+18+Training+Jacket+Womens&amp;qid=1695171217&amp;sr=8-1", "https://www.amazon.com/adidas-Condivo-Jacket-Blue-Dark-Blue-White/dp/B07BHG9LLC/ref=sr_1_1?keywords=adidas+Condivo+18+Training+Jacket+Womens&amp;qid=1695171217&amp;sr=8-1")</f>
        <v/>
      </c>
      <c r="F3440" t="inlineStr">
        <is>
          <t>B07BHG9LLC</t>
        </is>
      </c>
      <c r="G3440">
        <f>_xludf.IMAGE("https://www.soccerplususa.com/prodimages/5974-DEFAULT-l.jpg")</f>
        <v/>
      </c>
      <c r="H3440">
        <f>_xludf.IMAGE("https://m.media-amazon.com/images/I/618vvG5PCNL._AC_UL320_.jpg")</f>
        <v/>
      </c>
      <c r="K3440" t="inlineStr">
        <is>
          <t>49.0</t>
        </is>
      </c>
      <c r="L3440" t="n">
        <v>49.98</v>
      </c>
      <c r="M3440" s="1" t="inlineStr">
        <is>
          <t>2.00%</t>
        </is>
      </c>
      <c r="N3440" s="3" t="n">
        <v>2</v>
      </c>
      <c r="O3440" t="n">
        <v>4.5</v>
      </c>
      <c r="P3440" t="n">
        <v>127</v>
      </c>
      <c r="R3440" t="inlineStr">
        <is>
          <t>InStock</t>
        </is>
      </c>
      <c r="S3440" t="inlineStr">
        <is>
          <t>64.95</t>
        </is>
      </c>
      <c r="T3440" t="inlineStr">
        <is>
          <t>CF4329</t>
        </is>
      </c>
    </row>
    <row r="3441" hidden="1" ht="15.75" customHeight="1">
      <c r="A3441" s="2">
        <f>HYPERLINK("https://www.soccerplususa.com/adidas/adidas-condivo-18-training-jacket-womens-5187", "https://www.soccerplususa.com/adidas/adidas-condivo-18-training-jacket-womens-5187")</f>
        <v/>
      </c>
      <c r="B3441" t="inlineStr">
        <is>
          <t>undefined</t>
        </is>
      </c>
      <c r="C3441" t="inlineStr">
        <is>
          <t>adidas Condivo 18 Training Jacket Women's</t>
        </is>
      </c>
      <c r="D3441" t="inlineStr">
        <is>
          <t>adidas Women's Condivo 18 Polyester Jacket</t>
        </is>
      </c>
      <c r="E3441" s="2">
        <f>HYPERLINK("https://www.amazon.com/adidas-Condivo-Jacket-Blue-Dark-Blue-White/dp/B07BHG9LLC/ref=sr_1_1?keywords=adidas+Condivo+18+Training+Jacket+Women%27s&amp;qid=1695171224&amp;sr=8-1", "https://www.amazon.com/adidas-Condivo-Jacket-Blue-Dark-Blue-White/dp/B07BHG9LLC/ref=sr_1_1?keywords=adidas+Condivo+18+Training+Jacket+Women%27s&amp;qid=1695171224&amp;sr=8-1")</f>
        <v/>
      </c>
      <c r="F3441" t="inlineStr">
        <is>
          <t>B07BHG9LLC</t>
        </is>
      </c>
      <c r="G3441">
        <f>_xludf.IMAGE("https://www.soccerplususa.com/prodimages/5975-DEFAULT-l.jpg")</f>
        <v/>
      </c>
      <c r="H3441">
        <f>_xludf.IMAGE("https://m.media-amazon.com/images/I/618vvG5PCNL._AC_UL320_.jpg")</f>
        <v/>
      </c>
      <c r="K3441" t="inlineStr">
        <is>
          <t>49.0</t>
        </is>
      </c>
      <c r="L3441" t="n">
        <v>49.98</v>
      </c>
      <c r="M3441" s="1" t="inlineStr">
        <is>
          <t>2.00%</t>
        </is>
      </c>
      <c r="N3441" s="3" t="n">
        <v>2</v>
      </c>
      <c r="O3441" t="n">
        <v>4.5</v>
      </c>
      <c r="P3441" t="n">
        <v>127</v>
      </c>
      <c r="R3441" t="inlineStr">
        <is>
          <t>InStock</t>
        </is>
      </c>
      <c r="S3441" t="inlineStr">
        <is>
          <t>64.95</t>
        </is>
      </c>
      <c r="T3441" t="inlineStr">
        <is>
          <t>CF4328</t>
        </is>
      </c>
    </row>
    <row r="3442" hidden="1" ht="15.75" customHeight="1">
      <c r="A3442" s="2">
        <f>HYPERLINK("https://www.soccerplususa.com/adidas/adidas-condivo-18-training-jacket-womens-5186", "https://www.soccerplususa.com/adidas/adidas-condivo-18-training-jacket-womens-5186")</f>
        <v/>
      </c>
      <c r="B3442" t="inlineStr">
        <is>
          <t>undefined</t>
        </is>
      </c>
      <c r="C3442" t="inlineStr">
        <is>
          <t>adidas Condivo 18 Training Jacket Women's</t>
        </is>
      </c>
      <c r="D3442" t="inlineStr">
        <is>
          <t>adidas Women's Condivo 18 Polyester Jacket</t>
        </is>
      </c>
      <c r="E3442" s="2">
        <f>HYPERLINK("https://www.amazon.com/adidas-Condivo-Jacket-Blue-Dark-Blue-White/dp/B07BHG9LLC/ref=sr_1_1?keywords=adidas+Condivo+18+Training+Jacket+Womens&amp;qid=1695171225&amp;sr=8-1", "https://www.amazon.com/adidas-Condivo-Jacket-Blue-Dark-Blue-White/dp/B07BHG9LLC/ref=sr_1_1?keywords=adidas+Condivo+18+Training+Jacket+Womens&amp;qid=1695171225&amp;sr=8-1")</f>
        <v/>
      </c>
      <c r="F3442" t="inlineStr">
        <is>
          <t>B07BHG9LLC</t>
        </is>
      </c>
      <c r="G3442">
        <f>_xludf.IMAGE("https://www.soccerplususa.com/prodimages/5976-DEFAULT-l.jpg")</f>
        <v/>
      </c>
      <c r="H3442">
        <f>_xludf.IMAGE("https://m.media-amazon.com/images/I/618vvG5PCNL._AC_UL320_.jpg")</f>
        <v/>
      </c>
      <c r="K3442" t="inlineStr">
        <is>
          <t>49.0</t>
        </is>
      </c>
      <c r="L3442" t="n">
        <v>49.98</v>
      </c>
      <c r="M3442" s="1" t="inlineStr">
        <is>
          <t>2.00%</t>
        </is>
      </c>
      <c r="N3442" s="3" t="n">
        <v>2</v>
      </c>
      <c r="O3442" t="n">
        <v>4.5</v>
      </c>
      <c r="P3442" t="n">
        <v>127</v>
      </c>
      <c r="R3442" t="inlineStr">
        <is>
          <t>InStock</t>
        </is>
      </c>
      <c r="S3442" t="inlineStr">
        <is>
          <t>64.95</t>
        </is>
      </c>
      <c r="T3442" t="inlineStr">
        <is>
          <t>CF4327</t>
        </is>
      </c>
    </row>
    <row r="3443" hidden="1" ht="15.75" customHeight="1">
      <c r="A3443" s="2">
        <f>HYPERLINK("https://www.soccerplususa.com/adidas/adidas-condivo-18-training-jacket-womens-5362", "https://www.soccerplususa.com/adidas/adidas-condivo-18-training-jacket-womens-5362")</f>
        <v/>
      </c>
      <c r="B3443" t="inlineStr">
        <is>
          <t>undefined</t>
        </is>
      </c>
      <c r="C3443" t="inlineStr">
        <is>
          <t>adidas Condivo 18 Training Jacket Women's</t>
        </is>
      </c>
      <c r="D3443" t="inlineStr">
        <is>
          <t>adidas Women's Condivo 18 Polyester Jacket</t>
        </is>
      </c>
      <c r="E3443" s="2">
        <f>HYPERLINK("https://www.amazon.com/adidas-Condivo-Jacket-Blue-Dark-Blue-White/dp/B07BHG9LLC/ref=sr_1_1?keywords=adidas+Condivo+18+Training+Jacket+Womens&amp;qid=1695171214&amp;sr=8-1", "https://www.amazon.com/adidas-Condivo-Jacket-Blue-Dark-Blue-White/dp/B07BHG9LLC/ref=sr_1_1?keywords=adidas+Condivo+18+Training+Jacket+Womens&amp;qid=1695171214&amp;sr=8-1")</f>
        <v/>
      </c>
      <c r="F3443" t="inlineStr">
        <is>
          <t>B07BHG9LLC</t>
        </is>
      </c>
      <c r="G3443">
        <f>_xludf.IMAGE("https://www.soccerplususa.com/prodimages/5973-DEFAULT-l.jpg")</f>
        <v/>
      </c>
      <c r="H3443">
        <f>_xludf.IMAGE("https://m.media-amazon.com/images/I/618vvG5PCNL._AC_UL320_.jpg")</f>
        <v/>
      </c>
      <c r="K3443" t="inlineStr">
        <is>
          <t>49.0</t>
        </is>
      </c>
      <c r="L3443" t="n">
        <v>49.98</v>
      </c>
      <c r="M3443" s="1" t="inlineStr">
        <is>
          <t>2.00%</t>
        </is>
      </c>
      <c r="N3443" s="3" t="n">
        <v>2</v>
      </c>
      <c r="O3443" t="n">
        <v>4.5</v>
      </c>
      <c r="P3443" t="n">
        <v>127</v>
      </c>
      <c r="R3443" t="inlineStr">
        <is>
          <t>InStock</t>
        </is>
      </c>
      <c r="S3443" t="inlineStr">
        <is>
          <t>64.95</t>
        </is>
      </c>
      <c r="T3443" t="inlineStr">
        <is>
          <t>CV9079</t>
        </is>
      </c>
    </row>
    <row r="3444" hidden="1" ht="15.75" customHeight="1">
      <c r="A3444" s="2">
        <f>HYPERLINK("https://www.soccerplususa.com/adidas/adidas-campeon-15-jersey-7827", "https://www.soccerplususa.com/adidas/adidas-campeon-15-jersey-7827")</f>
        <v/>
      </c>
      <c r="B3444" t="inlineStr">
        <is>
          <t>undefined</t>
        </is>
      </c>
      <c r="C3444" t="inlineStr">
        <is>
          <t>adidas Campeon 15 Jersey</t>
        </is>
      </c>
      <c r="D3444" t="inlineStr">
        <is>
          <t>adidas Campeon 21 Jersey - Men's Soccer S Light Grey</t>
        </is>
      </c>
      <c r="E3444" s="2">
        <f>HYPERLINK("https://www.amazon.com/adidas-Campeon-21-Jersey-Soccer/dp/B089KPF976/ref=sr_1_3?keywords=adidas+Campeon+15+Jersey&amp;qid=1695171209&amp;sr=8-3", "https://www.amazon.com/adidas-Campeon-21-Jersey-Soccer/dp/B089KPF976/ref=sr_1_3?keywords=adidas+Campeon+15+Jersey&amp;qid=1695171209&amp;sr=8-3")</f>
        <v/>
      </c>
      <c r="F3444" t="inlineStr">
        <is>
          <t>B089KPF976</t>
        </is>
      </c>
      <c r="G3444">
        <f>_xludf.IMAGE("https://www.soccerplususa.com/prodimages/4487-DEFAULT-l.jpg")</f>
        <v/>
      </c>
      <c r="H3444">
        <f>_xludf.IMAGE("https://m.media-amazon.com/images/I/51b3AawfjOL._AC_UL320_.jpg")</f>
        <v/>
      </c>
      <c r="K3444" t="inlineStr">
        <is>
          <t>30.0</t>
        </is>
      </c>
      <c r="L3444" t="n">
        <v>30.5</v>
      </c>
      <c r="M3444" s="1" t="inlineStr">
        <is>
          <t>1.67%</t>
        </is>
      </c>
      <c r="N3444" s="3" t="n">
        <v>1.67</v>
      </c>
      <c r="O3444" t="n">
        <v>5</v>
      </c>
      <c r="P3444" t="n">
        <v>2</v>
      </c>
      <c r="R3444" t="inlineStr">
        <is>
          <t>InStock</t>
        </is>
      </c>
      <c r="S3444" t="inlineStr">
        <is>
          <t>59.95</t>
        </is>
      </c>
      <c r="T3444" t="inlineStr">
        <is>
          <t>S15899</t>
        </is>
      </c>
    </row>
    <row r="3445" hidden="1" ht="15.75" customHeight="1">
      <c r="A3445" s="2">
        <f>HYPERLINK("https://www.soccerplususa.com/adidas/adidas-tiro-19-training-jacket-youth-33998", "https://www.soccerplususa.com/adidas/adidas-tiro-19-training-jacket-youth-33998")</f>
        <v/>
      </c>
      <c r="B3445" t="inlineStr">
        <is>
          <t>undefined</t>
        </is>
      </c>
      <c r="C3445" t="inlineStr">
        <is>
          <t>adidas Tiro 19 Training Jacket Youth</t>
        </is>
      </c>
      <c r="D3445" t="inlineStr">
        <is>
          <t>adidas Tiro 19 Youth Warm Top Soccer Jacket</t>
        </is>
      </c>
      <c r="E3445" s="2">
        <f>HYPERLINK("https://www.amazon.com/adidas-Youth-Soccer-Jacket-Medium/dp/B07JBBM66J/ref=sr_1_6?keywords=adidas+Tiro+19+Training+Jacket+Youth&amp;qid=1695171164&amp;sr=8-6", "https://www.amazon.com/adidas-Youth-Soccer-Jacket-Medium/dp/B07JBBM66J/ref=sr_1_6?keywords=adidas+Tiro+19+Training+Jacket+Youth&amp;qid=1695171164&amp;sr=8-6")</f>
        <v/>
      </c>
      <c r="F3445" t="inlineStr">
        <is>
          <t>B07JBBM66J</t>
        </is>
      </c>
      <c r="G3445">
        <f>_xludf.IMAGE("https://www.soccerplususa.com/prodimages/7897-DEFAULT-l.jpg")</f>
        <v/>
      </c>
      <c r="H3445">
        <f>_xludf.IMAGE("https://m.media-amazon.com/images/I/5115MWy0jsL._AC_UL320_.jpg")</f>
        <v/>
      </c>
      <c r="K3445" t="inlineStr">
        <is>
          <t>45.0</t>
        </is>
      </c>
      <c r="L3445" t="n">
        <v>45.5</v>
      </c>
      <c r="M3445" s="1" t="inlineStr">
        <is>
          <t>1.11%</t>
        </is>
      </c>
      <c r="N3445" s="3" t="n">
        <v>1.11</v>
      </c>
      <c r="O3445" t="n">
        <v>4.4</v>
      </c>
      <c r="P3445" t="n">
        <v>17</v>
      </c>
      <c r="R3445" t="inlineStr">
        <is>
          <t>InStock</t>
        </is>
      </c>
      <c r="S3445" t="inlineStr">
        <is>
          <t>59.95</t>
        </is>
      </c>
      <c r="T3445" t="inlineStr">
        <is>
          <t>DT5276</t>
        </is>
      </c>
    </row>
    <row r="3446" hidden="1" ht="15.75" customHeight="1">
      <c r="A3446" s="2">
        <f>HYPERLINK("https://www.soccerplususa.com/under-armour/under-armour-cold-gear-armour-mock-youth-33310", "https://www.soccerplususa.com/under-armour/under-armour-cold-gear-armour-mock-youth-33310")</f>
        <v/>
      </c>
      <c r="B3446" t="inlineStr">
        <is>
          <t>undefined</t>
        </is>
      </c>
      <c r="C3446" t="inlineStr">
        <is>
          <t>Under Armour Cold Gear Armour Mock Youth</t>
        </is>
      </c>
      <c r="D3446" t="inlineStr">
        <is>
          <t>Under Armour Boys' ColdGear Mock Long Sleeve T-Shirt</t>
        </is>
      </c>
      <c r="E3446" s="2">
        <f>HYPERLINK("https://www.amazon.com/Under-Armour-ColdGear-Sleeve-T-Shirt/dp/B08LN9CN29/ref=sr_1_3?keywords=Under+Armour+Cold+Gear+Armour+Mock+Youth&amp;qid=1695171174&amp;sr=8-3", "https://www.amazon.com/Under-Armour-ColdGear-Sleeve-T-Shirt/dp/B08LN9CN29/ref=sr_1_3?keywords=Under+Armour+Cold+Gear+Armour+Mock+Youth&amp;qid=1695171174&amp;sr=8-3")</f>
        <v/>
      </c>
      <c r="F3446" t="inlineStr">
        <is>
          <t>B08LN9CN29</t>
        </is>
      </c>
      <c r="G3446">
        <f>_xludf.IMAGE("https://www.soccerplususa.com/prodimages/5586-DEFAULT-l.jpg")</f>
        <v/>
      </c>
      <c r="H3446">
        <f>_xludf.IMAGE("https://m.media-amazon.com/images/I/41RZhJHj3DL._AC_UL320_.jpg")</f>
        <v/>
      </c>
      <c r="K3446" t="inlineStr">
        <is>
          <t>39.95</t>
        </is>
      </c>
      <c r="L3446" t="n">
        <v>40.39</v>
      </c>
      <c r="M3446" s="1" t="inlineStr">
        <is>
          <t>1.10%</t>
        </is>
      </c>
      <c r="N3446" s="3" t="n">
        <v>1.1</v>
      </c>
      <c r="O3446" t="n">
        <v>4.8</v>
      </c>
      <c r="P3446" t="n">
        <v>345</v>
      </c>
      <c r="R3446" t="inlineStr">
        <is>
          <t>InStock</t>
        </is>
      </c>
      <c r="S3446" t="inlineStr">
        <is>
          <t>undefined</t>
        </is>
      </c>
      <c r="T3446" t="inlineStr">
        <is>
          <t>1288343-001</t>
        </is>
      </c>
    </row>
    <row r="3447" hidden="1" ht="15.75" customHeight="1">
      <c r="A3447" s="2">
        <f>HYPERLINK("https://www.soccerplususa.com/under-armour/under-armour-cold-gear-armour-mock-youth-33311", "https://www.soccerplususa.com/under-armour/under-armour-cold-gear-armour-mock-youth-33311")</f>
        <v/>
      </c>
      <c r="B3447" t="inlineStr">
        <is>
          <t>undefined</t>
        </is>
      </c>
      <c r="C3447" t="inlineStr">
        <is>
          <t>Under Armour Cold Gear Armour Mock Youth</t>
        </is>
      </c>
      <c r="D3447" t="inlineStr">
        <is>
          <t>Under Armour Boys' ColdGear Mock Long Sleeve T-Shirt</t>
        </is>
      </c>
      <c r="E3447" s="2">
        <f>HYPERLINK("https://www.amazon.com/Under-Armour-ColdGear-Sleeve-T-Shirt/dp/B08LN9CN29/ref=sr_1_5?keywords=Under+Armour+Cold+Gear+Armour+Mock+Youth&amp;qid=1695171169&amp;sr=8-5", "https://www.amazon.com/Under-Armour-ColdGear-Sleeve-T-Shirt/dp/B08LN9CN29/ref=sr_1_5?keywords=Under+Armour+Cold+Gear+Armour+Mock+Youth&amp;qid=1695171169&amp;sr=8-5")</f>
        <v/>
      </c>
      <c r="F3447" t="inlineStr">
        <is>
          <t>B08LN9CN29</t>
        </is>
      </c>
      <c r="G3447">
        <f>_xludf.IMAGE("https://www.soccerplususa.com/prodimages/5585-DEFAULT-l.jpg")</f>
        <v/>
      </c>
      <c r="H3447">
        <f>_xludf.IMAGE("https://m.media-amazon.com/images/I/41RZhJHj3DL._AC_UL320_.jpg")</f>
        <v/>
      </c>
      <c r="K3447" t="inlineStr">
        <is>
          <t>39.95</t>
        </is>
      </c>
      <c r="L3447" t="n">
        <v>40.39</v>
      </c>
      <c r="M3447" s="1" t="inlineStr">
        <is>
          <t>1.10%</t>
        </is>
      </c>
      <c r="N3447" s="3" t="n">
        <v>1.1</v>
      </c>
      <c r="O3447" t="n">
        <v>4.8</v>
      </c>
      <c r="P3447" t="n">
        <v>345</v>
      </c>
      <c r="R3447" t="inlineStr">
        <is>
          <t>InStock</t>
        </is>
      </c>
      <c r="S3447" t="inlineStr">
        <is>
          <t>undefined</t>
        </is>
      </c>
      <c r="T3447" t="inlineStr">
        <is>
          <t>1288343-100</t>
        </is>
      </c>
    </row>
    <row r="3448" hidden="1" ht="15.75" customHeight="1">
      <c r="A3448" s="2">
        <f>HYPERLINK("https://www.soccerplususa.com/under-armour/under-armour-cold-gear-armour-crew-youth-33312", "https://www.soccerplususa.com/under-armour/under-armour-cold-gear-armour-crew-youth-33312")</f>
        <v/>
      </c>
      <c r="B3448" t="inlineStr">
        <is>
          <t>undefined</t>
        </is>
      </c>
      <c r="C3448" t="inlineStr">
        <is>
          <t>Under Armour Cold Gear Armour Crew Youth</t>
        </is>
      </c>
      <c r="D3448" t="inlineStr">
        <is>
          <t>Under Armour Boys' ColdGear Mock Long Sleeve T-Shirt</t>
        </is>
      </c>
      <c r="E3448" s="2">
        <f>HYPERLINK("https://www.amazon.com/Under-Armour-ColdGear-Sleeve-T-Shirt/dp/B08LN9CN29/ref=sr_1_4?keywords=Under+Armour+Cold+Gear+Armour+Crew+Youth&amp;qid=1695171168&amp;sr=8-4", "https://www.amazon.com/Under-Armour-ColdGear-Sleeve-T-Shirt/dp/B08LN9CN29/ref=sr_1_4?keywords=Under+Armour+Cold+Gear+Armour+Crew+Youth&amp;qid=1695171168&amp;sr=8-4")</f>
        <v/>
      </c>
      <c r="F3448" t="inlineStr">
        <is>
          <t>B08LN9CN29</t>
        </is>
      </c>
      <c r="G3448">
        <f>_xludf.IMAGE("https://www.soccerplususa.com/prodimages/5584-DEFAULT-l.jpg")</f>
        <v/>
      </c>
      <c r="H3448">
        <f>_xludf.IMAGE("https://m.media-amazon.com/images/I/41RZhJHj3DL._AC_UL320_.jpg")</f>
        <v/>
      </c>
      <c r="K3448" t="inlineStr">
        <is>
          <t>39.95</t>
        </is>
      </c>
      <c r="L3448" t="n">
        <v>40.39</v>
      </c>
      <c r="M3448" s="1" t="inlineStr">
        <is>
          <t>1.10%</t>
        </is>
      </c>
      <c r="N3448" s="3" t="n">
        <v>1.1</v>
      </c>
      <c r="O3448" t="n">
        <v>4.8</v>
      </c>
      <c r="P3448" t="n">
        <v>345</v>
      </c>
      <c r="R3448" t="inlineStr">
        <is>
          <t>InStock</t>
        </is>
      </c>
      <c r="S3448" t="inlineStr">
        <is>
          <t>undefined</t>
        </is>
      </c>
      <c r="T3448" t="inlineStr">
        <is>
          <t>1288344-001</t>
        </is>
      </c>
    </row>
    <row r="3449" hidden="1" ht="15.75" customHeight="1">
      <c r="A3449" s="2">
        <f>HYPERLINK("https://www.soccerplususa.com/nike/nike-tiempo-premier-jersey-womens-34614", "https://www.soccerplususa.com/nike/nike-tiempo-premier-jersey-womens-34614")</f>
        <v/>
      </c>
      <c r="B3449" t="inlineStr">
        <is>
          <t>undefined</t>
        </is>
      </c>
      <c r="C3449" t="inlineStr">
        <is>
          <t>Nike Tiempo Premier Jersey Women's</t>
        </is>
      </c>
      <c r="D3449" t="inlineStr">
        <is>
          <t>Nike Womens Tiempo Premier Soccer Jersey</t>
        </is>
      </c>
      <c r="E3449" s="2">
        <f>HYPERLINK("https://www.amazon.com/Nike-Womens-Sleeve-Tiempo-Premier/dp/B07VP5XTZN/ref=sr_1_1?keywords=Nike+Tiempo+Premier+Jersey+Womens&amp;qid=1695171162&amp;sr=8-1", "https://www.amazon.com/Nike-Womens-Sleeve-Tiempo-Premier/dp/B07VP5XTZN/ref=sr_1_1?keywords=Nike+Tiempo+Premier+Jersey+Womens&amp;qid=1695171162&amp;sr=8-1")</f>
        <v/>
      </c>
      <c r="F3449" t="inlineStr">
        <is>
          <t>B07VP5XTZN</t>
        </is>
      </c>
      <c r="G3449">
        <f>_xludf.IMAGE("https://www.soccerplususa.com/prodimages/32884-DEFAULT-l.jpg")</f>
        <v/>
      </c>
      <c r="H3449">
        <f>_xludf.IMAGE("https://m.media-amazon.com/images/I/61tZE1LZq-L._AC_UL320_.jpg")</f>
        <v/>
      </c>
      <c r="K3449" t="inlineStr">
        <is>
          <t>18.99</t>
        </is>
      </c>
      <c r="L3449" t="n">
        <v>19.1</v>
      </c>
      <c r="M3449" s="1" t="inlineStr">
        <is>
          <t>0.58%</t>
        </is>
      </c>
      <c r="N3449" s="3" t="n">
        <v>0.58</v>
      </c>
      <c r="O3449" t="n">
        <v>3.8</v>
      </c>
      <c r="P3449" t="n">
        <v>7</v>
      </c>
      <c r="R3449" t="inlineStr">
        <is>
          <t>InStock</t>
        </is>
      </c>
      <c r="S3449" t="inlineStr">
        <is>
          <t>24.95</t>
        </is>
      </c>
      <c r="T3449" t="inlineStr">
        <is>
          <t>894495-101</t>
        </is>
      </c>
    </row>
    <row r="3450" hidden="1" ht="15.75" customHeight="1">
      <c r="A3450" s="2">
        <f>HYPERLINK("https://www.soccerplususa.com/nike/nike-dry-football-top-24043", "https://www.soccerplususa.com/nike/nike-dry-football-top-24043")</f>
        <v/>
      </c>
      <c r="B3450" t="inlineStr">
        <is>
          <t>undefined</t>
        </is>
      </c>
      <c r="C3450" t="inlineStr">
        <is>
          <t>Nike Dry Football Top</t>
        </is>
      </c>
      <c r="D3450" t="inlineStr">
        <is>
          <t>Nike Men's Dry Training Top</t>
        </is>
      </c>
      <c r="E3450" s="2">
        <f>HYPERLINK("https://www.amazon.com/Nike-Training-Black-Silver-X-Large/dp/B010RS4T7Y/ref=sr_1_1?keywords=Nike+Dry+Football+Top&amp;qid=1695171187&amp;sr=8-1", "https://www.amazon.com/Nike-Training-Black-Silver-X-Large/dp/B010RS4T7Y/ref=sr_1_1?keywords=Nike+Dry+Football+Top&amp;qid=1695171187&amp;sr=8-1")</f>
        <v/>
      </c>
      <c r="F3450" t="inlineStr">
        <is>
          <t>B010RS4T7Y</t>
        </is>
      </c>
      <c r="G3450">
        <f>_xludf.IMAGE("https://www.soccerplususa.com/prodimages/3528-DEFAULT-l.jpg")</f>
        <v/>
      </c>
      <c r="H3450">
        <f>_xludf.IMAGE("https://m.media-amazon.com/images/I/51WWS50QL8L._AC_UL320_.jpg")</f>
        <v/>
      </c>
      <c r="K3450" t="inlineStr">
        <is>
          <t>29.95</t>
        </is>
      </c>
      <c r="L3450" t="n">
        <v>29.99</v>
      </c>
      <c r="M3450" s="1" t="inlineStr">
        <is>
          <t>0.13%</t>
        </is>
      </c>
      <c r="N3450" s="3" t="n">
        <v>0.13</v>
      </c>
      <c r="O3450" t="n">
        <v>4.5</v>
      </c>
      <c r="P3450" t="n">
        <v>770</v>
      </c>
      <c r="R3450" t="inlineStr">
        <is>
          <t>InStock</t>
        </is>
      </c>
      <c r="S3450" t="inlineStr">
        <is>
          <t>49.95</t>
        </is>
      </c>
      <c r="T3450" t="inlineStr">
        <is>
          <t>807073-702</t>
        </is>
      </c>
    </row>
    <row r="3451" hidden="1" ht="15.75" customHeight="1">
      <c r="A3451" s="2">
        <f>HYPERLINK("https://www.soccerplususa.com/nike/nike-academy-drill-top-youth-43256", "https://www.soccerplususa.com/nike/nike-academy-drill-top-youth-43256")</f>
        <v/>
      </c>
      <c r="B3451" t="inlineStr">
        <is>
          <t>undefined</t>
        </is>
      </c>
      <c r="C3451" t="inlineStr">
        <is>
          <t>Nike Academy Drill Top Youth</t>
        </is>
      </c>
      <c r="D3451" t="inlineStr">
        <is>
          <t>Nike Women's Team Academy 19 Drill Top</t>
        </is>
      </c>
      <c r="E3451" s="2">
        <f>HYPERLINK("https://www.amazon.com/Nike-Womens-Academy-Drill-Scarlet/dp/B0955CWH44/ref=sr_1_6?keywords=Nike+Academy+Drill+Top+Youth&amp;qid=1695171160&amp;sr=8-6", "https://www.amazon.com/Nike-Womens-Academy-Drill-Scarlet/dp/B0955CWH44/ref=sr_1_6?keywords=Nike+Academy+Drill+Top+Youth&amp;qid=1695171160&amp;sr=8-6")</f>
        <v/>
      </c>
      <c r="F3451" t="inlineStr">
        <is>
          <t>B0955CWH44</t>
        </is>
      </c>
      <c r="G3451">
        <f>_xludf.IMAGE("https://www.soccerplususa.com/prodimages//35431-BLACKWHITE-M.jpg")</f>
        <v/>
      </c>
      <c r="H3451">
        <f>_xludf.IMAGE("https://m.media-amazon.com/images/I/51gSsnO1-FS._AC_UL320_.jpg")</f>
        <v/>
      </c>
      <c r="K3451" t="inlineStr">
        <is>
          <t>49.95</t>
        </is>
      </c>
      <c r="L3451" t="n">
        <v>49.99</v>
      </c>
      <c r="M3451" s="1" t="inlineStr">
        <is>
          <t>0.08%</t>
        </is>
      </c>
      <c r="N3451" s="3" t="n">
        <v>0.08</v>
      </c>
      <c r="O3451" t="n">
        <v>5</v>
      </c>
      <c r="P3451" t="n">
        <v>1</v>
      </c>
      <c r="R3451" t="inlineStr">
        <is>
          <t>InStock</t>
        </is>
      </c>
      <c r="S3451" t="inlineStr">
        <is>
          <t>undefined</t>
        </is>
      </c>
      <c r="T3451" t="inlineStr">
        <is>
          <t>CW6112-010</t>
        </is>
      </c>
    </row>
    <row r="3452" hidden="1" ht="15.75" customHeight="1">
      <c r="A3452" s="2">
        <f>HYPERLINK("https://www.soccerplususa.com/nike/nike-academy-drill-top-youth-43256", "https://www.soccerplususa.com/nike/nike-academy-drill-top-youth-43256")</f>
        <v/>
      </c>
      <c r="B3452" t="inlineStr">
        <is>
          <t>undefined</t>
        </is>
      </c>
      <c r="C3452" t="inlineStr">
        <is>
          <t>Nike Academy Drill Top Youth</t>
        </is>
      </c>
      <c r="D3452" t="inlineStr">
        <is>
          <t>Nike Men's Dry Academy 18 Drill Football Top (Tour</t>
        </is>
      </c>
      <c r="E3452" s="2">
        <f>HYPERLINK("https://www.amazon.com/Nike-Academy-Football-Yellow-Anthracite/dp/B079JXBFFJ/ref=sr_1_1?keywords=Nike+Academy+Drill+Top+Youth&amp;qid=1695171160&amp;sr=8-1", "https://www.amazon.com/Nike-Academy-Football-Yellow-Anthracite/dp/B079JXBFFJ/ref=sr_1_1?keywords=Nike+Academy+Drill+Top+Youth&amp;qid=1695171160&amp;sr=8-1")</f>
        <v/>
      </c>
      <c r="F3452" t="inlineStr">
        <is>
          <t>B079JXBFFJ</t>
        </is>
      </c>
      <c r="G3452">
        <f>_xludf.IMAGE("https://www.soccerplususa.com/prodimages//35431-BLACKWHITE-M.jpg")</f>
        <v/>
      </c>
      <c r="H3452">
        <f>_xludf.IMAGE("https://m.media-amazon.com/images/I/71I1JaoQ1FL._AC_UL320_.jpg")</f>
        <v/>
      </c>
      <c r="K3452" t="inlineStr">
        <is>
          <t>49.95</t>
        </is>
      </c>
      <c r="L3452" t="n">
        <v>49.99</v>
      </c>
      <c r="M3452" s="1" t="inlineStr">
        <is>
          <t>0.08%</t>
        </is>
      </c>
      <c r="N3452" s="3" t="n">
        <v>0.08</v>
      </c>
      <c r="O3452" t="n">
        <v>4.4</v>
      </c>
      <c r="P3452" t="n">
        <v>20</v>
      </c>
      <c r="R3452" t="inlineStr">
        <is>
          <t>InStock</t>
        </is>
      </c>
      <c r="S3452" t="inlineStr">
        <is>
          <t>undefined</t>
        </is>
      </c>
      <c r="T3452" t="inlineStr">
        <is>
          <t>CW6112-010</t>
        </is>
      </c>
    </row>
    <row r="3453" hidden="1" ht="15.75" customHeight="1">
      <c r="A3453" s="2">
        <f>HYPERLINK("https://www.soccerplususa.com/nike/nike-academy-drill-top-youth-43256", "https://www.soccerplususa.com/nike/nike-academy-drill-top-youth-43256")</f>
        <v/>
      </c>
      <c r="B3453" t="inlineStr">
        <is>
          <t>undefined</t>
        </is>
      </c>
      <c r="C3453" t="inlineStr">
        <is>
          <t>Nike Academy Drill Top Youth</t>
        </is>
      </c>
      <c r="D3453" t="inlineStr">
        <is>
          <t>Nike Women's Academy 18 Drill Top</t>
        </is>
      </c>
      <c r="E3453" s="2">
        <f>HYPERLINK("https://www.amazon.com/Nike-Womens-Academy-Drill-Royal/dp/B079MSB8T1/ref=sr_1_2?keywords=Nike+Academy+Drill+Top+Youth&amp;qid=1695171160&amp;sr=8-2", "https://www.amazon.com/Nike-Womens-Academy-Drill-Royal/dp/B079MSB8T1/ref=sr_1_2?keywords=Nike+Academy+Drill+Top+Youth&amp;qid=1695171160&amp;sr=8-2")</f>
        <v/>
      </c>
      <c r="F3453" t="inlineStr">
        <is>
          <t>B079MSB8T1</t>
        </is>
      </c>
      <c r="G3453">
        <f>_xludf.IMAGE("https://www.soccerplususa.com/prodimages//35431-BLACKWHITE-M.jpg")</f>
        <v/>
      </c>
      <c r="H3453">
        <f>_xludf.IMAGE("https://m.media-amazon.com/images/I/81R2WXsYEfL._AC_UL320_.jpg")</f>
        <v/>
      </c>
      <c r="K3453" t="inlineStr">
        <is>
          <t>49.95</t>
        </is>
      </c>
      <c r="L3453" t="n">
        <v>49.99</v>
      </c>
      <c r="M3453" s="1" t="inlineStr">
        <is>
          <t>0.08%</t>
        </is>
      </c>
      <c r="N3453" s="3" t="n">
        <v>0.08</v>
      </c>
      <c r="O3453" t="n">
        <v>4.4</v>
      </c>
      <c r="P3453" t="n">
        <v>378</v>
      </c>
      <c r="R3453" t="inlineStr">
        <is>
          <t>InStock</t>
        </is>
      </c>
      <c r="S3453" t="inlineStr">
        <is>
          <t>undefined</t>
        </is>
      </c>
      <c r="T3453" t="inlineStr">
        <is>
          <t>CW6112-010</t>
        </is>
      </c>
    </row>
    <row r="3454" hidden="1" ht="15.75" customHeight="1">
      <c r="A3454" s="2">
        <f>HYPERLINK("https://www.soccerplususa.com/adidas/adidas-tiro23-league-windbreaker-youth-45911", "https://www.soccerplususa.com/adidas/adidas-tiro23-league-windbreaker-youth-45911")</f>
        <v/>
      </c>
      <c r="B3454" t="inlineStr">
        <is>
          <t>undefined</t>
        </is>
      </c>
      <c r="C3454" t="inlineStr">
        <is>
          <t>adidas Tiro23 League Windbreaker Youth</t>
        </is>
      </c>
      <c r="D3454" t="inlineStr">
        <is>
          <t>adidas Kids' Tiro23 League Windbreaker</t>
        </is>
      </c>
      <c r="E3454" s="2">
        <f>HYPERLINK("https://www.amazon.com/adidas-unisex-child-Tiro23-Windbreaker-X-Small/dp/B09YBBDMZ5/ref=sr_1_1?keywords=adidas+tiro+23+league+windbreaker+youth&amp;qid=1695171149&amp;sr=8-1", "https://www.amazon.com/adidas-unisex-child-Tiro23-Windbreaker-X-Small/dp/B09YBBDMZ5/ref=sr_1_1?keywords=adidas+tiro+23+league+windbreaker+youth&amp;qid=1695171149&amp;sr=8-1")</f>
        <v/>
      </c>
      <c r="F3454" t="inlineStr">
        <is>
          <t>B09YBBDMZ5</t>
        </is>
      </c>
      <c r="G3454">
        <f>_xludf.IMAGE("https://www.soccerplususa.com/prodimages//37897-BLACKWHITE-M.jpg")</f>
        <v/>
      </c>
      <c r="H3454">
        <f>_xludf.IMAGE("https://m.media-amazon.com/images/I/61m+F4Yi8pL._AC_UL320_.jpg")</f>
        <v/>
      </c>
      <c r="K3454" t="inlineStr">
        <is>
          <t>64.95</t>
        </is>
      </c>
      <c r="L3454" t="n">
        <v>65</v>
      </c>
      <c r="M3454" s="1" t="inlineStr">
        <is>
          <t>0.08%</t>
        </is>
      </c>
      <c r="N3454" s="3" t="n">
        <v>0.08</v>
      </c>
      <c r="O3454" t="n">
        <v>5</v>
      </c>
      <c r="P3454" t="n">
        <v>2</v>
      </c>
      <c r="R3454" t="inlineStr">
        <is>
          <t>InStock</t>
        </is>
      </c>
      <c r="S3454" t="inlineStr">
        <is>
          <t>undefined</t>
        </is>
      </c>
      <c r="T3454" t="inlineStr">
        <is>
          <t>IA1623</t>
        </is>
      </c>
    </row>
    <row r="3455" hidden="1" ht="15.75" customHeight="1">
      <c r="A3455" s="2">
        <f>HYPERLINK("https://www.soccerplususa.com/under-armour/under-armour-cold-gear-armour-crew-youth-33312", "https://www.soccerplususa.com/under-armour/under-armour-cold-gear-armour-crew-youth-33312")</f>
        <v/>
      </c>
      <c r="B3455" t="inlineStr">
        <is>
          <t>undefined</t>
        </is>
      </c>
      <c r="C3455" t="inlineStr">
        <is>
          <t>Under Armour Cold Gear Armour Crew Youth</t>
        </is>
      </c>
      <c r="D3455" t="inlineStr">
        <is>
          <t>Under Armour Boys' ColdGear Long Sleeve T-Shirt</t>
        </is>
      </c>
      <c r="E3455" s="2">
        <f>HYPERLINK("https://www.amazon.com/Under-Armour-ColdGear-Sleeve-T-Shirt/dp/B08LMRGLYG/ref=sr_1_3?keywords=Under+Armour+Cold+Gear+Armour+Crew+Youth&amp;qid=1695171168&amp;sr=8-3", "https://www.amazon.com/Under-Armour-ColdGear-Sleeve-T-Shirt/dp/B08LMRGLYG/ref=sr_1_3?keywords=Under+Armour+Cold+Gear+Armour+Crew+Youth&amp;qid=1695171168&amp;sr=8-3")</f>
        <v/>
      </c>
      <c r="F3455" t="inlineStr">
        <is>
          <t>B08LMRGLYG</t>
        </is>
      </c>
      <c r="G3455">
        <f>_xludf.IMAGE("https://www.soccerplususa.com/prodimages/5584-DEFAULT-l.jpg")</f>
        <v/>
      </c>
      <c r="H3455">
        <f>_xludf.IMAGE("https://m.media-amazon.com/images/I/61Zu172sO6L._AC_UL320_.jpg")</f>
        <v/>
      </c>
      <c r="K3455" t="inlineStr">
        <is>
          <t>39.95</t>
        </is>
      </c>
      <c r="L3455" t="n">
        <v>39.97</v>
      </c>
      <c r="M3455" s="1" t="inlineStr">
        <is>
          <t>0.05%</t>
        </is>
      </c>
      <c r="N3455" s="3" t="n">
        <v>0.05</v>
      </c>
      <c r="O3455" t="n">
        <v>4.8</v>
      </c>
      <c r="P3455" t="n">
        <v>193</v>
      </c>
      <c r="R3455" t="inlineStr">
        <is>
          <t>InStock</t>
        </is>
      </c>
      <c r="S3455" t="inlineStr">
        <is>
          <t>undefined</t>
        </is>
      </c>
      <c r="T3455" t="inlineStr">
        <is>
          <t>1288344-001</t>
        </is>
      </c>
    </row>
    <row r="3456" hidden="1" ht="15.75" customHeight="1">
      <c r="A3456" s="2">
        <f>HYPERLINK("https://www.soccerplususa.com/puma/puma-teamfinal-21-graphic-jersey-youth-41908", "https://www.soccerplususa.com/puma/puma-teamfinal-21-graphic-jersey-youth-41908")</f>
        <v/>
      </c>
      <c r="B3456" t="inlineStr">
        <is>
          <t>undefined</t>
        </is>
      </c>
      <c r="C3456" t="inlineStr">
        <is>
          <t>Puma Teamfinal 21 Graphic Jersey Youth</t>
        </is>
      </c>
      <c r="D3456" t="inlineStr">
        <is>
          <t>PUMA Men's Teamfinal 21 Graphic Jersey</t>
        </is>
      </c>
      <c r="E3456" s="2">
        <f>HYPERLINK("https://www.amazon.com/PUMA-Teamfinal-Graphic-Jersey-Glimmer/dp/B086RRH16L/ref=sr_1_2?keywords=Puma+Teamfinal+21+Graphic+Jersey+Youth&amp;qid=1695171144&amp;sr=8-2", "https://www.amazon.com/PUMA-Teamfinal-Graphic-Jersey-Glimmer/dp/B086RRH16L/ref=sr_1_2?keywords=Puma+Teamfinal+21+Graphic+Jersey+Youth&amp;qid=1695171144&amp;sr=8-2")</f>
        <v/>
      </c>
      <c r="F3456" t="inlineStr">
        <is>
          <t>B086RRH16L</t>
        </is>
      </c>
      <c r="G3456">
        <f>_xludf.IMAGE("https://www.soccerplususa.com/prodimages//37410-NAVY-M.jpg")</f>
        <v/>
      </c>
      <c r="H3456">
        <f>_xludf.IMAGE("https://m.media-amazon.com/images/I/51cHF+BWyDL._AC_UL320_.jpg")</f>
        <v/>
      </c>
      <c r="K3456" t="inlineStr">
        <is>
          <t>29.99</t>
        </is>
      </c>
      <c r="L3456" t="n">
        <v>30</v>
      </c>
      <c r="M3456" s="1" t="inlineStr">
        <is>
          <t>0.03%</t>
        </is>
      </c>
      <c r="N3456" s="3" t="n">
        <v>0.03</v>
      </c>
      <c r="O3456" t="n">
        <v>5</v>
      </c>
      <c r="P3456" t="n">
        <v>1</v>
      </c>
      <c r="R3456" t="inlineStr">
        <is>
          <t>InStock</t>
        </is>
      </c>
      <c r="S3456" t="inlineStr">
        <is>
          <t>39.95</t>
        </is>
      </c>
      <c r="T3456" t="inlineStr">
        <is>
          <t>704369-06</t>
        </is>
      </c>
    </row>
    <row r="3457" hidden="1" ht="15.75" customHeight="1">
      <c r="A3457" s="2">
        <f>HYPERLINK("https://www.soccerplususa.com/puma/puma-teamfinal-21-graphic-jersey-youth-42095", "https://www.soccerplususa.com/puma/puma-teamfinal-21-graphic-jersey-youth-42095")</f>
        <v/>
      </c>
      <c r="B3457" t="inlineStr">
        <is>
          <t>undefined</t>
        </is>
      </c>
      <c r="C3457" t="inlineStr">
        <is>
          <t>Puma Teamfinal 21 Graphic Jersey Youth</t>
        </is>
      </c>
      <c r="D3457" t="inlineStr">
        <is>
          <t>PUMA Men's Teamfinal 21 Graphic Jersey</t>
        </is>
      </c>
      <c r="E3457" s="2">
        <f>HYPERLINK("https://www.amazon.com/PUMA-Teamfinal-Graphic-Jersey-Glimmer/dp/B086RRH16L/ref=sr_1_2?keywords=Puma+Teamfinal+21+Graphic+Jersey+Youth&amp;qid=1695171148&amp;sr=8-2", "https://www.amazon.com/PUMA-Teamfinal-Graphic-Jersey-Glimmer/dp/B086RRH16L/ref=sr_1_2?keywords=Puma+Teamfinal+21+Graphic+Jersey+Youth&amp;qid=1695171148&amp;sr=8-2")</f>
        <v/>
      </c>
      <c r="F3457" t="inlineStr">
        <is>
          <t>B086RRH16L</t>
        </is>
      </c>
      <c r="G3457">
        <f>_xludf.IMAGE("https://www.soccerplususa.com/prodimages//37424-BLACK-M.jpg")</f>
        <v/>
      </c>
      <c r="H3457">
        <f>_xludf.IMAGE("https://m.media-amazon.com/images/I/51cHF+BWyDL._AC_UL320_.jpg")</f>
        <v/>
      </c>
      <c r="K3457" t="inlineStr">
        <is>
          <t>29.99</t>
        </is>
      </c>
      <c r="L3457" t="n">
        <v>30</v>
      </c>
      <c r="M3457" s="1" t="inlineStr">
        <is>
          <t>0.03%</t>
        </is>
      </c>
      <c r="N3457" s="3" t="n">
        <v>0.03</v>
      </c>
      <c r="O3457" t="n">
        <v>5</v>
      </c>
      <c r="P3457" t="n">
        <v>1</v>
      </c>
      <c r="R3457" t="inlineStr">
        <is>
          <t>InStock</t>
        </is>
      </c>
      <c r="S3457" t="inlineStr">
        <is>
          <t>39.95</t>
        </is>
      </c>
      <c r="T3457" t="inlineStr">
        <is>
          <t>704369-03</t>
        </is>
      </c>
    </row>
    <row r="3458" hidden="1" ht="15.75" customHeight="1">
      <c r="A3458" s="2">
        <f>HYPERLINK("https://www.soccerplususa.com/puma/puma-teamfinal-21-graphic-jersey-youth-42132", "https://www.soccerplususa.com/puma/puma-teamfinal-21-graphic-jersey-youth-42132")</f>
        <v/>
      </c>
      <c r="B3458" t="inlineStr">
        <is>
          <t>undefined</t>
        </is>
      </c>
      <c r="C3458" t="inlineStr">
        <is>
          <t>Puma Teamfinal 21 Graphic Jersey Youth</t>
        </is>
      </c>
      <c r="D3458" t="inlineStr">
        <is>
          <t>PUMA Men's Teamfinal 21 Graphic Jersey</t>
        </is>
      </c>
      <c r="E3458" s="2">
        <f>HYPERLINK("https://www.amazon.com/PUMA-Teamfinal-Graphic-Jersey-Glimmer/dp/B086RRH16L/ref=sr_1_2?keywords=Puma+Teamfinal+21+Graphic+Jersey+Youth&amp;qid=1695171148&amp;sr=8-2", "https://www.amazon.com/PUMA-Teamfinal-Graphic-Jersey-Glimmer/dp/B086RRH16L/ref=sr_1_2?keywords=Puma+Teamfinal+21+Graphic+Jersey+Youth&amp;qid=1695171148&amp;sr=8-2")</f>
        <v/>
      </c>
      <c r="F3458" t="inlineStr">
        <is>
          <t>B086RRH16L</t>
        </is>
      </c>
      <c r="G3458">
        <f>_xludf.IMAGE("https://www.soccerplususa.com/prodimages//37417-GRAY-M.jpg")</f>
        <v/>
      </c>
      <c r="H3458">
        <f>_xludf.IMAGE("https://m.media-amazon.com/images/I/51cHF+BWyDL._AC_UL320_.jpg")</f>
        <v/>
      </c>
      <c r="K3458" t="inlineStr">
        <is>
          <t>29.99</t>
        </is>
      </c>
      <c r="L3458" t="n">
        <v>30</v>
      </c>
      <c r="M3458" s="1" t="inlineStr">
        <is>
          <t>0.03%</t>
        </is>
      </c>
      <c r="N3458" s="3" t="n">
        <v>0.03</v>
      </c>
      <c r="O3458" t="n">
        <v>5</v>
      </c>
      <c r="P3458" t="n">
        <v>1</v>
      </c>
      <c r="R3458" t="inlineStr">
        <is>
          <t>InStock</t>
        </is>
      </c>
      <c r="S3458" t="inlineStr">
        <is>
          <t>39.95</t>
        </is>
      </c>
      <c r="T3458" t="inlineStr">
        <is>
          <t>704369-13</t>
        </is>
      </c>
    </row>
    <row r="3459" hidden="1" ht="15.75" customHeight="1">
      <c r="A3459" s="2">
        <f>HYPERLINK("https://www.soccerplususa.com/puma/puma-teamfinal-21-graphic-jersey-youth-38699", "https://www.soccerplususa.com/puma/puma-teamfinal-21-graphic-jersey-youth-38699")</f>
        <v/>
      </c>
      <c r="B3459" t="inlineStr">
        <is>
          <t>undefined</t>
        </is>
      </c>
      <c r="C3459" t="inlineStr">
        <is>
          <t>Puma Teamfinal 21 Graphic Jersey Youth</t>
        </is>
      </c>
      <c r="D3459" t="inlineStr">
        <is>
          <t>PUMA Men's Teamfinal 21 Graphic Jersey</t>
        </is>
      </c>
      <c r="E3459" s="2">
        <f>HYPERLINK("https://www.amazon.com/PUMA-Teamfinal-Graphic-Jersey-Glimmer/dp/B086RRH16L/ref=sr_1_2?keywords=Puma+Teamfinal+21+Graphic+Jersey+Youth&amp;qid=1695171153&amp;sr=8-2", "https://www.amazon.com/PUMA-Teamfinal-Graphic-Jersey-Glimmer/dp/B086RRH16L/ref=sr_1_2?keywords=Puma+Teamfinal+21+Graphic+Jersey+Youth&amp;qid=1695171153&amp;sr=8-2")</f>
        <v/>
      </c>
      <c r="F3459" t="inlineStr">
        <is>
          <t>B086RRH16L</t>
        </is>
      </c>
      <c r="G3459">
        <f>_xludf.IMAGE("https://www.soccerplususa.com/prodimages//36783-WhiteGray-M.jpg")</f>
        <v/>
      </c>
      <c r="H3459">
        <f>_xludf.IMAGE("https://m.media-amazon.com/images/I/51cHF+BWyDL._AC_UL320_.jpg")</f>
        <v/>
      </c>
      <c r="K3459" t="inlineStr">
        <is>
          <t>29.99</t>
        </is>
      </c>
      <c r="L3459" t="n">
        <v>29.99</v>
      </c>
      <c r="M3459" s="1" t="inlineStr">
        <is>
          <t>0.00%</t>
        </is>
      </c>
      <c r="N3459" s="3" t="n">
        <v>0</v>
      </c>
      <c r="O3459" t="n">
        <v>5</v>
      </c>
      <c r="P3459" t="n">
        <v>1</v>
      </c>
      <c r="R3459" t="inlineStr">
        <is>
          <t>InStock</t>
        </is>
      </c>
      <c r="S3459" t="inlineStr">
        <is>
          <t>39.95</t>
        </is>
      </c>
      <c r="T3459" t="inlineStr">
        <is>
          <t>704369-04</t>
        </is>
      </c>
    </row>
    <row r="3460" hidden="1" ht="15.75" customHeight="1">
      <c r="A3460" s="2">
        <f>HYPERLINK("https://www.soccerplususa.com/adidas/adidas-tabela-14-jersey-6082", "https://www.soccerplususa.com/adidas/adidas-tabela-14-jersey-6082")</f>
        <v/>
      </c>
      <c r="B3460" t="inlineStr">
        <is>
          <t>undefined</t>
        </is>
      </c>
      <c r="C3460" t="inlineStr">
        <is>
          <t>adidas Tabela 14 Jersey</t>
        </is>
      </c>
      <c r="D3460" t="inlineStr">
        <is>
          <t>adidas Women's Tabela 14 Jersey T-Shirt White</t>
        </is>
      </c>
      <c r="E3460" s="2">
        <f>HYPERLINK("https://www.amazon.com/Adidas-Tabela-Womens-Soccer-Jersey/dp/B00HWLDS9U/ref=sr_1_2?keywords=adidas+Tabela+14+Jersey&amp;qid=1695171211&amp;sr=8-2", "https://www.amazon.com/Adidas-Tabela-Womens-Soccer-Jersey/dp/B00HWLDS9U/ref=sr_1_2?keywords=adidas+Tabela+14+Jersey&amp;qid=1695171211&amp;sr=8-2")</f>
        <v/>
      </c>
      <c r="F3460" t="inlineStr">
        <is>
          <t>B00HWLDS9U</t>
        </is>
      </c>
      <c r="G3460">
        <f>_xludf.IMAGE("https://www.soccerplususa.com/prodimages/2638-DEFAULT-l.jpg")</f>
        <v/>
      </c>
      <c r="H3460">
        <f>_xludf.IMAGE("https://m.media-amazon.com/images/I/51P9FbjE8BL._AC_UL320_.jpg")</f>
        <v/>
      </c>
      <c r="K3460" t="inlineStr">
        <is>
          <t>17.5</t>
        </is>
      </c>
      <c r="L3460" t="n">
        <v>17.5</v>
      </c>
      <c r="M3460" s="1" t="inlineStr">
        <is>
          <t>0.00%</t>
        </is>
      </c>
      <c r="N3460" s="3" t="n">
        <v>0</v>
      </c>
      <c r="O3460" t="n">
        <v>3.6</v>
      </c>
      <c r="P3460" t="n">
        <v>16</v>
      </c>
      <c r="R3460" t="inlineStr">
        <is>
          <t>InStock</t>
        </is>
      </c>
      <c r="S3460" t="inlineStr">
        <is>
          <t>34.95</t>
        </is>
      </c>
      <c r="T3460" t="inlineStr">
        <is>
          <t>F50284</t>
        </is>
      </c>
    </row>
    <row r="3461" hidden="1" ht="15.75" customHeight="1">
      <c r="A3461" s="2">
        <f>HYPERLINK("https://www.soccerplususa.com/adidas/adidas-tabela-14-jersey-6078", "https://www.soccerplususa.com/adidas/adidas-tabela-14-jersey-6078")</f>
        <v/>
      </c>
      <c r="B3461" t="inlineStr">
        <is>
          <t>undefined</t>
        </is>
      </c>
      <c r="C3461" t="inlineStr">
        <is>
          <t>adidas Tabela 14 Jersey</t>
        </is>
      </c>
      <c r="D3461" t="inlineStr">
        <is>
          <t>adidas Women's Tabela 14 Jersey T-Shirt White</t>
        </is>
      </c>
      <c r="E3461" s="2">
        <f>HYPERLINK("https://www.amazon.com/Adidas-Tabela-Womens-Soccer-Jersey/dp/B00HWLDS9U/ref=sr_1_1?keywords=adidas+Tabela+14+Jersey&amp;qid=1695171215&amp;sr=8-1", "https://www.amazon.com/Adidas-Tabela-Womens-Soccer-Jersey/dp/B00HWLDS9U/ref=sr_1_1?keywords=adidas+Tabela+14+Jersey&amp;qid=1695171215&amp;sr=8-1")</f>
        <v/>
      </c>
      <c r="F3461" t="inlineStr">
        <is>
          <t>B00HWLDS9U</t>
        </is>
      </c>
      <c r="G3461">
        <f>_xludf.IMAGE("https://www.soccerplususa.com/prodimages/4489-DEFAULT-l.jpg")</f>
        <v/>
      </c>
      <c r="H3461">
        <f>_xludf.IMAGE("https://m.media-amazon.com/images/I/51P9FbjE8BL._AC_UL320_.jpg")</f>
        <v/>
      </c>
      <c r="K3461" t="inlineStr">
        <is>
          <t>17.5</t>
        </is>
      </c>
      <c r="L3461" t="n">
        <v>17.5</v>
      </c>
      <c r="M3461" s="1" t="inlineStr">
        <is>
          <t>0.00%</t>
        </is>
      </c>
      <c r="N3461" s="3" t="n">
        <v>0</v>
      </c>
      <c r="O3461" t="n">
        <v>3.6</v>
      </c>
      <c r="P3461" t="n">
        <v>16</v>
      </c>
      <c r="R3461" t="inlineStr">
        <is>
          <t>InStock</t>
        </is>
      </c>
      <c r="S3461" t="inlineStr">
        <is>
          <t>34.95</t>
        </is>
      </c>
      <c r="T3461" t="inlineStr">
        <is>
          <t>F50269</t>
        </is>
      </c>
    </row>
    <row r="3462" hidden="1" ht="15.75" customHeight="1">
      <c r="A3462" s="2">
        <f>HYPERLINK("https://www.soccerplususa.com/puma/puma-teamfinal-21-graphic-jersey-youth-42092", "https://www.soccerplususa.com/puma/puma-teamfinal-21-graphic-jersey-youth-42092")</f>
        <v/>
      </c>
      <c r="B3462" t="inlineStr">
        <is>
          <t>undefined</t>
        </is>
      </c>
      <c r="C3462" t="inlineStr">
        <is>
          <t>Puma Teamfinal 21 Graphic Jersey Youth</t>
        </is>
      </c>
      <c r="D3462" t="inlineStr">
        <is>
          <t>PUMA Men's Teamfinal 21 Graphic Jersey</t>
        </is>
      </c>
      <c r="E3462" s="2">
        <f>HYPERLINK("https://www.amazon.com/PUMA-Teamfinal-Graphic-Jersey-Glimmer/dp/B086RRH16L/ref=sr_1_2?keywords=Puma+Teamfinal+21+Graphic+Jersey+Youth&amp;qid=1695171145&amp;sr=8-2", "https://www.amazon.com/PUMA-Teamfinal-Graphic-Jersey-Glimmer/dp/B086RRH16L/ref=sr_1_2?keywords=Puma+Teamfinal+21+Graphic+Jersey+Youth&amp;qid=1695171145&amp;sr=8-2")</f>
        <v/>
      </c>
      <c r="F3462" t="inlineStr">
        <is>
          <t>B086RRH16L</t>
        </is>
      </c>
      <c r="G3462">
        <f>_xludf.IMAGE("https://www.soccerplususa.com/prodimages//37421-RED-M.jpg")</f>
        <v/>
      </c>
      <c r="H3462">
        <f>_xludf.IMAGE("https://m.media-amazon.com/images/I/51cHF+BWyDL._AC_UL320_.jpg")</f>
        <v/>
      </c>
      <c r="K3462" t="inlineStr">
        <is>
          <t>29.99</t>
        </is>
      </c>
      <c r="L3462" t="n">
        <v>29.99</v>
      </c>
      <c r="M3462" s="1" t="inlineStr">
        <is>
          <t>0.00%</t>
        </is>
      </c>
      <c r="N3462" s="3" t="n">
        <v>0</v>
      </c>
      <c r="O3462" t="n">
        <v>5</v>
      </c>
      <c r="P3462" t="n">
        <v>1</v>
      </c>
      <c r="R3462" t="inlineStr">
        <is>
          <t>InStock</t>
        </is>
      </c>
      <c r="S3462" t="inlineStr">
        <is>
          <t>39.95</t>
        </is>
      </c>
      <c r="T3462" t="inlineStr">
        <is>
          <t>704369-01</t>
        </is>
      </c>
    </row>
    <row r="3463" hidden="1" ht="15.75" customHeight="1">
      <c r="A3463" s="2">
        <f>HYPERLINK("https://www.soccerplususa.com/puma/puma-teamfinal-21-graphic-jersey-youth-40619", "https://www.soccerplususa.com/puma/puma-teamfinal-21-graphic-jersey-youth-40619")</f>
        <v/>
      </c>
      <c r="B3463" t="inlineStr">
        <is>
          <t>undefined</t>
        </is>
      </c>
      <c r="C3463" t="inlineStr">
        <is>
          <t>Puma Teamfinal 21 Graphic Jersey Youth</t>
        </is>
      </c>
      <c r="D3463" t="inlineStr">
        <is>
          <t>PUMA Men's Teamfinal 21 Graphic Jersey</t>
        </is>
      </c>
      <c r="E3463" s="2">
        <f>HYPERLINK("https://www.amazon.com/PUMA-Teamfinal-Graphic-Jersey-Glimmer/dp/B086RRH16L/ref=sr_1_2?keywords=Puma+Teamfinal+21+Graphic+Jersey+Youth&amp;qid=1695171149&amp;sr=8-2", "https://www.amazon.com/PUMA-Teamfinal-Graphic-Jersey-Glimmer/dp/B086RRH16L/ref=sr_1_2?keywords=Puma+Teamfinal+21+Graphic+Jersey+Youth&amp;qid=1695171149&amp;sr=8-2")</f>
        <v/>
      </c>
      <c r="F3463" t="inlineStr">
        <is>
          <t>B086RRH16L</t>
        </is>
      </c>
      <c r="G3463">
        <f>_xludf.IMAGE("https://www.soccerplususa.com/prodimages//37415-Pepper_Green-M.jpg")</f>
        <v/>
      </c>
      <c r="H3463">
        <f>_xludf.IMAGE("https://m.media-amazon.com/images/I/51cHF+BWyDL._AC_UL320_.jpg")</f>
        <v/>
      </c>
      <c r="K3463" t="inlineStr">
        <is>
          <t>29.99</t>
        </is>
      </c>
      <c r="L3463" t="n">
        <v>29.99</v>
      </c>
      <c r="M3463" s="1" t="inlineStr">
        <is>
          <t>0.00%</t>
        </is>
      </c>
      <c r="N3463" s="3" t="n">
        <v>0</v>
      </c>
      <c r="O3463" t="n">
        <v>5</v>
      </c>
      <c r="P3463" t="n">
        <v>1</v>
      </c>
      <c r="R3463" t="inlineStr">
        <is>
          <t>InStock</t>
        </is>
      </c>
      <c r="S3463" t="inlineStr">
        <is>
          <t>39.95</t>
        </is>
      </c>
      <c r="T3463" t="inlineStr">
        <is>
          <t>704369-05</t>
        </is>
      </c>
    </row>
    <row r="3464" hidden="1" ht="15.75" customHeight="1">
      <c r="A3464" s="2">
        <f>HYPERLINK("https://www.soccerplususa.com/adidas/adidas-regista-14-jersey-6672", "https://www.soccerplususa.com/adidas/adidas-regista-14-jersey-6672")</f>
        <v/>
      </c>
      <c r="B3464" t="inlineStr">
        <is>
          <t>undefined</t>
        </is>
      </c>
      <c r="C3464" t="inlineStr">
        <is>
          <t>adidas Regista 14 Jersey</t>
        </is>
      </c>
      <c r="D3464" t="inlineStr">
        <is>
          <t>adidas Men's Regista 14 Soccer Jersey</t>
        </is>
      </c>
      <c r="E3464" s="2">
        <f>HYPERLINK("https://www.amazon.com/adidas-Mens-Regista-Soccer-Jersey/dp/B00H3HX2ZI/ref=sr_1_3?keywords=adidas+Regista+14+Jersey&amp;qid=1695171217&amp;sr=8-3", "https://www.amazon.com/adidas-Mens-Regista-Soccer-Jersey/dp/B00H3HX2ZI/ref=sr_1_3?keywords=adidas+Regista+14+Jersey&amp;qid=1695171217&amp;sr=8-3")</f>
        <v/>
      </c>
      <c r="F3464" t="inlineStr">
        <is>
          <t>B00H3HX2ZI</t>
        </is>
      </c>
      <c r="G3464">
        <f>_xludf.IMAGE("https://www.soccerplususa.com/prodimages/10435-DEFAULT-l.jpg")</f>
        <v/>
      </c>
      <c r="H3464">
        <f>_xludf.IMAGE("https://m.media-amazon.com/images/I/61jM32B1pbL._AC_UL320_.jpg")</f>
        <v/>
      </c>
      <c r="K3464" t="inlineStr">
        <is>
          <t>22.5</t>
        </is>
      </c>
      <c r="L3464" t="n">
        <v>22.5</v>
      </c>
      <c r="M3464" s="1" t="inlineStr">
        <is>
          <t>0.00%</t>
        </is>
      </c>
      <c r="N3464" s="3" t="n">
        <v>0</v>
      </c>
      <c r="O3464" t="n">
        <v>5</v>
      </c>
      <c r="P3464" t="n">
        <v>1</v>
      </c>
      <c r="R3464" t="inlineStr">
        <is>
          <t>InStock</t>
        </is>
      </c>
      <c r="S3464" t="inlineStr">
        <is>
          <t>44.95</t>
        </is>
      </c>
      <c r="T3464" t="inlineStr">
        <is>
          <t>G70830</t>
        </is>
      </c>
    </row>
    <row r="3465" hidden="1" ht="15.75" customHeight="1">
      <c r="A3465" s="2">
        <f>HYPERLINK("https://www.soccerplususa.com/adidas/adidas-tabela-14-jersey-6151", "https://www.soccerplususa.com/adidas/adidas-tabela-14-jersey-6151")</f>
        <v/>
      </c>
      <c r="B3465" t="inlineStr">
        <is>
          <t>undefined</t>
        </is>
      </c>
      <c r="C3465" t="inlineStr">
        <is>
          <t>adidas Tabela 14 Jersey</t>
        </is>
      </c>
      <c r="D3465" t="inlineStr">
        <is>
          <t>adidas Women's Tabela 14 Jersey T-Shirt White</t>
        </is>
      </c>
      <c r="E3465" s="2">
        <f>HYPERLINK("https://www.amazon.com/Adidas-Tabela-Womens-Soccer-Jersey/dp/B00HWLDS9U/ref=sr_1_1?keywords=adidas+Tabela+14+Jersey&amp;qid=1695171220&amp;sr=8-1", "https://www.amazon.com/Adidas-Tabela-Womens-Soccer-Jersey/dp/B00HWLDS9U/ref=sr_1_1?keywords=adidas+Tabela+14+Jersey&amp;qid=1695171220&amp;sr=8-1")</f>
        <v/>
      </c>
      <c r="F3465" t="inlineStr">
        <is>
          <t>B00HWLDS9U</t>
        </is>
      </c>
      <c r="G3465">
        <f>_xludf.IMAGE("https://www.soccerplususa.com/prodimages/4588-DEFAULT-l.jpg")</f>
        <v/>
      </c>
      <c r="H3465">
        <f>_xludf.IMAGE("https://m.media-amazon.com/images/I/51P9FbjE8BL._AC_UL320_.jpg")</f>
        <v/>
      </c>
      <c r="K3465" t="inlineStr">
        <is>
          <t>17.5</t>
        </is>
      </c>
      <c r="L3465" t="n">
        <v>17.5</v>
      </c>
      <c r="M3465" s="1" t="inlineStr">
        <is>
          <t>0.00%</t>
        </is>
      </c>
      <c r="N3465" s="3" t="n">
        <v>0</v>
      </c>
      <c r="O3465" t="n">
        <v>3.6</v>
      </c>
      <c r="P3465" t="n">
        <v>16</v>
      </c>
      <c r="R3465" t="inlineStr">
        <is>
          <t>InStock</t>
        </is>
      </c>
      <c r="S3465" t="inlineStr">
        <is>
          <t>34.95</t>
        </is>
      </c>
      <c r="T3465" t="inlineStr">
        <is>
          <t>F84835</t>
        </is>
      </c>
    </row>
    <row r="3466" hidden="1" ht="15.75" customHeight="1">
      <c r="A3466" s="2">
        <f>HYPERLINK("https://www.soccerplususa.com/puma/puma-teamfinal-21-graphic-jersey-youth-38697", "https://www.soccerplususa.com/puma/puma-teamfinal-21-graphic-jersey-youth-38697")</f>
        <v/>
      </c>
      <c r="B3466" t="inlineStr">
        <is>
          <t>undefined</t>
        </is>
      </c>
      <c r="C3466" t="inlineStr">
        <is>
          <t>Puma Teamfinal 21 Graphic Jersey Youth</t>
        </is>
      </c>
      <c r="D3466" t="inlineStr">
        <is>
          <t>PUMA Men's Teamfinal 21 Graphic Jersey</t>
        </is>
      </c>
      <c r="E3466" s="2">
        <f>HYPERLINK("https://www.amazon.com/PUMA-Teamfinal-Graphic-Jersey-Glimmer/dp/B086RRH16L/ref=sr_1_2?keywords=Puma+Teamfinal+21+Graphic+Jersey+Youth&amp;qid=1695171156&amp;sr=8-2", "https://www.amazon.com/PUMA-Teamfinal-Graphic-Jersey-Glimmer/dp/B086RRH16L/ref=sr_1_2?keywords=Puma+Teamfinal+21+Graphic+Jersey+Youth&amp;qid=1695171156&amp;sr=8-2")</f>
        <v/>
      </c>
      <c r="F3466" t="inlineStr">
        <is>
          <t>B086RRH16L</t>
        </is>
      </c>
      <c r="G3466">
        <f>_xludf.IMAGE("https://www.soccerplususa.com/prodimages//36781-Electric_Blue-M.jpg")</f>
        <v/>
      </c>
      <c r="H3466">
        <f>_xludf.IMAGE("https://m.media-amazon.com/images/I/51cHF+BWyDL._AC_UL320_.jpg")</f>
        <v/>
      </c>
      <c r="K3466" t="inlineStr">
        <is>
          <t>29.99</t>
        </is>
      </c>
      <c r="L3466" t="n">
        <v>29.99</v>
      </c>
      <c r="M3466" s="1" t="inlineStr">
        <is>
          <t>0.00%</t>
        </is>
      </c>
      <c r="N3466" s="3" t="n">
        <v>0</v>
      </c>
      <c r="O3466" t="n">
        <v>5</v>
      </c>
      <c r="P3466" t="n">
        <v>1</v>
      </c>
      <c r="R3466" t="inlineStr">
        <is>
          <t>InStock</t>
        </is>
      </c>
      <c r="S3466" t="inlineStr">
        <is>
          <t>39.95</t>
        </is>
      </c>
      <c r="T3466" t="inlineStr">
        <is>
          <t>704369-02</t>
        </is>
      </c>
    </row>
    <row r="3467" hidden="1" ht="15.75" customHeight="1">
      <c r="A3467" s="2">
        <f>HYPERLINK("https://www.soccerplususa.com/adidas/adidas-squadra-17-jersey-4839", "https://www.soccerplususa.com/adidas/adidas-squadra-17-jersey-4839")</f>
        <v/>
      </c>
      <c r="B3467" t="inlineStr">
        <is>
          <t>undefined</t>
        </is>
      </c>
      <c r="C3467" t="inlineStr">
        <is>
          <t>adidas Squadra 17 Jersey</t>
        </is>
      </c>
      <c r="D3467" t="inlineStr">
        <is>
          <t>adidas Boys Squadra 17 Unisex Soccer Jersey</t>
        </is>
      </c>
      <c r="E3467" s="2">
        <f>HYPERLINK("https://www.amazon.com/adidas-Youth-Squadra-Jersey-Black/dp/B074585TVM/ref=sr_1_3?keywords=adidas+Squadra+17+Jersey&amp;qid=1695171228&amp;sr=8-3", "https://www.amazon.com/adidas-Youth-Squadra-Jersey-Black/dp/B074585TVM/ref=sr_1_3?keywords=adidas+Squadra+17+Jersey&amp;qid=1695171228&amp;sr=8-3")</f>
        <v/>
      </c>
      <c r="F3467" t="inlineStr">
        <is>
          <t>B074585TVM</t>
        </is>
      </c>
      <c r="G3467">
        <f>_xludf.IMAGE("https://www.soccerplususa.com/prodimages/31721-DEFAULT-l.jpg")</f>
        <v/>
      </c>
      <c r="H3467">
        <f>_xludf.IMAGE("https://m.media-amazon.com/images/I/61kr+zjTC1L._AC_UL320_.jpg")</f>
        <v/>
      </c>
      <c r="K3467" t="inlineStr">
        <is>
          <t>15.0</t>
        </is>
      </c>
      <c r="L3467" t="n">
        <v>15</v>
      </c>
      <c r="M3467" s="1" t="inlineStr">
        <is>
          <t>0.00%</t>
        </is>
      </c>
      <c r="N3467" s="3" t="n">
        <v>0</v>
      </c>
      <c r="O3467" t="n">
        <v>4.3</v>
      </c>
      <c r="P3467" t="n">
        <v>41</v>
      </c>
      <c r="R3467" t="inlineStr">
        <is>
          <t>InStock</t>
        </is>
      </c>
      <c r="S3467" t="inlineStr">
        <is>
          <t>29.95</t>
        </is>
      </c>
      <c r="T3467" t="inlineStr">
        <is>
          <t>BJ9176</t>
        </is>
      </c>
    </row>
    <row r="3468" hidden="1" ht="15.75" customHeight="1">
      <c r="A3468" s="2">
        <f>HYPERLINK("https://www.soccerplususa.com/adidas/adidas-regista-14-jersey-6067", "https://www.soccerplususa.com/adidas/adidas-regista-14-jersey-6067")</f>
        <v/>
      </c>
      <c r="B3468" t="inlineStr">
        <is>
          <t>undefined</t>
        </is>
      </c>
      <c r="C3468" t="inlineStr">
        <is>
          <t>adidas Regista 14 Jersey</t>
        </is>
      </c>
      <c r="D3468" t="inlineStr">
        <is>
          <t>adidas Men's Regista 14 Soccer Jersey</t>
        </is>
      </c>
      <c r="E3468" s="2">
        <f>HYPERLINK("https://www.amazon.com/adidas-Mens-Regista-Soccer-Jersey/dp/B00H3HX2ZI/ref=sr_1_3?keywords=adidas+Regista+14+Jersey&amp;qid=1695171231&amp;sr=8-3", "https://www.amazon.com/adidas-Mens-Regista-Soccer-Jersey/dp/B00H3HX2ZI/ref=sr_1_3?keywords=adidas+Regista+14+Jersey&amp;qid=1695171231&amp;sr=8-3")</f>
        <v/>
      </c>
      <c r="F3468" t="inlineStr">
        <is>
          <t>B00H3HX2ZI</t>
        </is>
      </c>
      <c r="G3468">
        <f>_xludf.IMAGE("https://www.soccerplususa.com/prodimages/10329-DEFAULT-l.jpg")</f>
        <v/>
      </c>
      <c r="H3468">
        <f>_xludf.IMAGE("https://m.media-amazon.com/images/I/61jM32B1pbL._AC_UL320_.jpg")</f>
        <v/>
      </c>
      <c r="K3468" t="inlineStr">
        <is>
          <t>22.5</t>
        </is>
      </c>
      <c r="L3468" t="n">
        <v>22.5</v>
      </c>
      <c r="M3468" s="1" t="inlineStr">
        <is>
          <t>0.00%</t>
        </is>
      </c>
      <c r="N3468" s="3" t="n">
        <v>0</v>
      </c>
      <c r="O3468" t="n">
        <v>5</v>
      </c>
      <c r="P3468" t="n">
        <v>1</v>
      </c>
      <c r="R3468" t="inlineStr">
        <is>
          <t>InStock</t>
        </is>
      </c>
      <c r="S3468" t="inlineStr">
        <is>
          <t>44.95</t>
        </is>
      </c>
      <c r="T3468" t="inlineStr">
        <is>
          <t>F50011</t>
        </is>
      </c>
    </row>
    <row r="3469" hidden="1" ht="15.75" customHeight="1">
      <c r="A3469" s="2">
        <f>HYPERLINK("https://www.soccerplususa.com/adidas/adidas-tabela-14-jersey-6152", "https://www.soccerplususa.com/adidas/adidas-tabela-14-jersey-6152")</f>
        <v/>
      </c>
      <c r="B3469" t="inlineStr">
        <is>
          <t>undefined</t>
        </is>
      </c>
      <c r="C3469" t="inlineStr">
        <is>
          <t>adidas Tabela 14 Jersey</t>
        </is>
      </c>
      <c r="D3469" t="inlineStr">
        <is>
          <t>adidas Women's Tabela 14 Jersey T-Shirt White</t>
        </is>
      </c>
      <c r="E3469" s="2">
        <f>HYPERLINK("https://www.amazon.com/Adidas-Tabela-Womens-Soccer-Jersey/dp/B00HWLDS9U/ref=sr_1_1?keywords=adidas+Tabela+14+Jersey&amp;qid=1695171217&amp;sr=8-1", "https://www.amazon.com/Adidas-Tabela-Womens-Soccer-Jersey/dp/B00HWLDS9U/ref=sr_1_1?keywords=adidas+Tabela+14+Jersey&amp;qid=1695171217&amp;sr=8-1")</f>
        <v/>
      </c>
      <c r="F3469" t="inlineStr">
        <is>
          <t>B00HWLDS9U</t>
        </is>
      </c>
      <c r="G3469">
        <f>_xludf.IMAGE("https://www.soccerplususa.com/prodimages/4589-DEFAULT-l.jpg")</f>
        <v/>
      </c>
      <c r="H3469">
        <f>_xludf.IMAGE("https://m.media-amazon.com/images/I/51P9FbjE8BL._AC_UL320_.jpg")</f>
        <v/>
      </c>
      <c r="K3469" t="inlineStr">
        <is>
          <t>17.5</t>
        </is>
      </c>
      <c r="L3469" t="n">
        <v>17.5</v>
      </c>
      <c r="M3469" s="1" t="inlineStr">
        <is>
          <t>0.00%</t>
        </is>
      </c>
      <c r="N3469" s="3" t="n">
        <v>0</v>
      </c>
      <c r="O3469" t="n">
        <v>3.6</v>
      </c>
      <c r="P3469" t="n">
        <v>16</v>
      </c>
      <c r="R3469" t="inlineStr">
        <is>
          <t>InStock</t>
        </is>
      </c>
      <c r="S3469" t="inlineStr">
        <is>
          <t>34.95</t>
        </is>
      </c>
      <c r="T3469" t="inlineStr">
        <is>
          <t>F84836</t>
        </is>
      </c>
    </row>
    <row r="3470" hidden="1" ht="15.75" customHeight="1">
      <c r="A3470" s="2">
        <f>HYPERLINK("https://www.soccerplususa.com/adidas/adidas-tiro-15-jersey-7887", "https://www.soccerplususa.com/adidas/adidas-tiro-15-jersey-7887")</f>
        <v/>
      </c>
      <c r="B3470" t="inlineStr">
        <is>
          <t>undefined</t>
        </is>
      </c>
      <c r="C3470" t="inlineStr">
        <is>
          <t>adidas Tiro 15 Jersey</t>
        </is>
      </c>
      <c r="D3470" t="inlineStr">
        <is>
          <t>adidas TIRO 15 Jersey [BOBLUE/White]</t>
        </is>
      </c>
      <c r="E3470" s="2">
        <f>HYPERLINK("https://www.amazon.com/Adidas-TIRO-Jersey-BOBLUE-WHITE/dp/B00QKQQW0K/ref=sr_1_7?keywords=adidas+Tiro+15+Jersey&amp;qid=1695171209&amp;sr=8-7", "https://www.amazon.com/Adidas-TIRO-Jersey-BOBLUE-WHITE/dp/B00QKQQW0K/ref=sr_1_7?keywords=adidas+Tiro+15+Jersey&amp;qid=1695171209&amp;sr=8-7")</f>
        <v/>
      </c>
      <c r="F3470" t="inlineStr">
        <is>
          <t>B00QKQQW0K</t>
        </is>
      </c>
      <c r="G3470">
        <f>_xludf.IMAGE("https://www.soccerplususa.com/prodimages/6309-DEFAULT-l.jpg")</f>
        <v/>
      </c>
      <c r="H3470">
        <f>_xludf.IMAGE("https://m.media-amazon.com/images/I/519YNk5oEuL._AC_UL320_.jpg")</f>
        <v/>
      </c>
      <c r="K3470" t="inlineStr">
        <is>
          <t>20.0</t>
        </is>
      </c>
      <c r="L3470" t="n">
        <v>19.99</v>
      </c>
      <c r="M3470" s="1" t="inlineStr">
        <is>
          <t>-0.05%</t>
        </is>
      </c>
      <c r="N3470" s="3" t="n">
        <v>-0.05</v>
      </c>
      <c r="O3470" t="n">
        <v>4.6</v>
      </c>
      <c r="P3470" t="n">
        <v>3</v>
      </c>
      <c r="R3470" t="inlineStr">
        <is>
          <t>InStock</t>
        </is>
      </c>
      <c r="S3470" t="inlineStr">
        <is>
          <t>40.0</t>
        </is>
      </c>
      <c r="T3470" t="inlineStr">
        <is>
          <t>S22362</t>
        </is>
      </c>
    </row>
    <row r="3471" hidden="1" ht="15.75" customHeight="1">
      <c r="A3471" s="2">
        <f>HYPERLINK("https://www.soccerplususa.com/adidas/adidas-tiro-15-jersey-7888", "https://www.soccerplususa.com/adidas/adidas-tiro-15-jersey-7888")</f>
        <v/>
      </c>
      <c r="B3471" t="inlineStr">
        <is>
          <t>undefined</t>
        </is>
      </c>
      <c r="C3471" t="inlineStr">
        <is>
          <t>adidas Tiro 15 Jersey</t>
        </is>
      </c>
      <c r="D3471" t="inlineStr">
        <is>
          <t>adidas TIRO 15 Jersey [BOBLUE/White]</t>
        </is>
      </c>
      <c r="E3471" s="2">
        <f>HYPERLINK("https://www.amazon.com/Adidas-TIRO-Jersey-BOBLUE-WHITE/dp/B00QKQQW0K/ref=sr_1_7?keywords=adidas+Tiro+15+Jersey&amp;qid=1695171213&amp;sr=8-7", "https://www.amazon.com/Adidas-TIRO-Jersey-BOBLUE-WHITE/dp/B00QKQQW0K/ref=sr_1_7?keywords=adidas+Tiro+15+Jersey&amp;qid=1695171213&amp;sr=8-7")</f>
        <v/>
      </c>
      <c r="F3471" t="inlineStr">
        <is>
          <t>B00QKQQW0K</t>
        </is>
      </c>
      <c r="G3471">
        <f>_xludf.IMAGE("https://www.soccerplususa.com/prodimages/5430-DEFAULT-l.jpg")</f>
        <v/>
      </c>
      <c r="H3471">
        <f>_xludf.IMAGE("https://m.media-amazon.com/images/I/519YNk5oEuL._AC_UL320_.jpg")</f>
        <v/>
      </c>
      <c r="K3471" t="inlineStr">
        <is>
          <t>20.0</t>
        </is>
      </c>
      <c r="L3471" t="n">
        <v>19.99</v>
      </c>
      <c r="M3471" s="1" t="inlineStr">
        <is>
          <t>-0.05%</t>
        </is>
      </c>
      <c r="N3471" s="3" t="n">
        <v>-0.05</v>
      </c>
      <c r="O3471" t="n">
        <v>4.6</v>
      </c>
      <c r="P3471" t="n">
        <v>3</v>
      </c>
      <c r="R3471" t="inlineStr">
        <is>
          <t>InStock</t>
        </is>
      </c>
      <c r="S3471" t="inlineStr">
        <is>
          <t>39.95</t>
        </is>
      </c>
      <c r="T3471" t="inlineStr">
        <is>
          <t>S22363</t>
        </is>
      </c>
    </row>
    <row r="3472" hidden="1" ht="15.75" customHeight="1">
      <c r="A3472" s="2">
        <f>HYPERLINK("https://www.soccerplususa.com/adidas/adidas-tiro-17-jersey-womens-4818", "https://www.soccerplususa.com/adidas/adidas-tiro-17-jersey-womens-4818")</f>
        <v/>
      </c>
      <c r="B3472" t="inlineStr">
        <is>
          <t>undefined</t>
        </is>
      </c>
      <c r="C3472" t="inlineStr">
        <is>
          <t>adidas Tiro 17 Jersey Women's</t>
        </is>
      </c>
      <c r="D3472" t="inlineStr">
        <is>
          <t>adidas Tiro 19 Jersey- Women's Soccer M White</t>
        </is>
      </c>
      <c r="E3472" s="2">
        <f>HYPERLINK("https://www.amazon.com/adidas-Jersey-Womens-Soccer-White/dp/B07H453797/ref=sr_1_10?keywords=adidas+Tiro+17+Jersey+Women%27s&amp;qid=1695171228&amp;sr=8-10", "https://www.amazon.com/adidas-Jersey-Womens-Soccer-White/dp/B07H453797/ref=sr_1_10?keywords=adidas+Tiro+17+Jersey+Women%27s&amp;qid=1695171228&amp;sr=8-10")</f>
        <v/>
      </c>
      <c r="F3472" t="inlineStr">
        <is>
          <t>B07H453797</t>
        </is>
      </c>
      <c r="G3472">
        <f>_xludf.IMAGE("https://www.soccerplususa.com/prodimages/33189-DEFAULT-l.jpg")</f>
        <v/>
      </c>
      <c r="H3472">
        <f>_xludf.IMAGE("https://m.media-amazon.com/images/I/71O1zQQ7onL._AC_UL320_.jpg")</f>
        <v/>
      </c>
      <c r="K3472" t="inlineStr">
        <is>
          <t>30.0</t>
        </is>
      </c>
      <c r="L3472" t="n">
        <v>29.95</v>
      </c>
      <c r="M3472" s="1" t="inlineStr">
        <is>
          <t>-0.17%</t>
        </is>
      </c>
      <c r="N3472" s="3" t="n">
        <v>-0.17</v>
      </c>
      <c r="O3472" t="n">
        <v>4.5</v>
      </c>
      <c r="P3472" t="n">
        <v>2</v>
      </c>
      <c r="R3472" t="inlineStr">
        <is>
          <t>InStock</t>
        </is>
      </c>
      <c r="S3472" t="inlineStr">
        <is>
          <t>39.95</t>
        </is>
      </c>
      <c r="T3472" t="inlineStr">
        <is>
          <t>BJ9095</t>
        </is>
      </c>
    </row>
    <row r="3473" hidden="1" ht="15.75" customHeight="1">
      <c r="A3473" s="2">
        <f>HYPERLINK("https://www.soccerplususa.com/adidas/adidas-tiro-17-jersey-womens-35760", "https://www.soccerplususa.com/adidas/adidas-tiro-17-jersey-womens-35760")</f>
        <v/>
      </c>
      <c r="B3473" t="inlineStr">
        <is>
          <t>undefined</t>
        </is>
      </c>
      <c r="C3473" t="inlineStr">
        <is>
          <t>adidas Tiro 17 Jersey Women's</t>
        </is>
      </c>
      <c r="D3473" t="inlineStr">
        <is>
          <t>adidas Climacool TIRO 17 Soccer Jersey Womens Active Shirts &amp; Tees</t>
        </is>
      </c>
      <c r="E3473" s="2">
        <f>HYPERLINK("https://www.amazon.com/adidas-Climacool-Soccer-Jersey-Womens/dp/B0BM3RLRP9/ref=sr_1_2?keywords=adidas+Tiro+17+Jersey+Womens&amp;qid=1695171224&amp;sr=8-2", "https://www.amazon.com/adidas-Climacool-Soccer-Jersey-Womens/dp/B0BM3RLRP9/ref=sr_1_2?keywords=adidas+Tiro+17+Jersey+Womens&amp;qid=1695171224&amp;sr=8-2")</f>
        <v/>
      </c>
      <c r="F3473" t="inlineStr">
        <is>
          <t>B0BM3RLRP9</t>
        </is>
      </c>
      <c r="G3473">
        <f>_xludf.IMAGE("https://www.soccerplususa.com/prodimages/9819-DEFAULT-l.jpg")</f>
        <v/>
      </c>
      <c r="H3473">
        <f>_xludf.IMAGE("https://m.media-amazon.com/images/I/41vbz2JJbLL._AC_UL320_.jpg")</f>
        <v/>
      </c>
      <c r="K3473" t="inlineStr">
        <is>
          <t>20.0</t>
        </is>
      </c>
      <c r="L3473" t="n">
        <v>19.91</v>
      </c>
      <c r="M3473" s="1" t="inlineStr">
        <is>
          <t>-0.45%</t>
        </is>
      </c>
      <c r="N3473" s="3" t="n">
        <v>-0.45</v>
      </c>
      <c r="O3473" t="n">
        <v>5</v>
      </c>
      <c r="P3473" t="n">
        <v>3</v>
      </c>
      <c r="R3473" t="inlineStr">
        <is>
          <t>InStock</t>
        </is>
      </c>
      <c r="S3473" t="inlineStr">
        <is>
          <t>39.95</t>
        </is>
      </c>
      <c r="T3473" t="inlineStr">
        <is>
          <t>BJ9096</t>
        </is>
      </c>
    </row>
    <row r="3474" hidden="1" ht="15.75" customHeight="1">
      <c r="A3474" s="2">
        <f>HYPERLINK("https://www.soccerplususa.com/adidas/adidas-tiro-17-jersey-4869", "https://www.soccerplususa.com/adidas/adidas-tiro-17-jersey-4869")</f>
        <v/>
      </c>
      <c r="B3474" t="inlineStr">
        <is>
          <t>undefined</t>
        </is>
      </c>
      <c r="C3474" t="inlineStr">
        <is>
          <t>adidas Tiro 17 Jersey</t>
        </is>
      </c>
      <c r="D3474" t="inlineStr">
        <is>
          <t>adidas Climacool TIRO 17 Soccer Jersey Womens Active Shirts &amp; Tees</t>
        </is>
      </c>
      <c r="E3474" s="2">
        <f>HYPERLINK("https://www.amazon.com/adidas-Climacool-Soccer-Jersey-Womens/dp/B0BM3MSHQ6/ref=sr_1_2?keywords=adidas+Tiro+17+Jersey&amp;qid=1695171236&amp;sr=8-2", "https://www.amazon.com/adidas-Climacool-Soccer-Jersey-Womens/dp/B0BM3MSHQ6/ref=sr_1_2?keywords=adidas+Tiro+17+Jersey&amp;qid=1695171236&amp;sr=8-2")</f>
        <v/>
      </c>
      <c r="F3474" t="inlineStr">
        <is>
          <t>B0BM3MSHQ6</t>
        </is>
      </c>
      <c r="G3474">
        <f>_xludf.IMAGE("https://www.soccerplususa.com/prodimages/7451-DEFAULT-l.jpg")</f>
        <v/>
      </c>
      <c r="H3474">
        <f>_xludf.IMAGE("https://m.media-amazon.com/images/I/41vbz2JJbLL._AC_UL320_.jpg")</f>
        <v/>
      </c>
      <c r="K3474" t="inlineStr">
        <is>
          <t>20.0</t>
        </is>
      </c>
      <c r="L3474" t="n">
        <v>19.91</v>
      </c>
      <c r="M3474" s="1" t="inlineStr">
        <is>
          <t>-0.45%</t>
        </is>
      </c>
      <c r="N3474" s="3" t="n">
        <v>-0.45</v>
      </c>
      <c r="O3474" t="n">
        <v>5</v>
      </c>
      <c r="P3474" t="n">
        <v>3</v>
      </c>
      <c r="R3474" t="inlineStr">
        <is>
          <t>InStock</t>
        </is>
      </c>
      <c r="S3474" t="inlineStr">
        <is>
          <t>39.95</t>
        </is>
      </c>
      <c r="T3474" t="inlineStr">
        <is>
          <t>BK5437</t>
        </is>
      </c>
    </row>
    <row r="3475" hidden="1" ht="15.75" customHeight="1">
      <c r="A3475" s="2">
        <f>HYPERLINK("https://www.soccerplususa.com/adidas/adidas-tiro-17-jersey-4871", "https://www.soccerplususa.com/adidas/adidas-tiro-17-jersey-4871")</f>
        <v/>
      </c>
      <c r="B3475" t="inlineStr">
        <is>
          <t>undefined</t>
        </is>
      </c>
      <c r="C3475" t="inlineStr">
        <is>
          <t>adidas Tiro 17 Jersey</t>
        </is>
      </c>
      <c r="D3475" t="inlineStr">
        <is>
          <t>adidas Climacool TIRO 17 Soccer Jersey Womens Active Shirts &amp; Tees</t>
        </is>
      </c>
      <c r="E3475" s="2">
        <f>HYPERLINK("https://www.amazon.com/adidas-Climacool-Soccer-Jersey-Womens/dp/B0BM3MSHQ6/ref=sr_1_1?keywords=adidas+Tiro+17+Jersey&amp;qid=1695171224&amp;sr=8-1", "https://www.amazon.com/adidas-Climacool-Soccer-Jersey-Womens/dp/B0BM3MSHQ6/ref=sr_1_1?keywords=adidas+Tiro+17+Jersey&amp;qid=1695171224&amp;sr=8-1")</f>
        <v/>
      </c>
      <c r="F3475" t="inlineStr">
        <is>
          <t>B0BM3MSHQ6</t>
        </is>
      </c>
      <c r="G3475">
        <f>_xludf.IMAGE("https://www.soccerplususa.com/prodimages/31717-DEFAULT-l.jpg")</f>
        <v/>
      </c>
      <c r="H3475">
        <f>_xludf.IMAGE("https://m.media-amazon.com/images/I/41vbz2JJbLL._AC_UL320_.jpg")</f>
        <v/>
      </c>
      <c r="K3475" t="inlineStr">
        <is>
          <t>20.0</t>
        </is>
      </c>
      <c r="L3475" t="n">
        <v>19.91</v>
      </c>
      <c r="M3475" s="1" t="inlineStr">
        <is>
          <t>-0.45%</t>
        </is>
      </c>
      <c r="N3475" s="3" t="n">
        <v>-0.45</v>
      </c>
      <c r="O3475" t="n">
        <v>5</v>
      </c>
      <c r="P3475" t="n">
        <v>3</v>
      </c>
      <c r="R3475" t="inlineStr">
        <is>
          <t>InStock</t>
        </is>
      </c>
      <c r="S3475" t="inlineStr">
        <is>
          <t>39.95</t>
        </is>
      </c>
      <c r="T3475" t="inlineStr">
        <is>
          <t>BK5439</t>
        </is>
      </c>
    </row>
    <row r="3476" hidden="1" ht="15.75" customHeight="1">
      <c r="A3476" s="2">
        <f>HYPERLINK("https://www.soccerplususa.com/puma/puma-teamgoal-23-training-jacket-38703", "https://www.soccerplususa.com/puma/puma-teamgoal-23-training-jacket-38703")</f>
        <v/>
      </c>
      <c r="B3476" t="inlineStr">
        <is>
          <t>undefined</t>
        </is>
      </c>
      <c r="C3476" t="inlineStr">
        <is>
          <t>Puma Teamgoal 23 Training Jacket</t>
        </is>
      </c>
      <c r="D3476" t="inlineStr">
        <is>
          <t>PUMA Mens Teamgoal 23 Training Jacket</t>
        </is>
      </c>
      <c r="E3476" s="2">
        <f>HYPERLINK("https://www.amazon.com/Puma-Teamgoal-Training-Jacket-Asphalt/dp/B086MYYWC8/ref=sr_1_1?keywords=Puma+Teamgoal+23+Training+Jacket&amp;qid=1695171154&amp;sr=8-1", "https://www.amazon.com/Puma-Teamgoal-Training-Jacket-Asphalt/dp/B086MYYWC8/ref=sr_1_1?keywords=Puma+Teamgoal+23+Training+Jacket&amp;qid=1695171154&amp;sr=8-1")</f>
        <v/>
      </c>
      <c r="F3476" t="inlineStr">
        <is>
          <t>B086MYYWC8</t>
        </is>
      </c>
      <c r="G3476">
        <f>_xludf.IMAGE("https://www.soccerplususa.com/prodimages//35608-Electric_Blue-M.jpg")</f>
        <v/>
      </c>
      <c r="H3476">
        <f>_xludf.IMAGE("https://m.media-amazon.com/images/I/51Toxb87wrL._AC_UL320_.jpg")</f>
        <v/>
      </c>
      <c r="K3476" t="inlineStr">
        <is>
          <t>44.99</t>
        </is>
      </c>
      <c r="L3476" t="n">
        <v>44.64</v>
      </c>
      <c r="M3476" s="1" t="inlineStr">
        <is>
          <t>-0.78%</t>
        </is>
      </c>
      <c r="N3476" s="3" t="n">
        <v>-0.78</v>
      </c>
      <c r="O3476" t="n">
        <v>5</v>
      </c>
      <c r="P3476" t="n">
        <v>6</v>
      </c>
      <c r="R3476" t="inlineStr">
        <is>
          <t>InStock</t>
        </is>
      </c>
      <c r="S3476" t="inlineStr">
        <is>
          <t>59.95</t>
        </is>
      </c>
      <c r="T3476" t="inlineStr">
        <is>
          <t>656561-02</t>
        </is>
      </c>
    </row>
    <row r="3477" hidden="1" ht="15.75" customHeight="1">
      <c r="A3477" s="2">
        <f>HYPERLINK("https://www.soccerplususa.com/puma/puma-teamgoal-23-training-jacket-youth-38702", "https://www.soccerplususa.com/puma/puma-teamgoal-23-training-jacket-youth-38702")</f>
        <v/>
      </c>
      <c r="B3477" t="inlineStr">
        <is>
          <t>undefined</t>
        </is>
      </c>
      <c r="C3477" t="inlineStr">
        <is>
          <t>Puma Teamgoal 23 Training Jacket Youth</t>
        </is>
      </c>
      <c r="D3477" t="inlineStr">
        <is>
          <t>PUMA Mens Teamgoal 23 Training Jacket</t>
        </is>
      </c>
      <c r="E3477" s="2">
        <f>HYPERLINK("https://www.amazon.com/Puma-Teamgoal-Training-Jacket-Asphalt/dp/B086MYYWC8/ref=sr_1_4?keywords=Puma+Teamgoal+23+Training+Jacket+Youth&amp;qid=1695171151&amp;sr=8-4", "https://www.amazon.com/Puma-Teamgoal-Training-Jacket-Asphalt/dp/B086MYYWC8/ref=sr_1_4?keywords=Puma+Teamgoal+23+Training+Jacket+Youth&amp;qid=1695171151&amp;sr=8-4")</f>
        <v/>
      </c>
      <c r="F3477" t="inlineStr">
        <is>
          <t>B086MYYWC8</t>
        </is>
      </c>
      <c r="G3477">
        <f>_xludf.IMAGE("https://www.soccerplususa.com/prodimages//35609-Electric_Blue-M.jpg")</f>
        <v/>
      </c>
      <c r="H3477">
        <f>_xludf.IMAGE("https://m.media-amazon.com/images/I/51Toxb87wrL._AC_UL320_.jpg")</f>
        <v/>
      </c>
      <c r="K3477" t="inlineStr">
        <is>
          <t>44.99</t>
        </is>
      </c>
      <c r="L3477" t="n">
        <v>44.64</v>
      </c>
      <c r="M3477" s="1" t="inlineStr">
        <is>
          <t>-0.78%</t>
        </is>
      </c>
      <c r="N3477" s="3" t="n">
        <v>-0.78</v>
      </c>
      <c r="O3477" t="n">
        <v>5</v>
      </c>
      <c r="P3477" t="n">
        <v>6</v>
      </c>
      <c r="R3477" t="inlineStr">
        <is>
          <t>InStock</t>
        </is>
      </c>
      <c r="S3477" t="inlineStr">
        <is>
          <t>59.95</t>
        </is>
      </c>
      <c r="T3477" t="inlineStr">
        <is>
          <t>656570-02</t>
        </is>
      </c>
    </row>
    <row r="3478" hidden="1" ht="15.75" customHeight="1">
      <c r="A3478" s="2">
        <f>HYPERLINK("https://www.soccerplususa.com/adidas/adidas-tabela-18-jersey-5116", "https://www.soccerplususa.com/adidas/adidas-tabela-18-jersey-5116")</f>
        <v/>
      </c>
      <c r="B3478" t="inlineStr">
        <is>
          <t>undefined</t>
        </is>
      </c>
      <c r="C3478" t="inlineStr">
        <is>
          <t>adidas Tabela 18 Jersey</t>
        </is>
      </c>
      <c r="D3478" t="inlineStr">
        <is>
          <t>adidas Unisex-Child Entrada 18 Jersey</t>
        </is>
      </c>
      <c r="E3478" s="2">
        <f>HYPERLINK("https://www.amazon.com/adidas-Entrada-Jersey-White-Youth/dp/B07FGLQ8XY/ref=sr_1_9?keywords=adidas+Tabela+18+Jersey&amp;qid=1695171247&amp;sr=8-9", "https://www.amazon.com/adidas-Entrada-Jersey-White-Youth/dp/B07FGLQ8XY/ref=sr_1_9?keywords=adidas+Tabela+18+Jersey&amp;qid=1695171247&amp;sr=8-9")</f>
        <v/>
      </c>
      <c r="F3478" t="inlineStr">
        <is>
          <t>B07FGLQ8XY</t>
        </is>
      </c>
      <c r="G3478">
        <f>_xludf.IMAGE("https://www.soccerplususa.com/prodimages//31725-YELLOW-M.jpg")</f>
        <v/>
      </c>
      <c r="H3478">
        <f>_xludf.IMAGE("https://m.media-amazon.com/images/I/81ITBE3iM+S._AC_UL320_.jpg")</f>
        <v/>
      </c>
      <c r="K3478" t="inlineStr">
        <is>
          <t>21.99</t>
        </is>
      </c>
      <c r="L3478" t="n">
        <v>21.81</v>
      </c>
      <c r="M3478" s="1" t="inlineStr">
        <is>
          <t>-0.82%</t>
        </is>
      </c>
      <c r="N3478" s="3" t="n">
        <v>-0.82</v>
      </c>
      <c r="O3478" t="n">
        <v>4.5</v>
      </c>
      <c r="P3478" t="n">
        <v>374</v>
      </c>
      <c r="R3478" t="inlineStr">
        <is>
          <t>InStock</t>
        </is>
      </c>
      <c r="S3478" t="inlineStr">
        <is>
          <t>29.95</t>
        </is>
      </c>
      <c r="T3478" t="inlineStr">
        <is>
          <t>CE8941</t>
        </is>
      </c>
    </row>
    <row r="3479" hidden="1" ht="15.75" customHeight="1">
      <c r="A3479" s="2">
        <f>HYPERLINK("https://www.soccerplususa.com/adidas/adidas-tabela-18-jersey-5115", "https://www.soccerplususa.com/adidas/adidas-tabela-18-jersey-5115")</f>
        <v/>
      </c>
      <c r="B3479" t="inlineStr">
        <is>
          <t>undefined</t>
        </is>
      </c>
      <c r="C3479" t="inlineStr">
        <is>
          <t>adidas Tabela 18 Jersey</t>
        </is>
      </c>
      <c r="D3479" t="inlineStr">
        <is>
          <t>adidas Unisex-Child Entrada 18 Jersey</t>
        </is>
      </c>
      <c r="E3479" s="2">
        <f>HYPERLINK("https://www.amazon.com/adidas-Entrada-Jersey-White-Youth/dp/B07FGLQ8XY/ref=sr_1_9?keywords=adidas+Tabela+18+Jersey&amp;qid=1695171223&amp;sr=8-9", "https://www.amazon.com/adidas-Entrada-Jersey-White-Youth/dp/B07FGLQ8XY/ref=sr_1_9?keywords=adidas+Tabela+18+Jersey&amp;qid=1695171223&amp;sr=8-9")</f>
        <v/>
      </c>
      <c r="F3479" t="inlineStr">
        <is>
          <t>B07FGLQ8XY</t>
        </is>
      </c>
      <c r="G3479">
        <f>_xludf.IMAGE("https://www.soccerplususa.com/prodimages//31724-GRAY-M.jpg")</f>
        <v/>
      </c>
      <c r="H3479">
        <f>_xludf.IMAGE("https://m.media-amazon.com/images/I/81ITBE3iM+S._AC_UL320_.jpg")</f>
        <v/>
      </c>
      <c r="K3479" t="inlineStr">
        <is>
          <t>21.99</t>
        </is>
      </c>
      <c r="L3479" t="n">
        <v>21.81</v>
      </c>
      <c r="M3479" s="1" t="inlineStr">
        <is>
          <t>-0.82%</t>
        </is>
      </c>
      <c r="N3479" s="3" t="n">
        <v>-0.82</v>
      </c>
      <c r="O3479" t="n">
        <v>4.5</v>
      </c>
      <c r="P3479" t="n">
        <v>374</v>
      </c>
      <c r="R3479" t="inlineStr">
        <is>
          <t>InStock</t>
        </is>
      </c>
      <c r="S3479" t="inlineStr">
        <is>
          <t>29.95</t>
        </is>
      </c>
      <c r="T3479" t="inlineStr">
        <is>
          <t>CE8940</t>
        </is>
      </c>
    </row>
    <row r="3480" hidden="1" ht="15.75" customHeight="1">
      <c r="A3480" s="2">
        <f>HYPERLINK("https://www.soccerplususa.com/adidas/adidas-tabela-18-jersey-33808", "https://www.soccerplususa.com/adidas/adidas-tabela-18-jersey-33808")</f>
        <v/>
      </c>
      <c r="B3480" t="inlineStr">
        <is>
          <t>undefined</t>
        </is>
      </c>
      <c r="C3480" t="inlineStr">
        <is>
          <t>adidas Tabela 18 Jersey</t>
        </is>
      </c>
      <c r="D3480" t="inlineStr">
        <is>
          <t>adidas Unisex-Child Entrada 18 Jersey</t>
        </is>
      </c>
      <c r="E3480" s="2">
        <f>HYPERLINK("https://www.amazon.com/adidas-Entrada-Jersey-White-Youth/dp/B07FGLQ8XY/ref=sr_1_9?keywords=adidas+Tabela+18+Jersey&amp;qid=1695171170&amp;sr=8-9", "https://www.amazon.com/adidas-Entrada-Jersey-White-Youth/dp/B07FGLQ8XY/ref=sr_1_9?keywords=adidas+Tabela+18+Jersey&amp;qid=1695171170&amp;sr=8-9")</f>
        <v/>
      </c>
      <c r="F3480" t="inlineStr">
        <is>
          <t>B07FGLQ8XY</t>
        </is>
      </c>
      <c r="G3480">
        <f>_xludf.IMAGE("https://www.soccerplususa.com/prodimages//35356-REDWHITE-M.jpg")</f>
        <v/>
      </c>
      <c r="H3480">
        <f>_xludf.IMAGE("https://m.media-amazon.com/images/I/81ITBE3iM+S._AC_UL320_.jpg")</f>
        <v/>
      </c>
      <c r="K3480" t="inlineStr">
        <is>
          <t>21.99</t>
        </is>
      </c>
      <c r="L3480" t="n">
        <v>21.81</v>
      </c>
      <c r="M3480" s="1" t="inlineStr">
        <is>
          <t>-0.82%</t>
        </is>
      </c>
      <c r="N3480" s="3" t="n">
        <v>-0.82</v>
      </c>
      <c r="O3480" t="n">
        <v>4.5</v>
      </c>
      <c r="P3480" t="n">
        <v>374</v>
      </c>
      <c r="R3480" t="inlineStr">
        <is>
          <t>InStock</t>
        </is>
      </c>
      <c r="S3480" t="inlineStr">
        <is>
          <t>29.95</t>
        </is>
      </c>
      <c r="T3480" t="inlineStr">
        <is>
          <t>CE8935</t>
        </is>
      </c>
    </row>
    <row r="3481" hidden="1" ht="15.75" customHeight="1">
      <c r="A3481" s="2">
        <f>HYPERLINK("https://www.soccerplususa.com/puma/puma-liga-hooped-jersey-35526", "https://www.soccerplususa.com/puma/puma-liga-hooped-jersey-35526")</f>
        <v/>
      </c>
      <c r="B3481" t="inlineStr">
        <is>
          <t>undefined</t>
        </is>
      </c>
      <c r="C3481" t="inlineStr">
        <is>
          <t>Puma Liga Hooped Jersey</t>
        </is>
      </c>
      <c r="D3481" t="inlineStr">
        <is>
          <t>Liga Jersey Puma Red/Puma White MD</t>
        </is>
      </c>
      <c r="E3481" s="2">
        <f>HYPERLINK("https://www.amazon.com/PUMA-Mens-LIGA-Jersey-White/dp/B075RFRT8S/ref=sr_1_8?keywords=Puma+Liga+Hooped+Jersey&amp;qid=1695171162&amp;sr=8-8", "https://www.amazon.com/PUMA-Mens-LIGA-Jersey-White/dp/B075RFRT8S/ref=sr_1_8?keywords=Puma+Liga+Hooped+Jersey&amp;qid=1695171162&amp;sr=8-8")</f>
        <v/>
      </c>
      <c r="F3481" t="inlineStr">
        <is>
          <t>B075RFRT8S</t>
        </is>
      </c>
      <c r="G3481">
        <f>_xludf.IMAGE("https://www.soccerplususa.com/prodimages/32667-DEFAULT-l.jpg")</f>
        <v/>
      </c>
      <c r="H3481">
        <f>_xludf.IMAGE("https://m.media-amazon.com/images/I/719bB1GAxyL._AC_UL320_.jpg")</f>
        <v/>
      </c>
      <c r="K3481" t="inlineStr">
        <is>
          <t>30.0</t>
        </is>
      </c>
      <c r="L3481" t="n">
        <v>29.75</v>
      </c>
      <c r="M3481" s="1" t="inlineStr">
        <is>
          <t>-0.83%</t>
        </is>
      </c>
      <c r="N3481" s="3" t="n">
        <v>-0.83</v>
      </c>
      <c r="O3481" t="n">
        <v>4.4</v>
      </c>
      <c r="P3481" t="n">
        <v>39</v>
      </c>
      <c r="R3481" t="inlineStr">
        <is>
          <t>InStock</t>
        </is>
      </c>
      <c r="S3481" t="inlineStr">
        <is>
          <t>39.95</t>
        </is>
      </c>
      <c r="T3481" t="inlineStr">
        <is>
          <t>703422-02</t>
        </is>
      </c>
    </row>
    <row r="3482" hidden="1" ht="15.75" customHeight="1">
      <c r="A3482" s="2">
        <f>HYPERLINK("https://www.soccerplususa.com/puma/puma-santiago-jersey-35512", "https://www.soccerplususa.com/puma/puma-santiago-jersey-35512")</f>
        <v/>
      </c>
      <c r="B3482" t="inlineStr">
        <is>
          <t>undefined</t>
        </is>
      </c>
      <c r="C3482" t="inlineStr">
        <is>
          <t>Puma Santiago Jersey</t>
        </is>
      </c>
      <c r="D3482" t="inlineStr">
        <is>
          <t>PUMA Santiago TG Mens Jersey</t>
        </is>
      </c>
      <c r="E3482" s="2">
        <f>HYPERLINK("https://www.amazon.com/PUMA-Santiago-TG-Mens-Jersey/dp/B07L3SL2HB/ref=sr_1_3?keywords=Puma+Santiago+Jersey&amp;qid=1695171161&amp;sr=8-3", "https://www.amazon.com/PUMA-Santiago-TG-Mens-Jersey/dp/B07L3SL2HB/ref=sr_1_3?keywords=Puma+Santiago+Jersey&amp;qid=1695171161&amp;sr=8-3")</f>
        <v/>
      </c>
      <c r="F3482" t="inlineStr">
        <is>
          <t>B07L3SL2HB</t>
        </is>
      </c>
      <c r="G3482">
        <f>_xludf.IMAGE("https://www.soccerplususa.com/prodimages/32674-DEFAULT-l.jpg")</f>
        <v/>
      </c>
      <c r="H3482">
        <f>_xludf.IMAGE("https://m.media-amazon.com/images/I/91K3avYcgXL._AC_UL320_.jpg")</f>
        <v/>
      </c>
      <c r="K3482" t="inlineStr">
        <is>
          <t>16.0</t>
        </is>
      </c>
      <c r="L3482" t="n">
        <v>15.8</v>
      </c>
      <c r="M3482" s="1" t="inlineStr">
        <is>
          <t>-1.25%</t>
        </is>
      </c>
      <c r="N3482" s="3" t="n">
        <v>-1.25</v>
      </c>
      <c r="O3482" t="n">
        <v>3.7</v>
      </c>
      <c r="P3482" t="n">
        <v>4</v>
      </c>
      <c r="R3482" t="inlineStr">
        <is>
          <t>InStock</t>
        </is>
      </c>
      <c r="S3482" t="inlineStr">
        <is>
          <t>31.95</t>
        </is>
      </c>
      <c r="T3482" t="inlineStr">
        <is>
          <t>655501-16</t>
        </is>
      </c>
    </row>
    <row r="3483" hidden="1" ht="15.75" customHeight="1">
      <c r="A3483" s="2">
        <f>HYPERLINK("https://www.soccerplususa.com/puma/puma-santiago-jersey-29026", "https://www.soccerplususa.com/puma/puma-santiago-jersey-29026")</f>
        <v/>
      </c>
      <c r="B3483" t="inlineStr">
        <is>
          <t>undefined</t>
        </is>
      </c>
      <c r="C3483" t="inlineStr">
        <is>
          <t>Puma Santiago Jersey</t>
        </is>
      </c>
      <c r="D3483" t="inlineStr">
        <is>
          <t>PUMA Santiago TG Mens Jersey</t>
        </is>
      </c>
      <c r="E3483" s="2">
        <f>HYPERLINK("https://www.amazon.com/PUMA-Santiago-TG-Mens-Jersey/dp/B07L3SL2HB/ref=sr_1_3?keywords=Puma+Santiago+Jersey&amp;qid=1695171172&amp;sr=8-3", "https://www.amazon.com/PUMA-Santiago-TG-Mens-Jersey/dp/B07L3SL2HB/ref=sr_1_3?keywords=Puma+Santiago+Jersey&amp;qid=1695171172&amp;sr=8-3")</f>
        <v/>
      </c>
      <c r="F3483" t="inlineStr">
        <is>
          <t>B07L3SL2HB</t>
        </is>
      </c>
      <c r="G3483">
        <f>_xludf.IMAGE("https://www.soccerplususa.com/prodimages/32663-DEFAULT-l.jpg")</f>
        <v/>
      </c>
      <c r="H3483">
        <f>_xludf.IMAGE("https://m.media-amazon.com/images/I/91K3avYcgXL._AC_UL320_.jpg")</f>
        <v/>
      </c>
      <c r="K3483" t="inlineStr">
        <is>
          <t>16.0</t>
        </is>
      </c>
      <c r="L3483" t="n">
        <v>15.8</v>
      </c>
      <c r="M3483" s="1" t="inlineStr">
        <is>
          <t>-1.25%</t>
        </is>
      </c>
      <c r="N3483" s="3" t="n">
        <v>-1.25</v>
      </c>
      <c r="O3483" t="n">
        <v>3.7</v>
      </c>
      <c r="P3483" t="n">
        <v>4</v>
      </c>
      <c r="R3483" t="inlineStr">
        <is>
          <t>InStock</t>
        </is>
      </c>
      <c r="S3483" t="inlineStr">
        <is>
          <t>31.95</t>
        </is>
      </c>
      <c r="T3483" t="inlineStr">
        <is>
          <t>655501-06</t>
        </is>
      </c>
    </row>
    <row r="3484" hidden="1" ht="15.75" customHeight="1">
      <c r="A3484" s="2">
        <f>HYPERLINK("https://www.soccerplususa.com/puma/puma-santiago-jersey-29027", "https://www.soccerplususa.com/puma/puma-santiago-jersey-29027")</f>
        <v/>
      </c>
      <c r="B3484" t="inlineStr">
        <is>
          <t>undefined</t>
        </is>
      </c>
      <c r="C3484" t="inlineStr">
        <is>
          <t>Puma Santiago Jersey</t>
        </is>
      </c>
      <c r="D3484" t="inlineStr">
        <is>
          <t>PUMA Santiago TG Mens Jersey</t>
        </is>
      </c>
      <c r="E3484" s="2">
        <f>HYPERLINK("https://www.amazon.com/PUMA-Santiago-TG-Mens-Jersey/dp/B07L3SL2HB/ref=sr_1_3?keywords=Puma+Santiago+Jersey&amp;qid=1695171173&amp;sr=8-3", "https://www.amazon.com/PUMA-Santiago-TG-Mens-Jersey/dp/B07L3SL2HB/ref=sr_1_3?keywords=Puma+Santiago+Jersey&amp;qid=1695171173&amp;sr=8-3")</f>
        <v/>
      </c>
      <c r="F3484" t="inlineStr">
        <is>
          <t>B07L3SL2HB</t>
        </is>
      </c>
      <c r="G3484">
        <f>_xludf.IMAGE("https://www.soccerplususa.com/prodimages/32664-DEFAULT-l.jpg")</f>
        <v/>
      </c>
      <c r="H3484">
        <f>_xludf.IMAGE("https://m.media-amazon.com/images/I/91K3avYcgXL._AC_UL320_.jpg")</f>
        <v/>
      </c>
      <c r="K3484" t="inlineStr">
        <is>
          <t>16.0</t>
        </is>
      </c>
      <c r="L3484" t="n">
        <v>15.8</v>
      </c>
      <c r="M3484" s="1" t="inlineStr">
        <is>
          <t>-1.25%</t>
        </is>
      </c>
      <c r="N3484" s="3" t="n">
        <v>-1.25</v>
      </c>
      <c r="O3484" t="n">
        <v>3.7</v>
      </c>
      <c r="P3484" t="n">
        <v>4</v>
      </c>
      <c r="R3484" t="inlineStr">
        <is>
          <t>InStock</t>
        </is>
      </c>
      <c r="S3484" t="inlineStr">
        <is>
          <t>31.95</t>
        </is>
      </c>
      <c r="T3484" t="inlineStr">
        <is>
          <t>655501-29</t>
        </is>
      </c>
    </row>
    <row r="3485" hidden="1" ht="15.75" customHeight="1">
      <c r="A3485" s="2">
        <f>HYPERLINK("https://www.soccerplususa.com/under-armour/under-armour-coldgear-armour-fitted-mock-youth-41593", "https://www.soccerplususa.com/under-armour/under-armour-coldgear-armour-fitted-mock-youth-41593")</f>
        <v/>
      </c>
      <c r="B3485" t="inlineStr">
        <is>
          <t>undefined</t>
        </is>
      </c>
      <c r="C3485" t="inlineStr">
        <is>
          <t>Under Armour ColdGear Armour Fitted Mock Youth</t>
        </is>
      </c>
      <c r="D3485" t="inlineStr">
        <is>
          <t>Under Armour Boys' Armour ColdGear Long Sleeve T-Shirt , Jet Gray Light Heather (010)/Black , Youth Large</t>
        </is>
      </c>
      <c r="E3485" s="2">
        <f>HYPERLINK("https://www.amazon.com/Under-Armour-ColdGear-T-Shirt-Heather/dp/B07YXLC868/ref=sr_1_10?keywords=Under+Armour+ColdGear+Armour+Fitted+Mock+Youth&amp;qid=1695171155&amp;sr=8-10", "https://www.amazon.com/Under-Armour-ColdGear-T-Shirt-Heather/dp/B07YXLC868/ref=sr_1_10?keywords=Under+Armour+ColdGear+Armour+Fitted+Mock+Youth&amp;qid=1695171155&amp;sr=8-10")</f>
        <v/>
      </c>
      <c r="F3485" t="inlineStr">
        <is>
          <t>B07YXLC868</t>
        </is>
      </c>
      <c r="G3485">
        <f>_xludf.IMAGE("https://www.soccerplususa.com/prodimages//36054-BLACK-M.jpg")</f>
        <v/>
      </c>
      <c r="H3485">
        <f>_xludf.IMAGE("https://m.media-amazon.com/images/I/710PLbdg4zL._AC_UL320_.jpg")</f>
        <v/>
      </c>
      <c r="K3485" t="inlineStr">
        <is>
          <t>39.95</t>
        </is>
      </c>
      <c r="L3485" t="n">
        <v>39.24</v>
      </c>
      <c r="M3485" s="1" t="inlineStr">
        <is>
          <t>-1.78%</t>
        </is>
      </c>
      <c r="N3485" s="3" t="n">
        <v>-1.78</v>
      </c>
      <c r="O3485" t="n">
        <v>4.6</v>
      </c>
      <c r="P3485" t="n">
        <v>18</v>
      </c>
      <c r="R3485" t="inlineStr">
        <is>
          <t>InStock</t>
        </is>
      </c>
      <c r="S3485" t="inlineStr">
        <is>
          <t>undefined</t>
        </is>
      </c>
      <c r="T3485" t="inlineStr">
        <is>
          <t>1366373-001</t>
        </is>
      </c>
    </row>
    <row r="3486" hidden="1" ht="15.75" customHeight="1">
      <c r="A3486" s="2">
        <f>HYPERLINK("https://www.soccerplususa.com/adidas/adidas-campeon-15-jersey-youth-7828", "https://www.soccerplususa.com/adidas/adidas-campeon-15-jersey-youth-7828")</f>
        <v/>
      </c>
      <c r="B3486" t="inlineStr">
        <is>
          <t>undefined</t>
        </is>
      </c>
      <c r="C3486" t="inlineStr">
        <is>
          <t>adidas Campeon 15 Jersey Youth</t>
        </is>
      </c>
      <c r="D3486" t="inlineStr">
        <is>
          <t>adidas Campeon 21 Jersey Youth</t>
        </is>
      </c>
      <c r="E3486" s="2">
        <f>HYPERLINK("https://www.amazon.com/adidas-Campeon-21-Jersey-Soccer/dp/B08V6T5JDM/ref=sr_1_3?keywords=adidas+Campeon+15+Jersey+Youth&amp;qid=1695171197&amp;sr=8-3", "https://www.amazon.com/adidas-Campeon-21-Jersey-Soccer/dp/B08V6T5JDM/ref=sr_1_3?keywords=adidas+Campeon+15+Jersey+Youth&amp;qid=1695171197&amp;sr=8-3")</f>
        <v/>
      </c>
      <c r="F3486" t="inlineStr">
        <is>
          <t>B08V6T5JDM</t>
        </is>
      </c>
      <c r="G3486">
        <f>_xludf.IMAGE("https://www.soccerplususa.com/prodimages/4488-DEFAULT-l.jpg")</f>
        <v/>
      </c>
      <c r="H3486">
        <f>_xludf.IMAGE("https://m.media-amazon.com/images/I/51-+spnvhMS._AC_UL320_.jpg")</f>
        <v/>
      </c>
      <c r="K3486" t="inlineStr">
        <is>
          <t>27.5</t>
        </is>
      </c>
      <c r="L3486" t="n">
        <v>27</v>
      </c>
      <c r="M3486" s="1" t="inlineStr">
        <is>
          <t>-1.82%</t>
        </is>
      </c>
      <c r="N3486" s="3" t="n">
        <v>-1.82</v>
      </c>
      <c r="O3486" t="n">
        <v>5</v>
      </c>
      <c r="P3486" t="n">
        <v>1</v>
      </c>
      <c r="R3486" t="inlineStr">
        <is>
          <t>InStock</t>
        </is>
      </c>
      <c r="S3486" t="inlineStr">
        <is>
          <t>54.95</t>
        </is>
      </c>
      <c r="T3486" t="inlineStr">
        <is>
          <t>S15907</t>
        </is>
      </c>
    </row>
    <row r="3487" hidden="1" ht="15.75" customHeight="1">
      <c r="A3487" s="2">
        <f>HYPERLINK("https://www.soccerplususa.com/nike/nike-academy-drill-top-youth-43256", "https://www.soccerplususa.com/nike/nike-academy-drill-top-youth-43256")</f>
        <v/>
      </c>
      <c r="B3487" t="inlineStr">
        <is>
          <t>undefined</t>
        </is>
      </c>
      <c r="C3487" t="inlineStr">
        <is>
          <t>Nike Academy Drill Top Youth</t>
        </is>
      </c>
      <c r="D3487" t="inlineStr">
        <is>
          <t>Nike Boys Academy 18 Shield Drill Top</t>
        </is>
      </c>
      <c r="E3487" s="2">
        <f>HYPERLINK("https://www.amazon.com/NIKE-Academy-Shield-Drill-Black/dp/B078NJHLGW/ref=sr_1_7?keywords=Nike+Academy+Drill+Top+Youth&amp;qid=1695171160&amp;sr=8-7", "https://www.amazon.com/NIKE-Academy-Shield-Drill-Black/dp/B078NJHLGW/ref=sr_1_7?keywords=Nike+Academy+Drill+Top+Youth&amp;qid=1695171160&amp;sr=8-7")</f>
        <v/>
      </c>
      <c r="F3487" t="inlineStr">
        <is>
          <t>B078NJHLGW</t>
        </is>
      </c>
      <c r="G3487">
        <f>_xludf.IMAGE("https://www.soccerplususa.com/prodimages//35431-BLACKWHITE-M.jpg")</f>
        <v/>
      </c>
      <c r="H3487">
        <f>_xludf.IMAGE("https://m.media-amazon.com/images/I/817ZEzW4CTL._AC_UL320_.jpg")</f>
        <v/>
      </c>
      <c r="K3487" t="inlineStr">
        <is>
          <t>49.95</t>
        </is>
      </c>
      <c r="L3487" t="n">
        <v>49</v>
      </c>
      <c r="M3487" s="1" t="inlineStr">
        <is>
          <t>-1.90%</t>
        </is>
      </c>
      <c r="N3487" s="3" t="n">
        <v>-1.9</v>
      </c>
      <c r="O3487" t="n">
        <v>4.5</v>
      </c>
      <c r="P3487" t="n">
        <v>3</v>
      </c>
      <c r="R3487" t="inlineStr">
        <is>
          <t>InStock</t>
        </is>
      </c>
      <c r="S3487" t="inlineStr">
        <is>
          <t>undefined</t>
        </is>
      </c>
      <c r="T3487" t="inlineStr">
        <is>
          <t>CW6112-010</t>
        </is>
      </c>
    </row>
    <row r="3488" hidden="1" ht="15.75" customHeight="1">
      <c r="A3488" s="2">
        <f>HYPERLINK("https://www.soccerplususa.com/under-armour/under-armour-coldgear-armour-fitted-mock-youth-41594", "https://www.soccerplususa.com/under-armour/under-armour-coldgear-armour-fitted-mock-youth-41594")</f>
        <v/>
      </c>
      <c r="B3488" t="inlineStr">
        <is>
          <t>undefined</t>
        </is>
      </c>
      <c r="C3488" t="inlineStr">
        <is>
          <t>Under Armour ColdGear Armour Fitted Mock Youth</t>
        </is>
      </c>
      <c r="D3488" t="inlineStr">
        <is>
          <t>Under Armour Boys' Armour ColdGear Long Sleeve T-Shirt , Jet Gray Light Heather (010)/Black , Youth Large</t>
        </is>
      </c>
      <c r="E3488" s="2">
        <f>HYPERLINK("https://www.amazon.com/Under-Armour-ColdGear-T-Shirt-Heather/dp/B07YXLC868/ref=sr_1_7?keywords=Under+Armour+ColdGear+Armour+Fitted+Mock+Youth&amp;qid=1695171149&amp;sr=8-7", "https://www.amazon.com/Under-Armour-ColdGear-T-Shirt-Heather/dp/B07YXLC868/ref=sr_1_7?keywords=Under+Armour+ColdGear+Armour+Fitted+Mock+Youth&amp;qid=1695171149&amp;sr=8-7")</f>
        <v/>
      </c>
      <c r="F3488" t="inlineStr">
        <is>
          <t>B07YXLC868</t>
        </is>
      </c>
      <c r="G3488">
        <f>_xludf.IMAGE("https://www.soccerplususa.com/prodimages//36053-WHITE-M.jpg")</f>
        <v/>
      </c>
      <c r="H3488">
        <f>_xludf.IMAGE("https://m.media-amazon.com/images/I/710PLbdg4zL._AC_UL320_.jpg")</f>
        <v/>
      </c>
      <c r="K3488" t="inlineStr">
        <is>
          <t>39.95</t>
        </is>
      </c>
      <c r="L3488" t="n">
        <v>39.19</v>
      </c>
      <c r="M3488" s="1" t="inlineStr">
        <is>
          <t>-1.90%</t>
        </is>
      </c>
      <c r="N3488" s="3" t="n">
        <v>-1.9</v>
      </c>
      <c r="O3488" t="n">
        <v>4.6</v>
      </c>
      <c r="P3488" t="n">
        <v>18</v>
      </c>
      <c r="R3488" t="inlineStr">
        <is>
          <t>InStock</t>
        </is>
      </c>
      <c r="S3488" t="inlineStr">
        <is>
          <t>undefined</t>
        </is>
      </c>
      <c r="T3488" t="inlineStr">
        <is>
          <t>1366373-100</t>
        </is>
      </c>
    </row>
    <row r="3489" hidden="1" ht="15.75" customHeight="1">
      <c r="A3489" s="2">
        <f>HYPERLINK("https://www.soccerplususa.com/new-balance/new-balance-sideline-jacket-41947", "https://www.soccerplususa.com/new-balance/new-balance-sideline-jacket-41947")</f>
        <v/>
      </c>
      <c r="B3489" t="inlineStr">
        <is>
          <t>undefined</t>
        </is>
      </c>
      <c r="C3489" t="inlineStr">
        <is>
          <t>New Balance Sideline Jacket</t>
        </is>
      </c>
      <c r="D3489" t="inlineStr">
        <is>
          <t>New Balance Men's Essentials Stacked Logo French Terry Jacket</t>
        </is>
      </c>
      <c r="E3489" s="2">
        <f>HYPERLINK("https://www.amazon.com/New-Balance-Essentials-Stacked-Athletic/dp/B09ZPVCQJ3/ref=sr_1_6?keywords=New+Balance+Sideline+Jacket&amp;qid=1695171146&amp;sr=8-6", "https://www.amazon.com/New-Balance-Essentials-Stacked-Athletic/dp/B09ZPVCQJ3/ref=sr_1_6?keywords=New+Balance+Sideline+Jacket&amp;qid=1695171146&amp;sr=8-6")</f>
        <v/>
      </c>
      <c r="F3489" t="inlineStr">
        <is>
          <t>B09ZPVCQJ3</t>
        </is>
      </c>
      <c r="G3489">
        <f>_xludf.IMAGE("https://www.soccerplususa.com/prodimages//37530-BLACK-M.jpg")</f>
        <v/>
      </c>
      <c r="H3489">
        <f>_xludf.IMAGE("https://m.media-amazon.com/images/I/81N13CpQNjL._AC_UL320_.jpg")</f>
        <v/>
      </c>
      <c r="K3489" t="inlineStr">
        <is>
          <t>71.49</t>
        </is>
      </c>
      <c r="L3489" t="n">
        <v>69.95</v>
      </c>
      <c r="M3489" s="1" t="inlineStr">
        <is>
          <t>-2.15%</t>
        </is>
      </c>
      <c r="N3489" s="3" t="n">
        <v>-2.15</v>
      </c>
      <c r="O3489" t="n">
        <v>3.4</v>
      </c>
      <c r="P3489" t="n">
        <v>4</v>
      </c>
      <c r="R3489" t="inlineStr">
        <is>
          <t>InStock</t>
        </is>
      </c>
      <c r="S3489" t="inlineStr">
        <is>
          <t>95.0</t>
        </is>
      </c>
      <c r="T3489" t="inlineStr">
        <is>
          <t>TMMJ718</t>
        </is>
      </c>
    </row>
    <row r="3490" hidden="1" ht="15.75" customHeight="1">
      <c r="A3490" s="2">
        <f>HYPERLINK("https://www.soccerplususa.com/adidas/adidas-condivo-16-jersey-youth-4210", "https://www.soccerplususa.com/adidas/adidas-condivo-16-jersey-youth-4210")</f>
        <v/>
      </c>
      <c r="B3490" t="inlineStr">
        <is>
          <t>undefined</t>
        </is>
      </c>
      <c r="C3490" t="inlineStr">
        <is>
          <t>adidas Condivo 16 Jersey Youth</t>
        </is>
      </c>
      <c r="D3490" t="inlineStr">
        <is>
          <t>adidas Condivo 16 Mens Soccer Jersey</t>
        </is>
      </c>
      <c r="E3490" s="2">
        <f>HYPERLINK("https://www.amazon.com/adidas-Condivo-Soccer-Jersey-Red-White/dp/B018663ZI8/ref=sr_1_3?keywords=adidas+Condivo+16+Jersey+Youth&amp;qid=1695171233&amp;sr=8-3", "https://www.amazon.com/adidas-Condivo-Soccer-Jersey-Red-White/dp/B018663ZI8/ref=sr_1_3?keywords=adidas+Condivo+16+Jersey+Youth&amp;qid=1695171233&amp;sr=8-3")</f>
        <v/>
      </c>
      <c r="F3490" t="inlineStr">
        <is>
          <t>B018663ZI8</t>
        </is>
      </c>
      <c r="G3490">
        <f>_xludf.IMAGE("https://www.soccerplususa.com/prodimages/7805-DEFAULT-l.jpg")</f>
        <v/>
      </c>
      <c r="H3490">
        <f>_xludf.IMAGE("https://m.media-amazon.com/images/I/61Yl6y-jiwL._AC_UL320_.jpg")</f>
        <v/>
      </c>
      <c r="K3490" t="inlineStr">
        <is>
          <t>22.48</t>
        </is>
      </c>
      <c r="L3490" t="n">
        <v>21.92</v>
      </c>
      <c r="M3490" s="1" t="inlineStr">
        <is>
          <t>-2.49%</t>
        </is>
      </c>
      <c r="N3490" s="3" t="n">
        <v>-2.49</v>
      </c>
      <c r="O3490" t="n">
        <v>4.2</v>
      </c>
      <c r="P3490" t="n">
        <v>5</v>
      </c>
      <c r="R3490" t="inlineStr">
        <is>
          <t>InStock</t>
        </is>
      </c>
      <c r="S3490" t="inlineStr">
        <is>
          <t>44.95</t>
        </is>
      </c>
      <c r="T3490" t="inlineStr">
        <is>
          <t>AP4366</t>
        </is>
      </c>
    </row>
    <row r="3491" hidden="1" ht="15.75" customHeight="1">
      <c r="A3491" s="2">
        <f>HYPERLINK("https://www.soccerplususa.com/adidas/adidas-condivo-16-jersey-youth-4211", "https://www.soccerplususa.com/adidas/adidas-condivo-16-jersey-youth-4211")</f>
        <v/>
      </c>
      <c r="B3491" t="inlineStr">
        <is>
          <t>undefined</t>
        </is>
      </c>
      <c r="C3491" t="inlineStr">
        <is>
          <t>adidas Condivo 16 Jersey Youth</t>
        </is>
      </c>
      <c r="D3491" t="inlineStr">
        <is>
          <t>adidas Condivo 16 Mens Soccer Jersey</t>
        </is>
      </c>
      <c r="E3491" s="2">
        <f>HYPERLINK("https://www.amazon.com/adidas-Condivo-Soccer-Jersey-Red-White/dp/B018663ZI8/ref=sr_1_3?keywords=adidas+Condivo+16+Jersey+Youth&amp;qid=1695171230&amp;sr=8-3", "https://www.amazon.com/adidas-Condivo-Soccer-Jersey-Red-White/dp/B018663ZI8/ref=sr_1_3?keywords=adidas+Condivo+16+Jersey+Youth&amp;qid=1695171230&amp;sr=8-3")</f>
        <v/>
      </c>
      <c r="F3491" t="inlineStr">
        <is>
          <t>B018663ZI8</t>
        </is>
      </c>
      <c r="G3491">
        <f>_xludf.IMAGE("https://www.soccerplususa.com/prodimages/6944-DEFAULT-l.jpg")</f>
        <v/>
      </c>
      <c r="H3491">
        <f>_xludf.IMAGE("https://m.media-amazon.com/images/I/61Yl6y-jiwL._AC_UL320_.jpg")</f>
        <v/>
      </c>
      <c r="K3491" t="inlineStr">
        <is>
          <t>22.5</t>
        </is>
      </c>
      <c r="L3491" t="n">
        <v>21.92</v>
      </c>
      <c r="M3491" s="1" t="inlineStr">
        <is>
          <t>-2.58%</t>
        </is>
      </c>
      <c r="N3491" s="3" t="n">
        <v>-2.58</v>
      </c>
      <c r="O3491" t="n">
        <v>4.2</v>
      </c>
      <c r="P3491" t="n">
        <v>5</v>
      </c>
      <c r="R3491" t="inlineStr">
        <is>
          <t>InStock</t>
        </is>
      </c>
      <c r="S3491" t="inlineStr">
        <is>
          <t>44.95</t>
        </is>
      </c>
      <c r="T3491" t="inlineStr">
        <is>
          <t>AP4367</t>
        </is>
      </c>
    </row>
    <row r="3492" hidden="1" ht="15.75" customHeight="1">
      <c r="A3492" s="2">
        <f>HYPERLINK("https://www.soccerplususa.com/adidas/adidas-regista-14-jersey-womens-6069", "https://www.soccerplususa.com/adidas/adidas-regista-14-jersey-womens-6069")</f>
        <v/>
      </c>
      <c r="B3492" t="inlineStr">
        <is>
          <t>undefined</t>
        </is>
      </c>
      <c r="C3492" t="inlineStr">
        <is>
          <t>adidas Regista 14 Jersey Women's</t>
        </is>
      </c>
      <c r="D3492" t="inlineStr">
        <is>
          <t>adidas Women's Regista 14 Short, Black/White, Medium</t>
        </is>
      </c>
      <c r="E3492" s="2">
        <f>HYPERLINK("https://www.amazon.com/Adidas-Womens-Climacool-Regista-Medium/dp/B00H5UP030/ref=sr_1_5?keywords=adidas+Regista+14+Jersey+Womens&amp;qid=1695171219&amp;sr=8-5", "https://www.amazon.com/Adidas-Womens-Climacool-Regista-Medium/dp/B00H5UP030/ref=sr_1_5?keywords=adidas+Regista+14+Jersey+Womens&amp;qid=1695171219&amp;sr=8-5")</f>
        <v/>
      </c>
      <c r="F3492" t="inlineStr">
        <is>
          <t>B00H5UP030</t>
        </is>
      </c>
      <c r="G3492">
        <f>_xludf.IMAGE("https://www.soccerplususa.com/prodimages/31729-DEFAULT-l.jpg")</f>
        <v/>
      </c>
      <c r="H3492">
        <f>_xludf.IMAGE("https://m.media-amazon.com/images/I/71BmjkbsH-L._AC_UL320_.jpg")</f>
        <v/>
      </c>
      <c r="K3492" t="inlineStr">
        <is>
          <t>33.99</t>
        </is>
      </c>
      <c r="L3492" t="n">
        <v>32.99</v>
      </c>
      <c r="M3492" s="1" t="inlineStr">
        <is>
          <t>-2.94%</t>
        </is>
      </c>
      <c r="N3492" s="3" t="n">
        <v>-2.94</v>
      </c>
      <c r="O3492" t="n">
        <v>5</v>
      </c>
      <c r="P3492" t="n">
        <v>1</v>
      </c>
      <c r="R3492" t="inlineStr">
        <is>
          <t>InStock</t>
        </is>
      </c>
      <c r="S3492" t="inlineStr">
        <is>
          <t>44.95</t>
        </is>
      </c>
      <c r="T3492" t="inlineStr">
        <is>
          <t>F50028</t>
        </is>
      </c>
    </row>
    <row r="3493" hidden="1" ht="15.75" customHeight="1">
      <c r="A3493" s="2">
        <f>HYPERLINK("https://www.soccerplususa.com/puma/puma-liga-jersey-womens-39602", "https://www.soccerplususa.com/puma/puma-liga-jersey-womens-39602")</f>
        <v/>
      </c>
      <c r="B3493" t="inlineStr">
        <is>
          <t>undefined</t>
        </is>
      </c>
      <c r="C3493" t="inlineStr">
        <is>
          <t>Puma Liga Jersey Women's</t>
        </is>
      </c>
      <c r="D3493" t="inlineStr">
        <is>
          <t>PUMA womens Liga Training Jersey, Red-white, X-Small US</t>
        </is>
      </c>
      <c r="E3493" s="2">
        <f>HYPERLINK("https://www.amazon.com/PUMA-Womens-Training-Redpuma-X-Small/dp/B07B89FLMD/ref=sr_1_7?keywords=Puma+Liga+Jersey+Womens&amp;qid=1695171150&amp;sr=8-7", "https://www.amazon.com/PUMA-Womens-Training-Redpuma-X-Small/dp/B07B89FLMD/ref=sr_1_7?keywords=Puma+Liga+Jersey+Womens&amp;qid=1695171150&amp;sr=8-7")</f>
        <v/>
      </c>
      <c r="F3493" t="inlineStr">
        <is>
          <t>B07B89FLMD</t>
        </is>
      </c>
      <c r="G3493">
        <f>_xludf.IMAGE("https://www.soccerplususa.com/prodimages//36786-REDWHITE-M.jpg")</f>
        <v/>
      </c>
      <c r="H3493">
        <f>_xludf.IMAGE("https://m.media-amazon.com/images/I/81WMcRJ8y5L._AC_UL320_.jpg")</f>
        <v/>
      </c>
      <c r="K3493" t="inlineStr">
        <is>
          <t>20.99</t>
        </is>
      </c>
      <c r="L3493" t="n">
        <v>20.32</v>
      </c>
      <c r="M3493" s="1" t="inlineStr">
        <is>
          <t>-3.19%</t>
        </is>
      </c>
      <c r="N3493" s="3" t="n">
        <v>-3.19</v>
      </c>
      <c r="O3493" t="n">
        <v>3.4</v>
      </c>
      <c r="P3493" t="n">
        <v>6</v>
      </c>
      <c r="R3493" t="inlineStr">
        <is>
          <t>InStock</t>
        </is>
      </c>
      <c r="S3493" t="inlineStr">
        <is>
          <t>27.95</t>
        </is>
      </c>
      <c r="T3493" t="inlineStr">
        <is>
          <t>703426-01</t>
        </is>
      </c>
    </row>
    <row r="3494" hidden="1" ht="15.75" customHeight="1">
      <c r="A3494" s="2">
        <f>HYPERLINK("https://www.soccerplususa.com/nike/nike-academy-drill-top-youth-43256", "https://www.soccerplususa.com/nike/nike-academy-drill-top-youth-43256")</f>
        <v/>
      </c>
      <c r="B3494" t="inlineStr">
        <is>
          <t>undefined</t>
        </is>
      </c>
      <c r="C3494" t="inlineStr">
        <is>
          <t>Nike Academy Drill Top Youth</t>
        </is>
      </c>
      <c r="D3494" t="inlineStr">
        <is>
          <t>Nike Women's Dri-FIT Academy Soccer Drill Top (Black/White) Size Medium</t>
        </is>
      </c>
      <c r="E3494" s="2">
        <f>HYPERLINK("https://www.amazon.com/Nike-Womens-Dri-FIT-Academy-Soccer/dp/B0B3HQBSTW/ref=sr_1_4?keywords=Nike+Academy+Drill+Top+Youth&amp;qid=1695171160&amp;sr=8-4", "https://www.amazon.com/Nike-Womens-Dri-FIT-Academy-Soccer/dp/B0B3HQBSTW/ref=sr_1_4?keywords=Nike+Academy+Drill+Top+Youth&amp;qid=1695171160&amp;sr=8-4")</f>
        <v/>
      </c>
      <c r="F3494" t="inlineStr">
        <is>
          <t>B0B3HQBSTW</t>
        </is>
      </c>
      <c r="G3494">
        <f>_xludf.IMAGE("https://www.soccerplususa.com/prodimages//35431-BLACKWHITE-M.jpg")</f>
        <v/>
      </c>
      <c r="H3494">
        <f>_xludf.IMAGE("https://m.media-amazon.com/images/I/41RpH2l6+tL._AC_UL320_.jpg")</f>
        <v/>
      </c>
      <c r="K3494" t="inlineStr">
        <is>
          <t>49.95</t>
        </is>
      </c>
      <c r="L3494" t="n">
        <v>48.3</v>
      </c>
      <c r="M3494" s="1" t="inlineStr">
        <is>
          <t>-3.30%</t>
        </is>
      </c>
      <c r="N3494" s="3" t="n">
        <v>-3.3</v>
      </c>
      <c r="O3494" t="n">
        <v>5</v>
      </c>
      <c r="P3494" t="n">
        <v>2</v>
      </c>
      <c r="R3494" t="inlineStr">
        <is>
          <t>InStock</t>
        </is>
      </c>
      <c r="S3494" t="inlineStr">
        <is>
          <t>undefined</t>
        </is>
      </c>
      <c r="T3494" t="inlineStr">
        <is>
          <t>CW6112-010</t>
        </is>
      </c>
    </row>
    <row r="3495" hidden="1" ht="15.75" customHeight="1">
      <c r="A3495" s="2">
        <f>HYPERLINK("https://www.soccerplususa.com/storelli-sports/storelli-bodyshield-sleeveless-undershirt-32102", "https://www.soccerplususa.com/storelli-sports/storelli-bodyshield-sleeveless-undershirt-32102")</f>
        <v/>
      </c>
      <c r="B3495" t="inlineStr">
        <is>
          <t>undefined</t>
        </is>
      </c>
      <c r="C3495" t="inlineStr">
        <is>
          <t>Storelli BodyShield Sleeveless Undershirt</t>
        </is>
      </c>
      <c r="D3495" t="inlineStr">
        <is>
          <t>Storelli BodyShield Sleeveless Undershirt | Protective Soccer Base Layer | Lightweight Compression Top</t>
        </is>
      </c>
      <c r="E3495" s="2">
        <f>HYPERLINK("https://www.amazon.com/Storelli-BodyShield-Sleeveless-Lightweight-Compression/dp/B00N4VY83C/ref=sr_1_1?keywords=Storelli+BodyShield+Sleeveless+Undershirt&amp;qid=1695171181&amp;sr=8-1", "https://www.amazon.com/Storelli-BodyShield-Sleeveless-Lightweight-Compression/dp/B00N4VY83C/ref=sr_1_1?keywords=Storelli+BodyShield+Sleeveless+Undershirt&amp;qid=1695171181&amp;sr=8-1")</f>
        <v/>
      </c>
      <c r="F3495" t="inlineStr">
        <is>
          <t>B00N4VY83C</t>
        </is>
      </c>
      <c r="G3495">
        <f>_xludf.IMAGE("https://www.soccerplususa.com/prodimages/2096-DEFAULT-l.jpg")</f>
        <v/>
      </c>
      <c r="H3495">
        <f>_xludf.IMAGE("https://m.media-amazon.com/images/I/61vj2u7ThmL._AC_UL320_.jpg")</f>
        <v/>
      </c>
      <c r="K3495" t="inlineStr">
        <is>
          <t>59.95</t>
        </is>
      </c>
      <c r="L3495" t="n">
        <v>57.91</v>
      </c>
      <c r="M3495" s="1" t="inlineStr">
        <is>
          <t>-3.40%</t>
        </is>
      </c>
      <c r="N3495" s="3" t="n">
        <v>-3.4</v>
      </c>
      <c r="O3495" t="n">
        <v>4.7</v>
      </c>
      <c r="P3495" t="n">
        <v>18</v>
      </c>
      <c r="R3495" t="inlineStr">
        <is>
          <t>InStock</t>
        </is>
      </c>
      <c r="S3495" t="inlineStr">
        <is>
          <t>undefined</t>
        </is>
      </c>
      <c r="T3495" t="inlineStr">
        <is>
          <t>BSFPTOPNSBK</t>
        </is>
      </c>
    </row>
    <row r="3496" hidden="1" ht="15.75" customHeight="1">
      <c r="A3496" s="2">
        <f>HYPERLINK("https://www.soccerplususa.com/adidas/adidas-tiro-19-warm-top-youth-33865", "https://www.soccerplususa.com/adidas/adidas-tiro-19-warm-top-youth-33865")</f>
        <v/>
      </c>
      <c r="B3496" t="inlineStr">
        <is>
          <t>undefined</t>
        </is>
      </c>
      <c r="C3496" t="inlineStr">
        <is>
          <t>adidas Tiro 19 Warm Top Youth</t>
        </is>
      </c>
      <c r="D3496" t="inlineStr">
        <is>
          <t>adidas Youth Soccer Tiro 17 Warm Up Top (Large) Black</t>
        </is>
      </c>
      <c r="E3496" s="2">
        <f>HYPERLINK("https://www.amazon.com/Adidas-Youth-Tiro-Soccer-Grey-Black-White/dp/B01N65Y3UR/ref=sr_1_2?keywords=adidas+Tiro+19+Warm+Top+Youth&amp;qid=1695171191&amp;sr=8-2", "https://www.amazon.com/Adidas-Youth-Tiro-Soccer-Grey-Black-White/dp/B01N65Y3UR/ref=sr_1_2?keywords=adidas+Tiro+19+Warm+Top+Youth&amp;qid=1695171191&amp;sr=8-2")</f>
        <v/>
      </c>
      <c r="F3496" t="inlineStr">
        <is>
          <t>B01N65Y3UR</t>
        </is>
      </c>
      <c r="G3496">
        <f>_xludf.IMAGE("https://www.soccerplususa.com/prodimages/7903-DEFAULT-l.jpg")</f>
        <v/>
      </c>
      <c r="H3496">
        <f>_xludf.IMAGE("https://m.media-amazon.com/images/I/715VzyN2KwL._AC_UL320_.jpg")</f>
        <v/>
      </c>
      <c r="K3496" t="inlineStr">
        <is>
          <t>52.0</t>
        </is>
      </c>
      <c r="L3496" t="n">
        <v>49.99</v>
      </c>
      <c r="M3496" s="1" t="inlineStr">
        <is>
          <t>-3.87%</t>
        </is>
      </c>
      <c r="N3496" s="3" t="n">
        <v>-3.87</v>
      </c>
      <c r="O3496" t="n">
        <v>5</v>
      </c>
      <c r="P3496" t="n">
        <v>1</v>
      </c>
      <c r="R3496" t="inlineStr">
        <is>
          <t>InStock</t>
        </is>
      </c>
      <c r="S3496" t="inlineStr">
        <is>
          <t>69.95</t>
        </is>
      </c>
      <c r="T3496" t="inlineStr">
        <is>
          <t>D95952</t>
        </is>
      </c>
    </row>
    <row r="3497" hidden="1" ht="15.75" customHeight="1">
      <c r="A3497" s="2">
        <f>HYPERLINK("https://www.soccerplususa.com/puma/puma-liga-jersey-37884", "https://www.soccerplususa.com/puma/puma-liga-jersey-37884")</f>
        <v/>
      </c>
      <c r="B3497" t="inlineStr">
        <is>
          <t>undefined</t>
        </is>
      </c>
      <c r="C3497" t="inlineStr">
        <is>
          <t>Puma Liga Jersey</t>
        </is>
      </c>
      <c r="D3497" t="inlineStr">
        <is>
          <t>PUMA Unisex Youth Liga Jersey</t>
        </is>
      </c>
      <c r="E3497" s="2">
        <f>HYPERLINK("https://www.amazon.com/PUMA-Mens-LIGA-Jersey-White/dp/B07DY9HZB2/ref=sr_1_7?keywords=Puma+Liga+Jersey&amp;qid=1695171168&amp;sr=8-7", "https://www.amazon.com/PUMA-Mens-LIGA-Jersey-White/dp/B07DY9HZB2/ref=sr_1_7?keywords=Puma+Liga+Jersey&amp;qid=1695171168&amp;sr=8-7")</f>
        <v/>
      </c>
      <c r="F3497" t="inlineStr">
        <is>
          <t>B07DY9HZB2</t>
        </is>
      </c>
      <c r="G3497">
        <f>_xludf.IMAGE("https://www.soccerplususa.com/prodimages//35270-NAVYWHITE-M.jpg")</f>
        <v/>
      </c>
      <c r="H3497">
        <f>_xludf.IMAGE("https://m.media-amazon.com/images/I/61tvgoNrhmL._AC_UL320_.jpg")</f>
        <v/>
      </c>
      <c r="K3497" t="inlineStr">
        <is>
          <t>20.99</t>
        </is>
      </c>
      <c r="L3497" t="n">
        <v>20.09</v>
      </c>
      <c r="M3497" s="1" t="inlineStr">
        <is>
          <t>-4.29%</t>
        </is>
      </c>
      <c r="N3497" s="3" t="n">
        <v>-4.29</v>
      </c>
      <c r="O3497" t="n">
        <v>4</v>
      </c>
      <c r="P3497" t="n">
        <v>37</v>
      </c>
      <c r="R3497" t="inlineStr">
        <is>
          <t>InStock</t>
        </is>
      </c>
      <c r="S3497" t="inlineStr">
        <is>
          <t>27.95</t>
        </is>
      </c>
      <c r="T3497" t="inlineStr">
        <is>
          <t>703417-06</t>
        </is>
      </c>
    </row>
    <row r="3498" hidden="1" ht="15.75" customHeight="1">
      <c r="A3498" s="2">
        <f>HYPERLINK("https://www.soccerplususa.com/puma/puma-liga-jersey-youth-37886", "https://www.soccerplususa.com/puma/puma-liga-jersey-youth-37886")</f>
        <v/>
      </c>
      <c r="B3498" t="inlineStr">
        <is>
          <t>undefined</t>
        </is>
      </c>
      <c r="C3498" t="inlineStr">
        <is>
          <t>Puma Liga Jersey Youth</t>
        </is>
      </c>
      <c r="D3498" t="inlineStr">
        <is>
          <t>PUMA Youth Liga Jersey Core</t>
        </is>
      </c>
      <c r="E3498" s="2">
        <f>HYPERLINK("https://www.amazon.com/PUMA-Jersey-Redpuma-White-X-Large/dp/B07KWYRQKR/ref=sr_1_1?keywords=Puma+Liga+Jersey+Youth&amp;qid=1695171188&amp;sr=8-1", "https://www.amazon.com/PUMA-Jersey-Redpuma-White-X-Large/dp/B07KWYRQKR/ref=sr_1_1?keywords=Puma+Liga+Jersey+Youth&amp;qid=1695171188&amp;sr=8-1")</f>
        <v/>
      </c>
      <c r="F3498" t="inlineStr">
        <is>
          <t>B07KWYRQKR</t>
        </is>
      </c>
      <c r="G3498">
        <f>_xludf.IMAGE("https://www.soccerplususa.com/prodimages//35271-NAVYWHITE-M.jpg")</f>
        <v/>
      </c>
      <c r="H3498">
        <f>_xludf.IMAGE("https://m.media-amazon.com/images/I/71154h+V-SL._AC_UL320_.jpg")</f>
        <v/>
      </c>
      <c r="K3498" t="inlineStr">
        <is>
          <t>20.99</t>
        </is>
      </c>
      <c r="L3498" t="n">
        <v>20.04</v>
      </c>
      <c r="M3498" s="1" t="inlineStr">
        <is>
          <t>-4.53%</t>
        </is>
      </c>
      <c r="N3498" s="3" t="n">
        <v>-4.53</v>
      </c>
      <c r="O3498" t="n">
        <v>3.5</v>
      </c>
      <c r="P3498" t="n">
        <v>320</v>
      </c>
      <c r="R3498" t="inlineStr">
        <is>
          <t>InStock</t>
        </is>
      </c>
      <c r="S3498" t="inlineStr">
        <is>
          <t>27.95</t>
        </is>
      </c>
      <c r="T3498" t="inlineStr">
        <is>
          <t>703418-06</t>
        </is>
      </c>
    </row>
    <row r="3499" hidden="1" ht="15.75" customHeight="1">
      <c r="A3499" s="2">
        <f>HYPERLINK("https://www.soccerplususa.com/puma/puma-liga-jersey-youth-37885", "https://www.soccerplususa.com/puma/puma-liga-jersey-youth-37885")</f>
        <v/>
      </c>
      <c r="B3499" t="inlineStr">
        <is>
          <t>undefined</t>
        </is>
      </c>
      <c r="C3499" t="inlineStr">
        <is>
          <t>Puma Liga Jersey Youth</t>
        </is>
      </c>
      <c r="D3499" t="inlineStr">
        <is>
          <t>PUMA Youth Liga Jersey Core</t>
        </is>
      </c>
      <c r="E3499" s="2">
        <f>HYPERLINK("https://www.amazon.com/PUMA-Jersey-Redpuma-White-X-Large/dp/B07KWYRQKR/ref=sr_1_1?keywords=Puma+Liga+Jersey+Youth&amp;qid=1695171154&amp;sr=8-1", "https://www.amazon.com/PUMA-Jersey-Redpuma-White-X-Large/dp/B07KWYRQKR/ref=sr_1_1?keywords=Puma+Liga+Jersey+Youth&amp;qid=1695171154&amp;sr=8-1")</f>
        <v/>
      </c>
      <c r="F3499" t="inlineStr">
        <is>
          <t>B07KWYRQKR</t>
        </is>
      </c>
      <c r="G3499">
        <f>_xludf.IMAGE("https://www.soccerplususa.com/prodimages//36779-REDWHITE-M.jpg")</f>
        <v/>
      </c>
      <c r="H3499">
        <f>_xludf.IMAGE("https://m.media-amazon.com/images/I/71154h+V-SL._AC_UL320_.jpg")</f>
        <v/>
      </c>
      <c r="K3499" t="inlineStr">
        <is>
          <t>20.99</t>
        </is>
      </c>
      <c r="L3499" t="n">
        <v>20.04</v>
      </c>
      <c r="M3499" s="1" t="inlineStr">
        <is>
          <t>-4.53%</t>
        </is>
      </c>
      <c r="N3499" s="3" t="n">
        <v>-4.53</v>
      </c>
      <c r="O3499" t="n">
        <v>3.5</v>
      </c>
      <c r="P3499" t="n">
        <v>320</v>
      </c>
      <c r="R3499" t="inlineStr">
        <is>
          <t>InStock</t>
        </is>
      </c>
      <c r="S3499" t="inlineStr">
        <is>
          <t>27.95</t>
        </is>
      </c>
      <c r="T3499" t="inlineStr">
        <is>
          <t>703418-01</t>
        </is>
      </c>
    </row>
    <row r="3500" hidden="1" ht="15.75" customHeight="1">
      <c r="A3500" s="2">
        <f>HYPERLINK("https://www.soccerplususa.com/adidas/adidas-tiro-17-jersey-4871", "https://www.soccerplususa.com/adidas/adidas-tiro-17-jersey-4871")</f>
        <v/>
      </c>
      <c r="B3500" t="inlineStr">
        <is>
          <t>undefined</t>
        </is>
      </c>
      <c r="C3500" t="inlineStr">
        <is>
          <t>adidas Tiro 17 Jersey</t>
        </is>
      </c>
      <c r="D3500" t="inlineStr">
        <is>
          <t>adidas Mens Tiro 17 Jersey Black/White S</t>
        </is>
      </c>
      <c r="E3500" s="2">
        <f>HYPERLINK("https://www.amazon.com/Adidas-Mens-Jersey-Black-White/dp/B01N64GCZ6/ref=sr_1_3?keywords=adidas+Tiro+17+Jersey&amp;qid=1695171224&amp;sr=8-3", "https://www.amazon.com/Adidas-Mens-Jersey-Black-White/dp/B01N64GCZ6/ref=sr_1_3?keywords=adidas+Tiro+17+Jersey&amp;qid=1695171224&amp;sr=8-3")</f>
        <v/>
      </c>
      <c r="F3500" t="inlineStr">
        <is>
          <t>B01N64GCZ6</t>
        </is>
      </c>
      <c r="G3500">
        <f>_xludf.IMAGE("https://www.soccerplususa.com/prodimages/31717-DEFAULT-l.jpg")</f>
        <v/>
      </c>
      <c r="H3500">
        <f>_xludf.IMAGE("https://m.media-amazon.com/images/I/61WO-O2xDLL._AC_UL320_.jpg")</f>
        <v/>
      </c>
      <c r="K3500" t="inlineStr">
        <is>
          <t>20.0</t>
        </is>
      </c>
      <c r="L3500" t="n">
        <v>19.07</v>
      </c>
      <c r="M3500" s="1" t="inlineStr">
        <is>
          <t>-4.65%</t>
        </is>
      </c>
      <c r="N3500" s="3" t="n">
        <v>-4.65</v>
      </c>
      <c r="O3500" t="n">
        <v>4.3</v>
      </c>
      <c r="P3500" t="n">
        <v>8</v>
      </c>
      <c r="R3500" t="inlineStr">
        <is>
          <t>InStock</t>
        </is>
      </c>
      <c r="S3500" t="inlineStr">
        <is>
          <t>39.95</t>
        </is>
      </c>
      <c r="T3500" t="inlineStr">
        <is>
          <t>BK5439</t>
        </is>
      </c>
    </row>
    <row r="3501" hidden="1" ht="15.75" customHeight="1">
      <c r="A3501" s="2">
        <f>HYPERLINK("https://www.soccerplususa.com/adidas/adidas-tiro-17-jersey-4869", "https://www.soccerplususa.com/adidas/adidas-tiro-17-jersey-4869")</f>
        <v/>
      </c>
      <c r="B3501" t="inlineStr">
        <is>
          <t>undefined</t>
        </is>
      </c>
      <c r="C3501" t="inlineStr">
        <is>
          <t>adidas Tiro 17 Jersey</t>
        </is>
      </c>
      <c r="D3501" t="inlineStr">
        <is>
          <t>adidas Mens Tiro 17 Jersey Black/White S</t>
        </is>
      </c>
      <c r="E3501" s="2">
        <f>HYPERLINK("https://www.amazon.com/Adidas-Mens-Jersey-Black-White/dp/B01N64GCZ6/ref=sr_1_3?keywords=adidas+Tiro+17+Jersey&amp;qid=1695171236&amp;sr=8-3", "https://www.amazon.com/Adidas-Mens-Jersey-Black-White/dp/B01N64GCZ6/ref=sr_1_3?keywords=adidas+Tiro+17+Jersey&amp;qid=1695171236&amp;sr=8-3")</f>
        <v/>
      </c>
      <c r="F3501" t="inlineStr">
        <is>
          <t>B01N64GCZ6</t>
        </is>
      </c>
      <c r="G3501">
        <f>_xludf.IMAGE("https://www.soccerplususa.com/prodimages/7451-DEFAULT-l.jpg")</f>
        <v/>
      </c>
      <c r="H3501">
        <f>_xludf.IMAGE("https://m.media-amazon.com/images/I/61WO-O2xDLL._AC_UL320_.jpg")</f>
        <v/>
      </c>
      <c r="K3501" t="inlineStr">
        <is>
          <t>20.0</t>
        </is>
      </c>
      <c r="L3501" t="n">
        <v>19.07</v>
      </c>
      <c r="M3501" s="1" t="inlineStr">
        <is>
          <t>-4.65%</t>
        </is>
      </c>
      <c r="N3501" s="3" t="n">
        <v>-4.65</v>
      </c>
      <c r="O3501" t="n">
        <v>4.3</v>
      </c>
      <c r="P3501" t="n">
        <v>8</v>
      </c>
      <c r="R3501" t="inlineStr">
        <is>
          <t>InStock</t>
        </is>
      </c>
      <c r="S3501" t="inlineStr">
        <is>
          <t>39.95</t>
        </is>
      </c>
      <c r="T3501" t="inlineStr">
        <is>
          <t>BK5437</t>
        </is>
      </c>
    </row>
    <row r="3502" hidden="1" ht="15.75" customHeight="1">
      <c r="A3502" s="2">
        <f>HYPERLINK("https://www.soccerplususa.com/adidas/adidas-tiro-17-jersey-womens-35760", "https://www.soccerplususa.com/adidas/adidas-tiro-17-jersey-womens-35760")</f>
        <v/>
      </c>
      <c r="B3502" t="inlineStr">
        <is>
          <t>undefined</t>
        </is>
      </c>
      <c r="C3502" t="inlineStr">
        <is>
          <t>adidas Tiro 17 Jersey Women's</t>
        </is>
      </c>
      <c r="D3502" t="inlineStr">
        <is>
          <t>adidas Mens Tiro 17 Jersey Black/White S</t>
        </is>
      </c>
      <c r="E3502" s="2">
        <f>HYPERLINK("https://www.amazon.com/Adidas-Mens-Jersey-Black-White/dp/B01N64GCZ6/ref=sr_1_7?keywords=adidas+Tiro+17+Jersey+Womens&amp;qid=1695171224&amp;sr=8-7", "https://www.amazon.com/Adidas-Mens-Jersey-Black-White/dp/B01N64GCZ6/ref=sr_1_7?keywords=adidas+Tiro+17+Jersey+Womens&amp;qid=1695171224&amp;sr=8-7")</f>
        <v/>
      </c>
      <c r="F3502" t="inlineStr">
        <is>
          <t>B01N64GCZ6</t>
        </is>
      </c>
      <c r="G3502">
        <f>_xludf.IMAGE("https://www.soccerplususa.com/prodimages/9819-DEFAULT-l.jpg")</f>
        <v/>
      </c>
      <c r="H3502">
        <f>_xludf.IMAGE("https://m.media-amazon.com/images/I/61WO-O2xDLL._AC_UL320_.jpg")</f>
        <v/>
      </c>
      <c r="K3502" t="inlineStr">
        <is>
          <t>20.0</t>
        </is>
      </c>
      <c r="L3502" t="n">
        <v>19.07</v>
      </c>
      <c r="M3502" s="1" t="inlineStr">
        <is>
          <t>-4.65%</t>
        </is>
      </c>
      <c r="N3502" s="3" t="n">
        <v>-4.65</v>
      </c>
      <c r="O3502" t="n">
        <v>4.3</v>
      </c>
      <c r="P3502" t="n">
        <v>8</v>
      </c>
      <c r="R3502" t="inlineStr">
        <is>
          <t>InStock</t>
        </is>
      </c>
      <c r="S3502" t="inlineStr">
        <is>
          <t>39.95</t>
        </is>
      </c>
      <c r="T3502" t="inlineStr">
        <is>
          <t>BJ9096</t>
        </is>
      </c>
    </row>
    <row r="3503" hidden="1" ht="15.75" customHeight="1">
      <c r="A3503" s="2">
        <f>HYPERLINK("https://www.soccerplususa.com/adidas/adidas-toque-13-jersey-womens-9005", "https://www.soccerplususa.com/adidas/adidas-toque-13-jersey-womens-9005")</f>
        <v/>
      </c>
      <c r="B3503" t="inlineStr">
        <is>
          <t>undefined</t>
        </is>
      </c>
      <c r="C3503" t="inlineStr">
        <is>
          <t>adidas Toque 13 Jersey Women's</t>
        </is>
      </c>
      <c r="D3503" t="inlineStr">
        <is>
          <t>adidas Toque 13 Mens Short Sleeve Jersey S White</t>
        </is>
      </c>
      <c r="E3503" s="2">
        <f>HYPERLINK("https://www.amazon.com/Adidas-Toque-Short-Sleeve-Jersey/dp/B00ARCNMT2/ref=sr_1_2?keywords=adidas+Toque+13+Jersey+Womens&amp;qid=1695171198&amp;sr=8-2", "https://www.amazon.com/Adidas-Toque-Short-Sleeve-Jersey/dp/B00ARCNMT2/ref=sr_1_2?keywords=adidas+Toque+13+Jersey+Womens&amp;qid=1695171198&amp;sr=8-2")</f>
        <v/>
      </c>
      <c r="F3503" t="inlineStr">
        <is>
          <t>B00ARCNMT2</t>
        </is>
      </c>
      <c r="G3503">
        <f>_xludf.IMAGE("https://www.soccerplususa.com/prodimages/10770-DEFAULT-l.jpg")</f>
        <v/>
      </c>
      <c r="H3503">
        <f>_xludf.IMAGE("https://m.media-amazon.com/images/I/513ELDMzXVL._AC_UL320_.jpg")</f>
        <v/>
      </c>
      <c r="K3503" t="inlineStr">
        <is>
          <t>20.0</t>
        </is>
      </c>
      <c r="L3503" t="n">
        <v>18.99</v>
      </c>
      <c r="M3503" s="1" t="inlineStr">
        <is>
          <t>-5.05%</t>
        </is>
      </c>
      <c r="N3503" s="3" t="n">
        <v>-5.05</v>
      </c>
      <c r="O3503" t="n">
        <v>4.3</v>
      </c>
      <c r="P3503" t="n">
        <v>2</v>
      </c>
      <c r="R3503" t="inlineStr">
        <is>
          <t>InStock</t>
        </is>
      </c>
      <c r="S3503" t="inlineStr">
        <is>
          <t>39.95</t>
        </is>
      </c>
      <c r="T3503" t="inlineStr">
        <is>
          <t>Z20288</t>
        </is>
      </c>
    </row>
    <row r="3504" hidden="1" ht="15.75" customHeight="1">
      <c r="A3504" s="2">
        <f>HYPERLINK("https://www.soccerplususa.com/adidas/adidas-toque-13-jersey-womens-8933", "https://www.soccerplususa.com/adidas/adidas-toque-13-jersey-womens-8933")</f>
        <v/>
      </c>
      <c r="B3504" t="inlineStr">
        <is>
          <t>undefined</t>
        </is>
      </c>
      <c r="C3504" t="inlineStr">
        <is>
          <t>adidas Toque 13 Jersey Women's</t>
        </is>
      </c>
      <c r="D3504" t="inlineStr">
        <is>
          <t>adidas Toque 13 Mens Short Sleeve Jersey S White</t>
        </is>
      </c>
      <c r="E3504" s="2">
        <f>HYPERLINK("https://www.amazon.com/Adidas-Toque-Short-Sleeve-Jersey/dp/B00ARCNMT2/ref=sr_1_2?keywords=adidas+Toque+13+Jersey+Womens&amp;qid=1695171196&amp;sr=8-2", "https://www.amazon.com/Adidas-Toque-Short-Sleeve-Jersey/dp/B00ARCNMT2/ref=sr_1_2?keywords=adidas+Toque+13+Jersey+Womens&amp;qid=1695171196&amp;sr=8-2")</f>
        <v/>
      </c>
      <c r="F3504" t="inlineStr">
        <is>
          <t>B00ARCNMT2</t>
        </is>
      </c>
      <c r="G3504">
        <f>_xludf.IMAGE("https://www.soccerplususa.com/prodimages/6641-DEFAULT-l.jpg")</f>
        <v/>
      </c>
      <c r="H3504">
        <f>_xludf.IMAGE("https://m.media-amazon.com/images/I/513ELDMzXVL._AC_UL320_.jpg")</f>
        <v/>
      </c>
      <c r="K3504" t="inlineStr">
        <is>
          <t>20.0</t>
        </is>
      </c>
      <c r="L3504" t="n">
        <v>18.99</v>
      </c>
      <c r="M3504" s="1" t="inlineStr">
        <is>
          <t>-5.05%</t>
        </is>
      </c>
      <c r="N3504" s="3" t="n">
        <v>-5.05</v>
      </c>
      <c r="O3504" t="n">
        <v>4.3</v>
      </c>
      <c r="P3504" t="n">
        <v>2</v>
      </c>
      <c r="R3504" t="inlineStr">
        <is>
          <t>InStock</t>
        </is>
      </c>
      <c r="S3504" t="inlineStr">
        <is>
          <t>39.95</t>
        </is>
      </c>
      <c r="T3504" t="inlineStr">
        <is>
          <t>X58026</t>
        </is>
      </c>
    </row>
    <row r="3505" hidden="1" ht="15.75" customHeight="1">
      <c r="A3505" s="2">
        <f>HYPERLINK("https://www.soccerplususa.com/adidas/adidas-toque-13-jersey-8996", "https://www.soccerplususa.com/adidas/adidas-toque-13-jersey-8996")</f>
        <v/>
      </c>
      <c r="B3505" t="inlineStr">
        <is>
          <t>undefined</t>
        </is>
      </c>
      <c r="C3505" t="inlineStr">
        <is>
          <t>adidas Toque 13 Jersey</t>
        </is>
      </c>
      <c r="D3505" t="inlineStr">
        <is>
          <t>adidas Toque 13 Mens Short Sleeve Jersey S White</t>
        </is>
      </c>
      <c r="E3505" s="2">
        <f>HYPERLINK("https://www.amazon.com/Adidas-Toque-Short-Sleeve-Jersey/dp/B00ARCNMT2/ref=sr_1_2?keywords=adidas+Toque+13+Jersey&amp;qid=1695171185&amp;sr=8-2", "https://www.amazon.com/Adidas-Toque-Short-Sleeve-Jersey/dp/B00ARCNMT2/ref=sr_1_2?keywords=adidas+Toque+13+Jersey&amp;qid=1695171185&amp;sr=8-2")</f>
        <v/>
      </c>
      <c r="F3505" t="inlineStr">
        <is>
          <t>B00ARCNMT2</t>
        </is>
      </c>
      <c r="G3505">
        <f>_xludf.IMAGE("https://www.soccerplususa.com/prodimages/5432-DEFAULT-l.jpg")</f>
        <v/>
      </c>
      <c r="H3505">
        <f>_xludf.IMAGE("https://m.media-amazon.com/images/I/513ELDMzXVL._AC_UL320_.jpg")</f>
        <v/>
      </c>
      <c r="K3505" t="inlineStr">
        <is>
          <t>20.0</t>
        </is>
      </c>
      <c r="L3505" t="n">
        <v>18.99</v>
      </c>
      <c r="M3505" s="1" t="inlineStr">
        <is>
          <t>-5.05%</t>
        </is>
      </c>
      <c r="N3505" s="3" t="n">
        <v>-5.05</v>
      </c>
      <c r="O3505" t="n">
        <v>4.3</v>
      </c>
      <c r="P3505" t="n">
        <v>2</v>
      </c>
      <c r="R3505" t="inlineStr">
        <is>
          <t>InStock</t>
        </is>
      </c>
      <c r="S3505" t="inlineStr">
        <is>
          <t>39.95</t>
        </is>
      </c>
      <c r="T3505" t="inlineStr">
        <is>
          <t>Z20262</t>
        </is>
      </c>
    </row>
    <row r="3506" hidden="1" ht="15.75" customHeight="1">
      <c r="A3506" s="2">
        <f>HYPERLINK("https://www.soccerplususa.com/puma/puma-teamfinal-21-graphic-jersey-40618", "https://www.soccerplususa.com/puma/puma-teamfinal-21-graphic-jersey-40618")</f>
        <v/>
      </c>
      <c r="B3506" t="inlineStr">
        <is>
          <t>undefined</t>
        </is>
      </c>
      <c r="C3506" t="inlineStr">
        <is>
          <t>Puma Teamfinal 21 Graphic Jersey</t>
        </is>
      </c>
      <c r="D3506" t="inlineStr">
        <is>
          <t>PUMA Women's Teamfinal 21 Graphic Jersey</t>
        </is>
      </c>
      <c r="E3506" s="2">
        <f>HYPERLINK("https://www.amazon.com/PUMA-Teamfinal-Graphic-Electric-Lemonade/dp/B086RSH4VH/ref=sr_1_5?keywords=Puma+Teamfinal+21+Graphic+Jersey&amp;qid=1695171148&amp;sr=8-5", "https://www.amazon.com/PUMA-Teamfinal-Graphic-Electric-Lemonade/dp/B086RSH4VH/ref=sr_1_5?keywords=Puma+Teamfinal+21+Graphic+Jersey&amp;qid=1695171148&amp;sr=8-5")</f>
        <v/>
      </c>
      <c r="F3506" t="inlineStr">
        <is>
          <t>B086RSH4VH</t>
        </is>
      </c>
      <c r="G3506">
        <f>_xludf.IMAGE("https://www.soccerplususa.com/prodimages//37414-Pepper_Green-M.jpg")</f>
        <v/>
      </c>
      <c r="H3506">
        <f>_xludf.IMAGE("https://m.media-amazon.com/images/I/713Ntyd7NhS._AC_UL320_.jpg")</f>
        <v/>
      </c>
      <c r="K3506" t="inlineStr">
        <is>
          <t>29.99</t>
        </is>
      </c>
      <c r="L3506" t="n">
        <v>28.46</v>
      </c>
      <c r="M3506" s="1" t="inlineStr">
        <is>
          <t>-5.10%</t>
        </is>
      </c>
      <c r="N3506" s="3" t="n">
        <v>-5.1</v>
      </c>
      <c r="O3506" t="n">
        <v>3.7</v>
      </c>
      <c r="P3506" t="n">
        <v>4</v>
      </c>
      <c r="R3506" t="inlineStr">
        <is>
          <t>InStock</t>
        </is>
      </c>
      <c r="S3506" t="inlineStr">
        <is>
          <t>39.95</t>
        </is>
      </c>
      <c r="T3506" t="inlineStr">
        <is>
          <t>704150-05</t>
        </is>
      </c>
    </row>
    <row r="3507" hidden="1" ht="15.75" customHeight="1">
      <c r="A3507" s="2">
        <f>HYPERLINK("https://www.soccerplususa.com/puma/puma-teamfinal-21-graphic-jersey-42133", "https://www.soccerplususa.com/puma/puma-teamfinal-21-graphic-jersey-42133")</f>
        <v/>
      </c>
      <c r="B3507" t="inlineStr">
        <is>
          <t>undefined</t>
        </is>
      </c>
      <c r="C3507" t="inlineStr">
        <is>
          <t>Puma Teamfinal 21 Graphic Jersey</t>
        </is>
      </c>
      <c r="D3507" t="inlineStr">
        <is>
          <t>PUMA Women's Teamfinal 21 Graphic Jersey</t>
        </is>
      </c>
      <c r="E3507" s="2">
        <f>HYPERLINK("https://www.amazon.com/PUMA-Teamfinal-Graphic-Electric-Lemonade/dp/B086RSH4VH/ref=sr_1_5?keywords=Puma+Teamfinal+21+Graphic+Jersey&amp;qid=1695171174&amp;sr=8-5", "https://www.amazon.com/PUMA-Teamfinal-Graphic-Electric-Lemonade/dp/B086RSH4VH/ref=sr_1_5?keywords=Puma+Teamfinal+21+Graphic+Jersey&amp;qid=1695171174&amp;sr=8-5")</f>
        <v/>
      </c>
      <c r="F3507" t="inlineStr">
        <is>
          <t>B086RSH4VH</t>
        </is>
      </c>
      <c r="G3507">
        <f>_xludf.IMAGE("https://www.soccerplususa.com/prodimages//37416-GRAY-M.jpg")</f>
        <v/>
      </c>
      <c r="H3507">
        <f>_xludf.IMAGE("https://m.media-amazon.com/images/I/713Ntyd7NhS._AC_UL320_.jpg")</f>
        <v/>
      </c>
      <c r="K3507" t="inlineStr">
        <is>
          <t>29.99</t>
        </is>
      </c>
      <c r="L3507" t="n">
        <v>28.46</v>
      </c>
      <c r="M3507" s="1" t="inlineStr">
        <is>
          <t>-5.10%</t>
        </is>
      </c>
      <c r="N3507" s="3" t="n">
        <v>-5.1</v>
      </c>
      <c r="O3507" t="n">
        <v>3.7</v>
      </c>
      <c r="P3507" t="n">
        <v>4</v>
      </c>
      <c r="R3507" t="inlineStr">
        <is>
          <t>InStock</t>
        </is>
      </c>
      <c r="S3507" t="inlineStr">
        <is>
          <t>39.95</t>
        </is>
      </c>
      <c r="T3507" t="inlineStr">
        <is>
          <t>704150-13</t>
        </is>
      </c>
    </row>
    <row r="3508" hidden="1" ht="15.75" customHeight="1">
      <c r="A3508" s="2">
        <f>HYPERLINK("https://www.soccerplususa.com/puma/puma-teamfinal-21-graphic-jersey-38700", "https://www.soccerplususa.com/puma/puma-teamfinal-21-graphic-jersey-38700")</f>
        <v/>
      </c>
      <c r="B3508" t="inlineStr">
        <is>
          <t>undefined</t>
        </is>
      </c>
      <c r="C3508" t="inlineStr">
        <is>
          <t>Puma Teamfinal 21 Graphic Jersey</t>
        </is>
      </c>
      <c r="D3508" t="inlineStr">
        <is>
          <t>PUMA Women's Teamfinal 21 Graphic Jersey</t>
        </is>
      </c>
      <c r="E3508" s="2">
        <f>HYPERLINK("https://www.amazon.com/PUMA-Teamfinal-Graphic-Electric-Lemonade/dp/B086RSH4VH/ref=sr_1_5?keywords=Puma+Teamfinal+21+Graphic+Jersey&amp;qid=1695171150&amp;sr=8-5", "https://www.amazon.com/PUMA-Teamfinal-Graphic-Electric-Lemonade/dp/B086RSH4VH/ref=sr_1_5?keywords=Puma+Teamfinal+21+Graphic+Jersey&amp;qid=1695171150&amp;sr=8-5")</f>
        <v/>
      </c>
      <c r="F3508" t="inlineStr">
        <is>
          <t>B086RSH4VH</t>
        </is>
      </c>
      <c r="G3508">
        <f>_xludf.IMAGE("https://www.soccerplususa.com/prodimages//36789-WhiteGray-M.jpg")</f>
        <v/>
      </c>
      <c r="H3508">
        <f>_xludf.IMAGE("https://m.media-amazon.com/images/I/713Ntyd7NhS._AC_UL320_.jpg")</f>
        <v/>
      </c>
      <c r="K3508" t="inlineStr">
        <is>
          <t>29.99</t>
        </is>
      </c>
      <c r="L3508" t="n">
        <v>28.46</v>
      </c>
      <c r="M3508" s="1" t="inlineStr">
        <is>
          <t>-5.10%</t>
        </is>
      </c>
      <c r="N3508" s="3" t="n">
        <v>-5.1</v>
      </c>
      <c r="O3508" t="n">
        <v>3.7</v>
      </c>
      <c r="P3508" t="n">
        <v>4</v>
      </c>
      <c r="R3508" t="inlineStr">
        <is>
          <t>InStock</t>
        </is>
      </c>
      <c r="S3508" t="inlineStr">
        <is>
          <t>39.95</t>
        </is>
      </c>
      <c r="T3508" t="inlineStr">
        <is>
          <t>704150-04</t>
        </is>
      </c>
    </row>
    <row r="3509" hidden="1" ht="15.75" customHeight="1">
      <c r="A3509" s="2">
        <f>HYPERLINK("https://www.soccerplususa.com/puma/puma-teamfinal-21-graphic-jersey-42093", "https://www.soccerplususa.com/puma/puma-teamfinal-21-graphic-jersey-42093")</f>
        <v/>
      </c>
      <c r="B3509" t="inlineStr">
        <is>
          <t>undefined</t>
        </is>
      </c>
      <c r="C3509" t="inlineStr">
        <is>
          <t>Puma Teamfinal 21 Graphic Jersey</t>
        </is>
      </c>
      <c r="D3509" t="inlineStr">
        <is>
          <t>PUMA Women's Teamfinal 21 Graphic Jersey</t>
        </is>
      </c>
      <c r="E3509" s="2">
        <f>HYPERLINK("https://www.amazon.com/PUMA-Teamfinal-Graphic-Electric-Lemonade/dp/B086RSH4VH/ref=sr_1_5?keywords=Puma+Teamfinal+21+Graphic+Jersey&amp;qid=1695171154&amp;sr=8-5", "https://www.amazon.com/PUMA-Teamfinal-Graphic-Electric-Lemonade/dp/B086RSH4VH/ref=sr_1_5?keywords=Puma+Teamfinal+21+Graphic+Jersey&amp;qid=1695171154&amp;sr=8-5")</f>
        <v/>
      </c>
      <c r="F3509" t="inlineStr">
        <is>
          <t>B086RSH4VH</t>
        </is>
      </c>
      <c r="G3509">
        <f>_xludf.IMAGE("https://www.soccerplususa.com/prodimages//37423-BLACK-M.jpg")</f>
        <v/>
      </c>
      <c r="H3509">
        <f>_xludf.IMAGE("https://m.media-amazon.com/images/I/713Ntyd7NhS._AC_UL320_.jpg")</f>
        <v/>
      </c>
      <c r="K3509" t="inlineStr">
        <is>
          <t>29.99</t>
        </is>
      </c>
      <c r="L3509" t="n">
        <v>28.46</v>
      </c>
      <c r="M3509" s="1" t="inlineStr">
        <is>
          <t>-5.10%</t>
        </is>
      </c>
      <c r="N3509" s="3" t="n">
        <v>-5.1</v>
      </c>
      <c r="O3509" t="n">
        <v>3.7</v>
      </c>
      <c r="P3509" t="n">
        <v>4</v>
      </c>
      <c r="R3509" t="inlineStr">
        <is>
          <t>InStock</t>
        </is>
      </c>
      <c r="S3509" t="inlineStr">
        <is>
          <t>39.95</t>
        </is>
      </c>
      <c r="T3509" t="inlineStr">
        <is>
          <t>704150-03</t>
        </is>
      </c>
    </row>
    <row r="3510" hidden="1" ht="15.75" customHeight="1">
      <c r="A3510" s="2">
        <f>HYPERLINK("https://www.soccerplususa.com/puma/puma-teamfinal-21-graphic-jersey-38698", "https://www.soccerplususa.com/puma/puma-teamfinal-21-graphic-jersey-38698")</f>
        <v/>
      </c>
      <c r="B3510" t="inlineStr">
        <is>
          <t>undefined</t>
        </is>
      </c>
      <c r="C3510" t="inlineStr">
        <is>
          <t>Puma Teamfinal 21 Graphic Jersey</t>
        </is>
      </c>
      <c r="D3510" t="inlineStr">
        <is>
          <t>PUMA Women's Teamfinal 21 Graphic Jersey</t>
        </is>
      </c>
      <c r="E3510" s="2">
        <f>HYPERLINK("https://www.amazon.com/PUMA-Teamfinal-Graphic-Electric-Lemonade/dp/B086RSH4VH/ref=sr_1_5?keywords=Puma+Teamfinal+21+Graphic+Jersey&amp;qid=1695171152&amp;sr=8-5", "https://www.amazon.com/PUMA-Teamfinal-Graphic-Electric-Lemonade/dp/B086RSH4VH/ref=sr_1_5?keywords=Puma+Teamfinal+21+Graphic+Jersey&amp;qid=1695171152&amp;sr=8-5")</f>
        <v/>
      </c>
      <c r="F3510" t="inlineStr">
        <is>
          <t>B086RSH4VH</t>
        </is>
      </c>
      <c r="G3510">
        <f>_xludf.IMAGE("https://www.soccerplususa.com/prodimages//36790-Electric_Blue-M.jpg")</f>
        <v/>
      </c>
      <c r="H3510">
        <f>_xludf.IMAGE("https://m.media-amazon.com/images/I/713Ntyd7NhS._AC_UL320_.jpg")</f>
        <v/>
      </c>
      <c r="K3510" t="inlineStr">
        <is>
          <t>29.99</t>
        </is>
      </c>
      <c r="L3510" t="n">
        <v>28.46</v>
      </c>
      <c r="M3510" s="1" t="inlineStr">
        <is>
          <t>-5.10%</t>
        </is>
      </c>
      <c r="N3510" s="3" t="n">
        <v>-5.1</v>
      </c>
      <c r="O3510" t="n">
        <v>3.7</v>
      </c>
      <c r="P3510" t="n">
        <v>4</v>
      </c>
      <c r="R3510" t="inlineStr">
        <is>
          <t>InStock</t>
        </is>
      </c>
      <c r="S3510" t="inlineStr">
        <is>
          <t>39.95</t>
        </is>
      </c>
      <c r="T3510" t="inlineStr">
        <is>
          <t>704150-02</t>
        </is>
      </c>
    </row>
    <row r="3511" hidden="1" ht="15.75" customHeight="1">
      <c r="A3511" s="2">
        <f>HYPERLINK("https://www.soccerplususa.com/puma/puma-teamfinal-21-graphic-jersey-womens-40983", "https://www.soccerplususa.com/puma/puma-teamfinal-21-graphic-jersey-womens-40983")</f>
        <v/>
      </c>
      <c r="B3511" t="inlineStr">
        <is>
          <t>undefined</t>
        </is>
      </c>
      <c r="C3511" t="inlineStr">
        <is>
          <t>Puma TeamFinal 21 Graphic Jersey Women's</t>
        </is>
      </c>
      <c r="D3511" t="inlineStr">
        <is>
          <t>PUMA Women's Teamfinal 21 Graphic Jersey</t>
        </is>
      </c>
      <c r="E3511" s="2">
        <f>HYPERLINK("https://www.amazon.com/PUMA-Teamfinal-Graphic-Electric-Lemonade/dp/B086RSH4VH/ref=sr_1_3?keywords=Puma+TeamFinal+21+Graphic+Jersey+Womens&amp;qid=1695171190&amp;sr=8-3", "https://www.amazon.com/PUMA-Teamfinal-Graphic-Electric-Lemonade/dp/B086RSH4VH/ref=sr_1_3?keywords=Puma+TeamFinal+21+Graphic+Jersey+Womens&amp;qid=1695171190&amp;sr=8-3")</f>
        <v/>
      </c>
      <c r="F3511" t="inlineStr">
        <is>
          <t>B086RSH4VH</t>
        </is>
      </c>
      <c r="G3511">
        <f>_xludf.IMAGE("https://www.soccerplususa.com/prodimages//37422-RED-M.jpg")</f>
        <v/>
      </c>
      <c r="H3511">
        <f>_xludf.IMAGE("https://m.media-amazon.com/images/I/713Ntyd7NhS._AC_UL320_.jpg")</f>
        <v/>
      </c>
      <c r="K3511" t="inlineStr">
        <is>
          <t>29.99</t>
        </is>
      </c>
      <c r="L3511" t="n">
        <v>28.46</v>
      </c>
      <c r="M3511" s="1" t="inlineStr">
        <is>
          <t>-5.10%</t>
        </is>
      </c>
      <c r="N3511" s="3" t="n">
        <v>-5.1</v>
      </c>
      <c r="O3511" t="n">
        <v>3.7</v>
      </c>
      <c r="P3511" t="n">
        <v>4</v>
      </c>
      <c r="R3511" t="inlineStr">
        <is>
          <t>InStock</t>
        </is>
      </c>
      <c r="S3511" t="inlineStr">
        <is>
          <t>39.95</t>
        </is>
      </c>
      <c r="T3511" t="inlineStr">
        <is>
          <t>704368-01</t>
        </is>
      </c>
    </row>
    <row r="3512" hidden="1" ht="15.75" customHeight="1">
      <c r="A3512" s="2">
        <f>HYPERLINK("https://www.soccerplususa.com/puma/puma-teamfinal-21-graphic-jersey-42091", "https://www.soccerplususa.com/puma/puma-teamfinal-21-graphic-jersey-42091")</f>
        <v/>
      </c>
      <c r="B3512" t="inlineStr">
        <is>
          <t>undefined</t>
        </is>
      </c>
      <c r="C3512" t="inlineStr">
        <is>
          <t>Puma Teamfinal 21 Graphic Jersey</t>
        </is>
      </c>
      <c r="D3512" t="inlineStr">
        <is>
          <t>PUMA Women's Teamfinal 21 Graphic Jersey</t>
        </is>
      </c>
      <c r="E3512" s="2">
        <f>HYPERLINK("https://www.amazon.com/PUMA-Teamfinal-Graphic-Electric-Lemonade/dp/B086RSH4VH/ref=sr_1_5?keywords=Puma+Teamfinal+21+Graphic+Jersey&amp;qid=1695171145&amp;sr=8-5", "https://www.amazon.com/PUMA-Teamfinal-Graphic-Electric-Lemonade/dp/B086RSH4VH/ref=sr_1_5?keywords=Puma+Teamfinal+21+Graphic+Jersey&amp;qid=1695171145&amp;sr=8-5")</f>
        <v/>
      </c>
      <c r="F3512" t="inlineStr">
        <is>
          <t>B086RSH4VH</t>
        </is>
      </c>
      <c r="G3512">
        <f>_xludf.IMAGE("https://www.soccerplususa.com/prodimages//37420-RED-M.jpg")</f>
        <v/>
      </c>
      <c r="H3512">
        <f>_xludf.IMAGE("https://m.media-amazon.com/images/I/713Ntyd7NhS._AC_UL320_.jpg")</f>
        <v/>
      </c>
      <c r="K3512" t="inlineStr">
        <is>
          <t>29.99</t>
        </is>
      </c>
      <c r="L3512" t="n">
        <v>28.46</v>
      </c>
      <c r="M3512" s="1" t="inlineStr">
        <is>
          <t>-5.10%</t>
        </is>
      </c>
      <c r="N3512" s="3" t="n">
        <v>-5.1</v>
      </c>
      <c r="O3512" t="n">
        <v>3.7</v>
      </c>
      <c r="P3512" t="n">
        <v>4</v>
      </c>
      <c r="R3512" t="inlineStr">
        <is>
          <t>InStock</t>
        </is>
      </c>
      <c r="S3512" t="inlineStr">
        <is>
          <t>39.95</t>
        </is>
      </c>
      <c r="T3512" t="inlineStr">
        <is>
          <t>704150-01</t>
        </is>
      </c>
    </row>
    <row r="3513" hidden="1" ht="15.75" customHeight="1">
      <c r="A3513" s="2">
        <f>HYPERLINK("https://www.soccerplususa.com/puma/puma-teamfinal-21-graphic-jersey-38602", "https://www.soccerplususa.com/puma/puma-teamfinal-21-graphic-jersey-38602")</f>
        <v/>
      </c>
      <c r="B3513" t="inlineStr">
        <is>
          <t>undefined</t>
        </is>
      </c>
      <c r="C3513" t="inlineStr">
        <is>
          <t>Puma Teamfinal 21 Graphic Jersey</t>
        </is>
      </c>
      <c r="D3513" t="inlineStr">
        <is>
          <t>PUMA Women's Teamfinal 21 Graphic Jersey</t>
        </is>
      </c>
      <c r="E3513" s="2">
        <f>HYPERLINK("https://www.amazon.com/PUMA-Teamfinal-Graphic-Electric-Lemonade/dp/B086RSH4VH/ref=sr_1_5?keywords=Puma+Teamfinal+21+Graphic+Jersey&amp;qid=1695171165&amp;sr=8-5", "https://www.amazon.com/PUMA-Teamfinal-Graphic-Electric-Lemonade/dp/B086RSH4VH/ref=sr_1_5?keywords=Puma+Teamfinal+21+Graphic+Jersey&amp;qid=1695171165&amp;sr=8-5")</f>
        <v/>
      </c>
      <c r="F3513" t="inlineStr">
        <is>
          <t>B086RSH4VH</t>
        </is>
      </c>
      <c r="G3513">
        <f>_xludf.IMAGE("https://www.soccerplususa.com/prodimages//35266-YELLOW-M.jpg")</f>
        <v/>
      </c>
      <c r="H3513">
        <f>_xludf.IMAGE("https://m.media-amazon.com/images/I/713Ntyd7NhS._AC_UL320_.jpg")</f>
        <v/>
      </c>
      <c r="K3513" t="inlineStr">
        <is>
          <t>29.99</t>
        </is>
      </c>
      <c r="L3513" t="n">
        <v>28.46</v>
      </c>
      <c r="M3513" s="1" t="inlineStr">
        <is>
          <t>-5.10%</t>
        </is>
      </c>
      <c r="N3513" s="3" t="n">
        <v>-5.1</v>
      </c>
      <c r="O3513" t="n">
        <v>3.7</v>
      </c>
      <c r="P3513" t="n">
        <v>4</v>
      </c>
      <c r="R3513" t="inlineStr">
        <is>
          <t>InStock</t>
        </is>
      </c>
      <c r="S3513" t="inlineStr">
        <is>
          <t>39.95</t>
        </is>
      </c>
      <c r="T3513" t="inlineStr">
        <is>
          <t>704150-07</t>
        </is>
      </c>
    </row>
    <row r="3514" hidden="1" ht="15.75" customHeight="1">
      <c r="A3514" s="2">
        <f>HYPERLINK("https://www.soccerplususa.com/puma/puma-teamfinal-21-graphic-jersey-41907", "https://www.soccerplususa.com/puma/puma-teamfinal-21-graphic-jersey-41907")</f>
        <v/>
      </c>
      <c r="B3514" t="inlineStr">
        <is>
          <t>undefined</t>
        </is>
      </c>
      <c r="C3514" t="inlineStr">
        <is>
          <t>Puma Teamfinal 21 Graphic Jersey</t>
        </is>
      </c>
      <c r="D3514" t="inlineStr">
        <is>
          <t>PUMA Women's Teamfinal 21 Graphic Jersey</t>
        </is>
      </c>
      <c r="E3514" s="2">
        <f>HYPERLINK("https://www.amazon.com/PUMA-Teamfinal-Graphic-Electric-Lemonade/dp/B086RSH4VH/ref=sr_1_5?keywords=Puma+Teamfinal+21+Graphic+Jersey&amp;qid=1695171144&amp;sr=8-5", "https://www.amazon.com/PUMA-Teamfinal-Graphic-Electric-Lemonade/dp/B086RSH4VH/ref=sr_1_5?keywords=Puma+Teamfinal+21+Graphic+Jersey&amp;qid=1695171144&amp;sr=8-5")</f>
        <v/>
      </c>
      <c r="F3514" t="inlineStr">
        <is>
          <t>B086RSH4VH</t>
        </is>
      </c>
      <c r="G3514">
        <f>_xludf.IMAGE("https://www.soccerplususa.com/prodimages//37409-NAVY-M.jpg")</f>
        <v/>
      </c>
      <c r="H3514">
        <f>_xludf.IMAGE("https://m.media-amazon.com/images/I/713Ntyd7NhS._AC_UL320_.jpg")</f>
        <v/>
      </c>
      <c r="K3514" t="inlineStr">
        <is>
          <t>29.99</t>
        </is>
      </c>
      <c r="L3514" t="n">
        <v>28.46</v>
      </c>
      <c r="M3514" s="1" t="inlineStr">
        <is>
          <t>-5.10%</t>
        </is>
      </c>
      <c r="N3514" s="3" t="n">
        <v>-5.1</v>
      </c>
      <c r="O3514" t="n">
        <v>3.7</v>
      </c>
      <c r="P3514" t="n">
        <v>4</v>
      </c>
      <c r="R3514" t="inlineStr">
        <is>
          <t>InStock</t>
        </is>
      </c>
      <c r="S3514" t="inlineStr">
        <is>
          <t>39.95</t>
        </is>
      </c>
      <c r="T3514" t="inlineStr">
        <is>
          <t>704150-06</t>
        </is>
      </c>
    </row>
    <row r="3515" hidden="1" ht="15.75" customHeight="1">
      <c r="A3515" s="2">
        <f>HYPERLINK("https://www.soccerplususa.com/puma/puma-teamfinal-21-graphic-jersey-womens-42094", "https://www.soccerplususa.com/puma/puma-teamfinal-21-graphic-jersey-womens-42094")</f>
        <v/>
      </c>
      <c r="B3515" t="inlineStr">
        <is>
          <t>undefined</t>
        </is>
      </c>
      <c r="C3515" t="inlineStr">
        <is>
          <t>Puma Teamfinal 21 Graphic Jersey Women's</t>
        </is>
      </c>
      <c r="D3515" t="inlineStr">
        <is>
          <t>PUMA Women's Teamfinal 21 Graphic Jersey</t>
        </is>
      </c>
      <c r="E3515" s="2">
        <f>HYPERLINK("https://www.amazon.com/PUMA-Teamfinal-Graphic-Electric-Lemonade/dp/B086RSH4VH/ref=sr_1_3?keywords=Puma+Teamfinal+21+Graphic+Jersey+Women%27s&amp;qid=1695171144&amp;sr=8-3", "https://www.amazon.com/PUMA-Teamfinal-Graphic-Electric-Lemonade/dp/B086RSH4VH/ref=sr_1_3?keywords=Puma+Teamfinal+21+Graphic+Jersey+Women%27s&amp;qid=1695171144&amp;sr=8-3")</f>
        <v/>
      </c>
      <c r="F3515" t="inlineStr">
        <is>
          <t>B086RSH4VH</t>
        </is>
      </c>
      <c r="G3515">
        <f>_xludf.IMAGE("https://www.soccerplususa.com/prodimages//37425-BLACK-M.jpg")</f>
        <v/>
      </c>
      <c r="H3515">
        <f>_xludf.IMAGE("https://m.media-amazon.com/images/I/713Ntyd7NhS._AC_UL320_.jpg")</f>
        <v/>
      </c>
      <c r="K3515" t="inlineStr">
        <is>
          <t>29.99</t>
        </is>
      </c>
      <c r="L3515" t="n">
        <v>28.44</v>
      </c>
      <c r="M3515" s="1" t="inlineStr">
        <is>
          <t>-5.17%</t>
        </is>
      </c>
      <c r="N3515" s="3" t="n">
        <v>-5.17</v>
      </c>
      <c r="O3515" t="n">
        <v>3.7</v>
      </c>
      <c r="P3515" t="n">
        <v>4</v>
      </c>
      <c r="R3515" t="inlineStr">
        <is>
          <t>InStock</t>
        </is>
      </c>
      <c r="S3515" t="inlineStr">
        <is>
          <t>39.95</t>
        </is>
      </c>
      <c r="T3515" t="inlineStr">
        <is>
          <t>704368-03</t>
        </is>
      </c>
    </row>
    <row r="3516" hidden="1" ht="15.75" customHeight="1">
      <c r="A3516" s="2">
        <f>HYPERLINK("https://www.soccerplususa.com/adidas/adidas-tabela-18-jersey-youth-5111", "https://www.soccerplususa.com/adidas/adidas-tabela-18-jersey-youth-5111")</f>
        <v/>
      </c>
      <c r="B3516" t="inlineStr">
        <is>
          <t>undefined</t>
        </is>
      </c>
      <c r="C3516" t="inlineStr">
        <is>
          <t>adidas Tabela 18 Jersey Youth</t>
        </is>
      </c>
      <c r="D3516" t="inlineStr">
        <is>
          <t>adidas Mens Tabela 18 Soccer Jersey</t>
        </is>
      </c>
      <c r="E3516" s="2">
        <f>HYPERLINK("https://www.amazon.com/adidas-191034919038-TABELA-18-Jersey/dp/B078LCD4RX/ref=sr_1_1?keywords=adidas+Tabela+18+Jersey+Youth&amp;qid=1695171222&amp;sr=8-1", "https://www.amazon.com/adidas-191034919038-TABELA-18-Jersey/dp/B078LCD4RX/ref=sr_1_1?keywords=adidas+Tabela+18+Jersey+Youth&amp;qid=1695171222&amp;sr=8-1")</f>
        <v/>
      </c>
      <c r="F3516" t="inlineStr">
        <is>
          <t>B078LCD4RX</t>
        </is>
      </c>
      <c r="G3516">
        <f>_xludf.IMAGE("https://www.soccerplususa.com/prodimages//31714-YELLOW-M.jpg")</f>
        <v/>
      </c>
      <c r="H3516">
        <f>_xludf.IMAGE("https://m.media-amazon.com/images/I/71SEmpIbeaL._AC_UL320_.jpg")</f>
        <v/>
      </c>
      <c r="K3516" t="inlineStr">
        <is>
          <t>18.99</t>
        </is>
      </c>
      <c r="L3516" t="n">
        <v>18</v>
      </c>
      <c r="M3516" s="1" t="inlineStr">
        <is>
          <t>-5.21%</t>
        </is>
      </c>
      <c r="N3516" s="3" t="n">
        <v>-5.21</v>
      </c>
      <c r="O3516" t="n">
        <v>4.7</v>
      </c>
      <c r="P3516" t="n">
        <v>197</v>
      </c>
      <c r="R3516" t="inlineStr">
        <is>
          <t>InStock</t>
        </is>
      </c>
      <c r="S3516" t="inlineStr">
        <is>
          <t>24.95</t>
        </is>
      </c>
      <c r="T3516" t="inlineStr">
        <is>
          <t>CE8921</t>
        </is>
      </c>
    </row>
    <row r="3517" hidden="1" ht="15.75" customHeight="1">
      <c r="A3517" s="2">
        <f>HYPERLINK("https://www.soccerplususa.com/adidas/adidas-tabela-18-jersey-youth-5109", "https://www.soccerplususa.com/adidas/adidas-tabela-18-jersey-youth-5109")</f>
        <v/>
      </c>
      <c r="B3517" t="inlineStr">
        <is>
          <t>undefined</t>
        </is>
      </c>
      <c r="C3517" t="inlineStr">
        <is>
          <t>adidas Tabela 18 Jersey Youth</t>
        </is>
      </c>
      <c r="D3517" t="inlineStr">
        <is>
          <t>adidas Mens Tabela 18 Soccer Jersey</t>
        </is>
      </c>
      <c r="E3517" s="2">
        <f>HYPERLINK("https://www.amazon.com/adidas-191034919038-TABELA-18-Jersey/dp/B078LCD4RX/ref=sr_1_3?keywords=adidas+Tabela+18+Jersey+Youth&amp;qid=1695171237&amp;sr=8-3", "https://www.amazon.com/adidas-191034919038-TABELA-18-Jersey/dp/B078LCD4RX/ref=sr_1_3?keywords=adidas+Tabela+18+Jersey+Youth&amp;qid=1695171237&amp;sr=8-3")</f>
        <v/>
      </c>
      <c r="F3517" t="inlineStr">
        <is>
          <t>B078LCD4RX</t>
        </is>
      </c>
      <c r="G3517">
        <f>_xludf.IMAGE("https://www.soccerplususa.com/prodimages//31738-BLACK-M.jpg")</f>
        <v/>
      </c>
      <c r="H3517">
        <f>_xludf.IMAGE("https://m.media-amazon.com/images/I/71SEmpIbeaL._AC_UL320_.jpg")</f>
        <v/>
      </c>
      <c r="K3517" t="inlineStr">
        <is>
          <t>18.99</t>
        </is>
      </c>
      <c r="L3517" t="n">
        <v>18</v>
      </c>
      <c r="M3517" s="1" t="inlineStr">
        <is>
          <t>-5.21%</t>
        </is>
      </c>
      <c r="N3517" s="3" t="n">
        <v>-5.21</v>
      </c>
      <c r="O3517" t="n">
        <v>4.7</v>
      </c>
      <c r="P3517" t="n">
        <v>197</v>
      </c>
      <c r="R3517" t="inlineStr">
        <is>
          <t>InStock</t>
        </is>
      </c>
      <c r="S3517" t="inlineStr">
        <is>
          <t>24.95</t>
        </is>
      </c>
      <c r="T3517" t="inlineStr">
        <is>
          <t>CE8918</t>
        </is>
      </c>
    </row>
    <row r="3518" hidden="1" ht="15.75" customHeight="1">
      <c r="A3518" s="2">
        <f>HYPERLINK("https://www.soccerplususa.com/adidas/adidas-tabela-18-jersey-youth-5110", "https://www.soccerplususa.com/adidas/adidas-tabela-18-jersey-youth-5110")</f>
        <v/>
      </c>
      <c r="B3518" t="inlineStr">
        <is>
          <t>undefined</t>
        </is>
      </c>
      <c r="C3518" t="inlineStr">
        <is>
          <t>adidas Tabela 18 Jersey Youth</t>
        </is>
      </c>
      <c r="D3518" t="inlineStr">
        <is>
          <t>adidas Mens Tabela 18 Soccer Jersey</t>
        </is>
      </c>
      <c r="E3518" s="2">
        <f>HYPERLINK("https://www.amazon.com/adidas-191034919038-TABELA-18-Jersey/dp/B078LCD4RX/ref=sr_1_3?keywords=adidas+Tabela+18+Jersey+Youth&amp;qid=1695171223&amp;sr=8-3", "https://www.amazon.com/adidas-191034919038-TABELA-18-Jersey/dp/B078LCD4RX/ref=sr_1_3?keywords=adidas+Tabela+18+Jersey+Youth&amp;qid=1695171223&amp;sr=8-3")</f>
        <v/>
      </c>
      <c r="F3518" t="inlineStr">
        <is>
          <t>B078LCD4RX</t>
        </is>
      </c>
      <c r="G3518">
        <f>_xludf.IMAGE("https://www.soccerplususa.com/prodimages//31722-GRAY-M.jpg")</f>
        <v/>
      </c>
      <c r="H3518">
        <f>_xludf.IMAGE("https://m.media-amazon.com/images/I/71SEmpIbeaL._AC_UL320_.jpg")</f>
        <v/>
      </c>
      <c r="K3518" t="inlineStr">
        <is>
          <t>18.99</t>
        </is>
      </c>
      <c r="L3518" t="n">
        <v>18</v>
      </c>
      <c r="M3518" s="1" t="inlineStr">
        <is>
          <t>-5.21%</t>
        </is>
      </c>
      <c r="N3518" s="3" t="n">
        <v>-5.21</v>
      </c>
      <c r="O3518" t="n">
        <v>4.7</v>
      </c>
      <c r="P3518" t="n">
        <v>197</v>
      </c>
      <c r="R3518" t="inlineStr">
        <is>
          <t>InStock</t>
        </is>
      </c>
      <c r="S3518" t="inlineStr">
        <is>
          <t>24.95</t>
        </is>
      </c>
      <c r="T3518" t="inlineStr">
        <is>
          <t>CE8920</t>
        </is>
      </c>
    </row>
    <row r="3519" hidden="1" ht="15.75" customHeight="1">
      <c r="A3519" s="2">
        <f>HYPERLINK("https://www.soccerplususa.com/adidas/adidas-tabela-18-jersey-youth-33803", "https://www.soccerplususa.com/adidas/adidas-tabela-18-jersey-youth-33803")</f>
        <v/>
      </c>
      <c r="B3519" t="inlineStr">
        <is>
          <t>undefined</t>
        </is>
      </c>
      <c r="C3519" t="inlineStr">
        <is>
          <t>adidas Tabela 18 Jersey Youth</t>
        </is>
      </c>
      <c r="D3519" t="inlineStr">
        <is>
          <t>adidas Mens Tabela 18 Soccer Jersey</t>
        </is>
      </c>
      <c r="E3519" s="2">
        <f>HYPERLINK("https://www.amazon.com/adidas-191034919038-TABELA-18-Jersey/dp/B078LCD4RX/ref=sr_1_1?keywords=adidas+Tabela+18+Jersey+Youth&amp;qid=1695171168&amp;sr=8-1", "https://www.amazon.com/adidas-191034919038-TABELA-18-Jersey/dp/B078LCD4RX/ref=sr_1_1?keywords=adidas+Tabela+18+Jersey+Youth&amp;qid=1695171168&amp;sr=8-1")</f>
        <v/>
      </c>
      <c r="F3519" t="inlineStr">
        <is>
          <t>B078LCD4RX</t>
        </is>
      </c>
      <c r="G3519">
        <f>_xludf.IMAGE("https://www.soccerplususa.com/prodimages//35354-WHITE-M.jpg")</f>
        <v/>
      </c>
      <c r="H3519">
        <f>_xludf.IMAGE("https://m.media-amazon.com/images/I/71SEmpIbeaL._AC_UL320_.jpg")</f>
        <v/>
      </c>
      <c r="K3519" t="inlineStr">
        <is>
          <t>18.99</t>
        </is>
      </c>
      <c r="L3519" t="n">
        <v>18</v>
      </c>
      <c r="M3519" s="1" t="inlineStr">
        <is>
          <t>-5.21%</t>
        </is>
      </c>
      <c r="N3519" s="3" t="n">
        <v>-5.21</v>
      </c>
      <c r="O3519" t="n">
        <v>4.7</v>
      </c>
      <c r="P3519" t="n">
        <v>197</v>
      </c>
      <c r="R3519" t="inlineStr">
        <is>
          <t>InStock</t>
        </is>
      </c>
      <c r="S3519" t="inlineStr">
        <is>
          <t>24.95</t>
        </is>
      </c>
      <c r="T3519" t="inlineStr">
        <is>
          <t>CE8919</t>
        </is>
      </c>
    </row>
    <row r="3520" hidden="1" ht="15.75" customHeight="1">
      <c r="A3520" s="2">
        <f>HYPERLINK("https://www.soccerplususa.com/adidas/adidas-tabela-18-jersey-youth-33801", "https://www.soccerplususa.com/adidas/adidas-tabela-18-jersey-youth-33801")</f>
        <v/>
      </c>
      <c r="B3520" t="inlineStr">
        <is>
          <t>undefined</t>
        </is>
      </c>
      <c r="C3520" t="inlineStr">
        <is>
          <t>adidas Tabela 18 Jersey Youth</t>
        </is>
      </c>
      <c r="D3520" t="inlineStr">
        <is>
          <t>adidas Mens Tabela 18 Soccer Jersey</t>
        </is>
      </c>
      <c r="E3520" s="2">
        <f>HYPERLINK("https://www.amazon.com/adidas-191034919038-TABELA-18-Jersey/dp/B078LCD4RX/ref=sr_1_1?keywords=adidas+Tabela+18+Jersey+Youth&amp;qid=1695171174&amp;sr=8-1", "https://www.amazon.com/adidas-191034919038-TABELA-18-Jersey/dp/B078LCD4RX/ref=sr_1_1?keywords=adidas+Tabela+18+Jersey+Youth&amp;qid=1695171174&amp;sr=8-1")</f>
        <v/>
      </c>
      <c r="F3520" t="inlineStr">
        <is>
          <t>B078LCD4RX</t>
        </is>
      </c>
      <c r="G3520">
        <f>_xludf.IMAGE("https://www.soccerplususa.com/prodimages//35352-REDWHITE-M.jpg")</f>
        <v/>
      </c>
      <c r="H3520">
        <f>_xludf.IMAGE("https://m.media-amazon.com/images/I/71SEmpIbeaL._AC_UL320_.jpg")</f>
        <v/>
      </c>
      <c r="K3520" t="inlineStr">
        <is>
          <t>18.99</t>
        </is>
      </c>
      <c r="L3520" t="n">
        <v>18</v>
      </c>
      <c r="M3520" s="1" t="inlineStr">
        <is>
          <t>-5.21%</t>
        </is>
      </c>
      <c r="N3520" s="3" t="n">
        <v>-5.21</v>
      </c>
      <c r="O3520" t="n">
        <v>4.7</v>
      </c>
      <c r="P3520" t="n">
        <v>197</v>
      </c>
      <c r="R3520" t="inlineStr">
        <is>
          <t>InStock</t>
        </is>
      </c>
      <c r="S3520" t="inlineStr">
        <is>
          <t>24.95</t>
        </is>
      </c>
      <c r="T3520" t="inlineStr">
        <is>
          <t>CE8914</t>
        </is>
      </c>
    </row>
    <row r="3521" hidden="1" ht="15.75" customHeight="1">
      <c r="A3521" s="2">
        <f>HYPERLINK("https://www.soccerplususa.com/puma/puma-liga-training-jacket-youth-35521", "https://www.soccerplususa.com/puma/puma-liga-training-jacket-youth-35521")</f>
        <v/>
      </c>
      <c r="B3521" t="inlineStr">
        <is>
          <t>undefined</t>
        </is>
      </c>
      <c r="C3521" t="inlineStr">
        <is>
          <t>Puma Liga Training Jacket Youth</t>
        </is>
      </c>
      <c r="D3521" t="inlineStr">
        <is>
          <t>PUMA Men's Liga Training Fleece Jacket</t>
        </is>
      </c>
      <c r="E3521" s="2">
        <f>HYPERLINK("https://www.amazon.com/PUMA-Training-Fleece-Black-White/dp/B07DY6PWVK/ref=sr_1_9?keywords=Puma+Liga+Training+Jacket+Youth&amp;qid=1695171158&amp;sr=8-9", "https://www.amazon.com/PUMA-Training-Fleece-Black-White/dp/B07DY6PWVK/ref=sr_1_9?keywords=Puma+Liga+Training+Jacket+Youth&amp;qid=1695171158&amp;sr=8-9")</f>
        <v/>
      </c>
      <c r="F3521" t="inlineStr">
        <is>
          <t>B07DY6PWVK</t>
        </is>
      </c>
      <c r="G3521">
        <f>_xludf.IMAGE("https://www.soccerplususa.com/prodimages/32219-DEFAULT-l.jpg")</f>
        <v/>
      </c>
      <c r="H3521">
        <f>_xludf.IMAGE("https://m.media-amazon.com/images/I/811bSQrl3iL._AC_UL320_.jpg")</f>
        <v/>
      </c>
      <c r="K3521" t="inlineStr">
        <is>
          <t>45.0</t>
        </is>
      </c>
      <c r="L3521" t="n">
        <v>42.39</v>
      </c>
      <c r="M3521" s="1" t="inlineStr">
        <is>
          <t>-5.80%</t>
        </is>
      </c>
      <c r="N3521" s="3" t="n">
        <v>-5.8</v>
      </c>
      <c r="O3521" t="n">
        <v>4.6</v>
      </c>
      <c r="P3521" t="n">
        <v>16</v>
      </c>
      <c r="R3521" t="inlineStr">
        <is>
          <t>InStock</t>
        </is>
      </c>
      <c r="S3521" t="inlineStr">
        <is>
          <t>59.95</t>
        </is>
      </c>
      <c r="T3521" t="inlineStr">
        <is>
          <t>655688-02</t>
        </is>
      </c>
    </row>
    <row r="3522" hidden="1" ht="15.75" customHeight="1">
      <c r="A3522" s="2">
        <f>HYPERLINK("https://www.soccerplususa.com/adidas/adidas-tabela-18-jersey-5113", "https://www.soccerplususa.com/adidas/adidas-tabela-18-jersey-5113")</f>
        <v/>
      </c>
      <c r="B3522" t="inlineStr">
        <is>
          <t>undefined</t>
        </is>
      </c>
      <c r="C3522" t="inlineStr">
        <is>
          <t>adidas Tabela 18 Jersey</t>
        </is>
      </c>
      <c r="D3522" t="inlineStr">
        <is>
          <t>adidas Unisex-Child Entrada 18 Jersey</t>
        </is>
      </c>
      <c r="E3522" s="2">
        <f>HYPERLINK("https://www.amazon.com/adidas-Entrada-Jersey-White-Youth/dp/B07FGLQ8XY/ref=sr_1_9?keywords=adidas+Tabela+18+Jersey&amp;qid=1695171233&amp;sr=8-9", "https://www.amazon.com/adidas-Entrada-Jersey-White-Youth/dp/B07FGLQ8XY/ref=sr_1_9?keywords=adidas+Tabela+18+Jersey&amp;qid=1695171233&amp;sr=8-9")</f>
        <v/>
      </c>
      <c r="F3522" t="inlineStr">
        <is>
          <t>B07FGLQ8XY</t>
        </is>
      </c>
      <c r="G3522">
        <f>_xludf.IMAGE("https://www.soccerplususa.com/prodimages//31723-BLACK-M.jpg")</f>
        <v/>
      </c>
      <c r="H3522">
        <f>_xludf.IMAGE("https://m.media-amazon.com/images/I/81ITBE3iM+S._AC_UL320_.jpg")</f>
        <v/>
      </c>
      <c r="K3522" t="inlineStr">
        <is>
          <t>21.99</t>
        </is>
      </c>
      <c r="L3522" t="n">
        <v>20.59</v>
      </c>
      <c r="M3522" s="1" t="inlineStr">
        <is>
          <t>-6.37%</t>
        </is>
      </c>
      <c r="N3522" s="3" t="n">
        <v>-6.37</v>
      </c>
      <c r="O3522" t="n">
        <v>4.5</v>
      </c>
      <c r="P3522" t="n">
        <v>374</v>
      </c>
      <c r="R3522" t="inlineStr">
        <is>
          <t>InStock</t>
        </is>
      </c>
      <c r="S3522" t="inlineStr">
        <is>
          <t>29.95</t>
        </is>
      </c>
      <c r="T3522" t="inlineStr">
        <is>
          <t>CE8934</t>
        </is>
      </c>
    </row>
    <row r="3523" hidden="1" ht="15.75" customHeight="1">
      <c r="A3523" s="2">
        <f>HYPERLINK("https://www.soccerplususa.com/adidas/adidas-essentials-hoodie-41596", "https://www.soccerplususa.com/adidas/adidas-essentials-hoodie-41596")</f>
        <v/>
      </c>
      <c r="B3523" t="inlineStr">
        <is>
          <t>undefined</t>
        </is>
      </c>
      <c r="C3523" t="inlineStr">
        <is>
          <t>adidas Essentials Hoodie</t>
        </is>
      </c>
      <c r="D3523" t="inlineStr">
        <is>
          <t>adidas Originals Men's Trefoil Essentials Hoodie</t>
        </is>
      </c>
      <c r="E3523" s="2">
        <f>HYPERLINK("https://www.amazon.com/adidas-Originals-Trefoil-Essentials-Hoodie/dp/B09YBHGWDG/ref=sr_1_6?keywords=adidas+Essentials+Hoodie&amp;qid=1695171148&amp;sr=8-6", "https://www.amazon.com/adidas-Originals-Trefoil-Essentials-Hoodie/dp/B09YBHGWDG/ref=sr_1_6?keywords=adidas+Essentials+Hoodie&amp;qid=1695171148&amp;sr=8-6")</f>
        <v/>
      </c>
      <c r="F3523" t="inlineStr">
        <is>
          <t>B09YBHGWDG</t>
        </is>
      </c>
      <c r="G3523">
        <f>_xludf.IMAGE("https://www.soccerplususa.com/prodimages//35143-BLACKWHITE-M.jpg")</f>
        <v/>
      </c>
      <c r="H3523">
        <f>_xludf.IMAGE("https://m.media-amazon.com/images/I/618jSsucmRL._AC_UL320_.jpg")</f>
        <v/>
      </c>
      <c r="K3523" t="inlineStr">
        <is>
          <t>44.99</t>
        </is>
      </c>
      <c r="L3523" t="n">
        <v>42</v>
      </c>
      <c r="M3523" s="1" t="inlineStr">
        <is>
          <t>-6.65%</t>
        </is>
      </c>
      <c r="N3523" s="3" t="n">
        <v>-6.65</v>
      </c>
      <c r="O3523" t="n">
        <v>4.6</v>
      </c>
      <c r="P3523" t="n">
        <v>50</v>
      </c>
      <c r="R3523" t="inlineStr">
        <is>
          <t>InStock</t>
        </is>
      </c>
      <c r="S3523" t="inlineStr">
        <is>
          <t>59.95</t>
        </is>
      </c>
      <c r="T3523" t="inlineStr">
        <is>
          <t>GK9062</t>
        </is>
      </c>
    </row>
    <row r="3524" hidden="1" ht="15.75" customHeight="1">
      <c r="A3524" s="2">
        <f>HYPERLINK("https://www.soccerplususa.com/adidas/adidas-tiro-21-track-jacket-womens-41184", "https://www.soccerplususa.com/adidas/adidas-tiro-21-track-jacket-womens-41184")</f>
        <v/>
      </c>
      <c r="B3524" t="inlineStr">
        <is>
          <t>undefined</t>
        </is>
      </c>
      <c r="C3524" t="inlineStr">
        <is>
          <t>adidas Tiro 21 Track Jacket Women's</t>
        </is>
      </c>
      <c r="D3524" t="inlineStr">
        <is>
          <t>adidas womens Tiro 21 Track Jacket Team Grey X-Large</t>
        </is>
      </c>
      <c r="E3524" s="2">
        <f>HYPERLINK("https://www.amazon.com/adidas-Womens-Track-Jacket-X-Large/dp/B089K45KT1/ref=sr_1_9?keywords=adidas+Tiro+21+Track+Jacket+Women%27s&amp;qid=1695171150&amp;sr=8-9", "https://www.amazon.com/adidas-Womens-Track-Jacket-X-Large/dp/B089K45KT1/ref=sr_1_9?keywords=adidas+Tiro+21+Track+Jacket+Women%27s&amp;qid=1695171150&amp;sr=8-9")</f>
        <v/>
      </c>
      <c r="F3524" t="inlineStr">
        <is>
          <t>B089K45KT1</t>
        </is>
      </c>
      <c r="G3524">
        <f>_xludf.IMAGE("https://www.soccerplususa.com/prodimages//36136-BLACKWHITE-M.jpg")</f>
        <v/>
      </c>
      <c r="H3524">
        <f>_xludf.IMAGE("https://m.media-amazon.com/images/I/51GSE5g4YEL._AC_UL320_.jpg")</f>
        <v/>
      </c>
      <c r="K3524" t="inlineStr">
        <is>
          <t>50.0</t>
        </is>
      </c>
      <c r="L3524" t="n">
        <v>46.64</v>
      </c>
      <c r="M3524" s="1" t="inlineStr">
        <is>
          <t>-6.72%</t>
        </is>
      </c>
      <c r="N3524" s="3" t="n">
        <v>-6.72</v>
      </c>
      <c r="O3524" t="n">
        <v>4.6</v>
      </c>
      <c r="P3524" t="n">
        <v>23</v>
      </c>
      <c r="R3524" t="inlineStr">
        <is>
          <t>InStock</t>
        </is>
      </c>
      <c r="S3524" t="inlineStr">
        <is>
          <t>undefined</t>
        </is>
      </c>
      <c r="T3524" t="inlineStr">
        <is>
          <t>GM7307</t>
        </is>
      </c>
    </row>
    <row r="3525" hidden="1" ht="15.75" customHeight="1">
      <c r="A3525" s="2">
        <f>HYPERLINK("https://www.soccerplususa.com/under-armour/under-armour-coldgear-ls-mock-32981", "https://www.soccerplususa.com/under-armour/under-armour-coldgear-ls-mock-32981")</f>
        <v/>
      </c>
      <c r="B3525" t="inlineStr">
        <is>
          <t>undefined</t>
        </is>
      </c>
      <c r="C3525" t="inlineStr">
        <is>
          <t>Under Armour Coldgear LS Mock</t>
        </is>
      </c>
      <c r="D3525" t="inlineStr">
        <is>
          <t>Under Armour Women's ColdGear Authentics Compression Mock</t>
        </is>
      </c>
      <c r="E3525" s="2">
        <f>HYPERLINK("https://www.amazon.com/Under-Armour-ColdGear-Authentic-Midnight/dp/B005IM0QMC/ref=sr_1_6?keywords=Under+Armour+Coldgear+LS+Mock&amp;qid=1695171172&amp;sr=8-6", "https://www.amazon.com/Under-Armour-ColdGear-Authentic-Midnight/dp/B005IM0QMC/ref=sr_1_6?keywords=Under+Armour+Coldgear+LS+Mock&amp;qid=1695171172&amp;sr=8-6")</f>
        <v/>
      </c>
      <c r="F3525" t="inlineStr">
        <is>
          <t>B005IM0QMC</t>
        </is>
      </c>
      <c r="G3525">
        <f>_xludf.IMAGE("https://www.soccerplususa.com/prodimages/467-DEFAULT-l.jpg")</f>
        <v/>
      </c>
      <c r="H3525">
        <f>_xludf.IMAGE("https://m.media-amazon.com/images/I/516ZUq9iV2L._AC_UL320_.jpg")</f>
        <v/>
      </c>
      <c r="K3525" t="inlineStr">
        <is>
          <t>34.95</t>
        </is>
      </c>
      <c r="L3525" t="n">
        <v>32.43</v>
      </c>
      <c r="M3525" s="1" t="inlineStr">
        <is>
          <t>-7.21%</t>
        </is>
      </c>
      <c r="N3525" s="3" t="n">
        <v>-7.21</v>
      </c>
      <c r="O3525" t="n">
        <v>4.8</v>
      </c>
      <c r="P3525" t="n">
        <v>7721</v>
      </c>
      <c r="R3525" t="inlineStr">
        <is>
          <t>InStock</t>
        </is>
      </c>
      <c r="S3525" t="inlineStr">
        <is>
          <t>44.95</t>
        </is>
      </c>
      <c r="T3525" t="inlineStr">
        <is>
          <t>1000512-100</t>
        </is>
      </c>
    </row>
    <row r="3526" hidden="1" ht="15.75" customHeight="1">
      <c r="A3526" s="2">
        <f>HYPERLINK("https://www.soccerplususa.com/under-armour/under-armour-coldgear-armour-fitted-mock-41592", "https://www.soccerplususa.com/under-armour/under-armour-coldgear-armour-fitted-mock-41592")</f>
        <v/>
      </c>
      <c r="B3526" t="inlineStr">
        <is>
          <t>undefined</t>
        </is>
      </c>
      <c r="C3526" t="inlineStr">
        <is>
          <t>Under Armour ColdGear Armour Fitted Mock</t>
        </is>
      </c>
      <c r="D3526" t="inlineStr">
        <is>
          <t>Under Armour Fitted ColdGear Mock Men’s Long Sleeve Shirt (Large)</t>
        </is>
      </c>
      <c r="E3526" s="2">
        <f>HYPERLINK("https://www.amazon.com/Under-Armour-ColdGear-Fitted-Sleeve/dp/B086GLMF91/ref=sr_1_5?keywords=Under+Armour+ColdGear+Armour+Fitted+Mock&amp;qid=1695171146&amp;sr=8-5", "https://www.amazon.com/Under-Armour-ColdGear-Fitted-Sleeve/dp/B086GLMF91/ref=sr_1_5?keywords=Under+Armour+ColdGear+Armour+Fitted+Mock&amp;qid=1695171146&amp;sr=8-5")</f>
        <v/>
      </c>
      <c r="F3526" t="inlineStr">
        <is>
          <t>B086GLMF91</t>
        </is>
      </c>
      <c r="G3526">
        <f>_xludf.IMAGE("https://www.soccerplususa.com/prodimages//36795-BLACK-M.jpg")</f>
        <v/>
      </c>
      <c r="H3526">
        <f>_xludf.IMAGE("https://m.media-amazon.com/images/I/41qOh1oq6JL._AC_UL320_.jpg")</f>
        <v/>
      </c>
      <c r="K3526" t="inlineStr">
        <is>
          <t>54.95</t>
        </is>
      </c>
      <c r="L3526" t="n">
        <v>50.97</v>
      </c>
      <c r="M3526" s="1" t="inlineStr">
        <is>
          <t>-7.24%</t>
        </is>
      </c>
      <c r="N3526" s="3" t="n">
        <v>-7.24</v>
      </c>
      <c r="O3526" t="n">
        <v>3.8</v>
      </c>
      <c r="P3526" t="n">
        <v>2</v>
      </c>
      <c r="R3526" t="inlineStr">
        <is>
          <t>InStock</t>
        </is>
      </c>
      <c r="S3526" t="inlineStr">
        <is>
          <t>undefined</t>
        </is>
      </c>
      <c r="T3526" t="inlineStr">
        <is>
          <t>1366066-001</t>
        </is>
      </c>
    </row>
    <row r="3527" hidden="1" ht="15.75" customHeight="1">
      <c r="A3527" s="2">
        <f>HYPERLINK("https://www.soccerplususa.com/under-armour/under-armour-coldgear-armour-fitted-mock-youth-41593", "https://www.soccerplususa.com/under-armour/under-armour-coldgear-armour-fitted-mock-youth-41593")</f>
        <v/>
      </c>
      <c r="B3527" t="inlineStr">
        <is>
          <t>undefined</t>
        </is>
      </c>
      <c r="C3527" t="inlineStr">
        <is>
          <t>Under Armour ColdGear Armour Fitted Mock Youth</t>
        </is>
      </c>
      <c r="D3527" t="inlineStr">
        <is>
          <t>Under Armour Men's ColdGear Fitted Mock</t>
        </is>
      </c>
      <c r="E3527" s="2">
        <f>HYPERLINK("https://www.amazon.com/Under-Armour-ColdGear-Fitted-Medium/dp/B08LNZ74C7/ref=sr_1_2?keywords=Under+Armour+ColdGear+Armour+Fitted+Mock+Youth&amp;qid=1695171155&amp;sr=8-2", "https://www.amazon.com/Under-Armour-ColdGear-Fitted-Medium/dp/B08LNZ74C7/ref=sr_1_2?keywords=Under+Armour+ColdGear+Armour+Fitted+Mock+Youth&amp;qid=1695171155&amp;sr=8-2")</f>
        <v/>
      </c>
      <c r="F3527" t="inlineStr">
        <is>
          <t>B08LNZ74C7</t>
        </is>
      </c>
      <c r="G3527">
        <f>_xludf.IMAGE("https://www.soccerplususa.com/prodimages//36054-BLACK-M.jpg")</f>
        <v/>
      </c>
      <c r="H3527">
        <f>_xludf.IMAGE("https://m.media-amazon.com/images/I/41kGm2fUC1L._AC_UL320_.jpg")</f>
        <v/>
      </c>
      <c r="K3527" t="inlineStr">
        <is>
          <t>39.95</t>
        </is>
      </c>
      <c r="L3527" t="n">
        <v>36.99</v>
      </c>
      <c r="M3527" s="1" t="inlineStr">
        <is>
          <t>-7.41%</t>
        </is>
      </c>
      <c r="N3527" s="3" t="n">
        <v>-7.41</v>
      </c>
      <c r="O3527" t="n">
        <v>4.7</v>
      </c>
      <c r="P3527" t="n">
        <v>2138</v>
      </c>
      <c r="R3527" t="inlineStr">
        <is>
          <t>InStock</t>
        </is>
      </c>
      <c r="S3527" t="inlineStr">
        <is>
          <t>undefined</t>
        </is>
      </c>
      <c r="T3527" t="inlineStr">
        <is>
          <t>1366373-001</t>
        </is>
      </c>
    </row>
    <row r="3528" hidden="1" ht="15.75" customHeight="1">
      <c r="A3528" s="2">
        <f>HYPERLINK("https://www.soccerplususa.com/under-armour/under-armour-cold-gear-armour-mock-youth-33310", "https://www.soccerplususa.com/under-armour/under-armour-cold-gear-armour-mock-youth-33310")</f>
        <v/>
      </c>
      <c r="B3528" t="inlineStr">
        <is>
          <t>undefined</t>
        </is>
      </c>
      <c r="C3528" t="inlineStr">
        <is>
          <t>Under Armour Cold Gear Armour Mock Youth</t>
        </is>
      </c>
      <c r="D3528" t="inlineStr">
        <is>
          <t>Under Armour Men's ColdGear Fitted Mock</t>
        </is>
      </c>
      <c r="E3528" s="2">
        <f>HYPERLINK("https://www.amazon.com/Under-Armour-ColdGear-Fitted-Medium/dp/B08LNZ74C7/ref=sr_1_4?keywords=Under+Armour+Cold+Gear+Armour+Mock+Youth&amp;qid=1695171174&amp;sr=8-4", "https://www.amazon.com/Under-Armour-ColdGear-Fitted-Medium/dp/B08LNZ74C7/ref=sr_1_4?keywords=Under+Armour+Cold+Gear+Armour+Mock+Youth&amp;qid=1695171174&amp;sr=8-4")</f>
        <v/>
      </c>
      <c r="F3528" t="inlineStr">
        <is>
          <t>B08LNZ74C7</t>
        </is>
      </c>
      <c r="G3528">
        <f>_xludf.IMAGE("https://www.soccerplususa.com/prodimages/5586-DEFAULT-l.jpg")</f>
        <v/>
      </c>
      <c r="H3528">
        <f>_xludf.IMAGE("https://m.media-amazon.com/images/I/41kGm2fUC1L._AC_UL320_.jpg")</f>
        <v/>
      </c>
      <c r="K3528" t="inlineStr">
        <is>
          <t>39.95</t>
        </is>
      </c>
      <c r="L3528" t="n">
        <v>36.99</v>
      </c>
      <c r="M3528" s="1" t="inlineStr">
        <is>
          <t>-7.41%</t>
        </is>
      </c>
      <c r="N3528" s="3" t="n">
        <v>-7.41</v>
      </c>
      <c r="O3528" t="n">
        <v>4.7</v>
      </c>
      <c r="P3528" t="n">
        <v>2138</v>
      </c>
      <c r="R3528" t="inlineStr">
        <is>
          <t>InStock</t>
        </is>
      </c>
      <c r="S3528" t="inlineStr">
        <is>
          <t>undefined</t>
        </is>
      </c>
      <c r="T3528" t="inlineStr">
        <is>
          <t>1288343-001</t>
        </is>
      </c>
    </row>
    <row r="3529" hidden="1" ht="15.75" customHeight="1">
      <c r="A3529" s="2">
        <f>HYPERLINK("https://www.soccerplususa.com/under-armour/under-armour-coldgear-armour-fitted-mock-youth-41594", "https://www.soccerplususa.com/under-armour/under-armour-coldgear-armour-fitted-mock-youth-41594")</f>
        <v/>
      </c>
      <c r="B3529" t="inlineStr">
        <is>
          <t>undefined</t>
        </is>
      </c>
      <c r="C3529" t="inlineStr">
        <is>
          <t>Under Armour ColdGear Armour Fitted Mock Youth</t>
        </is>
      </c>
      <c r="D3529" t="inlineStr">
        <is>
          <t>Under Armour Men's ColdGear Fitted Mock</t>
        </is>
      </c>
      <c r="E3529" s="2">
        <f>HYPERLINK("https://www.amazon.com/Under-Armour-ColdGear-Fitted-Medium/dp/B08LNZ74C7/ref=sr_1_3?keywords=Under+Armour+ColdGear+Armour+Fitted+Mock+Youth&amp;qid=1695171149&amp;sr=8-3", "https://www.amazon.com/Under-Armour-ColdGear-Fitted-Medium/dp/B08LNZ74C7/ref=sr_1_3?keywords=Under+Armour+ColdGear+Armour+Fitted+Mock+Youth&amp;qid=1695171149&amp;sr=8-3")</f>
        <v/>
      </c>
      <c r="F3529" t="inlineStr">
        <is>
          <t>B08LNZ74C7</t>
        </is>
      </c>
      <c r="G3529">
        <f>_xludf.IMAGE("https://www.soccerplususa.com/prodimages//36053-WHITE-M.jpg")</f>
        <v/>
      </c>
      <c r="H3529">
        <f>_xludf.IMAGE("https://m.media-amazon.com/images/I/41kGm2fUC1L._AC_UL320_.jpg")</f>
        <v/>
      </c>
      <c r="K3529" t="inlineStr">
        <is>
          <t>39.95</t>
        </is>
      </c>
      <c r="L3529" t="n">
        <v>36.99</v>
      </c>
      <c r="M3529" s="1" t="inlineStr">
        <is>
          <t>-7.41%</t>
        </is>
      </c>
      <c r="N3529" s="3" t="n">
        <v>-7.41</v>
      </c>
      <c r="O3529" t="n">
        <v>4.7</v>
      </c>
      <c r="P3529" t="n">
        <v>2138</v>
      </c>
      <c r="R3529" t="inlineStr">
        <is>
          <t>InStock</t>
        </is>
      </c>
      <c r="S3529" t="inlineStr">
        <is>
          <t>undefined</t>
        </is>
      </c>
      <c r="T3529" t="inlineStr">
        <is>
          <t>1366373-100</t>
        </is>
      </c>
    </row>
    <row r="3530" hidden="1" ht="15.75" customHeight="1">
      <c r="A3530" s="2">
        <f>HYPERLINK("https://www.soccerplususa.com/under-armour/under-armour-cold-gear-armour-mock-youth-33311", "https://www.soccerplususa.com/under-armour/under-armour-cold-gear-armour-mock-youth-33311")</f>
        <v/>
      </c>
      <c r="B3530" t="inlineStr">
        <is>
          <t>undefined</t>
        </is>
      </c>
      <c r="C3530" t="inlineStr">
        <is>
          <t>Under Armour Cold Gear Armour Mock Youth</t>
        </is>
      </c>
      <c r="D3530" t="inlineStr">
        <is>
          <t>Under Armour Men's ColdGear Fitted Mock</t>
        </is>
      </c>
      <c r="E3530" s="2">
        <f>HYPERLINK("https://www.amazon.com/Under-Armour-ColdGear-Fitted-Medium/dp/B08LNZ74C7/ref=sr_1_6?keywords=Under+Armour+Cold+Gear+Armour+Mock+Youth&amp;qid=1695171169&amp;sr=8-6", "https://www.amazon.com/Under-Armour-ColdGear-Fitted-Medium/dp/B08LNZ74C7/ref=sr_1_6?keywords=Under+Armour+Cold+Gear+Armour+Mock+Youth&amp;qid=1695171169&amp;sr=8-6")</f>
        <v/>
      </c>
      <c r="F3530" t="inlineStr">
        <is>
          <t>B08LNZ74C7</t>
        </is>
      </c>
      <c r="G3530">
        <f>_xludf.IMAGE("https://www.soccerplususa.com/prodimages/5585-DEFAULT-l.jpg")</f>
        <v/>
      </c>
      <c r="H3530">
        <f>_xludf.IMAGE("https://m.media-amazon.com/images/I/41kGm2fUC1L._AC_UL320_.jpg")</f>
        <v/>
      </c>
      <c r="K3530" t="inlineStr">
        <is>
          <t>39.95</t>
        </is>
      </c>
      <c r="L3530" t="n">
        <v>36.99</v>
      </c>
      <c r="M3530" s="1" t="inlineStr">
        <is>
          <t>-7.41%</t>
        </is>
      </c>
      <c r="N3530" s="3" t="n">
        <v>-7.41</v>
      </c>
      <c r="O3530" t="n">
        <v>4.7</v>
      </c>
      <c r="P3530" t="n">
        <v>2138</v>
      </c>
      <c r="R3530" t="inlineStr">
        <is>
          <t>InStock</t>
        </is>
      </c>
      <c r="S3530" t="inlineStr">
        <is>
          <t>undefined</t>
        </is>
      </c>
      <c r="T3530" t="inlineStr">
        <is>
          <t>1288343-100</t>
        </is>
      </c>
    </row>
    <row r="3531" hidden="1" ht="15.75" customHeight="1">
      <c r="A3531" s="2">
        <f>HYPERLINK("https://www.soccerplususa.com/puma/puma-liga-jersey-womens-39602", "https://www.soccerplususa.com/puma/puma-liga-jersey-womens-39602")</f>
        <v/>
      </c>
      <c r="B3531" t="inlineStr">
        <is>
          <t>undefined</t>
        </is>
      </c>
      <c r="C3531" t="inlineStr">
        <is>
          <t>Puma Liga Jersey Women's</t>
        </is>
      </c>
      <c r="D3531" t="inlineStr">
        <is>
          <t>PUMA Womens Liga Training Jersey W</t>
        </is>
      </c>
      <c r="E3531" s="2">
        <f>HYPERLINK("https://www.amazon.com/PUMA-Training-Electric-Lemonadepuma-X-Small/dp/B07B88WJK9/ref=sr_1_5?keywords=Puma+Liga+Jersey+Womens&amp;qid=1695171150&amp;sr=8-5", "https://www.amazon.com/PUMA-Training-Electric-Lemonadepuma-X-Small/dp/B07B88WJK9/ref=sr_1_5?keywords=Puma+Liga+Jersey+Womens&amp;qid=1695171150&amp;sr=8-5")</f>
        <v/>
      </c>
      <c r="F3531" t="inlineStr">
        <is>
          <t>B07B88WJK9</t>
        </is>
      </c>
      <c r="G3531">
        <f>_xludf.IMAGE("https://www.soccerplususa.com/prodimages//36786-REDWHITE-M.jpg")</f>
        <v/>
      </c>
      <c r="H3531">
        <f>_xludf.IMAGE("https://m.media-amazon.com/images/I/81ycC-g8l+L._AC_UL320_.jpg")</f>
        <v/>
      </c>
      <c r="K3531" t="inlineStr">
        <is>
          <t>20.99</t>
        </is>
      </c>
      <c r="L3531" t="n">
        <v>19.35</v>
      </c>
      <c r="M3531" s="1" t="inlineStr">
        <is>
          <t>-7.81%</t>
        </is>
      </c>
      <c r="N3531" s="3" t="n">
        <v>-7.81</v>
      </c>
      <c r="O3531" t="n">
        <v>4.5</v>
      </c>
      <c r="P3531" t="n">
        <v>51</v>
      </c>
      <c r="R3531" t="inlineStr">
        <is>
          <t>InStock</t>
        </is>
      </c>
      <c r="S3531" t="inlineStr">
        <is>
          <t>27.95</t>
        </is>
      </c>
      <c r="T3531" t="inlineStr">
        <is>
          <t>703426-01</t>
        </is>
      </c>
    </row>
    <row r="3532" hidden="1" ht="15.75" customHeight="1">
      <c r="A3532" s="2">
        <f>HYPERLINK("https://www.soccerplususa.com/new-balance/new-balance-thermal-half-zip-top-womens-39182", "https://www.soccerplususa.com/new-balance/new-balance-thermal-half-zip-top-womens-39182")</f>
        <v/>
      </c>
      <c r="B3532" t="inlineStr">
        <is>
          <t>undefined</t>
        </is>
      </c>
      <c r="C3532" t="inlineStr">
        <is>
          <t>New Balance Thermal Half Zip Top Women's</t>
        </is>
      </c>
      <c r="D3532" t="inlineStr">
        <is>
          <t>New Balance Women's Accelerate Half Zip 22</t>
        </is>
      </c>
      <c r="E3532" s="2">
        <f>HYPERLINK("https://www.amazon.com/New-Balance-Womens-Accelerate-Black/dp/B09HY68MBS/ref=sr_1_2?keywords=New+Balance+Thermal+Half+Zip+Top+Womens&amp;qid=1695171153&amp;sr=8-2", "https://www.amazon.com/New-Balance-Womens-Accelerate-Black/dp/B09HY68MBS/ref=sr_1_2?keywords=New+Balance+Thermal+Half+Zip+Top+Womens&amp;qid=1695171153&amp;sr=8-2")</f>
        <v/>
      </c>
      <c r="F3532" t="inlineStr">
        <is>
          <t>B09HY68MBS</t>
        </is>
      </c>
      <c r="G3532">
        <f>_xludf.IMAGE("https://www.soccerplususa.com/prodimages/35277-DEFAULT-l.jpg")</f>
        <v/>
      </c>
      <c r="H3532">
        <f>_xludf.IMAGE("https://m.media-amazon.com/images/I/71fYS9b8KpL._AC_UL320_.jpg")</f>
        <v/>
      </c>
      <c r="K3532" t="inlineStr">
        <is>
          <t>48.99</t>
        </is>
      </c>
      <c r="L3532" t="n">
        <v>45</v>
      </c>
      <c r="M3532" s="1" t="inlineStr">
        <is>
          <t>-8.14%</t>
        </is>
      </c>
      <c r="N3532" s="3" t="n">
        <v>-8.140000000000001</v>
      </c>
      <c r="O3532" t="n">
        <v>5</v>
      </c>
      <c r="P3532" t="n">
        <v>2</v>
      </c>
      <c r="R3532" t="inlineStr">
        <is>
          <t>InStock</t>
        </is>
      </c>
      <c r="S3532" t="inlineStr">
        <is>
          <t>65.0</t>
        </is>
      </c>
      <c r="T3532" t="inlineStr">
        <is>
          <t>TMWT725</t>
        </is>
      </c>
    </row>
    <row r="3533" hidden="1" ht="15.75" customHeight="1">
      <c r="A3533" s="2">
        <f>HYPERLINK("https://www.soccerplususa.com/nike/nike-academy-18-jacket-youth-34588", "https://www.soccerplususa.com/nike/nike-academy-18-jacket-youth-34588")</f>
        <v/>
      </c>
      <c r="B3533" t="inlineStr">
        <is>
          <t>undefined</t>
        </is>
      </c>
      <c r="C3533" t="inlineStr">
        <is>
          <t>Nike Academy 18 Jacket Youth</t>
        </is>
      </c>
      <c r="D3533" t="inlineStr">
        <is>
          <t>Nike Youth Dry Academy 18 Track Jacket (Black) Size Youth</t>
        </is>
      </c>
      <c r="E3533" s="2">
        <f>HYPERLINK("https://www.amazon.com/NIKE-Youth-Academy-Jacket-Medium/dp/B079JZMVMP/ref=sr_1_2?keywords=Nike+Academy+18+Jacket+Youth&amp;qid=1695171169&amp;sr=8-2", "https://www.amazon.com/NIKE-Youth-Academy-Jacket-Medium/dp/B079JZMVMP/ref=sr_1_2?keywords=Nike+Academy+18+Jacket+Youth&amp;qid=1695171169&amp;sr=8-2")</f>
        <v/>
      </c>
      <c r="F3533" t="inlineStr">
        <is>
          <t>B079JZMVMP</t>
        </is>
      </c>
      <c r="G3533">
        <f>_xludf.IMAGE("https://www.soccerplususa.com/prodimages/7669-DEFAULT-l.jpg")</f>
        <v/>
      </c>
      <c r="H3533">
        <f>_xludf.IMAGE("https://m.media-amazon.com/images/I/91AsQuYQnIL._AC_UL320_.jpg")</f>
        <v/>
      </c>
      <c r="K3533" t="inlineStr">
        <is>
          <t>59.99</t>
        </is>
      </c>
      <c r="L3533" t="n">
        <v>55</v>
      </c>
      <c r="M3533" s="1" t="inlineStr">
        <is>
          <t>-8.32%</t>
        </is>
      </c>
      <c r="N3533" s="3" t="n">
        <v>-8.32</v>
      </c>
      <c r="O3533" t="n">
        <v>3.5</v>
      </c>
      <c r="P3533" t="n">
        <v>36</v>
      </c>
      <c r="R3533" t="inlineStr">
        <is>
          <t>InStock</t>
        </is>
      </c>
      <c r="S3533" t="inlineStr">
        <is>
          <t>79.95</t>
        </is>
      </c>
      <c r="T3533" t="inlineStr">
        <is>
          <t>893819-010</t>
        </is>
      </c>
    </row>
    <row r="3534" hidden="1" ht="15.75" customHeight="1">
      <c r="A3534" s="2">
        <f>HYPERLINK("https://www.soccerplususa.com/nike/nike-academy-18-jacket-youth-34588", "https://www.soccerplususa.com/nike/nike-academy-18-jacket-youth-34588")</f>
        <v/>
      </c>
      <c r="B3534" t="inlineStr">
        <is>
          <t>undefined</t>
        </is>
      </c>
      <c r="C3534" t="inlineStr">
        <is>
          <t>Nike Academy 18 Jacket Youth</t>
        </is>
      </c>
      <c r="D3534" t="inlineStr">
        <is>
          <t>Nike Youth Dry Academy 18 Track Jacket (Black) Size Youth</t>
        </is>
      </c>
      <c r="E3534" s="2">
        <f>HYPERLINK("https://www.amazon.com/NIKE-Youth-Academy-Track-Jacket/dp/B079JYTT6W/ref=sr_1_1?keywords=Nike+Academy+18+Jacket+Youth&amp;qid=1695171169&amp;sr=8-1", "https://www.amazon.com/NIKE-Youth-Academy-Track-Jacket/dp/B079JYTT6W/ref=sr_1_1?keywords=Nike+Academy+18+Jacket+Youth&amp;qid=1695171169&amp;sr=8-1")</f>
        <v/>
      </c>
      <c r="F3534" t="inlineStr">
        <is>
          <t>B079JYTT6W</t>
        </is>
      </c>
      <c r="G3534">
        <f>_xludf.IMAGE("https://www.soccerplususa.com/prodimages/7669-DEFAULT-l.jpg")</f>
        <v/>
      </c>
      <c r="H3534">
        <f>_xludf.IMAGE("https://m.media-amazon.com/images/I/91AsQuYQnIL._AC_UL320_.jpg")</f>
        <v/>
      </c>
      <c r="K3534" t="inlineStr">
        <is>
          <t>59.99</t>
        </is>
      </c>
      <c r="L3534" t="n">
        <v>55</v>
      </c>
      <c r="M3534" s="1" t="inlineStr">
        <is>
          <t>-8.32%</t>
        </is>
      </c>
      <c r="N3534" s="3" t="n">
        <v>-8.32</v>
      </c>
      <c r="O3534" t="n">
        <v>4</v>
      </c>
      <c r="P3534" t="n">
        <v>34</v>
      </c>
      <c r="R3534" t="inlineStr">
        <is>
          <t>InStock</t>
        </is>
      </c>
      <c r="S3534" t="inlineStr">
        <is>
          <t>79.95</t>
        </is>
      </c>
      <c r="T3534" t="inlineStr">
        <is>
          <t>893819-010</t>
        </is>
      </c>
    </row>
    <row r="3535" hidden="1" ht="15.75" customHeight="1">
      <c r="A3535" s="2">
        <f>HYPERLINK("https://www.soccerplususa.com/nike/nike-academy-18-jacket-youth-34588", "https://www.soccerplususa.com/nike/nike-academy-18-jacket-youth-34588")</f>
        <v/>
      </c>
      <c r="B3535" t="inlineStr">
        <is>
          <t>undefined</t>
        </is>
      </c>
      <c r="C3535" t="inlineStr">
        <is>
          <t>Nike Academy 18 Jacket Youth</t>
        </is>
      </c>
      <c r="D3535" t="inlineStr">
        <is>
          <t>Nike Boys' Academy 18 Track Jacket</t>
        </is>
      </c>
      <c r="E3535" s="2">
        <f>HYPERLINK("https://www.amazon.com/Nike-Academy-Track-Jacket-University/dp/B079JXBFDK/ref=sr_1_4?keywords=Nike+Academy+18+Jacket+Youth&amp;qid=1695171169&amp;sr=8-4", "https://www.amazon.com/Nike-Academy-Track-Jacket-University/dp/B079JXBFDK/ref=sr_1_4?keywords=Nike+Academy+18+Jacket+Youth&amp;qid=1695171169&amp;sr=8-4")</f>
        <v/>
      </c>
      <c r="F3535" t="inlineStr">
        <is>
          <t>B079JXBFDK</t>
        </is>
      </c>
      <c r="G3535">
        <f>_xludf.IMAGE("https://www.soccerplususa.com/prodimages/7669-DEFAULT-l.jpg")</f>
        <v/>
      </c>
      <c r="H3535">
        <f>_xludf.IMAGE("https://m.media-amazon.com/images/I/916+SEUZ84L._AC_UL320_.jpg")</f>
        <v/>
      </c>
      <c r="K3535" t="inlineStr">
        <is>
          <t>59.99</t>
        </is>
      </c>
      <c r="L3535" t="n">
        <v>54.99</v>
      </c>
      <c r="M3535" s="1" t="inlineStr">
        <is>
          <t>-8.33%</t>
        </is>
      </c>
      <c r="N3535" s="3" t="n">
        <v>-8.33</v>
      </c>
      <c r="O3535" t="n">
        <v>4.1</v>
      </c>
      <c r="P3535" t="n">
        <v>220</v>
      </c>
      <c r="R3535" t="inlineStr">
        <is>
          <t>InStock</t>
        </is>
      </c>
      <c r="S3535" t="inlineStr">
        <is>
          <t>79.95</t>
        </is>
      </c>
      <c r="T3535" t="inlineStr">
        <is>
          <t>893819-010</t>
        </is>
      </c>
    </row>
    <row r="3536" hidden="1" ht="15.75" customHeight="1">
      <c r="A3536" s="2">
        <f>HYPERLINK("https://www.soccerplususa.com/puma/puma-liga-jersey-youth-39601", "https://www.soccerplususa.com/puma/puma-liga-jersey-youth-39601")</f>
        <v/>
      </c>
      <c r="B3536" t="inlineStr">
        <is>
          <t>undefined</t>
        </is>
      </c>
      <c r="C3536" t="inlineStr">
        <is>
          <t>Puma Liga Jersey Youth</t>
        </is>
      </c>
      <c r="D3536" t="inlineStr">
        <is>
          <t>PUMA Unisex Youth Youth Liga Jersey Core T Shirt, Cyber Yellow/Black, Large US</t>
        </is>
      </c>
      <c r="E3536" s="2">
        <f>HYPERLINK("https://www.amazon.com/PUMA-Jersey-Cyber-Yellowpuma-Black/dp/B07KWZ4V6K/ref=sr_1_10?keywords=Puma+Liga+Jersey+Youth&amp;qid=1695171161&amp;sr=8-10", "https://www.amazon.com/PUMA-Jersey-Cyber-Yellowpuma-Black/dp/B07KWZ4V6K/ref=sr_1_10?keywords=Puma+Liga+Jersey+Youth&amp;qid=1695171161&amp;sr=8-10")</f>
        <v/>
      </c>
      <c r="F3536" t="inlineStr">
        <is>
          <t>B07KWZ4V6K</t>
        </is>
      </c>
      <c r="G3536">
        <f>_xludf.IMAGE("https://www.soccerplususa.com/prodimages//36796-WHITE-M.jpg")</f>
        <v/>
      </c>
      <c r="H3536">
        <f>_xludf.IMAGE("https://m.media-amazon.com/images/I/61vDxC4BEBL._AC_UL320_.jpg")</f>
        <v/>
      </c>
      <c r="K3536" t="inlineStr">
        <is>
          <t>20.99</t>
        </is>
      </c>
      <c r="L3536" t="n">
        <v>19.15</v>
      </c>
      <c r="M3536" s="1" t="inlineStr">
        <is>
          <t>-8.77%</t>
        </is>
      </c>
      <c r="N3536" s="3" t="n">
        <v>-8.77</v>
      </c>
      <c r="O3536" t="n">
        <v>3.1</v>
      </c>
      <c r="P3536" t="n">
        <v>9</v>
      </c>
      <c r="R3536" t="inlineStr">
        <is>
          <t>InStock</t>
        </is>
      </c>
      <c r="S3536" t="inlineStr">
        <is>
          <t>27.95</t>
        </is>
      </c>
      <c r="T3536" t="inlineStr">
        <is>
          <t>703418-14</t>
        </is>
      </c>
    </row>
    <row r="3537" hidden="1" ht="15.75" customHeight="1">
      <c r="A3537" s="2">
        <f>HYPERLINK("https://www.soccerplususa.com/puma/puma-liga-jersey-youth-37886", "https://www.soccerplususa.com/puma/puma-liga-jersey-youth-37886")</f>
        <v/>
      </c>
      <c r="B3537" t="inlineStr">
        <is>
          <t>undefined</t>
        </is>
      </c>
      <c r="C3537" t="inlineStr">
        <is>
          <t>Puma Liga Jersey Youth</t>
        </is>
      </c>
      <c r="D3537" t="inlineStr">
        <is>
          <t>PUMA Unisex Youth Youth Liga Jersey Core T Shirt, Cyber Yellow/Black, Large US</t>
        </is>
      </c>
      <c r="E3537" s="2">
        <f>HYPERLINK("https://www.amazon.com/PUMA-Jersey-Cyber-Yellowpuma-Black/dp/B07KWZ4V6K/ref=sr_1_10?keywords=Puma+Liga+Jersey+Youth&amp;qid=1695171188&amp;sr=8-10", "https://www.amazon.com/PUMA-Jersey-Cyber-Yellowpuma-Black/dp/B07KWZ4V6K/ref=sr_1_10?keywords=Puma+Liga+Jersey+Youth&amp;qid=1695171188&amp;sr=8-10")</f>
        <v/>
      </c>
      <c r="F3537" t="inlineStr">
        <is>
          <t>B07KWZ4V6K</t>
        </is>
      </c>
      <c r="G3537">
        <f>_xludf.IMAGE("https://www.soccerplususa.com/prodimages//35271-NAVYWHITE-M.jpg")</f>
        <v/>
      </c>
      <c r="H3537">
        <f>_xludf.IMAGE("https://m.media-amazon.com/images/I/61vDxC4BEBL._AC_UL320_.jpg")</f>
        <v/>
      </c>
      <c r="K3537" t="inlineStr">
        <is>
          <t>20.99</t>
        </is>
      </c>
      <c r="L3537" t="n">
        <v>19.15</v>
      </c>
      <c r="M3537" s="1" t="inlineStr">
        <is>
          <t>-8.77%</t>
        </is>
      </c>
      <c r="N3537" s="3" t="n">
        <v>-8.77</v>
      </c>
      <c r="O3537" t="n">
        <v>3.1</v>
      </c>
      <c r="P3537" t="n">
        <v>9</v>
      </c>
      <c r="R3537" t="inlineStr">
        <is>
          <t>InStock</t>
        </is>
      </c>
      <c r="S3537" t="inlineStr">
        <is>
          <t>27.95</t>
        </is>
      </c>
      <c r="T3537" t="inlineStr">
        <is>
          <t>703418-06</t>
        </is>
      </c>
    </row>
    <row r="3538" hidden="1" ht="15.75" customHeight="1">
      <c r="A3538" s="2">
        <f>HYPERLINK("https://www.soccerplususa.com/puma/puma-liga-jersey-youth-37885", "https://www.soccerplususa.com/puma/puma-liga-jersey-youth-37885")</f>
        <v/>
      </c>
      <c r="B3538" t="inlineStr">
        <is>
          <t>undefined</t>
        </is>
      </c>
      <c r="C3538" t="inlineStr">
        <is>
          <t>Puma Liga Jersey Youth</t>
        </is>
      </c>
      <c r="D3538" t="inlineStr">
        <is>
          <t>PUMA Unisex Youth Youth Liga Jersey Core T Shirt, Cyber Yellow/Black, Large US</t>
        </is>
      </c>
      <c r="E3538" s="2">
        <f>HYPERLINK("https://www.amazon.com/PUMA-Jersey-Cyber-Yellowpuma-Black/dp/B07KWZ4V6K/ref=sr_1_10?keywords=Puma+Liga+Jersey+Youth&amp;qid=1695171154&amp;sr=8-10", "https://www.amazon.com/PUMA-Jersey-Cyber-Yellowpuma-Black/dp/B07KWZ4V6K/ref=sr_1_10?keywords=Puma+Liga+Jersey+Youth&amp;qid=1695171154&amp;sr=8-10")</f>
        <v/>
      </c>
      <c r="F3538" t="inlineStr">
        <is>
          <t>B07KWZ4V6K</t>
        </is>
      </c>
      <c r="G3538">
        <f>_xludf.IMAGE("https://www.soccerplususa.com/prodimages//36779-REDWHITE-M.jpg")</f>
        <v/>
      </c>
      <c r="H3538">
        <f>_xludf.IMAGE("https://m.media-amazon.com/images/I/61vDxC4BEBL._AC_UL320_.jpg")</f>
        <v/>
      </c>
      <c r="K3538" t="inlineStr">
        <is>
          <t>20.99</t>
        </is>
      </c>
      <c r="L3538" t="n">
        <v>19.15</v>
      </c>
      <c r="M3538" s="1" t="inlineStr">
        <is>
          <t>-8.77%</t>
        </is>
      </c>
      <c r="N3538" s="3" t="n">
        <v>-8.77</v>
      </c>
      <c r="O3538" t="n">
        <v>3.1</v>
      </c>
      <c r="P3538" t="n">
        <v>9</v>
      </c>
      <c r="R3538" t="inlineStr">
        <is>
          <t>InStock</t>
        </is>
      </c>
      <c r="S3538" t="inlineStr">
        <is>
          <t>27.95</t>
        </is>
      </c>
      <c r="T3538" t="inlineStr">
        <is>
          <t>703418-01</t>
        </is>
      </c>
    </row>
    <row r="3539" hidden="1" ht="15.75" customHeight="1">
      <c r="A3539" s="2">
        <f>HYPERLINK("https://www.soccerplususa.com/adidas/adidas-tiro-17-jersey-youth-8176", "https://www.soccerplususa.com/adidas/adidas-tiro-17-jersey-youth-8176")</f>
        <v/>
      </c>
      <c r="B3539" t="inlineStr">
        <is>
          <t>undefined</t>
        </is>
      </c>
      <c r="C3539" t="inlineStr">
        <is>
          <t>adidas Tiro 17 Jersey Youth</t>
        </is>
      </c>
      <c r="D3539" t="inlineStr">
        <is>
          <t>adidas Mens Tiro 17 Jersey Black/White S</t>
        </is>
      </c>
      <c r="E3539" s="2">
        <f>HYPERLINK("https://www.amazon.com/Adidas-Mens-Jersey-Black-White/dp/B01N64GCZ6/ref=sr_1_1?keywords=adidas+Tiro+17+Jersey+Youth&amp;qid=1695171210&amp;sr=8-1", "https://www.amazon.com/Adidas-Mens-Jersey-Black-White/dp/B01N64GCZ6/ref=sr_1_1?keywords=adidas+Tiro+17+Jersey+Youth&amp;qid=1695171210&amp;sr=8-1")</f>
        <v/>
      </c>
      <c r="F3539" t="inlineStr">
        <is>
          <t>B01N64GCZ6</t>
        </is>
      </c>
      <c r="G3539">
        <f>_xludf.IMAGE("https://www.soccerplususa.com/prodimages/7857-DEFAULT-l.jpg")</f>
        <v/>
      </c>
      <c r="H3539">
        <f>_xludf.IMAGE("https://m.media-amazon.com/images/I/61WO-O2xDLL._AC_UL320_.jpg")</f>
        <v/>
      </c>
      <c r="K3539" t="inlineStr">
        <is>
          <t>20.97</t>
        </is>
      </c>
      <c r="L3539" t="n">
        <v>19.07</v>
      </c>
      <c r="M3539" s="1" t="inlineStr">
        <is>
          <t>-9.06%</t>
        </is>
      </c>
      <c r="N3539" s="3" t="n">
        <v>-9.06</v>
      </c>
      <c r="O3539" t="n">
        <v>4.3</v>
      </c>
      <c r="P3539" t="n">
        <v>8</v>
      </c>
      <c r="R3539" t="inlineStr">
        <is>
          <t>InStock</t>
        </is>
      </c>
      <c r="S3539" t="inlineStr">
        <is>
          <t>34.95</t>
        </is>
      </c>
      <c r="T3539" t="inlineStr">
        <is>
          <t>S99148</t>
        </is>
      </c>
    </row>
    <row r="3540" hidden="1" ht="15.75" customHeight="1">
      <c r="A3540" s="2">
        <f>HYPERLINK("https://www.soccerplususa.com/adidas/adidas-tabela-18-jersey-5115", "https://www.soccerplususa.com/adidas/adidas-tabela-18-jersey-5115")</f>
        <v/>
      </c>
      <c r="B3540" t="inlineStr">
        <is>
          <t>undefined</t>
        </is>
      </c>
      <c r="C3540" t="inlineStr">
        <is>
          <t>adidas Tabela 18 Jersey</t>
        </is>
      </c>
      <c r="D3540" t="inlineStr">
        <is>
          <t>adidas Youth Tabela 18 Jersey</t>
        </is>
      </c>
      <c r="E3540" s="2">
        <f>HYPERLINK("https://www.amazon.com/adidas-TABELA-Jersey-Y%E2%9D%97%EF%B8%8FShips-Directly/dp/B078LCB4LK/ref=sr_1_8?keywords=adidas+Tabela+18+Jersey&amp;qid=1695171223&amp;sr=8-8", "https://www.amazon.com/adidas-TABELA-Jersey-Y%E2%9D%97%EF%B8%8FShips-Directly/dp/B078LCB4LK/ref=sr_1_8?keywords=adidas+Tabela+18+Jersey&amp;qid=1695171223&amp;sr=8-8")</f>
        <v/>
      </c>
      <c r="F3540" t="inlineStr">
        <is>
          <t>B078LCB4LK</t>
        </is>
      </c>
      <c r="G3540">
        <f>_xludf.IMAGE("https://www.soccerplususa.com/prodimages//31724-GRAY-M.jpg")</f>
        <v/>
      </c>
      <c r="H3540">
        <f>_xludf.IMAGE("https://m.media-amazon.com/images/I/61G-4wd3sCL._AC_UL320_.jpg")</f>
        <v/>
      </c>
      <c r="K3540" t="inlineStr">
        <is>
          <t>21.99</t>
        </is>
      </c>
      <c r="L3540" t="n">
        <v>19.99</v>
      </c>
      <c r="M3540" s="1" t="inlineStr">
        <is>
          <t>-9.10%</t>
        </is>
      </c>
      <c r="N3540" s="3" t="n">
        <v>-9.1</v>
      </c>
      <c r="O3540" t="n">
        <v>1.8</v>
      </c>
      <c r="P3540" t="n">
        <v>2</v>
      </c>
      <c r="R3540" t="inlineStr">
        <is>
          <t>InStock</t>
        </is>
      </c>
      <c r="S3540" t="inlineStr">
        <is>
          <t>29.95</t>
        </is>
      </c>
      <c r="T3540" t="inlineStr">
        <is>
          <t>CE8940</t>
        </is>
      </c>
    </row>
    <row r="3541" hidden="1" ht="15.75" customHeight="1">
      <c r="A3541" s="2">
        <f>HYPERLINK("https://www.soccerplususa.com/adidas/adidas-tabela-18-jersey-5116", "https://www.soccerplususa.com/adidas/adidas-tabela-18-jersey-5116")</f>
        <v/>
      </c>
      <c r="B3541" t="inlineStr">
        <is>
          <t>undefined</t>
        </is>
      </c>
      <c r="C3541" t="inlineStr">
        <is>
          <t>adidas Tabela 18 Jersey</t>
        </is>
      </c>
      <c r="D3541" t="inlineStr">
        <is>
          <t>adidas Youth Tabela 18 Jersey</t>
        </is>
      </c>
      <c r="E3541" s="2">
        <f>HYPERLINK("https://www.amazon.com/adidas-TABELA-Jersey-Y%E2%9D%97%EF%B8%8FShips-Directly/dp/B078LCB4LK/ref=sr_1_8?keywords=adidas+Tabela+18+Jersey&amp;qid=1695171247&amp;sr=8-8", "https://www.amazon.com/adidas-TABELA-Jersey-Y%E2%9D%97%EF%B8%8FShips-Directly/dp/B078LCB4LK/ref=sr_1_8?keywords=adidas+Tabela+18+Jersey&amp;qid=1695171247&amp;sr=8-8")</f>
        <v/>
      </c>
      <c r="F3541" t="inlineStr">
        <is>
          <t>B078LCB4LK</t>
        </is>
      </c>
      <c r="G3541">
        <f>_xludf.IMAGE("https://www.soccerplususa.com/prodimages//31725-YELLOW-M.jpg")</f>
        <v/>
      </c>
      <c r="H3541">
        <f>_xludf.IMAGE("https://m.media-amazon.com/images/I/61G-4wd3sCL._AC_UL320_.jpg")</f>
        <v/>
      </c>
      <c r="K3541" t="inlineStr">
        <is>
          <t>21.99</t>
        </is>
      </c>
      <c r="L3541" t="n">
        <v>19.99</v>
      </c>
      <c r="M3541" s="1" t="inlineStr">
        <is>
          <t>-9.10%</t>
        </is>
      </c>
      <c r="N3541" s="3" t="n">
        <v>-9.1</v>
      </c>
      <c r="O3541" t="n">
        <v>1.8</v>
      </c>
      <c r="P3541" t="n">
        <v>2</v>
      </c>
      <c r="R3541" t="inlineStr">
        <is>
          <t>InStock</t>
        </is>
      </c>
      <c r="S3541" t="inlineStr">
        <is>
          <t>29.95</t>
        </is>
      </c>
      <c r="T3541" t="inlineStr">
        <is>
          <t>CE8941</t>
        </is>
      </c>
    </row>
    <row r="3542" hidden="1" ht="15.75" customHeight="1">
      <c r="A3542" s="2">
        <f>HYPERLINK("https://www.soccerplususa.com/adidas/adidas-tabela-18-jersey-33808", "https://www.soccerplususa.com/adidas/adidas-tabela-18-jersey-33808")</f>
        <v/>
      </c>
      <c r="B3542" t="inlineStr">
        <is>
          <t>undefined</t>
        </is>
      </c>
      <c r="C3542" t="inlineStr">
        <is>
          <t>adidas Tabela 18 Jersey</t>
        </is>
      </c>
      <c r="D3542" t="inlineStr">
        <is>
          <t>adidas Youth Tabela 18 Jersey</t>
        </is>
      </c>
      <c r="E3542" s="2">
        <f>HYPERLINK("https://www.amazon.com/adidas-TABELA-Jersey-Y%E2%9D%97%EF%B8%8FShips-Directly/dp/B078LCB4LK/ref=sr_1_8?keywords=adidas+Tabela+18+Jersey&amp;qid=1695171170&amp;sr=8-8", "https://www.amazon.com/adidas-TABELA-Jersey-Y%E2%9D%97%EF%B8%8FShips-Directly/dp/B078LCB4LK/ref=sr_1_8?keywords=adidas+Tabela+18+Jersey&amp;qid=1695171170&amp;sr=8-8")</f>
        <v/>
      </c>
      <c r="F3542" t="inlineStr">
        <is>
          <t>B078LCB4LK</t>
        </is>
      </c>
      <c r="G3542">
        <f>_xludf.IMAGE("https://www.soccerplususa.com/prodimages//35356-REDWHITE-M.jpg")</f>
        <v/>
      </c>
      <c r="H3542">
        <f>_xludf.IMAGE("https://m.media-amazon.com/images/I/61G-4wd3sCL._AC_UL320_.jpg")</f>
        <v/>
      </c>
      <c r="K3542" t="inlineStr">
        <is>
          <t>21.99</t>
        </is>
      </c>
      <c r="L3542" t="n">
        <v>19.99</v>
      </c>
      <c r="M3542" s="1" t="inlineStr">
        <is>
          <t>-9.10%</t>
        </is>
      </c>
      <c r="N3542" s="3" t="n">
        <v>-9.1</v>
      </c>
      <c r="O3542" t="n">
        <v>1.8</v>
      </c>
      <c r="P3542" t="n">
        <v>2</v>
      </c>
      <c r="R3542" t="inlineStr">
        <is>
          <t>InStock</t>
        </is>
      </c>
      <c r="S3542" t="inlineStr">
        <is>
          <t>29.95</t>
        </is>
      </c>
      <c r="T3542" t="inlineStr">
        <is>
          <t>CE8935</t>
        </is>
      </c>
    </row>
    <row r="3543" hidden="1" ht="15.75" customHeight="1">
      <c r="A3543" s="2">
        <f>HYPERLINK("https://www.soccerplususa.com/adidas/adidas-condivo-18-training-jacket-5183", "https://www.soccerplususa.com/adidas/adidas-condivo-18-training-jacket-5183")</f>
        <v/>
      </c>
      <c r="B3543" t="inlineStr">
        <is>
          <t>undefined</t>
        </is>
      </c>
      <c r="C3543" t="inlineStr">
        <is>
          <t>adidas Condivo 18 Training Jacket</t>
        </is>
      </c>
      <c r="D3543" t="inlineStr">
        <is>
          <t>adidas Men's Condivo 18 Polyester Jacket</t>
        </is>
      </c>
      <c r="E3543" s="2">
        <f>HYPERLINK("https://www.amazon.com/adidas-Condivo-Jacket-Soccer-Blue-White/dp/B07BHKMJ6P/ref=sr_1_1?keywords=adidas+Condivo+18+Training+Jacket&amp;qid=1695171224&amp;sr=8-1", "https://www.amazon.com/adidas-Condivo-Jacket-Soccer-Blue-White/dp/B07BHKMJ6P/ref=sr_1_1?keywords=adidas+Condivo+18+Training+Jacket&amp;qid=1695171224&amp;sr=8-1")</f>
        <v/>
      </c>
      <c r="F3543" t="inlineStr">
        <is>
          <t>B07BHKMJ6P</t>
        </is>
      </c>
      <c r="G3543">
        <f>_xludf.IMAGE("https://www.soccerplususa.com/prodimages/5962-DEFAULT-l.jpg")</f>
        <v/>
      </c>
      <c r="H3543">
        <f>_xludf.IMAGE("https://m.media-amazon.com/images/I/71NXSEVNkdL._AC_UL320_.jpg")</f>
        <v/>
      </c>
      <c r="K3543" t="inlineStr">
        <is>
          <t>49.0</t>
        </is>
      </c>
      <c r="L3543" t="n">
        <v>44.45</v>
      </c>
      <c r="M3543" s="1" t="inlineStr">
        <is>
          <t>-9.29%</t>
        </is>
      </c>
      <c r="N3543" s="3" t="n">
        <v>-9.289999999999999</v>
      </c>
      <c r="O3543" t="n">
        <v>4.4</v>
      </c>
      <c r="P3543" t="n">
        <v>147</v>
      </c>
      <c r="R3543" t="inlineStr">
        <is>
          <t>InStock</t>
        </is>
      </c>
      <c r="S3543" t="inlineStr">
        <is>
          <t>64.95</t>
        </is>
      </c>
      <c r="T3543" t="inlineStr">
        <is>
          <t>CF4321</t>
        </is>
      </c>
    </row>
    <row r="3544" hidden="1" ht="15.75" customHeight="1">
      <c r="A3544" s="2">
        <f>HYPERLINK("https://www.soccerplususa.com/adidas/adidas-condivo-18-training-jacket-5184", "https://www.soccerplususa.com/adidas/adidas-condivo-18-training-jacket-5184")</f>
        <v/>
      </c>
      <c r="B3544" t="inlineStr">
        <is>
          <t>undefined</t>
        </is>
      </c>
      <c r="C3544" t="inlineStr">
        <is>
          <t>adidas Condivo 18 Training Jacket</t>
        </is>
      </c>
      <c r="D3544" t="inlineStr">
        <is>
          <t>adidas Men's Condivo 18 Polyester Jacket</t>
        </is>
      </c>
      <c r="E3544" s="2">
        <f>HYPERLINK("https://www.amazon.com/adidas-Condivo-Jacket-Soccer-Blue-White/dp/B07BHKMJ6P/ref=sr_1_1?keywords=adidas+Condivo+18+Training+Jacket&amp;qid=1695171221&amp;sr=8-1", "https://www.amazon.com/adidas-Condivo-Jacket-Soccer-Blue-White/dp/B07BHKMJ6P/ref=sr_1_1?keywords=adidas+Condivo+18+Training+Jacket&amp;qid=1695171221&amp;sr=8-1")</f>
        <v/>
      </c>
      <c r="F3544" t="inlineStr">
        <is>
          <t>B07BHKMJ6P</t>
        </is>
      </c>
      <c r="G3544">
        <f>_xludf.IMAGE("https://www.soccerplususa.com/prodimages/5963-DEFAULT-l.jpg")</f>
        <v/>
      </c>
      <c r="H3544">
        <f>_xludf.IMAGE("https://m.media-amazon.com/images/I/71NXSEVNkdL._AC_UL320_.jpg")</f>
        <v/>
      </c>
      <c r="K3544" t="inlineStr">
        <is>
          <t>49.0</t>
        </is>
      </c>
      <c r="L3544" t="n">
        <v>44.45</v>
      </c>
      <c r="M3544" s="1" t="inlineStr">
        <is>
          <t>-9.29%</t>
        </is>
      </c>
      <c r="N3544" s="3" t="n">
        <v>-9.289999999999999</v>
      </c>
      <c r="O3544" t="n">
        <v>4.4</v>
      </c>
      <c r="P3544" t="n">
        <v>147</v>
      </c>
      <c r="R3544" t="inlineStr">
        <is>
          <t>InStock</t>
        </is>
      </c>
      <c r="S3544" t="inlineStr">
        <is>
          <t>64.95</t>
        </is>
      </c>
      <c r="T3544" t="inlineStr">
        <is>
          <t>CF4322</t>
        </is>
      </c>
    </row>
    <row r="3545" hidden="1" ht="15.75" customHeight="1">
      <c r="A3545" s="2">
        <f>HYPERLINK("https://www.soccerplususa.com/adidas/adidas-condivo-18-training-jacket-5182", "https://www.soccerplususa.com/adidas/adidas-condivo-18-training-jacket-5182")</f>
        <v/>
      </c>
      <c r="B3545" t="inlineStr">
        <is>
          <t>undefined</t>
        </is>
      </c>
      <c r="C3545" t="inlineStr">
        <is>
          <t>adidas Condivo 18 Training Jacket</t>
        </is>
      </c>
      <c r="D3545" t="inlineStr">
        <is>
          <t>adidas Men's Condivo 18 Polyester Jacket</t>
        </is>
      </c>
      <c r="E3545" s="2">
        <f>HYPERLINK("https://www.amazon.com/adidas-Condivo-Jacket-Soccer-Blue-White/dp/B07BHKMJ6P/ref=sr_1_1?keywords=adidas+Condivo+18+Training+Jacket&amp;qid=1695171222&amp;sr=8-1", "https://www.amazon.com/adidas-Condivo-Jacket-Soccer-Blue-White/dp/B07BHKMJ6P/ref=sr_1_1?keywords=adidas+Condivo+18+Training+Jacket&amp;qid=1695171222&amp;sr=8-1")</f>
        <v/>
      </c>
      <c r="F3545" t="inlineStr">
        <is>
          <t>B07BHKMJ6P</t>
        </is>
      </c>
      <c r="G3545">
        <f>_xludf.IMAGE("https://www.soccerplususa.com/prodimages/5961-DEFAULT-l.jpg")</f>
        <v/>
      </c>
      <c r="H3545">
        <f>_xludf.IMAGE("https://m.media-amazon.com/images/I/71NXSEVNkdL._AC_UL320_.jpg")</f>
        <v/>
      </c>
      <c r="K3545" t="inlineStr">
        <is>
          <t>49.0</t>
        </is>
      </c>
      <c r="L3545" t="n">
        <v>44.45</v>
      </c>
      <c r="M3545" s="1" t="inlineStr">
        <is>
          <t>-9.29%</t>
        </is>
      </c>
      <c r="N3545" s="3" t="n">
        <v>-9.289999999999999</v>
      </c>
      <c r="O3545" t="n">
        <v>4.4</v>
      </c>
      <c r="P3545" t="n">
        <v>147</v>
      </c>
      <c r="R3545" t="inlineStr">
        <is>
          <t>InStock</t>
        </is>
      </c>
      <c r="S3545" t="inlineStr">
        <is>
          <t>64.95</t>
        </is>
      </c>
      <c r="T3545" t="inlineStr">
        <is>
          <t>CF4319</t>
        </is>
      </c>
    </row>
    <row r="3546" hidden="1" ht="15.75" customHeight="1">
      <c r="A3546" s="2">
        <f>HYPERLINK("https://www.soccerplususa.com/adidas/adidas-condivo-18-training-jacket-5185", "https://www.soccerplususa.com/adidas/adidas-condivo-18-training-jacket-5185")</f>
        <v/>
      </c>
      <c r="B3546" t="inlineStr">
        <is>
          <t>undefined</t>
        </is>
      </c>
      <c r="C3546" t="inlineStr">
        <is>
          <t>adidas Condivo 18 Training Jacket</t>
        </is>
      </c>
      <c r="D3546" t="inlineStr">
        <is>
          <t>adidas Men's Condivo 18 Polyester Jacket</t>
        </is>
      </c>
      <c r="E3546" s="2">
        <f>HYPERLINK("https://www.amazon.com/adidas-Condivo-Jacket-Soccer-Blue-White/dp/B07BHKMJ6P/ref=sr_1_1?keywords=adidas+Condivo+18+Training+Jacket&amp;qid=1695171252&amp;sr=8-1", "https://www.amazon.com/adidas-Condivo-Jacket-Soccer-Blue-White/dp/B07BHKMJ6P/ref=sr_1_1?keywords=adidas+Condivo+18+Training+Jacket&amp;qid=1695171252&amp;sr=8-1")</f>
        <v/>
      </c>
      <c r="F3546" t="inlineStr">
        <is>
          <t>B07BHKMJ6P</t>
        </is>
      </c>
      <c r="G3546">
        <f>_xludf.IMAGE("https://www.soccerplususa.com/prodimages/5960-DEFAULT-l.jpg")</f>
        <v/>
      </c>
      <c r="H3546">
        <f>_xludf.IMAGE("https://m.media-amazon.com/images/I/71NXSEVNkdL._AC_UL320_.jpg")</f>
        <v/>
      </c>
      <c r="K3546" t="inlineStr">
        <is>
          <t>49.0</t>
        </is>
      </c>
      <c r="L3546" t="n">
        <v>44.45</v>
      </c>
      <c r="M3546" s="1" t="inlineStr">
        <is>
          <t>-9.29%</t>
        </is>
      </c>
      <c r="N3546" s="3" t="n">
        <v>-9.289999999999999</v>
      </c>
      <c r="O3546" t="n">
        <v>4.4</v>
      </c>
      <c r="P3546" t="n">
        <v>147</v>
      </c>
      <c r="R3546" t="inlineStr">
        <is>
          <t>InStock</t>
        </is>
      </c>
      <c r="S3546" t="inlineStr">
        <is>
          <t>64.95</t>
        </is>
      </c>
      <c r="T3546" t="inlineStr">
        <is>
          <t>CF4325</t>
        </is>
      </c>
    </row>
    <row r="3547" hidden="1" ht="15.75" customHeight="1">
      <c r="A3547" s="2">
        <f>HYPERLINK("https://www.soccerplususa.com/adidas/adidas-tiro-21-track-jacket-womens-41184", "https://www.soccerplususa.com/adidas/adidas-tiro-21-track-jacket-womens-41184")</f>
        <v/>
      </c>
      <c r="B3547" t="inlineStr">
        <is>
          <t>undefined</t>
        </is>
      </c>
      <c r="C3547" t="inlineStr">
        <is>
          <t>adidas Tiro 21 Track Jacket Women's</t>
        </is>
      </c>
      <c r="D3547" t="inlineStr">
        <is>
          <t>adidas womens Tiro 21 Track Jacket Team Navy Blue X-Large</t>
        </is>
      </c>
      <c r="E3547" s="2">
        <f>HYPERLINK("https://www.amazon.com/adidas-Womens-Track-Jacket-X-Large/dp/B087C3GV8Y/ref=sr_1_10?keywords=adidas+Tiro+21+Track+Jacket+Women%27s&amp;qid=1695171150&amp;sr=8-10", "https://www.amazon.com/adidas-Womens-Track-Jacket-X-Large/dp/B087C3GV8Y/ref=sr_1_10?keywords=adidas+Tiro+21+Track+Jacket+Women%27s&amp;qid=1695171150&amp;sr=8-10")</f>
        <v/>
      </c>
      <c r="F3547" t="inlineStr">
        <is>
          <t>B087C3GV8Y</t>
        </is>
      </c>
      <c r="G3547">
        <f>_xludf.IMAGE("https://www.soccerplususa.com/prodimages//36136-BLACKWHITE-M.jpg")</f>
        <v/>
      </c>
      <c r="H3547">
        <f>_xludf.IMAGE("https://m.media-amazon.com/images/I/51lXSCfKOYL._AC_UL320_.jpg")</f>
        <v/>
      </c>
      <c r="K3547" t="inlineStr">
        <is>
          <t>50.0</t>
        </is>
      </c>
      <c r="L3547" t="n">
        <v>45.25</v>
      </c>
      <c r="M3547" s="1" t="inlineStr">
        <is>
          <t>-9.50%</t>
        </is>
      </c>
      <c r="N3547" s="3" t="n">
        <v>-9.5</v>
      </c>
      <c r="O3547" t="n">
        <v>4.4</v>
      </c>
      <c r="P3547" t="n">
        <v>61</v>
      </c>
      <c r="R3547" t="inlineStr">
        <is>
          <t>InStock</t>
        </is>
      </c>
      <c r="S3547" t="inlineStr">
        <is>
          <t>undefined</t>
        </is>
      </c>
      <c r="T3547" t="inlineStr">
        <is>
          <t>GM7307</t>
        </is>
      </c>
    </row>
    <row r="3548" hidden="1" ht="15.75" customHeight="1">
      <c r="A3548" s="2">
        <f>HYPERLINK("https://www.soccerplususa.com/puma/puma-liga-training-jacket-youth-35521", "https://www.soccerplususa.com/puma/puma-liga-training-jacket-youth-35521")</f>
        <v/>
      </c>
      <c r="B3548" t="inlineStr">
        <is>
          <t>undefined</t>
        </is>
      </c>
      <c r="C3548" t="inlineStr">
        <is>
          <t>Puma Liga Training Jacket Youth</t>
        </is>
      </c>
      <c r="D3548" t="inlineStr">
        <is>
          <t>PUMA Men's Standard Team Liga Training Jacket</t>
        </is>
      </c>
      <c r="E3548" s="2">
        <f>HYPERLINK("https://www.amazon.com/PUMA-TeamLIGA-Training-Jacket-Black/dp/B091DCVWN9/ref=sr_1_6?keywords=Puma+Liga+Training+Jacket+Youth&amp;qid=1695171158&amp;sr=8-6", "https://www.amazon.com/PUMA-TeamLIGA-Training-Jacket-Black/dp/B091DCVWN9/ref=sr_1_6?keywords=Puma+Liga+Training+Jacket+Youth&amp;qid=1695171158&amp;sr=8-6")</f>
        <v/>
      </c>
      <c r="F3548" t="inlineStr">
        <is>
          <t>B091DCVWN9</t>
        </is>
      </c>
      <c r="G3548">
        <f>_xludf.IMAGE("https://www.soccerplususa.com/prodimages/32219-DEFAULT-l.jpg")</f>
        <v/>
      </c>
      <c r="H3548">
        <f>_xludf.IMAGE("https://m.media-amazon.com/images/I/71-29QBQXmS._AC_UL320_.jpg")</f>
        <v/>
      </c>
      <c r="K3548" t="inlineStr">
        <is>
          <t>45.0</t>
        </is>
      </c>
      <c r="L3548" t="n">
        <v>40.7</v>
      </c>
      <c r="M3548" s="1" t="inlineStr">
        <is>
          <t>-9.56%</t>
        </is>
      </c>
      <c r="N3548" s="3" t="n">
        <v>-9.56</v>
      </c>
      <c r="O3548" t="n">
        <v>4.7</v>
      </c>
      <c r="P3548" t="n">
        <v>9</v>
      </c>
      <c r="R3548" t="inlineStr">
        <is>
          <t>InStock</t>
        </is>
      </c>
      <c r="S3548" t="inlineStr">
        <is>
          <t>59.95</t>
        </is>
      </c>
      <c r="T3548" t="inlineStr">
        <is>
          <t>655688-02</t>
        </is>
      </c>
    </row>
    <row r="3549" hidden="1" ht="15.75" customHeight="1">
      <c r="A3549" s="2">
        <f>HYPERLINK("https://www.soccerplususa.com/under-armour/under-armour-coldgear-armour-fitted-mock-youth-41593", "https://www.soccerplususa.com/under-armour/under-armour-coldgear-armour-fitted-mock-youth-41593")</f>
        <v/>
      </c>
      <c r="B3549" t="inlineStr">
        <is>
          <t>undefined</t>
        </is>
      </c>
      <c r="C3549" t="inlineStr">
        <is>
          <t>Under Armour ColdGear Armour Fitted Mock Youth</t>
        </is>
      </c>
      <c r="D3549" t="inlineStr">
        <is>
          <t>Under Armour Men's ColdGear Fitted Mock Long-Sleeve T-Shirt</t>
        </is>
      </c>
      <c r="E3549" s="2">
        <f>HYPERLINK("https://www.amazon.com/Under-Armour-ColdGear-Fitted-XX-Large/dp/B077XMF8P4/ref=sr_1_4?keywords=Under+Armour+ColdGear+Armour+Fitted+Mock+Youth&amp;qid=1695171155&amp;sr=8-4", "https://www.amazon.com/Under-Armour-ColdGear-Fitted-XX-Large/dp/B077XMF8P4/ref=sr_1_4?keywords=Under+Armour+ColdGear+Armour+Fitted+Mock+Youth&amp;qid=1695171155&amp;sr=8-4")</f>
        <v/>
      </c>
      <c r="F3549" t="inlineStr">
        <is>
          <t>B077XMF8P4</t>
        </is>
      </c>
      <c r="G3549">
        <f>_xludf.IMAGE("https://www.soccerplususa.com/prodimages//36054-BLACK-M.jpg")</f>
        <v/>
      </c>
      <c r="H3549">
        <f>_xludf.IMAGE("https://m.media-amazon.com/images/I/91recmI-P1L._AC_UL320_.jpg")</f>
        <v/>
      </c>
      <c r="K3549" t="inlineStr">
        <is>
          <t>39.95</t>
        </is>
      </c>
      <c r="L3549" t="n">
        <v>36.13</v>
      </c>
      <c r="M3549" s="1" t="inlineStr">
        <is>
          <t>-9.56%</t>
        </is>
      </c>
      <c r="N3549" s="3" t="n">
        <v>-9.56</v>
      </c>
      <c r="O3549" t="n">
        <v>4.8</v>
      </c>
      <c r="P3549" t="n">
        <v>2969</v>
      </c>
      <c r="R3549" t="inlineStr">
        <is>
          <t>InStock</t>
        </is>
      </c>
      <c r="S3549" t="inlineStr">
        <is>
          <t>undefined</t>
        </is>
      </c>
      <c r="T3549" t="inlineStr">
        <is>
          <t>1366373-001</t>
        </is>
      </c>
    </row>
    <row r="3550" hidden="1" ht="15.75" customHeight="1">
      <c r="A3550" s="2">
        <f>HYPERLINK("https://www.soccerplususa.com/under-armour/under-armour-coldgear-armour-fitted-mock-youth-41594", "https://www.soccerplususa.com/under-armour/under-armour-coldgear-armour-fitted-mock-youth-41594")</f>
        <v/>
      </c>
      <c r="B3550" t="inlineStr">
        <is>
          <t>undefined</t>
        </is>
      </c>
      <c r="C3550" t="inlineStr">
        <is>
          <t>Under Armour ColdGear Armour Fitted Mock Youth</t>
        </is>
      </c>
      <c r="D3550" t="inlineStr">
        <is>
          <t>Under Armour Men's ColdGear Fitted Mock Long-Sleeve T-Shirt</t>
        </is>
      </c>
      <c r="E3550" s="2">
        <f>HYPERLINK("https://www.amazon.com/Under-Armour-ColdGear-Fitted-XX-Large/dp/B077XMF8P4/ref=sr_1_8?keywords=Under+Armour+ColdGear+Armour+Fitted+Mock+Youth&amp;qid=1695171149&amp;sr=8-8", "https://www.amazon.com/Under-Armour-ColdGear-Fitted-XX-Large/dp/B077XMF8P4/ref=sr_1_8?keywords=Under+Armour+ColdGear+Armour+Fitted+Mock+Youth&amp;qid=1695171149&amp;sr=8-8")</f>
        <v/>
      </c>
      <c r="F3550" t="inlineStr">
        <is>
          <t>B077XMF8P4</t>
        </is>
      </c>
      <c r="G3550">
        <f>_xludf.IMAGE("https://www.soccerplususa.com/prodimages//36053-WHITE-M.jpg")</f>
        <v/>
      </c>
      <c r="H3550">
        <f>_xludf.IMAGE("https://m.media-amazon.com/images/I/91recmI-P1L._AC_UL320_.jpg")</f>
        <v/>
      </c>
      <c r="K3550" t="inlineStr">
        <is>
          <t>39.95</t>
        </is>
      </c>
      <c r="L3550" t="n">
        <v>36.13</v>
      </c>
      <c r="M3550" s="1" t="inlineStr">
        <is>
          <t>-9.56%</t>
        </is>
      </c>
      <c r="N3550" s="3" t="n">
        <v>-9.56</v>
      </c>
      <c r="O3550" t="n">
        <v>4.8</v>
      </c>
      <c r="P3550" t="n">
        <v>2969</v>
      </c>
      <c r="R3550" t="inlineStr">
        <is>
          <t>InStock</t>
        </is>
      </c>
      <c r="S3550" t="inlineStr">
        <is>
          <t>undefined</t>
        </is>
      </c>
      <c r="T3550" t="inlineStr">
        <is>
          <t>1366373-100</t>
        </is>
      </c>
    </row>
    <row r="3551" hidden="1" ht="15.75" customHeight="1">
      <c r="A3551" s="2">
        <f>HYPERLINK("https://www.soccerplususa.com/nike/nike-academy-drill-top-youth-43256", "https://www.soccerplususa.com/nike/nike-academy-drill-top-youth-43256")</f>
        <v/>
      </c>
      <c r="B3551" t="inlineStr">
        <is>
          <t>undefined</t>
        </is>
      </c>
      <c r="C3551" t="inlineStr">
        <is>
          <t>Nike Academy Drill Top Youth</t>
        </is>
      </c>
      <c r="D3551" t="inlineStr">
        <is>
          <t>Nike Kids' Academy Drill Top</t>
        </is>
      </c>
      <c r="E3551" s="2">
        <f>HYPERLINK("https://www.amazon.com/Nike-Kids-Academy-Drill-Yellow/dp/B079JZK1KF/ref=sr_1_9?keywords=Nike+Academy+Drill+Top+Youth&amp;qid=1695171160&amp;sr=8-9", "https://www.amazon.com/Nike-Kids-Academy-Drill-Yellow/dp/B079JZK1KF/ref=sr_1_9?keywords=Nike+Academy+Drill+Top+Youth&amp;qid=1695171160&amp;sr=8-9")</f>
        <v/>
      </c>
      <c r="F3551" t="inlineStr">
        <is>
          <t>B079JZK1KF</t>
        </is>
      </c>
      <c r="G3551">
        <f>_xludf.IMAGE("https://www.soccerplususa.com/prodimages//35431-BLACKWHITE-M.jpg")</f>
        <v/>
      </c>
      <c r="H3551">
        <f>_xludf.IMAGE("https://m.media-amazon.com/images/I/81joJC2y4VL._AC_UL320_.jpg")</f>
        <v/>
      </c>
      <c r="K3551" t="inlineStr">
        <is>
          <t>49.95</t>
        </is>
      </c>
      <c r="L3551" t="n">
        <v>45</v>
      </c>
      <c r="M3551" s="1" t="inlineStr">
        <is>
          <t>-9.91%</t>
        </is>
      </c>
      <c r="N3551" s="3" t="n">
        <v>-9.91</v>
      </c>
      <c r="O3551" t="n">
        <v>3</v>
      </c>
      <c r="P3551" t="n">
        <v>3</v>
      </c>
      <c r="R3551" t="inlineStr">
        <is>
          <t>InStock</t>
        </is>
      </c>
      <c r="S3551" t="inlineStr">
        <is>
          <t>undefined</t>
        </is>
      </c>
      <c r="T3551" t="inlineStr">
        <is>
          <t>CW6112-010</t>
        </is>
      </c>
    </row>
    <row r="3552" hidden="1" ht="15.75" customHeight="1">
      <c r="A3552" s="2">
        <f>HYPERLINK("https://www.soccerplususa.com/puma/puma-liga-hooped-jersey-35526", "https://www.soccerplususa.com/puma/puma-liga-hooped-jersey-35526")</f>
        <v/>
      </c>
      <c r="B3552" t="inlineStr">
        <is>
          <t>undefined</t>
        </is>
      </c>
      <c r="C3552" t="inlineStr">
        <is>
          <t>Puma Liga Hooped Jersey</t>
        </is>
      </c>
      <c r="D3552" t="inlineStr">
        <is>
          <t>womens Liga Training Jersey, Electric Blue Lemonadepuma White, Large US</t>
        </is>
      </c>
      <c r="E3552" s="2">
        <f>HYPERLINK("https://www.amazon.com/PUMA-Womens-Training-Electric-Lemonadepuma/dp/B07KWQDQVZ/ref=sr_1_7?keywords=Puma+Liga+Hooped+Jersey&amp;qid=1695171162&amp;sr=8-7", "https://www.amazon.com/PUMA-Womens-Training-Electric-Lemonadepuma/dp/B07KWQDQVZ/ref=sr_1_7?keywords=Puma+Liga+Hooped+Jersey&amp;qid=1695171162&amp;sr=8-7")</f>
        <v/>
      </c>
      <c r="F3552" t="inlineStr">
        <is>
          <t>B07KWQDQVZ</t>
        </is>
      </c>
      <c r="G3552">
        <f>_xludf.IMAGE("https://www.soccerplususa.com/prodimages/32667-DEFAULT-l.jpg")</f>
        <v/>
      </c>
      <c r="H3552">
        <f>_xludf.IMAGE("https://m.media-amazon.com/images/I/81ycC-g8l+L._AC_UL320_.jpg")</f>
        <v/>
      </c>
      <c r="K3552" t="inlineStr">
        <is>
          <t>30.0</t>
        </is>
      </c>
      <c r="L3552" t="n">
        <v>27</v>
      </c>
      <c r="M3552" s="1" t="inlineStr">
        <is>
          <t>-10.00%</t>
        </is>
      </c>
      <c r="N3552" s="3" t="n">
        <v>-10</v>
      </c>
      <c r="O3552" t="n">
        <v>4.7</v>
      </c>
      <c r="P3552" t="n">
        <v>14</v>
      </c>
      <c r="R3552" t="inlineStr">
        <is>
          <t>InStock</t>
        </is>
      </c>
      <c r="S3552" t="inlineStr">
        <is>
          <t>39.95</t>
        </is>
      </c>
      <c r="T3552" t="inlineStr">
        <is>
          <t>703422-02</t>
        </is>
      </c>
    </row>
    <row r="3553" hidden="1" ht="15.75" customHeight="1">
      <c r="A3553" s="2">
        <f>HYPERLINK("https://www.soccerplususa.com/adidas/adidas-regista-14-jersey-youth-6073", "https://www.soccerplususa.com/adidas/adidas-regista-14-jersey-youth-6073")</f>
        <v/>
      </c>
      <c r="B3553" t="inlineStr">
        <is>
          <t>undefined</t>
        </is>
      </c>
      <c r="C3553" t="inlineStr">
        <is>
          <t>adidas Regista 14 Jersey Youth</t>
        </is>
      </c>
      <c r="D3553" t="inlineStr">
        <is>
          <t>adidas Youth Climacool Regista 14 Short</t>
        </is>
      </c>
      <c r="E3553" s="2">
        <f>HYPERLINK("https://www.amazon.com/adidas-Youth-Climacool-Regista-Short/dp/B00J2H9Q66/ref=sr_1_2?keywords=adidas+Regista+14+Jersey+Youth&amp;qid=1695171211&amp;sr=8-2", "https://www.amazon.com/adidas-Youth-Climacool-Regista-Short/dp/B00J2H9Q66/ref=sr_1_2?keywords=adidas+Regista+14+Jersey+Youth&amp;qid=1695171211&amp;sr=8-2")</f>
        <v/>
      </c>
      <c r="F3553" t="inlineStr">
        <is>
          <t>B00J2H9Q66</t>
        </is>
      </c>
      <c r="G3553">
        <f>_xludf.IMAGE("https://www.soccerplususa.com/prodimages/32794-DEFAULT-l.jpg")</f>
        <v/>
      </c>
      <c r="H3553">
        <f>_xludf.IMAGE("https://m.media-amazon.com/images/I/61bLgzIFgZL._AC_UL320_.jpg")</f>
        <v/>
      </c>
      <c r="K3553" t="inlineStr">
        <is>
          <t>20.0</t>
        </is>
      </c>
      <c r="L3553" t="n">
        <v>17.99</v>
      </c>
      <c r="M3553" s="1" t="inlineStr">
        <is>
          <t>-10.05%</t>
        </is>
      </c>
      <c r="N3553" s="3" t="n">
        <v>-10.05</v>
      </c>
      <c r="O3553" t="n">
        <v>3.5</v>
      </c>
      <c r="P3553" t="n">
        <v>3</v>
      </c>
      <c r="R3553" t="inlineStr">
        <is>
          <t>InStock</t>
        </is>
      </c>
      <c r="S3553" t="inlineStr">
        <is>
          <t>39.95</t>
        </is>
      </c>
      <c r="T3553" t="inlineStr">
        <is>
          <t>F50035</t>
        </is>
      </c>
    </row>
    <row r="3554" hidden="1" ht="15.75" customHeight="1">
      <c r="A3554" s="2">
        <f>HYPERLINK("https://www.soccerplususa.com/adidas/adidas-regista-14-jersey-youth-6072", "https://www.soccerplususa.com/adidas/adidas-regista-14-jersey-youth-6072")</f>
        <v/>
      </c>
      <c r="B3554" t="inlineStr">
        <is>
          <t>undefined</t>
        </is>
      </c>
      <c r="C3554" t="inlineStr">
        <is>
          <t>adidas Regista 14 Jersey Youth</t>
        </is>
      </c>
      <c r="D3554" t="inlineStr">
        <is>
          <t>adidas Youth Climacool Regista 14 Short</t>
        </is>
      </c>
      <c r="E3554" s="2">
        <f>HYPERLINK("https://www.amazon.com/adidas-Youth-Climacool-Regista-Short/dp/B00J2H9Q66/ref=sr_1_2?keywords=adidas+Regista+14+Jersey+Youth&amp;qid=1695171215&amp;sr=8-2", "https://www.amazon.com/adidas-Youth-Climacool-Regista-Short/dp/B00J2H9Q66/ref=sr_1_2?keywords=adidas+Regista+14+Jersey+Youth&amp;qid=1695171215&amp;sr=8-2")</f>
        <v/>
      </c>
      <c r="F3554" t="inlineStr">
        <is>
          <t>B00J2H9Q66</t>
        </is>
      </c>
      <c r="G3554">
        <f>_xludf.IMAGE("https://www.soccerplususa.com/prodimages/31720-DEFAULT-l.jpg")</f>
        <v/>
      </c>
      <c r="H3554">
        <f>_xludf.IMAGE("https://m.media-amazon.com/images/I/61bLgzIFgZL._AC_UL320_.jpg")</f>
        <v/>
      </c>
      <c r="K3554" t="inlineStr">
        <is>
          <t>20.0</t>
        </is>
      </c>
      <c r="L3554" t="n">
        <v>17.99</v>
      </c>
      <c r="M3554" s="1" t="inlineStr">
        <is>
          <t>-10.05%</t>
        </is>
      </c>
      <c r="N3554" s="3" t="n">
        <v>-10.05</v>
      </c>
      <c r="O3554" t="n">
        <v>3.5</v>
      </c>
      <c r="P3554" t="n">
        <v>3</v>
      </c>
      <c r="R3554" t="inlineStr">
        <is>
          <t>InStock</t>
        </is>
      </c>
      <c r="S3554" t="inlineStr">
        <is>
          <t>39.95</t>
        </is>
      </c>
      <c r="T3554" t="inlineStr">
        <is>
          <t>F50034</t>
        </is>
      </c>
    </row>
    <row r="3555" hidden="1" ht="15.75" customHeight="1">
      <c r="A3555" s="2">
        <f>HYPERLINK("https://www.soccerplususa.com/adidas/adidas-regista-14-jersey-youth-6677", "https://www.soccerplususa.com/adidas/adidas-regista-14-jersey-youth-6677")</f>
        <v/>
      </c>
      <c r="B3555" t="inlineStr">
        <is>
          <t>undefined</t>
        </is>
      </c>
      <c r="C3555" t="inlineStr">
        <is>
          <t>adidas Regista 14 Jersey Youth</t>
        </is>
      </c>
      <c r="D3555" t="inlineStr">
        <is>
          <t>adidas Youth Climacool Regista 14 Short</t>
        </is>
      </c>
      <c r="E3555" s="2">
        <f>HYPERLINK("https://www.amazon.com/adidas-Youth-Climacool-Regista-Short/dp/B00J2H9Q66/ref=sr_1_2?keywords=adidas+Regista+14+Jersey+Youth&amp;qid=1695171214&amp;sr=8-2", "https://www.amazon.com/adidas-Youth-Climacool-Regista-Short/dp/B00J2H9Q66/ref=sr_1_2?keywords=adidas+Regista+14+Jersey+Youth&amp;qid=1695171214&amp;sr=8-2")</f>
        <v/>
      </c>
      <c r="F3555" t="inlineStr">
        <is>
          <t>B00J2H9Q66</t>
        </is>
      </c>
      <c r="G3555">
        <f>_xludf.IMAGE("https://www.soccerplususa.com/prodimages/32791-DEFAULT-l.jpg")</f>
        <v/>
      </c>
      <c r="H3555">
        <f>_xludf.IMAGE("https://m.media-amazon.com/images/I/61bLgzIFgZL._AC_UL320_.jpg")</f>
        <v/>
      </c>
      <c r="K3555" t="inlineStr">
        <is>
          <t>20.0</t>
        </is>
      </c>
      <c r="L3555" t="n">
        <v>17.99</v>
      </c>
      <c r="M3555" s="1" t="inlineStr">
        <is>
          <t>-10.05%</t>
        </is>
      </c>
      <c r="N3555" s="3" t="n">
        <v>-10.05</v>
      </c>
      <c r="O3555" t="n">
        <v>3.5</v>
      </c>
      <c r="P3555" t="n">
        <v>3</v>
      </c>
      <c r="R3555" t="inlineStr">
        <is>
          <t>InStock</t>
        </is>
      </c>
      <c r="S3555" t="inlineStr">
        <is>
          <t>39.95</t>
        </is>
      </c>
      <c r="T3555" t="inlineStr">
        <is>
          <t>G70837</t>
        </is>
      </c>
    </row>
    <row r="3556" hidden="1" ht="15.75" customHeight="1">
      <c r="A3556" s="2">
        <f>HYPERLINK("https://www.soccerplususa.com/puma/puma-teamgoal-23-casuals-hoody-40903", "https://www.soccerplususa.com/puma/puma-teamgoal-23-casuals-hoody-40903")</f>
        <v/>
      </c>
      <c r="B3556" t="inlineStr">
        <is>
          <t>undefined</t>
        </is>
      </c>
      <c r="C3556" t="inlineStr">
        <is>
          <t>Puma TeamGoal 23 Casuals Hoody</t>
        </is>
      </c>
      <c r="D3556" t="inlineStr">
        <is>
          <t>PUMA Kids' Youth Teamgoal 23 Casuals Hoodie</t>
        </is>
      </c>
      <c r="E3556" s="2">
        <f>HYPERLINK("https://www.amazon.com/PUMA-TEAMGOAL-Casuals-Hoody-White/dp/B084ZXFK9F/ref=sr_1_2?keywords=Puma+TeamGoal+23+Casuals+Hoody&amp;qid=1695171152&amp;sr=8-2", "https://www.amazon.com/PUMA-TEAMGOAL-Casuals-Hoody-White/dp/B084ZXFK9F/ref=sr_1_2?keywords=Puma+TeamGoal+23+Casuals+Hoody&amp;qid=1695171152&amp;sr=8-2")</f>
        <v/>
      </c>
      <c r="F3556" t="inlineStr">
        <is>
          <t>B084ZXFK9F</t>
        </is>
      </c>
      <c r="G3556">
        <f>_xludf.IMAGE("https://www.soccerplususa.com/prodimages//35868-GREY-M.jpg")</f>
        <v/>
      </c>
      <c r="H3556">
        <f>_xludf.IMAGE("https://m.media-amazon.com/images/I/81F6IUdtAaL._AC_UL320_.jpg")</f>
        <v/>
      </c>
      <c r="K3556" t="inlineStr">
        <is>
          <t>54.95</t>
        </is>
      </c>
      <c r="L3556" t="n">
        <v>48.94</v>
      </c>
      <c r="M3556" s="1" t="inlineStr">
        <is>
          <t>-10.94%</t>
        </is>
      </c>
      <c r="N3556" s="3" t="n">
        <v>-10.94</v>
      </c>
      <c r="O3556" t="n">
        <v>5</v>
      </c>
      <c r="P3556" t="n">
        <v>1</v>
      </c>
      <c r="R3556" t="inlineStr">
        <is>
          <t>InStock</t>
        </is>
      </c>
      <c r="S3556" t="inlineStr">
        <is>
          <t>undefined</t>
        </is>
      </c>
      <c r="T3556" t="inlineStr">
        <is>
          <t>656580-33</t>
        </is>
      </c>
    </row>
    <row r="3557" hidden="1" ht="15.75" customHeight="1">
      <c r="A3557" s="2">
        <f>HYPERLINK("https://www.soccerplususa.com/storelli-sports/storelli-bodyshield-sleeveless-undershirt-32102", "https://www.soccerplususa.com/storelli-sports/storelli-bodyshield-sleeveless-undershirt-32102")</f>
        <v/>
      </c>
      <c r="B3557" t="inlineStr">
        <is>
          <t>undefined</t>
        </is>
      </c>
      <c r="C3557" t="inlineStr">
        <is>
          <t>Storelli BodyShield Sleeveless Undershirt</t>
        </is>
      </c>
      <c r="D3557" t="inlineStr">
        <is>
          <t>Storelli BodyShield Sleeveless Undershirt | Protective Soccer Base Layer | Lightweight Compression Top</t>
        </is>
      </c>
      <c r="E3557" s="2">
        <f>HYPERLINK("https://www.amazon.com/Storelli-BSFPTOPNSBKL-BodyShield-Sleeveless-Undershirt/dp/B00N4VY78I/ref=sr_1_fkmr2_2?keywords=Storelli+BodyShield+Sleeveless+Undershirt&amp;qid=1695171181&amp;sr=8-2-fkmr2", "https://www.amazon.com/Storelli-BSFPTOPNSBKL-BodyShield-Sleeveless-Undershirt/dp/B00N4VY78I/ref=sr_1_fkmr2_2?keywords=Storelli+BodyShield+Sleeveless+Undershirt&amp;qid=1695171181&amp;sr=8-2-fkmr2")</f>
        <v/>
      </c>
      <c r="F3557" t="inlineStr">
        <is>
          <t>B00N4VY78I</t>
        </is>
      </c>
      <c r="G3557">
        <f>_xludf.IMAGE("https://www.soccerplususa.com/prodimages/2096-DEFAULT-l.jpg")</f>
        <v/>
      </c>
      <c r="H3557">
        <f>_xludf.IMAGE("https://m.media-amazon.com/images/I/61vj2u7ThmL._AC_UL320_.jpg")</f>
        <v/>
      </c>
      <c r="K3557" t="inlineStr">
        <is>
          <t>59.95</t>
        </is>
      </c>
      <c r="L3557" t="n">
        <v>53.35</v>
      </c>
      <c r="M3557" s="1" t="inlineStr">
        <is>
          <t>-11.01%</t>
        </is>
      </c>
      <c r="N3557" s="3" t="n">
        <v>-11.01</v>
      </c>
      <c r="O3557" t="n">
        <v>4.4</v>
      </c>
      <c r="P3557" t="n">
        <v>9</v>
      </c>
      <c r="R3557" t="inlineStr">
        <is>
          <t>InStock</t>
        </is>
      </c>
      <c r="S3557" t="inlineStr">
        <is>
          <t>undefined</t>
        </is>
      </c>
      <c r="T3557" t="inlineStr">
        <is>
          <t>BSFPTOPNSBK</t>
        </is>
      </c>
    </row>
    <row r="3558" hidden="1" ht="15.75" customHeight="1">
      <c r="A3558" s="2">
        <f>HYPERLINK("https://www.soccerplususa.com/nike/nike-park-18-rain-jacket-youth-36896", "https://www.soccerplususa.com/nike/nike-park-18-rain-jacket-youth-36896")</f>
        <v/>
      </c>
      <c r="B3558" t="inlineStr">
        <is>
          <t>undefined</t>
        </is>
      </c>
      <c r="C3558" t="inlineStr">
        <is>
          <t>Nike Park 18 Rain Jacket Youth</t>
        </is>
      </c>
      <c r="D3558" t="inlineStr">
        <is>
          <t>Nike Youth Park 18 Track Jacket Black/White</t>
        </is>
      </c>
      <c r="E3558" s="2">
        <f>HYPERLINK("https://www.amazon.com/NIKE-Youth-Track-Jacket-Black/dp/B0797PXVVG/ref=sr_1_1?keywords=Nike+Park+18+Rain+Jacket+Youth&amp;qid=1695171172&amp;sr=8-1", "https://www.amazon.com/NIKE-Youth-Track-Jacket-Black/dp/B0797PXVVG/ref=sr_1_1?keywords=Nike+Park+18+Rain+Jacket+Youth&amp;qid=1695171172&amp;sr=8-1")</f>
        <v/>
      </c>
      <c r="F3558" t="inlineStr">
        <is>
          <t>B0797PXVVG</t>
        </is>
      </c>
      <c r="G3558">
        <f>_xludf.IMAGE("https://www.soccerplususa.com/prodimages/9220-DEFAULT-l.jpg")</f>
        <v/>
      </c>
      <c r="H3558">
        <f>_xludf.IMAGE("https://m.media-amazon.com/images/I/51SdFrsYTDL._AC_UL320_.jpg")</f>
        <v/>
      </c>
      <c r="K3558" t="inlineStr">
        <is>
          <t>44.95</t>
        </is>
      </c>
      <c r="L3558" t="n">
        <v>39.99</v>
      </c>
      <c r="M3558" s="1" t="inlineStr">
        <is>
          <t>-11.03%</t>
        </is>
      </c>
      <c r="N3558" s="3" t="n">
        <v>-11.03</v>
      </c>
      <c r="O3558" t="n">
        <v>4.3</v>
      </c>
      <c r="P3558" t="n">
        <v>52</v>
      </c>
      <c r="R3558" t="inlineStr">
        <is>
          <t>InStock</t>
        </is>
      </c>
      <c r="S3558" t="inlineStr">
        <is>
          <t>undefined</t>
        </is>
      </c>
      <c r="T3558" t="inlineStr">
        <is>
          <t>AA2091-010</t>
        </is>
      </c>
    </row>
    <row r="3559" hidden="1" ht="15.75" customHeight="1">
      <c r="A3559" s="2">
        <f>HYPERLINK("https://www.soccerplususa.com/adidas/adidas-tiro-19-training-jacket-youth-33858", "https://www.soccerplususa.com/adidas/adidas-tiro-19-training-jacket-youth-33858")</f>
        <v/>
      </c>
      <c r="B3559" t="inlineStr">
        <is>
          <t>undefined</t>
        </is>
      </c>
      <c r="C3559" t="inlineStr">
        <is>
          <t>adidas Tiro 19 Training Jacket Youth</t>
        </is>
      </c>
      <c r="D3559" t="inlineStr">
        <is>
          <t>adidas Tiro 19 Adult Training Jacket (TIRO19-JACKET)</t>
        </is>
      </c>
      <c r="E3559" s="2">
        <f>HYPERLINK("https://www.amazon.com/adidas-Tiro-19-Training-Jacket/dp/B07H4K7W3R/ref=sr_1_1?keywords=adidas+Tiro+19+Training+Jacket+Youth&amp;qid=1695171168&amp;sr=8-1", "https://www.amazon.com/adidas-Tiro-19-Training-Jacket/dp/B07H4K7W3R/ref=sr_1_1?keywords=adidas+Tiro+19+Training+Jacket+Youth&amp;qid=1695171168&amp;sr=8-1")</f>
        <v/>
      </c>
      <c r="F3559" t="inlineStr">
        <is>
          <t>B07H4K7W3R</t>
        </is>
      </c>
      <c r="G3559">
        <f>_xludf.IMAGE("https://www.soccerplususa.com/prodimages/8020-DEFAULT-l.jpg")</f>
        <v/>
      </c>
      <c r="H3559">
        <f>_xludf.IMAGE("https://m.media-amazon.com/images/I/61B-SrRhcAL._AC_UL320_.jpg")</f>
        <v/>
      </c>
      <c r="K3559" t="inlineStr">
        <is>
          <t>45.0</t>
        </is>
      </c>
      <c r="L3559" t="n">
        <v>39.95</v>
      </c>
      <c r="M3559" s="1" t="inlineStr">
        <is>
          <t>-11.22%</t>
        </is>
      </c>
      <c r="N3559" s="3" t="n">
        <v>-11.22</v>
      </c>
      <c r="O3559" t="n">
        <v>4.7</v>
      </c>
      <c r="P3559" t="n">
        <v>1515</v>
      </c>
      <c r="R3559" t="inlineStr">
        <is>
          <t>InStock</t>
        </is>
      </c>
      <c r="S3559" t="inlineStr">
        <is>
          <t>59.95</t>
        </is>
      </c>
      <c r="T3559" t="inlineStr">
        <is>
          <t>D95922</t>
        </is>
      </c>
    </row>
    <row r="3560" hidden="1" ht="15.75" customHeight="1">
      <c r="A3560" s="2">
        <f>HYPERLINK("https://www.soccerplususa.com/adidas/adidas-tiro-19-training-jacket-youth-33998", "https://www.soccerplususa.com/adidas/adidas-tiro-19-training-jacket-youth-33998")</f>
        <v/>
      </c>
      <c r="B3560" t="inlineStr">
        <is>
          <t>undefined</t>
        </is>
      </c>
      <c r="C3560" t="inlineStr">
        <is>
          <t>adidas Tiro 19 Training Jacket Youth</t>
        </is>
      </c>
      <c r="D3560" t="inlineStr">
        <is>
          <t>adidas Tiro 19 Adult Training Jacket (TIRO19-JACKET)</t>
        </is>
      </c>
      <c r="E3560" s="2">
        <f>HYPERLINK("https://www.amazon.com/adidas-Tiro-19-Training-Jacket/dp/B07H4K7W3R/ref=sr_1_1?keywords=adidas+Tiro+19+Training+Jacket+Youth&amp;qid=1695171164&amp;sr=8-1", "https://www.amazon.com/adidas-Tiro-19-Training-Jacket/dp/B07H4K7W3R/ref=sr_1_1?keywords=adidas+Tiro+19+Training+Jacket+Youth&amp;qid=1695171164&amp;sr=8-1")</f>
        <v/>
      </c>
      <c r="F3560" t="inlineStr">
        <is>
          <t>B07H4K7W3R</t>
        </is>
      </c>
      <c r="G3560">
        <f>_xludf.IMAGE("https://www.soccerplususa.com/prodimages/7897-DEFAULT-l.jpg")</f>
        <v/>
      </c>
      <c r="H3560">
        <f>_xludf.IMAGE("https://m.media-amazon.com/images/I/61B-SrRhcAL._AC_UL320_.jpg")</f>
        <v/>
      </c>
      <c r="K3560" t="inlineStr">
        <is>
          <t>45.0</t>
        </is>
      </c>
      <c r="L3560" t="n">
        <v>39.95</v>
      </c>
      <c r="M3560" s="1" t="inlineStr">
        <is>
          <t>-11.22%</t>
        </is>
      </c>
      <c r="N3560" s="3" t="n">
        <v>-11.22</v>
      </c>
      <c r="O3560" t="n">
        <v>4.7</v>
      </c>
      <c r="P3560" t="n">
        <v>1515</v>
      </c>
      <c r="R3560" t="inlineStr">
        <is>
          <t>InStock</t>
        </is>
      </c>
      <c r="S3560" t="inlineStr">
        <is>
          <t>59.95</t>
        </is>
      </c>
      <c r="T3560" t="inlineStr">
        <is>
          <t>DT5276</t>
        </is>
      </c>
    </row>
    <row r="3561" hidden="1" ht="15.75" customHeight="1">
      <c r="A3561" s="2">
        <f>HYPERLINK("https://www.soccerplususa.com/adidas/adidas-condivo-18-training-jacket-womens-5188", "https://www.soccerplususa.com/adidas/adidas-condivo-18-training-jacket-womens-5188")</f>
        <v/>
      </c>
      <c r="B3561" t="inlineStr">
        <is>
          <t>undefined</t>
        </is>
      </c>
      <c r="C3561" t="inlineStr">
        <is>
          <t>adidas Condivo 18 Training Jacket Women's</t>
        </is>
      </c>
      <c r="D3561" t="inlineStr">
        <is>
          <t>adidas Women's Condivo 18 Polyester Jacket</t>
        </is>
      </c>
      <c r="E3561" s="2">
        <f>HYPERLINK("https://www.amazon.com/adidas-PES-Size-Womens-Small/dp/B07CNH948L/ref=sr_1_2?keywords=adidas+Condivo+18+Training+Jacket+Womens&amp;qid=1695171217&amp;sr=8-2", "https://www.amazon.com/adidas-PES-Size-Womens-Small/dp/B07CNH948L/ref=sr_1_2?keywords=adidas+Condivo+18+Training+Jacket+Womens&amp;qid=1695171217&amp;sr=8-2")</f>
        <v/>
      </c>
      <c r="F3561" t="inlineStr">
        <is>
          <t>B07CNH948L</t>
        </is>
      </c>
      <c r="G3561">
        <f>_xludf.IMAGE("https://www.soccerplususa.com/prodimages/5974-DEFAULT-l.jpg")</f>
        <v/>
      </c>
      <c r="H3561">
        <f>_xludf.IMAGE("https://m.media-amazon.com/images/I/51g6YOpT1LL._AC_UL320_.jpg")</f>
        <v/>
      </c>
      <c r="K3561" t="inlineStr">
        <is>
          <t>49.0</t>
        </is>
      </c>
      <c r="L3561" t="n">
        <v>43.36</v>
      </c>
      <c r="M3561" s="1" t="inlineStr">
        <is>
          <t>-11.51%</t>
        </is>
      </c>
      <c r="N3561" s="3" t="n">
        <v>-11.51</v>
      </c>
      <c r="O3561" t="n">
        <v>4.9</v>
      </c>
      <c r="P3561" t="n">
        <v>44</v>
      </c>
      <c r="R3561" t="inlineStr">
        <is>
          <t>InStock</t>
        </is>
      </c>
      <c r="S3561" t="inlineStr">
        <is>
          <t>64.95</t>
        </is>
      </c>
      <c r="T3561" t="inlineStr">
        <is>
          <t>CF4329</t>
        </is>
      </c>
    </row>
    <row r="3562" hidden="1" ht="15.75" customHeight="1">
      <c r="A3562" s="2">
        <f>HYPERLINK("https://www.soccerplususa.com/adidas/adidas-condivo-18-training-jacket-womens-5186", "https://www.soccerplususa.com/adidas/adidas-condivo-18-training-jacket-womens-5186")</f>
        <v/>
      </c>
      <c r="B3562" t="inlineStr">
        <is>
          <t>undefined</t>
        </is>
      </c>
      <c r="C3562" t="inlineStr">
        <is>
          <t>adidas Condivo 18 Training Jacket Women's</t>
        </is>
      </c>
      <c r="D3562" t="inlineStr">
        <is>
          <t>adidas Women's Condivo 18 Polyester Jacket</t>
        </is>
      </c>
      <c r="E3562" s="2">
        <f>HYPERLINK("https://www.amazon.com/adidas-PES-Size-Womens-Small/dp/B07CNH948L/ref=sr_1_2?keywords=adidas+Condivo+18+Training+Jacket+Womens&amp;qid=1695171225&amp;sr=8-2", "https://www.amazon.com/adidas-PES-Size-Womens-Small/dp/B07CNH948L/ref=sr_1_2?keywords=adidas+Condivo+18+Training+Jacket+Womens&amp;qid=1695171225&amp;sr=8-2")</f>
        <v/>
      </c>
      <c r="F3562" t="inlineStr">
        <is>
          <t>B07CNH948L</t>
        </is>
      </c>
      <c r="G3562">
        <f>_xludf.IMAGE("https://www.soccerplususa.com/prodimages/5976-DEFAULT-l.jpg")</f>
        <v/>
      </c>
      <c r="H3562">
        <f>_xludf.IMAGE("https://m.media-amazon.com/images/I/51g6YOpT1LL._AC_UL320_.jpg")</f>
        <v/>
      </c>
      <c r="K3562" t="inlineStr">
        <is>
          <t>49.0</t>
        </is>
      </c>
      <c r="L3562" t="n">
        <v>43.36</v>
      </c>
      <c r="M3562" s="1" t="inlineStr">
        <is>
          <t>-11.51%</t>
        </is>
      </c>
      <c r="N3562" s="3" t="n">
        <v>-11.51</v>
      </c>
      <c r="O3562" t="n">
        <v>4.9</v>
      </c>
      <c r="P3562" t="n">
        <v>44</v>
      </c>
      <c r="R3562" t="inlineStr">
        <is>
          <t>InStock</t>
        </is>
      </c>
      <c r="S3562" t="inlineStr">
        <is>
          <t>64.95</t>
        </is>
      </c>
      <c r="T3562" t="inlineStr">
        <is>
          <t>CF4327</t>
        </is>
      </c>
    </row>
    <row r="3563" hidden="1" ht="15.75" customHeight="1">
      <c r="A3563" s="2">
        <f>HYPERLINK("https://www.soccerplususa.com/adidas/adidas-condivo-18-training-jacket-womens-5362", "https://www.soccerplususa.com/adidas/adidas-condivo-18-training-jacket-womens-5362")</f>
        <v/>
      </c>
      <c r="B3563" t="inlineStr">
        <is>
          <t>undefined</t>
        </is>
      </c>
      <c r="C3563" t="inlineStr">
        <is>
          <t>adidas Condivo 18 Training Jacket Women's</t>
        </is>
      </c>
      <c r="D3563" t="inlineStr">
        <is>
          <t>adidas Women's Condivo 18 Polyester Jacket</t>
        </is>
      </c>
      <c r="E3563" s="2">
        <f>HYPERLINK("https://www.amazon.com/adidas-PES-Size-Womens-Small/dp/B07CNH948L/ref=sr_1_4?keywords=adidas+Condivo+18+Training+Jacket+Womens&amp;qid=1695171214&amp;sr=8-4", "https://www.amazon.com/adidas-PES-Size-Womens-Small/dp/B07CNH948L/ref=sr_1_4?keywords=adidas+Condivo+18+Training+Jacket+Womens&amp;qid=1695171214&amp;sr=8-4")</f>
        <v/>
      </c>
      <c r="F3563" t="inlineStr">
        <is>
          <t>B07CNH948L</t>
        </is>
      </c>
      <c r="G3563">
        <f>_xludf.IMAGE("https://www.soccerplususa.com/prodimages/5973-DEFAULT-l.jpg")</f>
        <v/>
      </c>
      <c r="H3563">
        <f>_xludf.IMAGE("https://m.media-amazon.com/images/I/51g6YOpT1LL._AC_UL320_.jpg")</f>
        <v/>
      </c>
      <c r="K3563" t="inlineStr">
        <is>
          <t>49.0</t>
        </is>
      </c>
      <c r="L3563" t="n">
        <v>43.36</v>
      </c>
      <c r="M3563" s="1" t="inlineStr">
        <is>
          <t>-11.51%</t>
        </is>
      </c>
      <c r="N3563" s="3" t="n">
        <v>-11.51</v>
      </c>
      <c r="O3563" t="n">
        <v>4.9</v>
      </c>
      <c r="P3563" t="n">
        <v>44</v>
      </c>
      <c r="R3563" t="inlineStr">
        <is>
          <t>InStock</t>
        </is>
      </c>
      <c r="S3563" t="inlineStr">
        <is>
          <t>64.95</t>
        </is>
      </c>
      <c r="T3563" t="inlineStr">
        <is>
          <t>CV9079</t>
        </is>
      </c>
    </row>
    <row r="3564" hidden="1" ht="15.75" customHeight="1">
      <c r="A3564" s="2">
        <f>HYPERLINK("https://www.soccerplususa.com/adidas/adidas-condivo-18-training-jacket-womens-5187", "https://www.soccerplususa.com/adidas/adidas-condivo-18-training-jacket-womens-5187")</f>
        <v/>
      </c>
      <c r="B3564" t="inlineStr">
        <is>
          <t>undefined</t>
        </is>
      </c>
      <c r="C3564" t="inlineStr">
        <is>
          <t>adidas Condivo 18 Training Jacket Women's</t>
        </is>
      </c>
      <c r="D3564" t="inlineStr">
        <is>
          <t>adidas Women's Condivo 18 Polyester Jacket</t>
        </is>
      </c>
      <c r="E3564" s="2">
        <f>HYPERLINK("https://www.amazon.com/adidas-PES-Size-Womens-Small/dp/B07CNH948L/ref=sr_1_6?keywords=adidas+Condivo+18+Training+Jacket+Women%27s&amp;qid=1695171224&amp;sr=8-6", "https://www.amazon.com/adidas-PES-Size-Womens-Small/dp/B07CNH948L/ref=sr_1_6?keywords=adidas+Condivo+18+Training+Jacket+Women%27s&amp;qid=1695171224&amp;sr=8-6")</f>
        <v/>
      </c>
      <c r="F3564" t="inlineStr">
        <is>
          <t>B07CNH948L</t>
        </is>
      </c>
      <c r="G3564">
        <f>_xludf.IMAGE("https://www.soccerplususa.com/prodimages/5975-DEFAULT-l.jpg")</f>
        <v/>
      </c>
      <c r="H3564">
        <f>_xludf.IMAGE("https://m.media-amazon.com/images/I/51g6YOpT1LL._AC_UL320_.jpg")</f>
        <v/>
      </c>
      <c r="K3564" t="inlineStr">
        <is>
          <t>49.0</t>
        </is>
      </c>
      <c r="L3564" t="n">
        <v>43.36</v>
      </c>
      <c r="M3564" s="1" t="inlineStr">
        <is>
          <t>-11.51%</t>
        </is>
      </c>
      <c r="N3564" s="3" t="n">
        <v>-11.51</v>
      </c>
      <c r="O3564" t="n">
        <v>4.9</v>
      </c>
      <c r="P3564" t="n">
        <v>44</v>
      </c>
      <c r="R3564" t="inlineStr">
        <is>
          <t>InStock</t>
        </is>
      </c>
      <c r="S3564" t="inlineStr">
        <is>
          <t>64.95</t>
        </is>
      </c>
      <c r="T3564" t="inlineStr">
        <is>
          <t>CF4328</t>
        </is>
      </c>
    </row>
    <row r="3565" hidden="1" ht="15.75" customHeight="1">
      <c r="A3565" s="2">
        <f>HYPERLINK("https://www.soccerplususa.com/adidas/adidas-tabela-18-jersey-womens-33806", "https://www.soccerplususa.com/adidas/adidas-tabela-18-jersey-womens-33806")</f>
        <v/>
      </c>
      <c r="B3565" t="inlineStr">
        <is>
          <t>undefined</t>
        </is>
      </c>
      <c r="C3565" t="inlineStr">
        <is>
          <t>adidas Tabela 18 Jersey Women's</t>
        </is>
      </c>
      <c r="D3565" t="inlineStr">
        <is>
          <t>adidas Mens Tabela 18 Soccer Jersey</t>
        </is>
      </c>
      <c r="E3565" s="2">
        <f>HYPERLINK("https://www.amazon.com/adidas-Tabela-Jersey-Black-White/dp/B0789V85VN/ref=sr_1_6?keywords=adidas+Tabela+18+Jersey+Womens&amp;qid=1695171171&amp;sr=8-6", "https://www.amazon.com/adidas-Tabela-Jersey-Black-White/dp/B0789V85VN/ref=sr_1_6?keywords=adidas+Tabela+18+Jersey+Womens&amp;qid=1695171171&amp;sr=8-6")</f>
        <v/>
      </c>
      <c r="F3565" t="inlineStr">
        <is>
          <t>B0789V85VN</t>
        </is>
      </c>
      <c r="G3565">
        <f>_xludf.IMAGE("https://www.soccerplususa.com/prodimages/35358-DEFAULT-l.jpg")</f>
        <v/>
      </c>
      <c r="H3565">
        <f>_xludf.IMAGE("https://m.media-amazon.com/images/I/71etwlge3gL._AC_UL320_.jpg")</f>
        <v/>
      </c>
      <c r="K3565" t="inlineStr">
        <is>
          <t>21.99</t>
        </is>
      </c>
      <c r="L3565" t="n">
        <v>19.45</v>
      </c>
      <c r="M3565" s="1" t="inlineStr">
        <is>
          <t>-11.55%</t>
        </is>
      </c>
      <c r="N3565" s="3" t="n">
        <v>-11.55</v>
      </c>
      <c r="O3565" t="n">
        <v>4.7</v>
      </c>
      <c r="P3565" t="n">
        <v>197</v>
      </c>
      <c r="R3565" t="inlineStr">
        <is>
          <t>InStock</t>
        </is>
      </c>
      <c r="S3565" t="inlineStr">
        <is>
          <t>29.95</t>
        </is>
      </c>
      <c r="T3565" t="inlineStr">
        <is>
          <t>CE8932</t>
        </is>
      </c>
    </row>
    <row r="3566" hidden="1" ht="15.75" customHeight="1">
      <c r="A3566" s="2">
        <f>HYPERLINK("https://www.soccerplususa.com/adidas/adidas-tabela-18-jersey-womens-33807", "https://www.soccerplususa.com/adidas/adidas-tabela-18-jersey-womens-33807")</f>
        <v/>
      </c>
      <c r="B3566" t="inlineStr">
        <is>
          <t>undefined</t>
        </is>
      </c>
      <c r="C3566" t="inlineStr">
        <is>
          <t>adidas Tabela 18 Jersey Women's</t>
        </is>
      </c>
      <c r="D3566" t="inlineStr">
        <is>
          <t>adidas Mens Tabela 18 Soccer Jersey</t>
        </is>
      </c>
      <c r="E3566" s="2">
        <f>HYPERLINK("https://www.amazon.com/adidas-Tabela-Jersey-Black-White/dp/B0789V85VN/ref=sr_1_6?keywords=adidas+Tabela+18+Jersey+Womens&amp;qid=1695171168&amp;sr=8-6", "https://www.amazon.com/adidas-Tabela-Jersey-Black-White/dp/B0789V85VN/ref=sr_1_6?keywords=adidas+Tabela+18+Jersey+Womens&amp;qid=1695171168&amp;sr=8-6")</f>
        <v/>
      </c>
      <c r="F3566" t="inlineStr">
        <is>
          <t>B0789V85VN</t>
        </is>
      </c>
      <c r="G3566">
        <f>_xludf.IMAGE("https://www.soccerplususa.com/prodimages/35357-DEFAULT-l.jpg")</f>
        <v/>
      </c>
      <c r="H3566">
        <f>_xludf.IMAGE("https://m.media-amazon.com/images/I/71etwlge3gL._AC_UL320_.jpg")</f>
        <v/>
      </c>
      <c r="K3566" t="inlineStr">
        <is>
          <t>21.99</t>
        </is>
      </c>
      <c r="L3566" t="n">
        <v>19.45</v>
      </c>
      <c r="M3566" s="1" t="inlineStr">
        <is>
          <t>-11.55%</t>
        </is>
      </c>
      <c r="N3566" s="3" t="n">
        <v>-11.55</v>
      </c>
      <c r="O3566" t="n">
        <v>4.7</v>
      </c>
      <c r="P3566" t="n">
        <v>197</v>
      </c>
      <c r="R3566" t="inlineStr">
        <is>
          <t>InStock</t>
        </is>
      </c>
      <c r="S3566" t="inlineStr">
        <is>
          <t>29.95</t>
        </is>
      </c>
      <c r="T3566" t="inlineStr">
        <is>
          <t>CE8933</t>
        </is>
      </c>
    </row>
    <row r="3567" hidden="1" ht="15.75" customHeight="1">
      <c r="A3567" s="2">
        <f>HYPERLINK("https://www.soccerplususa.com/adidas/adidas-regista-14-jersey-womens-6069", "https://www.soccerplususa.com/adidas/adidas-regista-14-jersey-womens-6069")</f>
        <v/>
      </c>
      <c r="B3567" t="inlineStr">
        <is>
          <t>undefined</t>
        </is>
      </c>
      <c r="C3567" t="inlineStr">
        <is>
          <t>adidas Regista 14 Jersey Women's</t>
        </is>
      </c>
      <c r="D3567" t="inlineStr">
        <is>
          <t>adidas Womens Climacool Regista 14 Jersey</t>
        </is>
      </c>
      <c r="E3567" s="2">
        <f>HYPERLINK("https://www.amazon.com/Adidas-Regista-Womens-Soccer-Jersey/dp/B00H5UPO4K/ref=sr_1_2?keywords=adidas+Regista+14+Jersey+Womens&amp;qid=1695171219&amp;sr=8-2", "https://www.amazon.com/Adidas-Regista-Womens-Soccer-Jersey/dp/B00H5UPO4K/ref=sr_1_2?keywords=adidas+Regista+14+Jersey+Womens&amp;qid=1695171219&amp;sr=8-2")</f>
        <v/>
      </c>
      <c r="F3567" t="inlineStr">
        <is>
          <t>B00H5UPO4K</t>
        </is>
      </c>
      <c r="G3567">
        <f>_xludf.IMAGE("https://www.soccerplususa.com/prodimages/31729-DEFAULT-l.jpg")</f>
        <v/>
      </c>
      <c r="H3567">
        <f>_xludf.IMAGE("https://m.media-amazon.com/images/I/61GhHCEsAmL._AC_UL320_.jpg")</f>
        <v/>
      </c>
      <c r="K3567" t="inlineStr">
        <is>
          <t>33.99</t>
        </is>
      </c>
      <c r="L3567" t="n">
        <v>29.99</v>
      </c>
      <c r="M3567" s="1" t="inlineStr">
        <is>
          <t>-11.77%</t>
        </is>
      </c>
      <c r="N3567" s="3" t="n">
        <v>-11.77</v>
      </c>
      <c r="O3567" t="n">
        <v>4.1</v>
      </c>
      <c r="P3567" t="n">
        <v>10</v>
      </c>
      <c r="R3567" t="inlineStr">
        <is>
          <t>InStock</t>
        </is>
      </c>
      <c r="S3567" t="inlineStr">
        <is>
          <t>44.95</t>
        </is>
      </c>
      <c r="T3567" t="inlineStr">
        <is>
          <t>F50028</t>
        </is>
      </c>
    </row>
    <row r="3568" hidden="1" ht="15.75" customHeight="1">
      <c r="A3568" s="2">
        <f>HYPERLINK("https://www.soccerplususa.com/puma/puma-liga-training-1-4-zip-jacket-29028", "https://www.soccerplususa.com/puma/puma-liga-training-1-4-zip-jacket-29028")</f>
        <v/>
      </c>
      <c r="B3568" t="inlineStr">
        <is>
          <t>undefined</t>
        </is>
      </c>
      <c r="C3568" t="inlineStr">
        <is>
          <t>Puma Liga Training 1/4 Zip Jacket</t>
        </is>
      </c>
      <c r="D3568" t="inlineStr">
        <is>
          <t>PUMA Men's Liga Training 1/4 Zip Top</t>
        </is>
      </c>
      <c r="E3568" s="2">
        <f>HYPERLINK("https://www.amazon.com/PUMA-Mens-Training-Black-White/dp/B07CGFVJHQ/ref=sr_1_1?keywords=Puma+Liga+Training+1%2F4+Zip+Jacket&amp;qid=1695171178&amp;sr=8-1", "https://www.amazon.com/PUMA-Mens-Training-Black-White/dp/B07CGFVJHQ/ref=sr_1_1?keywords=Puma+Liga+Training+1%2F4+Zip+Jacket&amp;qid=1695171178&amp;sr=8-1")</f>
        <v/>
      </c>
      <c r="F3568" t="inlineStr">
        <is>
          <t>B07CGFVJHQ</t>
        </is>
      </c>
      <c r="G3568">
        <f>_xludf.IMAGE("https://www.soccerplususa.com/prodimages/6871-DEFAULT-l.jpg")</f>
        <v/>
      </c>
      <c r="H3568">
        <f>_xludf.IMAGE("https://m.media-amazon.com/images/I/51lTgUAO49L._AC_UL320_.jpg")</f>
        <v/>
      </c>
      <c r="K3568" t="inlineStr">
        <is>
          <t>38.0</t>
        </is>
      </c>
      <c r="L3568" t="n">
        <v>33.35</v>
      </c>
      <c r="M3568" s="1" t="inlineStr">
        <is>
          <t>-12.24%</t>
        </is>
      </c>
      <c r="N3568" s="3" t="n">
        <v>-12.24</v>
      </c>
      <c r="O3568" t="n">
        <v>4.6</v>
      </c>
      <c r="P3568" t="n">
        <v>313</v>
      </c>
      <c r="R3568" t="inlineStr">
        <is>
          <t>InStock</t>
        </is>
      </c>
      <c r="S3568" t="inlineStr">
        <is>
          <t>50.0</t>
        </is>
      </c>
      <c r="T3568" t="inlineStr">
        <is>
          <t>655606-06</t>
        </is>
      </c>
    </row>
    <row r="3569" hidden="1" ht="15.75" customHeight="1">
      <c r="A3569" s="2">
        <f>HYPERLINK("https://www.soccerplususa.com/puma/puma-liga-training-1-4-zip-top-youth-35517", "https://www.soccerplususa.com/puma/puma-liga-training-1-4-zip-top-youth-35517")</f>
        <v/>
      </c>
      <c r="B3569" t="inlineStr">
        <is>
          <t>undefined</t>
        </is>
      </c>
      <c r="C3569" t="inlineStr">
        <is>
          <t>Puma Liga Training 1/4 Zip Top Youth</t>
        </is>
      </c>
      <c r="D3569" t="inlineStr">
        <is>
          <t>PUMA Men's Liga Training 1/4 Zip Top</t>
        </is>
      </c>
      <c r="E3569" s="2">
        <f>HYPERLINK("https://www.amazon.com/PUMA-Mens-Training-Black-White/dp/B07CGFVJHQ/ref=sr_1_3?keywords=Puma+Liga+Training+1%2F4+Zip+Top+Youth&amp;qid=1695171162&amp;sr=8-3", "https://www.amazon.com/PUMA-Mens-Training-Black-White/dp/B07CGFVJHQ/ref=sr_1_3?keywords=Puma+Liga+Training+1%2F4+Zip+Top+Youth&amp;qid=1695171162&amp;sr=8-3")</f>
        <v/>
      </c>
      <c r="F3569" t="inlineStr">
        <is>
          <t>B07CGFVJHQ</t>
        </is>
      </c>
      <c r="G3569">
        <f>_xludf.IMAGE("https://www.soccerplususa.com/prodimages/7782-DEFAULT-l.jpg")</f>
        <v/>
      </c>
      <c r="H3569">
        <f>_xludf.IMAGE("https://m.media-amazon.com/images/I/51lTgUAO49L._AC_UL320_.jpg")</f>
        <v/>
      </c>
      <c r="K3569" t="inlineStr">
        <is>
          <t>38.0</t>
        </is>
      </c>
      <c r="L3569" t="n">
        <v>33.35</v>
      </c>
      <c r="M3569" s="1" t="inlineStr">
        <is>
          <t>-12.24%</t>
        </is>
      </c>
      <c r="N3569" s="3" t="n">
        <v>-12.24</v>
      </c>
      <c r="O3569" t="n">
        <v>4.6</v>
      </c>
      <c r="P3569" t="n">
        <v>313</v>
      </c>
      <c r="R3569" t="inlineStr">
        <is>
          <t>InStock</t>
        </is>
      </c>
      <c r="S3569" t="inlineStr">
        <is>
          <t>50.0</t>
        </is>
      </c>
      <c r="T3569" t="inlineStr">
        <is>
          <t>655646-06</t>
        </is>
      </c>
    </row>
    <row r="3570" hidden="1" ht="15.75" customHeight="1">
      <c r="A3570" s="2">
        <f>HYPERLINK("https://www.soccerplususa.com/adidas/adidas-tiro-19-warm-top-youth-33865", "https://www.soccerplususa.com/adidas/adidas-tiro-19-warm-top-youth-33865")</f>
        <v/>
      </c>
      <c r="B3570" t="inlineStr">
        <is>
          <t>undefined</t>
        </is>
      </c>
      <c r="C3570" t="inlineStr">
        <is>
          <t>adidas Tiro 19 Warm Top Youth</t>
        </is>
      </c>
      <c r="D3570" t="inlineStr">
        <is>
          <t>adidas Tiro 19 Youth Warm Top Soccer Jacket</t>
        </is>
      </c>
      <c r="E3570" s="2">
        <f>HYPERLINK("https://www.amazon.com/adidas-Youth-Soccer-Jacket-Medium/dp/B07JBBM66J/ref=sr_1_1?keywords=adidas+Tiro+19+Warm+Top+Youth&amp;qid=1695171191&amp;sr=8-1", "https://www.amazon.com/adidas-Youth-Soccer-Jacket-Medium/dp/B07JBBM66J/ref=sr_1_1?keywords=adidas+Tiro+19+Warm+Top+Youth&amp;qid=1695171191&amp;sr=8-1")</f>
        <v/>
      </c>
      <c r="F3570" t="inlineStr">
        <is>
          <t>B07JBBM66J</t>
        </is>
      </c>
      <c r="G3570">
        <f>_xludf.IMAGE("https://www.soccerplususa.com/prodimages/7903-DEFAULT-l.jpg")</f>
        <v/>
      </c>
      <c r="H3570">
        <f>_xludf.IMAGE("https://m.media-amazon.com/images/I/5115MWy0jsL._AC_UL320_.jpg")</f>
        <v/>
      </c>
      <c r="K3570" t="inlineStr">
        <is>
          <t>52.0</t>
        </is>
      </c>
      <c r="L3570" t="n">
        <v>45.5</v>
      </c>
      <c r="M3570" s="1" t="inlineStr">
        <is>
          <t>-12.50%</t>
        </is>
      </c>
      <c r="N3570" s="3" t="n">
        <v>-12.5</v>
      </c>
      <c r="O3570" t="n">
        <v>4.4</v>
      </c>
      <c r="P3570" t="n">
        <v>17</v>
      </c>
      <c r="R3570" t="inlineStr">
        <is>
          <t>InStock</t>
        </is>
      </c>
      <c r="S3570" t="inlineStr">
        <is>
          <t>69.95</t>
        </is>
      </c>
      <c r="T3570" t="inlineStr">
        <is>
          <t>D95952</t>
        </is>
      </c>
    </row>
    <row r="3571" hidden="1" ht="15.75" customHeight="1">
      <c r="A3571" s="2">
        <f>HYPERLINK("https://www.soccerplususa.com/puma/puma-liga-jersey-37883", "https://www.soccerplususa.com/puma/puma-liga-jersey-37883")</f>
        <v/>
      </c>
      <c r="B3571" t="inlineStr">
        <is>
          <t>undefined</t>
        </is>
      </c>
      <c r="C3571" t="inlineStr">
        <is>
          <t>Puma Liga Jersey</t>
        </is>
      </c>
      <c r="D3571" t="inlineStr">
        <is>
          <t>PUMA Men's Liga Long Sleeve Jersey</t>
        </is>
      </c>
      <c r="E3571" s="2">
        <f>HYPERLINK("https://www.amazon.com/PUMA-Jersey-Sleeve-Electric-Lemonadewhite/dp/B07892Y29D/ref=sr_1_5?keywords=Puma+Liga+Jersey&amp;qid=1695171159&amp;sr=8-5", "https://www.amazon.com/PUMA-Jersey-Sleeve-Electric-Lemonadewhite/dp/B07892Y29D/ref=sr_1_5?keywords=Puma+Liga+Jersey&amp;qid=1695171159&amp;sr=8-5")</f>
        <v/>
      </c>
      <c r="F3571" t="inlineStr">
        <is>
          <t>B07892Y29D</t>
        </is>
      </c>
      <c r="G3571">
        <f>_xludf.IMAGE("https://www.soccerplususa.com/prodimages//36780-REDWHITE-M.jpg")</f>
        <v/>
      </c>
      <c r="H3571">
        <f>_xludf.IMAGE("https://m.media-amazon.com/images/I/81o8g03CC7S._AC_UL320_.jpg")</f>
        <v/>
      </c>
      <c r="K3571" t="inlineStr">
        <is>
          <t>27.95</t>
        </is>
      </c>
      <c r="L3571" t="n">
        <v>24.37</v>
      </c>
      <c r="M3571" s="1" t="inlineStr">
        <is>
          <t>-12.81%</t>
        </is>
      </c>
      <c r="N3571" s="3" t="n">
        <v>-12.81</v>
      </c>
      <c r="O3571" t="n">
        <v>4.5</v>
      </c>
      <c r="P3571" t="n">
        <v>410</v>
      </c>
      <c r="R3571" t="inlineStr">
        <is>
          <t>InStock</t>
        </is>
      </c>
      <c r="S3571" t="inlineStr">
        <is>
          <t>undefined</t>
        </is>
      </c>
      <c r="T3571" t="inlineStr">
        <is>
          <t>703417-01</t>
        </is>
      </c>
    </row>
    <row r="3572" hidden="1" ht="15.75" customHeight="1">
      <c r="A3572" s="2">
        <f>HYPERLINK("https://www.soccerplususa.com/puma/puma-team-liga-all-weather-jacket-youth-42141", "https://www.soccerplususa.com/puma/puma-team-liga-all-weather-jacket-youth-42141")</f>
        <v/>
      </c>
      <c r="B3572" t="inlineStr">
        <is>
          <t>undefined</t>
        </is>
      </c>
      <c r="C3572" t="inlineStr">
        <is>
          <t>Puma Team Liga All Weather Jacket Youth</t>
        </is>
      </c>
      <c r="D3572" t="inlineStr">
        <is>
          <t>PUMA Kids' Teamliga All Weather Jacket</t>
        </is>
      </c>
      <c r="E3572" s="2">
        <f>HYPERLINK("https://www.amazon.com/PUMA-65724603-TeamLIGA-Weather-Jacket/dp/B091BP67J7/ref=sr_1_8?keywords=Puma+Team+Liga+All+Weather+Jacket+Youth&amp;qid=1695171144&amp;sr=8-8", "https://www.amazon.com/PUMA-65724603-TeamLIGA-Weather-Jacket/dp/B091BP67J7/ref=sr_1_8?keywords=Puma+Team+Liga+All+Weather+Jacket+Youth&amp;qid=1695171144&amp;sr=8-8")</f>
        <v/>
      </c>
      <c r="F3572" t="inlineStr">
        <is>
          <t>B091BP67J7</t>
        </is>
      </c>
      <c r="G3572">
        <f>_xludf.IMAGE("https://www.soccerplususa.com/prodimages//37890-BLACK-M.jpg")</f>
        <v/>
      </c>
      <c r="H3572">
        <f>_xludf.IMAGE("https://m.media-amazon.com/images/I/61RVI0ht+8S._AC_UL320_.jpg")</f>
        <v/>
      </c>
      <c r="K3572" t="inlineStr">
        <is>
          <t>54.95</t>
        </is>
      </c>
      <c r="L3572" t="n">
        <v>47.82</v>
      </c>
      <c r="M3572" s="1" t="inlineStr">
        <is>
          <t>-12.98%</t>
        </is>
      </c>
      <c r="N3572" s="3" t="n">
        <v>-12.98</v>
      </c>
      <c r="O3572" t="n">
        <v>3.8</v>
      </c>
      <c r="P3572" t="n">
        <v>13</v>
      </c>
      <c r="R3572" t="inlineStr">
        <is>
          <t>InStock</t>
        </is>
      </c>
      <c r="S3572" t="inlineStr">
        <is>
          <t>undefined</t>
        </is>
      </c>
      <c r="T3572" t="inlineStr">
        <is>
          <t>657246-03</t>
        </is>
      </c>
    </row>
    <row r="3573" hidden="1" ht="15.75" customHeight="1">
      <c r="A3573" s="2">
        <f>HYPERLINK("https://www.soccerplususa.com/adidas/adidas-essentials-hoodie-41596", "https://www.soccerplususa.com/adidas/adidas-essentials-hoodie-41596")</f>
        <v/>
      </c>
      <c r="B3573" t="inlineStr">
        <is>
          <t>undefined</t>
        </is>
      </c>
      <c r="C3573" t="inlineStr">
        <is>
          <t>adidas Essentials Hoodie</t>
        </is>
      </c>
      <c r="D3573" t="inlineStr">
        <is>
          <t>adidas Men's Essentials Fleece 3-Stripes Full-Zip Hoodie</t>
        </is>
      </c>
      <c r="E3573" s="2">
        <f>HYPERLINK("https://www.amazon.com/adidas-Essentials-3-stripes-Full-Zip-Heather/dp/B08M6J5TPP/ref=sr_1_4?keywords=adidas+Essentials+Hoodie&amp;qid=1695171148&amp;sr=8-4", "https://www.amazon.com/adidas-Essentials-3-stripes-Full-Zip-Heather/dp/B08M6J5TPP/ref=sr_1_4?keywords=adidas+Essentials+Hoodie&amp;qid=1695171148&amp;sr=8-4")</f>
        <v/>
      </c>
      <c r="F3573" t="inlineStr">
        <is>
          <t>B08M6J5TPP</t>
        </is>
      </c>
      <c r="G3573">
        <f>_xludf.IMAGE("https://www.soccerplususa.com/prodimages//35143-BLACKWHITE-M.jpg")</f>
        <v/>
      </c>
      <c r="H3573">
        <f>_xludf.IMAGE("https://m.media-amazon.com/images/I/81w5udfmgGL._AC_UL320_.jpg")</f>
        <v/>
      </c>
      <c r="K3573" t="inlineStr">
        <is>
          <t>44.99</t>
        </is>
      </c>
      <c r="L3573" t="n">
        <v>39</v>
      </c>
      <c r="M3573" s="1" t="inlineStr">
        <is>
          <t>-13.31%</t>
        </is>
      </c>
      <c r="N3573" s="3" t="n">
        <v>-13.31</v>
      </c>
      <c r="O3573" t="n">
        <v>4.7</v>
      </c>
      <c r="P3573" t="n">
        <v>3032</v>
      </c>
      <c r="R3573" t="inlineStr">
        <is>
          <t>InStock</t>
        </is>
      </c>
      <c r="S3573" t="inlineStr">
        <is>
          <t>59.95</t>
        </is>
      </c>
      <c r="T3573" t="inlineStr">
        <is>
          <t>GK9062</t>
        </is>
      </c>
    </row>
    <row r="3574" hidden="1" ht="15.75" customHeight="1">
      <c r="A3574" s="2">
        <f>HYPERLINK("https://www.soccerplususa.com/adidas/adidas-essentials-hoodie-41596", "https://www.soccerplususa.com/adidas/adidas-essentials-hoodie-41596")</f>
        <v/>
      </c>
      <c r="B3574" t="inlineStr">
        <is>
          <t>undefined</t>
        </is>
      </c>
      <c r="C3574" t="inlineStr">
        <is>
          <t>adidas Essentials Hoodie</t>
        </is>
      </c>
      <c r="D3574" t="inlineStr">
        <is>
          <t>adidas Originals Men's Trefoil Essentials Hoodie</t>
        </is>
      </c>
      <c r="E3574" s="2">
        <f>HYPERLINK("https://www.amazon.com/adidas-Originals-Trefoil-Essentials-Hoodie/dp/B0BHLK2KBX/ref=sr_1_1?keywords=adidas+Essentials+Hoodie&amp;qid=1695171148&amp;sr=8-1", "https://www.amazon.com/adidas-Originals-Trefoil-Essentials-Hoodie/dp/B0BHLK2KBX/ref=sr_1_1?keywords=adidas+Essentials+Hoodie&amp;qid=1695171148&amp;sr=8-1")</f>
        <v/>
      </c>
      <c r="F3574" t="inlineStr">
        <is>
          <t>B0BHLK2KBX</t>
        </is>
      </c>
      <c r="G3574">
        <f>_xludf.IMAGE("https://www.soccerplususa.com/prodimages//35143-BLACKWHITE-M.jpg")</f>
        <v/>
      </c>
      <c r="H3574">
        <f>_xludf.IMAGE("https://m.media-amazon.com/images/I/81v-HBT-viL._AC_UL320_.jpg")</f>
        <v/>
      </c>
      <c r="K3574" t="inlineStr">
        <is>
          <t>44.99</t>
        </is>
      </c>
      <c r="L3574" t="n">
        <v>38.97</v>
      </c>
      <c r="M3574" s="1" t="inlineStr">
        <is>
          <t>-13.38%</t>
        </is>
      </c>
      <c r="N3574" s="3" t="n">
        <v>-13.38</v>
      </c>
      <c r="O3574" t="n">
        <v>4.6</v>
      </c>
      <c r="P3574" t="n">
        <v>3</v>
      </c>
      <c r="R3574" t="inlineStr">
        <is>
          <t>InStock</t>
        </is>
      </c>
      <c r="S3574" t="inlineStr">
        <is>
          <t>59.95</t>
        </is>
      </c>
      <c r="T3574" t="inlineStr">
        <is>
          <t>GK9062</t>
        </is>
      </c>
    </row>
    <row r="3575" hidden="1" ht="15.75" customHeight="1">
      <c r="A3575" s="2">
        <f>HYPERLINK("https://www.soccerplususa.com/adidas/adidas-condivo-22-winter-jacket-42215", "https://www.soccerplususa.com/adidas/adidas-condivo-22-winter-jacket-42215")</f>
        <v/>
      </c>
      <c r="B3575" t="inlineStr">
        <is>
          <t>undefined</t>
        </is>
      </c>
      <c r="C3575" t="inlineStr">
        <is>
          <t>adidas Condivo 22 Winter Jacket</t>
        </is>
      </c>
      <c r="D3575" t="inlineStr">
        <is>
          <t>adidas Men's Soccer Condivo 22 Winter Jacket</t>
        </is>
      </c>
      <c r="E3575" s="2">
        <f>HYPERLINK("https://www.amazon.com/adidas-Soccer-Condivo-Winter-Jacket/dp/B09V1SK5K6/ref=sr_1_1?keywords=adidas+Condivo+22+Winter+Jacket&amp;qid=1695171144&amp;sr=8-1", "https://www.amazon.com/adidas-Soccer-Condivo-Winter-Jacket/dp/B09V1SK5K6/ref=sr_1_1?keywords=adidas+Condivo+22+Winter+Jacket&amp;qid=1695171144&amp;sr=8-1")</f>
        <v/>
      </c>
      <c r="F3575" t="inlineStr">
        <is>
          <t>B09V1SK5K6</t>
        </is>
      </c>
      <c r="G3575">
        <f>_xludf.IMAGE("https://www.soccerplususa.com/prodimages//35132-BLACKWHITE-M.jpg")</f>
        <v/>
      </c>
      <c r="H3575">
        <f>_xludf.IMAGE("https://m.media-amazon.com/images/I/71PJNuRJo1L._AC_UL320_.jpg")</f>
        <v/>
      </c>
      <c r="K3575" t="inlineStr">
        <is>
          <t>139.95</t>
        </is>
      </c>
      <c r="L3575" t="n">
        <v>119.99</v>
      </c>
      <c r="M3575" s="1" t="inlineStr">
        <is>
          <t>-14.26%</t>
        </is>
      </c>
      <c r="N3575" s="3" t="n">
        <v>-14.26</v>
      </c>
      <c r="O3575" t="n">
        <v>5</v>
      </c>
      <c r="P3575" t="n">
        <v>15</v>
      </c>
      <c r="R3575" t="inlineStr">
        <is>
          <t>InStock</t>
        </is>
      </c>
      <c r="S3575" t="inlineStr">
        <is>
          <t>undefined</t>
        </is>
      </c>
      <c r="T3575" t="inlineStr">
        <is>
          <t>H21280</t>
        </is>
      </c>
    </row>
    <row r="3576" hidden="1" ht="15.75" customHeight="1">
      <c r="A3576" s="2">
        <f>HYPERLINK("https://www.soccerplususa.com/adidas/adidas-condivo-22-winter-jacket-45454", "https://www.soccerplususa.com/adidas/adidas-condivo-22-winter-jacket-45454")</f>
        <v/>
      </c>
      <c r="B3576" t="inlineStr">
        <is>
          <t>undefined</t>
        </is>
      </c>
      <c r="C3576" t="inlineStr">
        <is>
          <t>adidas Condivo 22 Winter Jacket</t>
        </is>
      </c>
      <c r="D3576" t="inlineStr">
        <is>
          <t>adidas Men's Soccer Condivo 22 Winter Jacket</t>
        </is>
      </c>
      <c r="E3576" s="2">
        <f>HYPERLINK("https://www.amazon.com/adidas-Soccer-Condivo-Winter-Jacket/dp/B09V1SK5K6/ref=sr_1_1?keywords=adidas+Condivo+22+Winter+Jacket&amp;qid=1695171146&amp;sr=8-1", "https://www.amazon.com/adidas-Soccer-Condivo-Winter-Jacket/dp/B09V1SK5K6/ref=sr_1_1?keywords=adidas+Condivo+22+Winter+Jacket&amp;qid=1695171146&amp;sr=8-1")</f>
        <v/>
      </c>
      <c r="F3576" t="inlineStr">
        <is>
          <t>B09V1SK5K6</t>
        </is>
      </c>
      <c r="G3576">
        <f>_xludf.IMAGE("https://www.soccerplususa.com/prodimages//37456-BLACKWHITE-M.jpg")</f>
        <v/>
      </c>
      <c r="H3576">
        <f>_xludf.IMAGE("https://m.media-amazon.com/images/I/71PJNuRJo1L._AC_UL320_.jpg")</f>
        <v/>
      </c>
      <c r="K3576" t="inlineStr">
        <is>
          <t>139.95</t>
        </is>
      </c>
      <c r="L3576" t="n">
        <v>119.99</v>
      </c>
      <c r="M3576" s="1" t="inlineStr">
        <is>
          <t>-14.26%</t>
        </is>
      </c>
      <c r="N3576" s="3" t="n">
        <v>-14.26</v>
      </c>
      <c r="O3576" t="n">
        <v>5</v>
      </c>
      <c r="P3576" t="n">
        <v>15</v>
      </c>
      <c r="R3576" t="inlineStr">
        <is>
          <t>InStock</t>
        </is>
      </c>
      <c r="S3576" t="inlineStr">
        <is>
          <t>undefined</t>
        </is>
      </c>
      <c r="T3576" t="inlineStr">
        <is>
          <t>HT2542</t>
        </is>
      </c>
    </row>
    <row r="3577" hidden="1" ht="15.75" customHeight="1">
      <c r="A3577" s="2">
        <f>HYPERLINK("https://www.soccerplususa.com/under-armour/under-armour-coldgear-armour-fitted-mock-youth-41594", "https://www.soccerplususa.com/under-armour/under-armour-coldgear-armour-fitted-mock-youth-41594")</f>
        <v/>
      </c>
      <c r="B3577" t="inlineStr">
        <is>
          <t>undefined</t>
        </is>
      </c>
      <c r="C3577" t="inlineStr">
        <is>
          <t>Under Armour ColdGear Armour Fitted Mock Youth</t>
        </is>
      </c>
      <c r="D3577" t="inlineStr">
        <is>
          <t>Under Armour Men's ColdGear Fitted Crew</t>
        </is>
      </c>
      <c r="E3577" s="2">
        <f>HYPERLINK("https://www.amazon.com/Under-Armour-ColdGear-Fitted-X-Large/dp/B08LNZ94M7/ref=sr_1_6?keywords=Under+Armour+ColdGear+Armour+Fitted+Mock+Youth&amp;qid=1695171149&amp;sr=8-6", "https://www.amazon.com/Under-Armour-ColdGear-Fitted-X-Large/dp/B08LNZ94M7/ref=sr_1_6?keywords=Under+Armour+ColdGear+Armour+Fitted+Mock+Youth&amp;qid=1695171149&amp;sr=8-6")</f>
        <v/>
      </c>
      <c r="F3577" t="inlineStr">
        <is>
          <t>B08LNZ94M7</t>
        </is>
      </c>
      <c r="G3577">
        <f>_xludf.IMAGE("https://www.soccerplususa.com/prodimages//36053-WHITE-M.jpg")</f>
        <v/>
      </c>
      <c r="H3577">
        <f>_xludf.IMAGE("https://m.media-amazon.com/images/I/71+I+VK+RfL._AC_UL320_.jpg")</f>
        <v/>
      </c>
      <c r="K3577" t="inlineStr">
        <is>
          <t>39.95</t>
        </is>
      </c>
      <c r="L3577" t="n">
        <v>34.21</v>
      </c>
      <c r="M3577" s="1" t="inlineStr">
        <is>
          <t>-14.37%</t>
        </is>
      </c>
      <c r="N3577" s="3" t="n">
        <v>-14.37</v>
      </c>
      <c r="O3577" t="n">
        <v>4.8</v>
      </c>
      <c r="P3577" t="n">
        <v>612</v>
      </c>
      <c r="R3577" t="inlineStr">
        <is>
          <t>InStock</t>
        </is>
      </c>
      <c r="S3577" t="inlineStr">
        <is>
          <t>undefined</t>
        </is>
      </c>
      <c r="T3577" t="inlineStr">
        <is>
          <t>1366373-100</t>
        </is>
      </c>
    </row>
    <row r="3578" hidden="1" ht="15.75" customHeight="1">
      <c r="A3578" s="2">
        <f>HYPERLINK("https://www.soccerplususa.com/puma/puma-liga-jersey-youth-39601", "https://www.soccerplususa.com/puma/puma-liga-jersey-youth-39601")</f>
        <v/>
      </c>
      <c r="B3578" t="inlineStr">
        <is>
          <t>undefined</t>
        </is>
      </c>
      <c r="C3578" t="inlineStr">
        <is>
          <t>Puma Liga Jersey Youth</t>
        </is>
      </c>
      <c r="D3578" t="inlineStr">
        <is>
          <t>PUMA Youth Liga Jersey Core</t>
        </is>
      </c>
      <c r="E3578" s="2">
        <f>HYPERLINK("https://www.amazon.com/PUMA-Jersey-Redpuma-White-X-Large/dp/B07KWYRQKR/ref=sr_1_1?keywords=Puma+Liga+Jersey+Youth&amp;qid=1695171161&amp;sr=8-1", "https://www.amazon.com/PUMA-Jersey-Redpuma-White-X-Large/dp/B07KWYRQKR/ref=sr_1_1?keywords=Puma+Liga+Jersey+Youth&amp;qid=1695171161&amp;sr=8-1")</f>
        <v/>
      </c>
      <c r="F3578" t="inlineStr">
        <is>
          <t>B07KWYRQKR</t>
        </is>
      </c>
      <c r="G3578">
        <f>_xludf.IMAGE("https://www.soccerplususa.com/prodimages//36796-WHITE-M.jpg")</f>
        <v/>
      </c>
      <c r="H3578">
        <f>_xludf.IMAGE("https://m.media-amazon.com/images/I/71154h+V-SL._AC_UL320_.jpg")</f>
        <v/>
      </c>
      <c r="K3578" t="inlineStr">
        <is>
          <t>20.99</t>
        </is>
      </c>
      <c r="L3578" t="n">
        <v>17.95</v>
      </c>
      <c r="M3578" s="1" t="inlineStr">
        <is>
          <t>-14.48%</t>
        </is>
      </c>
      <c r="N3578" s="3" t="n">
        <v>-14.48</v>
      </c>
      <c r="O3578" t="n">
        <v>3.5</v>
      </c>
      <c r="P3578" t="n">
        <v>320</v>
      </c>
      <c r="R3578" t="inlineStr">
        <is>
          <t>InStock</t>
        </is>
      </c>
      <c r="S3578" t="inlineStr">
        <is>
          <t>27.95</t>
        </is>
      </c>
      <c r="T3578" t="inlineStr">
        <is>
          <t>703418-14</t>
        </is>
      </c>
    </row>
    <row r="3579" hidden="1" ht="15.75" customHeight="1">
      <c r="A3579" s="2">
        <f>HYPERLINK("https://www.soccerplususa.com/puma/puma-liga-jersey-37884", "https://www.soccerplususa.com/puma/puma-liga-jersey-37884")</f>
        <v/>
      </c>
      <c r="B3579" t="inlineStr">
        <is>
          <t>undefined</t>
        </is>
      </c>
      <c r="C3579" t="inlineStr">
        <is>
          <t>Puma Liga Jersey</t>
        </is>
      </c>
      <c r="D3579" t="inlineStr">
        <is>
          <t>PUMA Youth Liga Jersey Core</t>
        </is>
      </c>
      <c r="E3579" s="2">
        <f>HYPERLINK("https://www.amazon.com/PUMA-Mens-Jersey-Redpuma-White/dp/B07B8DXZYL/ref=sr_1_6?keywords=Puma+Liga+Jersey&amp;qid=1695171168&amp;sr=8-6", "https://www.amazon.com/PUMA-Mens-Jersey-Redpuma-White/dp/B07B8DXZYL/ref=sr_1_6?keywords=Puma+Liga+Jersey&amp;qid=1695171168&amp;sr=8-6")</f>
        <v/>
      </c>
      <c r="F3579" t="inlineStr">
        <is>
          <t>B07B8DXZYL</t>
        </is>
      </c>
      <c r="G3579">
        <f>_xludf.IMAGE("https://www.soccerplususa.com/prodimages//35270-NAVYWHITE-M.jpg")</f>
        <v/>
      </c>
      <c r="H3579">
        <f>_xludf.IMAGE("https://m.media-amazon.com/images/I/71154h+V-SL._AC_UL320_.jpg")</f>
        <v/>
      </c>
      <c r="K3579" t="inlineStr">
        <is>
          <t>20.99</t>
        </is>
      </c>
      <c r="L3579" t="n">
        <v>17.95</v>
      </c>
      <c r="M3579" s="1" t="inlineStr">
        <is>
          <t>-14.48%</t>
        </is>
      </c>
      <c r="N3579" s="3" t="n">
        <v>-14.48</v>
      </c>
      <c r="O3579" t="n">
        <v>3.5</v>
      </c>
      <c r="P3579" t="n">
        <v>320</v>
      </c>
      <c r="R3579" t="inlineStr">
        <is>
          <t>InStock</t>
        </is>
      </c>
      <c r="S3579" t="inlineStr">
        <is>
          <t>27.95</t>
        </is>
      </c>
      <c r="T3579" t="inlineStr">
        <is>
          <t>703417-06</t>
        </is>
      </c>
    </row>
    <row r="3580" hidden="1" ht="15.75" customHeight="1">
      <c r="A3580" s="2">
        <f>HYPERLINK("https://www.soccerplususa.com/adidas/adidas-tabela-18-jersey-womens-33806", "https://www.soccerplususa.com/adidas/adidas-tabela-18-jersey-womens-33806")</f>
        <v/>
      </c>
      <c r="B3580" t="inlineStr">
        <is>
          <t>undefined</t>
        </is>
      </c>
      <c r="C3580" t="inlineStr">
        <is>
          <t>adidas Tabela 18 Jersey Women's</t>
        </is>
      </c>
      <c r="D3580" t="inlineStr">
        <is>
          <t>adidas Women's Core 18 Training Jersey</t>
        </is>
      </c>
      <c r="E3580" s="2">
        <f>HYPERLINK("https://www.amazon.com/adidas-Womens-Core18-Jersey-Black/dp/B073H8C1NS/ref=sr_1_2?keywords=adidas+Tabela+18+Jersey+Womens&amp;qid=1695171171&amp;sr=8-2", "https://www.amazon.com/adidas-Womens-Core18-Jersey-Black/dp/B073H8C1NS/ref=sr_1_2?keywords=adidas+Tabela+18+Jersey+Womens&amp;qid=1695171171&amp;sr=8-2")</f>
        <v/>
      </c>
      <c r="F3580" t="inlineStr">
        <is>
          <t>B073H8C1NS</t>
        </is>
      </c>
      <c r="G3580">
        <f>_xludf.IMAGE("https://www.soccerplususa.com/prodimages/35358-DEFAULT-l.jpg")</f>
        <v/>
      </c>
      <c r="H3580">
        <f>_xludf.IMAGE("https://m.media-amazon.com/images/I/61PBjxrobcL._AC_UL320_.jpg")</f>
        <v/>
      </c>
      <c r="K3580" t="inlineStr">
        <is>
          <t>21.99</t>
        </is>
      </c>
      <c r="L3580" t="n">
        <v>18.77</v>
      </c>
      <c r="M3580" s="1" t="inlineStr">
        <is>
          <t>-14.64%</t>
        </is>
      </c>
      <c r="N3580" s="3" t="n">
        <v>-14.64</v>
      </c>
      <c r="O3580" t="n">
        <v>4.5</v>
      </c>
      <c r="P3580" t="n">
        <v>2334</v>
      </c>
      <c r="R3580" t="inlineStr">
        <is>
          <t>InStock</t>
        </is>
      </c>
      <c r="S3580" t="inlineStr">
        <is>
          <t>29.95</t>
        </is>
      </c>
      <c r="T3580" t="inlineStr">
        <is>
          <t>CE8932</t>
        </is>
      </c>
    </row>
    <row r="3581" hidden="1" ht="15.75" customHeight="1">
      <c r="A3581" s="2">
        <f>HYPERLINK("https://www.soccerplususa.com/adidas/adidas-tabela-18-jersey-womens-33807", "https://www.soccerplususa.com/adidas/adidas-tabela-18-jersey-womens-33807")</f>
        <v/>
      </c>
      <c r="B3581" t="inlineStr">
        <is>
          <t>undefined</t>
        </is>
      </c>
      <c r="C3581" t="inlineStr">
        <is>
          <t>adidas Tabela 18 Jersey Women's</t>
        </is>
      </c>
      <c r="D3581" t="inlineStr">
        <is>
          <t>adidas Women's Core 18 Training Jersey</t>
        </is>
      </c>
      <c r="E3581" s="2">
        <f>HYPERLINK("https://www.amazon.com/adidas-Womens-Core18-Jersey-Black/dp/B073H8C1NS/ref=sr_1_2?keywords=adidas+Tabela+18+Jersey+Womens&amp;qid=1695171168&amp;sr=8-2", "https://www.amazon.com/adidas-Womens-Core18-Jersey-Black/dp/B073H8C1NS/ref=sr_1_2?keywords=adidas+Tabela+18+Jersey+Womens&amp;qid=1695171168&amp;sr=8-2")</f>
        <v/>
      </c>
      <c r="F3581" t="inlineStr">
        <is>
          <t>B073H8C1NS</t>
        </is>
      </c>
      <c r="G3581">
        <f>_xludf.IMAGE("https://www.soccerplususa.com/prodimages/35357-DEFAULT-l.jpg")</f>
        <v/>
      </c>
      <c r="H3581">
        <f>_xludf.IMAGE("https://m.media-amazon.com/images/I/61PBjxrobcL._AC_UL320_.jpg")</f>
        <v/>
      </c>
      <c r="K3581" t="inlineStr">
        <is>
          <t>21.99</t>
        </is>
      </c>
      <c r="L3581" t="n">
        <v>18.77</v>
      </c>
      <c r="M3581" s="1" t="inlineStr">
        <is>
          <t>-14.64%</t>
        </is>
      </c>
      <c r="N3581" s="3" t="n">
        <v>-14.64</v>
      </c>
      <c r="O3581" t="n">
        <v>4.5</v>
      </c>
      <c r="P3581" t="n">
        <v>2334</v>
      </c>
      <c r="R3581" t="inlineStr">
        <is>
          <t>InStock</t>
        </is>
      </c>
      <c r="S3581" t="inlineStr">
        <is>
          <t>29.95</t>
        </is>
      </c>
      <c r="T3581" t="inlineStr">
        <is>
          <t>CE8933</t>
        </is>
      </c>
    </row>
    <row r="3582" hidden="1" ht="15.75" customHeight="1">
      <c r="A3582" s="2">
        <f>HYPERLINK("https://www.soccerplususa.com/under-armour/under-armour-cold-gear-armour-crew-youth-33312", "https://www.soccerplususa.com/under-armour/under-armour-cold-gear-armour-crew-youth-33312")</f>
        <v/>
      </c>
      <c r="B3582" t="inlineStr">
        <is>
          <t>undefined</t>
        </is>
      </c>
      <c r="C3582" t="inlineStr">
        <is>
          <t>Under Armour Cold Gear Armour Crew Youth</t>
        </is>
      </c>
      <c r="D3582" t="inlineStr">
        <is>
          <t>Under Armour Men's ColdGear Fitted Crew</t>
        </is>
      </c>
      <c r="E3582" s="2">
        <f>HYPERLINK("https://www.amazon.com/Under-Armour-ColdGear-Fitted-Medium/dp/B08LP1BVL2/ref=sr_1_6?keywords=Under+Armour+Cold+Gear+Armour+Crew+Youth&amp;qid=1695171168&amp;sr=8-6", "https://www.amazon.com/Under-Armour-ColdGear-Fitted-Medium/dp/B08LP1BVL2/ref=sr_1_6?keywords=Under+Armour+Cold+Gear+Armour+Crew+Youth&amp;qid=1695171168&amp;sr=8-6")</f>
        <v/>
      </c>
      <c r="F3582" t="inlineStr">
        <is>
          <t>B08LP1BVL2</t>
        </is>
      </c>
      <c r="G3582">
        <f>_xludf.IMAGE("https://www.soccerplususa.com/prodimages/5584-DEFAULT-l.jpg")</f>
        <v/>
      </c>
      <c r="H3582">
        <f>_xludf.IMAGE("https://m.media-amazon.com/images/I/71+I+VK+RfL._AC_UL320_.jpg")</f>
        <v/>
      </c>
      <c r="K3582" t="inlineStr">
        <is>
          <t>39.95</t>
        </is>
      </c>
      <c r="L3582" t="n">
        <v>34.03</v>
      </c>
      <c r="M3582" s="1" t="inlineStr">
        <is>
          <t>-14.82%</t>
        </is>
      </c>
      <c r="N3582" s="3" t="n">
        <v>-14.82</v>
      </c>
      <c r="O3582" t="n">
        <v>4.8</v>
      </c>
      <c r="P3582" t="n">
        <v>612</v>
      </c>
      <c r="R3582" t="inlineStr">
        <is>
          <t>InStock</t>
        </is>
      </c>
      <c r="S3582" t="inlineStr">
        <is>
          <t>undefined</t>
        </is>
      </c>
      <c r="T3582" t="inlineStr">
        <is>
          <t>1288344-001</t>
        </is>
      </c>
    </row>
    <row r="3583" hidden="1" ht="15.75" customHeight="1">
      <c r="A3583" s="2">
        <f>HYPERLINK("https://www.soccerplususa.com/puma/puma-liga-hooped-jersey-youth-35527", "https://www.soccerplususa.com/puma/puma-liga-hooped-jersey-youth-35527")</f>
        <v/>
      </c>
      <c r="B3583" t="inlineStr">
        <is>
          <t>undefined</t>
        </is>
      </c>
      <c r="C3583" t="inlineStr">
        <is>
          <t>Puma Liga Hooped Jersey Youth</t>
        </is>
      </c>
      <c r="D3583" t="inlineStr">
        <is>
          <t>PUMA Unisex Youth Liga Jersey Core, Cyber Yellow/Black, M</t>
        </is>
      </c>
      <c r="E3583" s="2">
        <f>HYPERLINK("https://www.amazon.com/PUMA-Jersey-Cyber-Yellowpuma-Black/dp/B07KWYYR1G/ref=sr_1_8?keywords=Puma+Liga+Hooped+Jersey+Youth&amp;qid=1695171171&amp;sr=8-8", "https://www.amazon.com/PUMA-Jersey-Cyber-Yellowpuma-Black/dp/B07KWYYR1G/ref=sr_1_8?keywords=Puma+Liga+Hooped+Jersey+Youth&amp;qid=1695171171&amp;sr=8-8")</f>
        <v/>
      </c>
      <c r="F3583" t="inlineStr">
        <is>
          <t>B07KWYYR1G</t>
        </is>
      </c>
      <c r="G3583">
        <f>_xludf.IMAGE("https://www.soccerplususa.com/prodimages/32670-DEFAULT-l.jpg")</f>
        <v/>
      </c>
      <c r="H3583">
        <f>_xludf.IMAGE("https://m.media-amazon.com/images/I/61vDxC4BEBL._AC_UL320_.jpg")</f>
        <v/>
      </c>
      <c r="K3583" t="inlineStr">
        <is>
          <t>30.0</t>
        </is>
      </c>
      <c r="L3583" t="n">
        <v>25.5</v>
      </c>
      <c r="M3583" s="1" t="inlineStr">
        <is>
          <t>-15.00%</t>
        </is>
      </c>
      <c r="N3583" s="3" t="n">
        <v>-15</v>
      </c>
      <c r="O3583" t="n">
        <v>3.2</v>
      </c>
      <c r="P3583" t="n">
        <v>17</v>
      </c>
      <c r="R3583" t="inlineStr">
        <is>
          <t>InStock</t>
        </is>
      </c>
      <c r="S3583" t="inlineStr">
        <is>
          <t>39.95</t>
        </is>
      </c>
      <c r="T3583" t="inlineStr">
        <is>
          <t>703423-02</t>
        </is>
      </c>
    </row>
    <row r="3584" hidden="1" ht="15.75" customHeight="1">
      <c r="A3584" s="2">
        <f>HYPERLINK("https://www.soccerplususa.com/adidas/adidas-tiro-17-jersey-4869", "https://www.soccerplususa.com/adidas/adidas-tiro-17-jersey-4869")</f>
        <v/>
      </c>
      <c r="B3584" t="inlineStr">
        <is>
          <t>undefined</t>
        </is>
      </c>
      <c r="C3584" t="inlineStr">
        <is>
          <t>adidas Tiro 17 Jersey</t>
        </is>
      </c>
      <c r="D3584" t="inlineStr">
        <is>
          <t>adidas Tiro 17 Mens Soccer Training Jersey</t>
        </is>
      </c>
      <c r="E3584" s="2">
        <f>HYPERLINK("https://www.amazon.com/adidas-Training-Jersey-White-Black/dp/B01M29BN8D/ref=sr_1_5?keywords=adidas+Tiro+17+Jersey&amp;qid=1695171236&amp;sr=8-5", "https://www.amazon.com/adidas-Training-Jersey-White-Black/dp/B01M29BN8D/ref=sr_1_5?keywords=adidas+Tiro+17+Jersey&amp;qid=1695171236&amp;sr=8-5")</f>
        <v/>
      </c>
      <c r="F3584" t="inlineStr">
        <is>
          <t>B01M29BN8D</t>
        </is>
      </c>
      <c r="G3584">
        <f>_xludf.IMAGE("https://www.soccerplususa.com/prodimages/7451-DEFAULT-l.jpg")</f>
        <v/>
      </c>
      <c r="H3584">
        <f>_xludf.IMAGE("https://m.media-amazon.com/images/I/51KCXIG2tsL._AC_UL320_.jpg")</f>
        <v/>
      </c>
      <c r="K3584" t="inlineStr">
        <is>
          <t>20.0</t>
        </is>
      </c>
      <c r="L3584" t="n">
        <v>16.99</v>
      </c>
      <c r="M3584" s="1" t="inlineStr">
        <is>
          <t>-15.05%</t>
        </is>
      </c>
      <c r="N3584" s="3" t="n">
        <v>-15.05</v>
      </c>
      <c r="O3584" t="n">
        <v>4.2</v>
      </c>
      <c r="P3584" t="n">
        <v>51</v>
      </c>
      <c r="R3584" t="inlineStr">
        <is>
          <t>InStock</t>
        </is>
      </c>
      <c r="S3584" t="inlineStr">
        <is>
          <t>39.95</t>
        </is>
      </c>
      <c r="T3584" t="inlineStr">
        <is>
          <t>BK5437</t>
        </is>
      </c>
    </row>
    <row r="3585" hidden="1" ht="15.75" customHeight="1">
      <c r="A3585" s="2">
        <f>HYPERLINK("https://www.soccerplususa.com/adidas/adidas-tiro-17-jersey-4871", "https://www.soccerplususa.com/adidas/adidas-tiro-17-jersey-4871")</f>
        <v/>
      </c>
      <c r="B3585" t="inlineStr">
        <is>
          <t>undefined</t>
        </is>
      </c>
      <c r="C3585" t="inlineStr">
        <is>
          <t>adidas Tiro 17 Jersey</t>
        </is>
      </c>
      <c r="D3585" t="inlineStr">
        <is>
          <t>adidas Tiro 17 Mens Soccer Training Jersey</t>
        </is>
      </c>
      <c r="E3585" s="2">
        <f>HYPERLINK("https://www.amazon.com/adidas-Training-Jersey-White-Black/dp/B01M29BN8D/ref=sr_1_4?keywords=adidas+Tiro+17+Jersey&amp;qid=1695171224&amp;sr=8-4", "https://www.amazon.com/adidas-Training-Jersey-White-Black/dp/B01M29BN8D/ref=sr_1_4?keywords=adidas+Tiro+17+Jersey&amp;qid=1695171224&amp;sr=8-4")</f>
        <v/>
      </c>
      <c r="F3585" t="inlineStr">
        <is>
          <t>B01M29BN8D</t>
        </is>
      </c>
      <c r="G3585">
        <f>_xludf.IMAGE("https://www.soccerplususa.com/prodimages/31717-DEFAULT-l.jpg")</f>
        <v/>
      </c>
      <c r="H3585">
        <f>_xludf.IMAGE("https://m.media-amazon.com/images/I/51KCXIG2tsL._AC_UL320_.jpg")</f>
        <v/>
      </c>
      <c r="K3585" t="inlineStr">
        <is>
          <t>20.0</t>
        </is>
      </c>
      <c r="L3585" t="n">
        <v>16.99</v>
      </c>
      <c r="M3585" s="1" t="inlineStr">
        <is>
          <t>-15.05%</t>
        </is>
      </c>
      <c r="N3585" s="3" t="n">
        <v>-15.05</v>
      </c>
      <c r="O3585" t="n">
        <v>4.2</v>
      </c>
      <c r="P3585" t="n">
        <v>51</v>
      </c>
      <c r="R3585" t="inlineStr">
        <is>
          <t>InStock</t>
        </is>
      </c>
      <c r="S3585" t="inlineStr">
        <is>
          <t>39.95</t>
        </is>
      </c>
      <c r="T3585" t="inlineStr">
        <is>
          <t>BK5439</t>
        </is>
      </c>
    </row>
    <row r="3586" hidden="1" ht="15.75" customHeight="1">
      <c r="A3586" s="2">
        <f>HYPERLINK("https://www.soccerplususa.com/under-armour/under-armour-coldgear-compression-mock-44300", "https://www.soccerplususa.com/under-armour/under-armour-coldgear-compression-mock-44300")</f>
        <v/>
      </c>
      <c r="B3586" t="inlineStr">
        <is>
          <t>undefined</t>
        </is>
      </c>
      <c r="C3586" t="inlineStr">
        <is>
          <t>Under Armour ColdGear Compression Mock</t>
        </is>
      </c>
      <c r="D3586" t="inlineStr">
        <is>
          <t>Under Armour 2015 Mens Evo ColdGear Compression LS Thermal Winter Baselayer Mock</t>
        </is>
      </c>
      <c r="E3586" s="2">
        <f>HYPERLINK("https://www.amazon.com/Under-Armour-Coldgear-Compression-Mock/dp/B00GOGMSZO/ref=sr_1_5?keywords=Under+Armour+ColdGear+Compression+Mock&amp;qid=1695171160&amp;sr=8-5", "https://www.amazon.com/Under-Armour-Coldgear-Compression-Mock/dp/B00GOGMSZO/ref=sr_1_5?keywords=Under+Armour+ColdGear+Compression+Mock&amp;qid=1695171160&amp;sr=8-5")</f>
        <v/>
      </c>
      <c r="F3586" t="inlineStr">
        <is>
          <t>B00GOGMSZO</t>
        </is>
      </c>
      <c r="G3586">
        <f>_xludf.IMAGE("https://www.soccerplususa.com/prodimages//36057-BLACK-M.jpg")</f>
        <v/>
      </c>
      <c r="H3586">
        <f>_xludf.IMAGE("https://m.media-amazon.com/images/I/51zIE9uMmkL._AC_UL320_.jpg")</f>
        <v/>
      </c>
      <c r="K3586" t="inlineStr">
        <is>
          <t>54.95</t>
        </is>
      </c>
      <c r="L3586" t="n">
        <v>46</v>
      </c>
      <c r="M3586" s="1" t="inlineStr">
        <is>
          <t>-16.29%</t>
        </is>
      </c>
      <c r="N3586" s="3" t="n">
        <v>-16.29</v>
      </c>
      <c r="O3586" t="n">
        <v>4</v>
      </c>
      <c r="P3586" t="n">
        <v>24</v>
      </c>
      <c r="R3586" t="inlineStr">
        <is>
          <t>InStock</t>
        </is>
      </c>
      <c r="S3586" t="inlineStr">
        <is>
          <t>undefined</t>
        </is>
      </c>
      <c r="T3586" t="inlineStr">
        <is>
          <t>1366072-001</t>
        </is>
      </c>
    </row>
    <row r="3587" hidden="1" ht="15.75" customHeight="1">
      <c r="A3587" s="2">
        <f>HYPERLINK("https://www.soccerplususa.com/puma/puma-bench-jacket-42494", "https://www.soccerplususa.com/puma/puma-bench-jacket-42494")</f>
        <v/>
      </c>
      <c r="B3587" t="inlineStr">
        <is>
          <t>undefined</t>
        </is>
      </c>
      <c r="C3587" t="inlineStr">
        <is>
          <t>Puma Bench Jacket</t>
        </is>
      </c>
      <c r="D3587" t="inlineStr">
        <is>
          <t>PUMA Kids' Bench Jacket</t>
        </is>
      </c>
      <c r="E3587" s="2">
        <f>HYPERLINK("https://www.amazon.com/PUMA-65726903-Bench-Jacket/dp/B091BLW13T/ref=sr_1_3?keywords=Puma+Bench+Jacket&amp;qid=1695171144&amp;sr=8-3", "https://www.amazon.com/PUMA-65726903-Bench-Jacket/dp/B091BLW13T/ref=sr_1_3?keywords=Puma+Bench+Jacket&amp;qid=1695171144&amp;sr=8-3")</f>
        <v/>
      </c>
      <c r="F3587" t="inlineStr">
        <is>
          <t>B091BLW13T</t>
        </is>
      </c>
      <c r="G3587">
        <f>_xludf.IMAGE("https://www.soccerplususa.com/prodimages//35571-BLACKWHITE-M.jpg")</f>
        <v/>
      </c>
      <c r="H3587">
        <f>_xludf.IMAGE("https://m.media-amazon.com/images/I/61aH3fioCnS._AC_UL320_.jpg")</f>
        <v/>
      </c>
      <c r="K3587" t="inlineStr">
        <is>
          <t>99.95</t>
        </is>
      </c>
      <c r="L3587" t="n">
        <v>83.45</v>
      </c>
      <c r="M3587" s="1" t="inlineStr">
        <is>
          <t>-16.51%</t>
        </is>
      </c>
      <c r="N3587" s="3" t="n">
        <v>-16.51</v>
      </c>
      <c r="O3587" t="n">
        <v>4.6</v>
      </c>
      <c r="P3587" t="n">
        <v>3</v>
      </c>
      <c r="R3587" t="inlineStr">
        <is>
          <t>InStock</t>
        </is>
      </c>
      <c r="S3587" t="inlineStr">
        <is>
          <t>undefined</t>
        </is>
      </c>
      <c r="T3587" t="inlineStr">
        <is>
          <t>657268-03</t>
        </is>
      </c>
    </row>
    <row r="3588" hidden="1" ht="15.75" customHeight="1">
      <c r="A3588" s="2">
        <f>HYPERLINK("https://www.soccerplususa.com/storelli-sports/storelli-bodyshield-sleeveless-undershirt-32102", "https://www.soccerplususa.com/storelli-sports/storelli-bodyshield-sleeveless-undershirt-32102")</f>
        <v/>
      </c>
      <c r="B3588" t="inlineStr">
        <is>
          <t>undefined</t>
        </is>
      </c>
      <c r="C3588" t="inlineStr">
        <is>
          <t>Storelli BodyShield Sleeveless Undershirt</t>
        </is>
      </c>
      <c r="D3588" t="inlineStr">
        <is>
          <t>Storelli BodyShield Sleeveless Undershirt | Protective Soccer Base Layer | Lightweight Compression Top</t>
        </is>
      </c>
      <c r="E3588" s="2">
        <f>HYPERLINK("https://www.amazon.com/Storelli-BSFPTOPNSWHS-BodyShield-Sleeveless-Undershirt/dp/B00N4VYI7S/ref=sr_1_fkmr0_1?keywords=Storelli+BodyShield+Sleeveless+Undershirt&amp;qid=1695171181&amp;sr=8-1-fkmr0", "https://www.amazon.com/Storelli-BSFPTOPNSWHS-BodyShield-Sleeveless-Undershirt/dp/B00N4VYI7S/ref=sr_1_fkmr0_1?keywords=Storelli+BodyShield+Sleeveless+Undershirt&amp;qid=1695171181&amp;sr=8-1-fkmr0")</f>
        <v/>
      </c>
      <c r="F3588" t="inlineStr">
        <is>
          <t>B00N4VYI7S</t>
        </is>
      </c>
      <c r="G3588">
        <f>_xludf.IMAGE("https://www.soccerplususa.com/prodimages/2096-DEFAULT-l.jpg")</f>
        <v/>
      </c>
      <c r="H3588">
        <f>_xludf.IMAGE("https://m.media-amazon.com/images/I/51XihgDpk7L._AC_UL320_.jpg")</f>
        <v/>
      </c>
      <c r="K3588" t="inlineStr">
        <is>
          <t>59.95</t>
        </is>
      </c>
      <c r="L3588" t="n">
        <v>49.99</v>
      </c>
      <c r="M3588" s="1" t="inlineStr">
        <is>
          <t>-16.61%</t>
        </is>
      </c>
      <c r="N3588" s="3" t="n">
        <v>-16.61</v>
      </c>
      <c r="O3588" t="n">
        <v>4.9</v>
      </c>
      <c r="P3588" t="n">
        <v>16</v>
      </c>
      <c r="R3588" t="inlineStr">
        <is>
          <t>InStock</t>
        </is>
      </c>
      <c r="S3588" t="inlineStr">
        <is>
          <t>undefined</t>
        </is>
      </c>
      <c r="T3588" t="inlineStr">
        <is>
          <t>BSFPTOPNSBK</t>
        </is>
      </c>
    </row>
    <row r="3589" hidden="1" ht="15.75" customHeight="1">
      <c r="A3589" s="2">
        <f>HYPERLINK("https://www.soccerplususa.com/adidas/adidas-condivo-22-winter-jacket-youth-42365", "https://www.soccerplususa.com/adidas/adidas-condivo-22-winter-jacket-youth-42365")</f>
        <v/>
      </c>
      <c r="B3589" t="inlineStr">
        <is>
          <t>undefined</t>
        </is>
      </c>
      <c r="C3589" t="inlineStr">
        <is>
          <t>adidas Condivo 22 Winter Jacket Youth</t>
        </is>
      </c>
      <c r="D3589" t="inlineStr">
        <is>
          <t>adidas Condivo 22 Winter Jacket Kids'</t>
        </is>
      </c>
      <c r="E3589" s="2">
        <f>HYPERLINK("https://www.amazon.com/adidas-Condivo-Winter-Jacket-Black/dp/B0BCL39HDC/ref=sr_1_1?keywords=adidas+Condivo+22+Winter+Jacket+Youth&amp;qid=1695171145&amp;sr=8-1", "https://www.amazon.com/adidas-Condivo-Winter-Jacket-Black/dp/B0BCL39HDC/ref=sr_1_1?keywords=adidas+Condivo+22+Winter+Jacket+Youth&amp;qid=1695171145&amp;sr=8-1")</f>
        <v/>
      </c>
      <c r="F3589" t="inlineStr">
        <is>
          <t>B0BCL39HDC</t>
        </is>
      </c>
      <c r="G3589">
        <f>_xludf.IMAGE("https://www.soccerplususa.com/prodimages//35161-BLACKWHITE-M.jpg")</f>
        <v/>
      </c>
      <c r="H3589">
        <f>_xludf.IMAGE("https://m.media-amazon.com/images/I/41lMBZeQn3L._AC_UL320_.jpg")</f>
        <v/>
      </c>
      <c r="K3589" t="inlineStr">
        <is>
          <t>119.95</t>
        </is>
      </c>
      <c r="L3589" t="n">
        <v>99.98999999999999</v>
      </c>
      <c r="M3589" s="1" t="inlineStr">
        <is>
          <t>-16.64%</t>
        </is>
      </c>
      <c r="N3589" s="3" t="n">
        <v>-16.64</v>
      </c>
      <c r="O3589" t="n">
        <v>4</v>
      </c>
      <c r="P3589" t="n">
        <v>1</v>
      </c>
      <c r="R3589" t="inlineStr">
        <is>
          <t>InStock</t>
        </is>
      </c>
      <c r="S3589" t="inlineStr">
        <is>
          <t>undefined</t>
        </is>
      </c>
      <c r="T3589" t="inlineStr">
        <is>
          <t>H21284</t>
        </is>
      </c>
    </row>
    <row r="3590" hidden="1" ht="15.75" customHeight="1">
      <c r="A3590" s="2">
        <f>HYPERLINK("https://www.soccerplususa.com/adidas/adidas-condivo-22-winter-jacket-youth-45455", "https://www.soccerplususa.com/adidas/adidas-condivo-22-winter-jacket-youth-45455")</f>
        <v/>
      </c>
      <c r="B3590" t="inlineStr">
        <is>
          <t>undefined</t>
        </is>
      </c>
      <c r="C3590" t="inlineStr">
        <is>
          <t>adidas Condivo 22 Winter Jacket Youth</t>
        </is>
      </c>
      <c r="D3590" t="inlineStr">
        <is>
          <t>adidas Condivo 22 Winter Jacket Kids'</t>
        </is>
      </c>
      <c r="E3590" s="2">
        <f>HYPERLINK("https://www.amazon.com/adidas-Condivo-Winter-Jacket-Black/dp/B0BCL39HDC/ref=sr_1_1?keywords=adidas+Condivo+22+Winter+Jacket+Youth&amp;qid=1695171144&amp;sr=8-1", "https://www.amazon.com/adidas-Condivo-Winter-Jacket-Black/dp/B0BCL39HDC/ref=sr_1_1?keywords=adidas+Condivo+22+Winter+Jacket+Youth&amp;qid=1695171144&amp;sr=8-1")</f>
        <v/>
      </c>
      <c r="F3590" t="inlineStr">
        <is>
          <t>B0BCL39HDC</t>
        </is>
      </c>
      <c r="G3590">
        <f>_xludf.IMAGE("https://www.soccerplususa.com/prodimages//37387-BLACKWHITE-M.jpg")</f>
        <v/>
      </c>
      <c r="H3590">
        <f>_xludf.IMAGE("https://m.media-amazon.com/images/I/41lMBZeQn3L._AC_UL320_.jpg")</f>
        <v/>
      </c>
      <c r="K3590" t="inlineStr">
        <is>
          <t>119.95</t>
        </is>
      </c>
      <c r="L3590" t="n">
        <v>99.98999999999999</v>
      </c>
      <c r="M3590" s="1" t="inlineStr">
        <is>
          <t>-16.64%</t>
        </is>
      </c>
      <c r="N3590" s="3" t="n">
        <v>-16.64</v>
      </c>
      <c r="O3590" t="n">
        <v>4</v>
      </c>
      <c r="P3590" t="n">
        <v>1</v>
      </c>
      <c r="R3590" t="inlineStr">
        <is>
          <t>InStock</t>
        </is>
      </c>
      <c r="S3590" t="inlineStr">
        <is>
          <t>undefined</t>
        </is>
      </c>
      <c r="T3590" t="inlineStr">
        <is>
          <t>IC2239</t>
        </is>
      </c>
    </row>
    <row r="3591" hidden="1" ht="15.75" customHeight="1">
      <c r="A3591" s="2">
        <f>HYPERLINK("https://www.soccerplususa.com/adidas/adidas-tiro-17-jersey-33798", "https://www.soccerplususa.com/adidas/adidas-tiro-17-jersey-33798")</f>
        <v/>
      </c>
      <c r="B3591" t="inlineStr">
        <is>
          <t>undefined</t>
        </is>
      </c>
      <c r="C3591" t="inlineStr">
        <is>
          <t>adidas Tiro 17 Jersey</t>
        </is>
      </c>
      <c r="D3591" t="inlineStr">
        <is>
          <t>adidas Climacool TIRO 17 Soccer Jersey Womens Active Shirts &amp; Tees</t>
        </is>
      </c>
      <c r="E3591" s="2">
        <f>HYPERLINK("https://www.amazon.com/adidas-Climacool-Soccer-Jersey-Womens/dp/B0BM3MSHQ6/ref=sr_1_1?keywords=adidas+Tiro+17+Jersey&amp;qid=1695171166&amp;sr=8-1", "https://www.amazon.com/adidas-Climacool-Soccer-Jersey-Womens/dp/B0BM3MSHQ6/ref=sr_1_1?keywords=adidas+Tiro+17+Jersey&amp;qid=1695171166&amp;sr=8-1")</f>
        <v/>
      </c>
      <c r="F3591" t="inlineStr">
        <is>
          <t>B0BM3MSHQ6</t>
        </is>
      </c>
      <c r="G3591">
        <f>_xludf.IMAGE("https://www.soccerplususa.com/prodimages/7452-DEFAULT-l.jpg")</f>
        <v/>
      </c>
      <c r="H3591">
        <f>_xludf.IMAGE("https://m.media-amazon.com/images/I/41vbz2JJbLL._AC_UL320_.jpg")</f>
        <v/>
      </c>
      <c r="K3591" t="inlineStr">
        <is>
          <t>23.97</t>
        </is>
      </c>
      <c r="L3591" t="n">
        <v>19.91</v>
      </c>
      <c r="M3591" s="1" t="inlineStr">
        <is>
          <t>-16.94%</t>
        </is>
      </c>
      <c r="N3591" s="3" t="n">
        <v>-16.94</v>
      </c>
      <c r="O3591" t="n">
        <v>5</v>
      </c>
      <c r="P3591" t="n">
        <v>3</v>
      </c>
      <c r="R3591" t="inlineStr">
        <is>
          <t>InStock</t>
        </is>
      </c>
      <c r="S3591" t="inlineStr">
        <is>
          <t>39.95</t>
        </is>
      </c>
      <c r="T3591" t="inlineStr">
        <is>
          <t>BS4216</t>
        </is>
      </c>
    </row>
    <row r="3592" hidden="1" ht="15.75" customHeight="1">
      <c r="A3592" s="2">
        <f>HYPERLINK("https://www.soccerplususa.com/adidas/adidas-condivo-22-winter-jacket-youth-42365", "https://www.soccerplususa.com/adidas/adidas-condivo-22-winter-jacket-youth-42365")</f>
        <v/>
      </c>
      <c r="B3592" t="inlineStr">
        <is>
          <t>undefined</t>
        </is>
      </c>
      <c r="C3592" t="inlineStr">
        <is>
          <t>adidas Condivo 22 Winter Jacket Youth</t>
        </is>
      </c>
      <c r="D3592" t="inlineStr">
        <is>
          <t>adidas Youth Soccer Condivo 18 Winter Jacket - Kid's Soccer</t>
        </is>
      </c>
      <c r="E3592" s="2">
        <f>HYPERLINK("https://www.amazon.com/adidas-Soccer-Condivo-Winter-Jacket/dp/B078LC9YKV/ref=sr_1_6?keywords=adidas+Condivo+22+Winter+Jacket+Youth&amp;qid=1695171145&amp;sr=8-6", "https://www.amazon.com/adidas-Soccer-Condivo-Winter-Jacket/dp/B078LC9YKV/ref=sr_1_6?keywords=adidas+Condivo+22+Winter+Jacket+Youth&amp;qid=1695171145&amp;sr=8-6")</f>
        <v/>
      </c>
      <c r="F3592" t="inlineStr">
        <is>
          <t>B078LC9YKV</t>
        </is>
      </c>
      <c r="G3592">
        <f>_xludf.IMAGE("https://www.soccerplususa.com/prodimages//35161-BLACKWHITE-M.jpg")</f>
        <v/>
      </c>
      <c r="H3592">
        <f>_xludf.IMAGE("https://m.media-amazon.com/images/I/41o7dZPORXL._AC_UL320_.jpg")</f>
        <v/>
      </c>
      <c r="K3592" t="inlineStr">
        <is>
          <t>119.95</t>
        </is>
      </c>
      <c r="L3592" t="n">
        <v>99.31</v>
      </c>
      <c r="M3592" s="1" t="inlineStr">
        <is>
          <t>-17.21%</t>
        </is>
      </c>
      <c r="N3592" s="3" t="n">
        <v>-17.21</v>
      </c>
      <c r="O3592" t="n">
        <v>4.1</v>
      </c>
      <c r="P3592" t="n">
        <v>14</v>
      </c>
      <c r="R3592" t="inlineStr">
        <is>
          <t>InStock</t>
        </is>
      </c>
      <c r="S3592" t="inlineStr">
        <is>
          <t>undefined</t>
        </is>
      </c>
      <c r="T3592" t="inlineStr">
        <is>
          <t>H21284</t>
        </is>
      </c>
    </row>
    <row r="3593" hidden="1" ht="15.75" customHeight="1">
      <c r="A3593" s="2">
        <f>HYPERLINK("https://www.soccerplususa.com/puma/puma-liga-jersey-womens-39602", "https://www.soccerplususa.com/puma/puma-liga-jersey-womens-39602")</f>
        <v/>
      </c>
      <c r="B3593" t="inlineStr">
        <is>
          <t>undefined</t>
        </is>
      </c>
      <c r="C3593" t="inlineStr">
        <is>
          <t>Puma Liga Jersey Women's</t>
        </is>
      </c>
      <c r="D3593" t="inlineStr">
        <is>
          <t>PUMA Men's Liga Jersey</t>
        </is>
      </c>
      <c r="E3593" s="2">
        <f>HYPERLINK("https://www.amazon.com/PUMA-70342613-LIGA-Jersey-W/dp/B075RFV4VD/ref=sr_1_10?keywords=Puma+Liga+Jersey+Womens&amp;qid=1695171150&amp;sr=8-10", "https://www.amazon.com/PUMA-70342613-LIGA-Jersey-W/dp/B075RFV4VD/ref=sr_1_10?keywords=Puma+Liga+Jersey+Womens&amp;qid=1695171150&amp;sr=8-10")</f>
        <v/>
      </c>
      <c r="F3593" t="inlineStr">
        <is>
          <t>B075RFV4VD</t>
        </is>
      </c>
      <c r="G3593">
        <f>_xludf.IMAGE("https://www.soccerplususa.com/prodimages//36786-REDWHITE-M.jpg")</f>
        <v/>
      </c>
      <c r="H3593">
        <f>_xludf.IMAGE("https://m.media-amazon.com/images/I/51ufXLu6e3L._AC_UL320_.jpg")</f>
        <v/>
      </c>
      <c r="K3593" t="inlineStr">
        <is>
          <t>20.99</t>
        </is>
      </c>
      <c r="L3593" t="n">
        <v>17.35</v>
      </c>
      <c r="M3593" s="1" t="inlineStr">
        <is>
          <t>-17.34%</t>
        </is>
      </c>
      <c r="N3593" s="3" t="n">
        <v>-17.34</v>
      </c>
      <c r="O3593" t="n">
        <v>4.6</v>
      </c>
      <c r="P3593" t="n">
        <v>20</v>
      </c>
      <c r="R3593" t="inlineStr">
        <is>
          <t>InStock</t>
        </is>
      </c>
      <c r="S3593" t="inlineStr">
        <is>
          <t>27.95</t>
        </is>
      </c>
      <c r="T3593" t="inlineStr">
        <is>
          <t>703426-01</t>
        </is>
      </c>
    </row>
    <row r="3594" hidden="1" ht="15.75" customHeight="1">
      <c r="A3594" s="2">
        <f>HYPERLINK("https://www.soccerplususa.com/adidas/adidas-core-18-training-top-33852", "https://www.soccerplususa.com/adidas/adidas-core-18-training-top-33852")</f>
        <v/>
      </c>
      <c r="B3594" t="inlineStr">
        <is>
          <t>undefined</t>
        </is>
      </c>
      <c r="C3594" t="inlineStr">
        <is>
          <t>adidas Core 18 Training Top</t>
        </is>
      </c>
      <c r="D3594" t="inlineStr">
        <is>
          <t>adidas Men's Core 18 Training Jersey</t>
        </is>
      </c>
      <c r="E3594" s="2">
        <f>HYPERLINK("https://www.amazon.com/adidas-Core18-Jersey-White-Medium/dp/B0721VYW2R/ref=sr_1_3?keywords=adidas+Core+18+Training+Top&amp;qid=1695171165&amp;sr=8-3", "https://www.amazon.com/adidas-Core18-Jersey-White-Medium/dp/B0721VYW2R/ref=sr_1_3?keywords=adidas+Core+18+Training+Top&amp;qid=1695171165&amp;sr=8-3")</f>
        <v/>
      </c>
      <c r="F3594" t="inlineStr">
        <is>
          <t>B0721VYW2R</t>
        </is>
      </c>
      <c r="G3594">
        <f>_xludf.IMAGE("https://www.soccerplususa.com/prodimages/33345-DEFAULT-l.jpg")</f>
        <v/>
      </c>
      <c r="H3594">
        <f>_xludf.IMAGE("https://m.media-amazon.com/images/I/51Qfy9nv0PL._AC_UL320_.jpg")</f>
        <v/>
      </c>
      <c r="K3594" t="inlineStr">
        <is>
          <t>22.99</t>
        </is>
      </c>
      <c r="L3594" t="n">
        <v>18.99</v>
      </c>
      <c r="M3594" s="1" t="inlineStr">
        <is>
          <t>-17.40%</t>
        </is>
      </c>
      <c r="N3594" s="3" t="n">
        <v>-17.4</v>
      </c>
      <c r="O3594" t="n">
        <v>4.5</v>
      </c>
      <c r="P3594" t="n">
        <v>3246</v>
      </c>
      <c r="R3594" t="inlineStr">
        <is>
          <t>InStock</t>
        </is>
      </c>
      <c r="S3594" t="inlineStr">
        <is>
          <t>30.95</t>
        </is>
      </c>
      <c r="T3594" t="inlineStr">
        <is>
          <t>CV4000</t>
        </is>
      </c>
    </row>
    <row r="3595" hidden="1" ht="15.75" customHeight="1">
      <c r="A3595" s="2">
        <f>HYPERLINK("https://www.soccerplususa.com/adidas/adidas-tiro-13-jersey-youth-9166", "https://www.soccerplususa.com/adidas/adidas-tiro-13-jersey-youth-9166")</f>
        <v/>
      </c>
      <c r="B3595" t="inlineStr">
        <is>
          <t>undefined</t>
        </is>
      </c>
      <c r="C3595" t="inlineStr">
        <is>
          <t>adidas Tiro 13 Jersey Youth</t>
        </is>
      </c>
      <c r="D3595" t="inlineStr">
        <is>
          <t>adidas Boys' Alphaskin Tiro Youth Jersey</t>
        </is>
      </c>
      <c r="E3595" s="2">
        <f>HYPERLINK("https://www.amazon.com/adidas-Alphaskin-Youth-Jersey-X-Large/dp/B07DXQYZG1/ref=sr_1_1?keywords=adidas+Tiro+13+Jersey+Youth&amp;qid=1695171198&amp;sr=8-1", "https://www.amazon.com/adidas-Alphaskin-Youth-Jersey-X-Large/dp/B07DXQYZG1/ref=sr_1_1?keywords=adidas+Tiro+13+Jersey+Youth&amp;qid=1695171198&amp;sr=8-1")</f>
        <v/>
      </c>
      <c r="F3595" t="inlineStr">
        <is>
          <t>B07DXQYZG1</t>
        </is>
      </c>
      <c r="G3595">
        <f>_xludf.IMAGE("https://www.soccerplususa.com/prodimages/3220-DEFAULT-l.jpg")</f>
        <v/>
      </c>
      <c r="H3595">
        <f>_xludf.IMAGE("https://m.media-amazon.com/images/I/51FrkChU33L._AC_UL320_.jpg")</f>
        <v/>
      </c>
      <c r="K3595" t="inlineStr">
        <is>
          <t>17.0</t>
        </is>
      </c>
      <c r="L3595" t="n">
        <v>14.04</v>
      </c>
      <c r="M3595" s="1" t="inlineStr">
        <is>
          <t>-17.41%</t>
        </is>
      </c>
      <c r="N3595" s="3" t="n">
        <v>-17.41</v>
      </c>
      <c r="O3595" t="n">
        <v>4.9</v>
      </c>
      <c r="P3595" t="n">
        <v>40</v>
      </c>
      <c r="R3595" t="inlineStr">
        <is>
          <t>InStock</t>
        </is>
      </c>
      <c r="S3595" t="inlineStr">
        <is>
          <t>34.95</t>
        </is>
      </c>
      <c r="T3595" t="inlineStr">
        <is>
          <t>Z71495</t>
        </is>
      </c>
    </row>
    <row r="3596" hidden="1" ht="15.75" customHeight="1">
      <c r="A3596" s="2">
        <f>HYPERLINK("https://www.soccerplususa.com/adidas/adidas-tiro-13-jersey-youth-8932", "https://www.soccerplususa.com/adidas/adidas-tiro-13-jersey-youth-8932")</f>
        <v/>
      </c>
      <c r="B3596" t="inlineStr">
        <is>
          <t>undefined</t>
        </is>
      </c>
      <c r="C3596" t="inlineStr">
        <is>
          <t>adidas Tiro 13 Jersey Youth</t>
        </is>
      </c>
      <c r="D3596" t="inlineStr">
        <is>
          <t>adidas Boys' Alphaskin Tiro Youth Jersey</t>
        </is>
      </c>
      <c r="E3596" s="2">
        <f>HYPERLINK("https://www.amazon.com/adidas-Alphaskin-Youth-Jersey-X-Large/dp/B07DXQYZG1/ref=sr_1_1?keywords=adidas+Tiro+13+Jersey+Youth&amp;qid=1695171191&amp;sr=8-1", "https://www.amazon.com/adidas-Alphaskin-Youth-Jersey-X-Large/dp/B07DXQYZG1/ref=sr_1_1?keywords=adidas+Tiro+13+Jersey+Youth&amp;qid=1695171191&amp;sr=8-1")</f>
        <v/>
      </c>
      <c r="F3596" t="inlineStr">
        <is>
          <t>B07DXQYZG1</t>
        </is>
      </c>
      <c r="G3596">
        <f>_xludf.IMAGE("https://www.soccerplususa.com/prodimages/3219-DEFAULT-l.jpg")</f>
        <v/>
      </c>
      <c r="H3596">
        <f>_xludf.IMAGE("https://m.media-amazon.com/images/I/51FrkChU33L._AC_UL320_.jpg")</f>
        <v/>
      </c>
      <c r="K3596" t="inlineStr">
        <is>
          <t>17.0</t>
        </is>
      </c>
      <c r="L3596" t="n">
        <v>14.04</v>
      </c>
      <c r="M3596" s="1" t="inlineStr">
        <is>
          <t>-17.41%</t>
        </is>
      </c>
      <c r="N3596" s="3" t="n">
        <v>-17.41</v>
      </c>
      <c r="O3596" t="n">
        <v>4.9</v>
      </c>
      <c r="P3596" t="n">
        <v>40</v>
      </c>
      <c r="R3596" t="inlineStr">
        <is>
          <t>InStock</t>
        </is>
      </c>
      <c r="S3596" t="inlineStr">
        <is>
          <t>34.95</t>
        </is>
      </c>
      <c r="T3596" t="inlineStr">
        <is>
          <t>X58022</t>
        </is>
      </c>
    </row>
    <row r="3597" hidden="1" ht="15.75" customHeight="1">
      <c r="A3597" s="2">
        <f>HYPERLINK("https://www.soccerplususa.com/adidas/adidas-tiro-13-jersey-youth-9168", "https://www.soccerplususa.com/adidas/adidas-tiro-13-jersey-youth-9168")</f>
        <v/>
      </c>
      <c r="B3597" t="inlineStr">
        <is>
          <t>undefined</t>
        </is>
      </c>
      <c r="C3597" t="inlineStr">
        <is>
          <t>adidas Tiro 13 Jersey Youth</t>
        </is>
      </c>
      <c r="D3597" t="inlineStr">
        <is>
          <t>adidas Boys' Alphaskin Tiro Youth Jersey</t>
        </is>
      </c>
      <c r="E3597" s="2">
        <f>HYPERLINK("https://www.amazon.com/adidas-Alphaskin-Youth-Jersey-X-Large/dp/B07DXQYZG1/ref=sr_1_1?keywords=adidas+Tiro+13+Jersey+Youth&amp;qid=1695171197&amp;sr=8-1", "https://www.amazon.com/adidas-Alphaskin-Youth-Jersey-X-Large/dp/B07DXQYZG1/ref=sr_1_1?keywords=adidas+Tiro+13+Jersey+Youth&amp;qid=1695171197&amp;sr=8-1")</f>
        <v/>
      </c>
      <c r="F3597" t="inlineStr">
        <is>
          <t>B07DXQYZG1</t>
        </is>
      </c>
      <c r="G3597">
        <f>_xludf.IMAGE("https://www.soccerplususa.com/prodimages/3221-DEFAULT-l.jpg")</f>
        <v/>
      </c>
      <c r="H3597">
        <f>_xludf.IMAGE("https://m.media-amazon.com/images/I/51FrkChU33L._AC_UL320_.jpg")</f>
        <v/>
      </c>
      <c r="K3597" t="inlineStr">
        <is>
          <t>17.0</t>
        </is>
      </c>
      <c r="L3597" t="n">
        <v>14.04</v>
      </c>
      <c r="M3597" s="1" t="inlineStr">
        <is>
          <t>-17.41%</t>
        </is>
      </c>
      <c r="N3597" s="3" t="n">
        <v>-17.41</v>
      </c>
      <c r="O3597" t="n">
        <v>4.9</v>
      </c>
      <c r="P3597" t="n">
        <v>40</v>
      </c>
      <c r="R3597" t="inlineStr">
        <is>
          <t>InStock</t>
        </is>
      </c>
      <c r="S3597" t="inlineStr">
        <is>
          <t>34.95</t>
        </is>
      </c>
      <c r="T3597" t="inlineStr">
        <is>
          <t>Z71497</t>
        </is>
      </c>
    </row>
    <row r="3598" hidden="1" ht="15.75" customHeight="1">
      <c r="A3598" s="2">
        <f>HYPERLINK("https://www.soccerplususa.com/adidas/adidas-tiro-17-jersey-4868", "https://www.soccerplususa.com/adidas/adidas-tiro-17-jersey-4868")</f>
        <v/>
      </c>
      <c r="B3598" t="inlineStr">
        <is>
          <t>undefined</t>
        </is>
      </c>
      <c r="C3598" t="inlineStr">
        <is>
          <t>adidas Tiro 17 Jersey</t>
        </is>
      </c>
      <c r="D3598" t="inlineStr">
        <is>
          <t>adidas Womens Tiro 17 Jersey</t>
        </is>
      </c>
      <c r="E3598" s="2">
        <f>HYPERLINK("https://www.amazon.com/adidas-Womens-Embellished-T-Shirt-Medium/dp/B06XX4BHD2/ref=sr_1_5?keywords=adidas+Tiro+17+Jersey&amp;qid=1695171228&amp;sr=8-5", "https://www.amazon.com/adidas-Womens-Embellished-T-Shirt-Medium/dp/B06XX4BHD2/ref=sr_1_5?keywords=adidas+Tiro+17+Jersey&amp;qid=1695171228&amp;sr=8-5")</f>
        <v/>
      </c>
      <c r="F3598" t="inlineStr">
        <is>
          <t>B06XX4BHD2</t>
        </is>
      </c>
      <c r="G3598">
        <f>_xludf.IMAGE("https://www.soccerplususa.com/prodimages/32792-DEFAULT-l.jpg")</f>
        <v/>
      </c>
      <c r="H3598">
        <f>_xludf.IMAGE("https://m.media-amazon.com/images/I/51mgSEt736L._AC_UL320_.jpg")</f>
        <v/>
      </c>
      <c r="K3598" t="inlineStr">
        <is>
          <t>29.99</t>
        </is>
      </c>
      <c r="L3598" t="n">
        <v>24.74</v>
      </c>
      <c r="M3598" s="1" t="inlineStr">
        <is>
          <t>-17.51%</t>
        </is>
      </c>
      <c r="N3598" s="3" t="n">
        <v>-17.51</v>
      </c>
      <c r="O3598" t="n">
        <v>5</v>
      </c>
      <c r="P3598" t="n">
        <v>6</v>
      </c>
      <c r="R3598" t="inlineStr">
        <is>
          <t>InStock</t>
        </is>
      </c>
      <c r="S3598" t="inlineStr">
        <is>
          <t>39.95</t>
        </is>
      </c>
      <c r="T3598" t="inlineStr">
        <is>
          <t>BK5435</t>
        </is>
      </c>
    </row>
    <row r="3599" hidden="1" ht="15.75" customHeight="1">
      <c r="A3599" s="2">
        <f>HYPERLINK("https://www.soccerplususa.com/new-balance/new-balance-knit-training-jacket-34482", "https://www.soccerplususa.com/new-balance/new-balance-knit-training-jacket-34482")</f>
        <v/>
      </c>
      <c r="B3599" t="inlineStr">
        <is>
          <t>undefined</t>
        </is>
      </c>
      <c r="C3599" t="inlineStr">
        <is>
          <t>New Balance Knit Training Jacket</t>
        </is>
      </c>
      <c r="D3599" t="inlineStr">
        <is>
          <t>New Balance Men's Tenacity Football Training Track Jacket</t>
        </is>
      </c>
      <c r="E3599" s="2">
        <f>HYPERLINK("https://www.amazon.com/New-Balance-Tenacity-Phantom-X-Large/dp/B09HY61V3Q/ref=sr_1_3?keywords=New+Balance+Knit+Training+Jacket&amp;qid=1695171164&amp;sr=8-3", "https://www.amazon.com/New-Balance-Tenacity-Phantom-X-Large/dp/B09HY61V3Q/ref=sr_1_3?keywords=New+Balance+Knit+Training+Jacket&amp;qid=1695171164&amp;sr=8-3")</f>
        <v/>
      </c>
      <c r="F3599" t="inlineStr">
        <is>
          <t>B09HY61V3Q</t>
        </is>
      </c>
      <c r="G3599">
        <f>_xludf.IMAGE("https://www.soccerplususa.com/prodimages/32418-DEFAULT-l.jpg")</f>
        <v/>
      </c>
      <c r="H3599">
        <f>_xludf.IMAGE("https://m.media-amazon.com/images/I/81kYHOqRulL._AC_UL320_.jpg")</f>
        <v/>
      </c>
      <c r="K3599" t="inlineStr">
        <is>
          <t>52.0</t>
        </is>
      </c>
      <c r="L3599" t="n">
        <v>42.65</v>
      </c>
      <c r="M3599" s="1" t="inlineStr">
        <is>
          <t>-17.98%</t>
        </is>
      </c>
      <c r="N3599" s="3" t="n">
        <v>-17.98</v>
      </c>
      <c r="O3599" t="n">
        <v>4.2</v>
      </c>
      <c r="P3599" t="n">
        <v>3</v>
      </c>
      <c r="R3599" t="inlineStr">
        <is>
          <t>InStock</t>
        </is>
      </c>
      <c r="S3599" t="inlineStr">
        <is>
          <t>69.95</t>
        </is>
      </c>
      <c r="T3599" t="inlineStr">
        <is>
          <t>TMMJ599</t>
        </is>
      </c>
    </row>
    <row r="3600" hidden="1" ht="15.75" customHeight="1">
      <c r="A3600" s="2">
        <f>HYPERLINK("https://www.soccerplususa.com/under-armour/under-armour-coldgear-armour-fitted-mock-41592", "https://www.soccerplususa.com/under-armour/under-armour-coldgear-armour-fitted-mock-41592")</f>
        <v/>
      </c>
      <c r="B3600" t="inlineStr">
        <is>
          <t>undefined</t>
        </is>
      </c>
      <c r="C3600" t="inlineStr">
        <is>
          <t>Under Armour ColdGear Armour Fitted Mock</t>
        </is>
      </c>
      <c r="D3600" t="inlineStr">
        <is>
          <t>Under Armour Men's ColdGear Compression Mock</t>
        </is>
      </c>
      <c r="E3600" s="2">
        <f>HYPERLINK("https://www.amazon.com/Under-Armour-ColdGear-Compression-Black/dp/B08LPM6J1C/ref=sr_1_2?keywords=Under+Armour+ColdGear+Armour+Fitted+Mock&amp;qid=1695171146&amp;sr=8-2", "https://www.amazon.com/Under-Armour-ColdGear-Compression-Black/dp/B08LPM6J1C/ref=sr_1_2?keywords=Under+Armour+ColdGear+Armour+Fitted+Mock&amp;qid=1695171146&amp;sr=8-2")</f>
        <v/>
      </c>
      <c r="F3600" t="inlineStr">
        <is>
          <t>B08LPM6J1C</t>
        </is>
      </c>
      <c r="G3600">
        <f>_xludf.IMAGE("https://www.soccerplususa.com/prodimages//36795-BLACK-M.jpg")</f>
        <v/>
      </c>
      <c r="H3600">
        <f>_xludf.IMAGE("https://m.media-amazon.com/images/I/71OiO5xp7oL._AC_UL320_.jpg")</f>
        <v/>
      </c>
      <c r="K3600" t="inlineStr">
        <is>
          <t>54.95</t>
        </is>
      </c>
      <c r="L3600" t="n">
        <v>45</v>
      </c>
      <c r="M3600" s="1" t="inlineStr">
        <is>
          <t>-18.11%</t>
        </is>
      </c>
      <c r="N3600" s="3" t="n">
        <v>-18.11</v>
      </c>
      <c r="O3600" t="n">
        <v>4.7</v>
      </c>
      <c r="P3600" t="n">
        <v>2091</v>
      </c>
      <c r="R3600" t="inlineStr">
        <is>
          <t>InStock</t>
        </is>
      </c>
      <c r="S3600" t="inlineStr">
        <is>
          <t>undefined</t>
        </is>
      </c>
      <c r="T3600" t="inlineStr">
        <is>
          <t>1366066-001</t>
        </is>
      </c>
    </row>
    <row r="3601" hidden="1" ht="15.75" customHeight="1">
      <c r="A3601" s="2">
        <f>HYPERLINK("https://www.soccerplususa.com/under-armour/under-armour-coldgear-compression-mock-44300", "https://www.soccerplususa.com/under-armour/under-armour-coldgear-compression-mock-44300")</f>
        <v/>
      </c>
      <c r="B3601" t="inlineStr">
        <is>
          <t>undefined</t>
        </is>
      </c>
      <c r="C3601" t="inlineStr">
        <is>
          <t>Under Armour ColdGear Compression Mock</t>
        </is>
      </c>
      <c r="D3601" t="inlineStr">
        <is>
          <t>Under Armour Men's ColdGear Compression Mock</t>
        </is>
      </c>
      <c r="E3601" s="2">
        <f>HYPERLINK("https://www.amazon.com/Under-Armour-ColdGear-Compression-Black/dp/B08LPM6J1C/ref=sr_1_1?keywords=Under+Armour+ColdGear+Compression+Mock&amp;qid=1695171160&amp;sr=8-1", "https://www.amazon.com/Under-Armour-ColdGear-Compression-Black/dp/B08LPM6J1C/ref=sr_1_1?keywords=Under+Armour+ColdGear+Compression+Mock&amp;qid=1695171160&amp;sr=8-1")</f>
        <v/>
      </c>
      <c r="F3601" t="inlineStr">
        <is>
          <t>B08LPM6J1C</t>
        </is>
      </c>
      <c r="G3601">
        <f>_xludf.IMAGE("https://www.soccerplususa.com/prodimages//36057-BLACK-M.jpg")</f>
        <v/>
      </c>
      <c r="H3601">
        <f>_xludf.IMAGE("https://m.media-amazon.com/images/I/71OiO5xp7oL._AC_UL320_.jpg")</f>
        <v/>
      </c>
      <c r="K3601" t="inlineStr">
        <is>
          <t>54.95</t>
        </is>
      </c>
      <c r="L3601" t="n">
        <v>45</v>
      </c>
      <c r="M3601" s="1" t="inlineStr">
        <is>
          <t>-18.11%</t>
        </is>
      </c>
      <c r="N3601" s="3" t="n">
        <v>-18.11</v>
      </c>
      <c r="O3601" t="n">
        <v>4.7</v>
      </c>
      <c r="P3601" t="n">
        <v>2091</v>
      </c>
      <c r="R3601" t="inlineStr">
        <is>
          <t>InStock</t>
        </is>
      </c>
      <c r="S3601" t="inlineStr">
        <is>
          <t>undefined</t>
        </is>
      </c>
      <c r="T3601" t="inlineStr">
        <is>
          <t>1366072-001</t>
        </is>
      </c>
    </row>
    <row r="3602" hidden="1" ht="15.75" customHeight="1">
      <c r="A3602" s="2">
        <f>HYPERLINK("https://www.soccerplususa.com/adidas/adidas-tabela-18-jersey-5115", "https://www.soccerplususa.com/adidas/adidas-tabela-18-jersey-5115")</f>
        <v/>
      </c>
      <c r="B3602" t="inlineStr">
        <is>
          <t>undefined</t>
        </is>
      </c>
      <c r="C3602" t="inlineStr">
        <is>
          <t>adidas Tabela 18 Jersey</t>
        </is>
      </c>
      <c r="D3602" t="inlineStr">
        <is>
          <t>adidas Mens Tabela 18 Soccer Jersey</t>
        </is>
      </c>
      <c r="E3602" s="2">
        <f>HYPERLINK("https://www.amazon.com/adidas-191034919038-TABELA-18-Jersey/dp/B078LCD4RX/ref=sr_1_2?keywords=adidas+Tabela+18+Jersey&amp;qid=1695171223&amp;sr=8-2", "https://www.amazon.com/adidas-191034919038-TABELA-18-Jersey/dp/B078LCD4RX/ref=sr_1_2?keywords=adidas+Tabela+18+Jersey&amp;qid=1695171223&amp;sr=8-2")</f>
        <v/>
      </c>
      <c r="F3602" t="inlineStr">
        <is>
          <t>B078LCD4RX</t>
        </is>
      </c>
      <c r="G3602">
        <f>_xludf.IMAGE("https://www.soccerplususa.com/prodimages//31724-GRAY-M.jpg")</f>
        <v/>
      </c>
      <c r="H3602">
        <f>_xludf.IMAGE("https://m.media-amazon.com/images/I/71SEmpIbeaL._AC_UL320_.jpg")</f>
        <v/>
      </c>
      <c r="K3602" t="inlineStr">
        <is>
          <t>21.99</t>
        </is>
      </c>
      <c r="L3602" t="n">
        <v>18</v>
      </c>
      <c r="M3602" s="1" t="inlineStr">
        <is>
          <t>-18.14%</t>
        </is>
      </c>
      <c r="N3602" s="3" t="n">
        <v>-18.14</v>
      </c>
      <c r="O3602" t="n">
        <v>4.7</v>
      </c>
      <c r="P3602" t="n">
        <v>197</v>
      </c>
      <c r="R3602" t="inlineStr">
        <is>
          <t>InStock</t>
        </is>
      </c>
      <c r="S3602" t="inlineStr">
        <is>
          <t>29.95</t>
        </is>
      </c>
      <c r="T3602" t="inlineStr">
        <is>
          <t>CE8940</t>
        </is>
      </c>
    </row>
    <row r="3603" hidden="1" ht="15.75" customHeight="1">
      <c r="A3603" s="2">
        <f>HYPERLINK("https://www.soccerplususa.com/adidas/adidas-tabela-18-jersey-5113", "https://www.soccerplususa.com/adidas/adidas-tabela-18-jersey-5113")</f>
        <v/>
      </c>
      <c r="B3603" t="inlineStr">
        <is>
          <t>undefined</t>
        </is>
      </c>
      <c r="C3603" t="inlineStr">
        <is>
          <t>adidas Tabela 18 Jersey</t>
        </is>
      </c>
      <c r="D3603" t="inlineStr">
        <is>
          <t>adidas Mens Tabela 18 Soccer Jersey</t>
        </is>
      </c>
      <c r="E3603" s="2">
        <f>HYPERLINK("https://www.amazon.com/adidas-191034919038-TABELA-18-Jersey/dp/B078LCD4RX/ref=sr_1_2?keywords=adidas+Tabela+18+Jersey&amp;qid=1695171233&amp;sr=8-2", "https://www.amazon.com/adidas-191034919038-TABELA-18-Jersey/dp/B078LCD4RX/ref=sr_1_2?keywords=adidas+Tabela+18+Jersey&amp;qid=1695171233&amp;sr=8-2")</f>
        <v/>
      </c>
      <c r="F3603" t="inlineStr">
        <is>
          <t>B078LCD4RX</t>
        </is>
      </c>
      <c r="G3603">
        <f>_xludf.IMAGE("https://www.soccerplususa.com/prodimages//31723-BLACK-M.jpg")</f>
        <v/>
      </c>
      <c r="H3603">
        <f>_xludf.IMAGE("https://m.media-amazon.com/images/I/71SEmpIbeaL._AC_UL320_.jpg")</f>
        <v/>
      </c>
      <c r="K3603" t="inlineStr">
        <is>
          <t>21.99</t>
        </is>
      </c>
      <c r="L3603" t="n">
        <v>18</v>
      </c>
      <c r="M3603" s="1" t="inlineStr">
        <is>
          <t>-18.14%</t>
        </is>
      </c>
      <c r="N3603" s="3" t="n">
        <v>-18.14</v>
      </c>
      <c r="O3603" t="n">
        <v>4.7</v>
      </c>
      <c r="P3603" t="n">
        <v>197</v>
      </c>
      <c r="R3603" t="inlineStr">
        <is>
          <t>InStock</t>
        </is>
      </c>
      <c r="S3603" t="inlineStr">
        <is>
          <t>29.95</t>
        </is>
      </c>
      <c r="T3603" t="inlineStr">
        <is>
          <t>CE8934</t>
        </is>
      </c>
    </row>
    <row r="3604" hidden="1" ht="15.75" customHeight="1">
      <c r="A3604" s="2">
        <f>HYPERLINK("https://www.soccerplususa.com/adidas/adidas-tabela-18-jersey-5113", "https://www.soccerplususa.com/adidas/adidas-tabela-18-jersey-5113")</f>
        <v/>
      </c>
      <c r="B3604" t="inlineStr">
        <is>
          <t>undefined</t>
        </is>
      </c>
      <c r="C3604" t="inlineStr">
        <is>
          <t>adidas Tabela 18 Jersey</t>
        </is>
      </c>
      <c r="D3604" t="inlineStr">
        <is>
          <t>adidas mens Tabela 18 Soccer Jersey</t>
        </is>
      </c>
      <c r="E3604" s="2">
        <f>HYPERLINK("https://www.amazon.com/adidas-TABELA-18-Jersey%E2%9D%97%EF%B8%8FShips-Directly/dp/B078LC7FNL/ref=sr_1_3?keywords=adidas+Tabela+18+Jersey&amp;qid=1695171233&amp;sr=8-3", "https://www.amazon.com/adidas-TABELA-18-Jersey%E2%9D%97%EF%B8%8FShips-Directly/dp/B078LC7FNL/ref=sr_1_3?keywords=adidas+Tabela+18+Jersey&amp;qid=1695171233&amp;sr=8-3")</f>
        <v/>
      </c>
      <c r="F3604" t="inlineStr">
        <is>
          <t>B078LC7FNL</t>
        </is>
      </c>
      <c r="G3604">
        <f>_xludf.IMAGE("https://www.soccerplususa.com/prodimages//31723-BLACK-M.jpg")</f>
        <v/>
      </c>
      <c r="H3604">
        <f>_xludf.IMAGE("https://m.media-amazon.com/images/I/71jcM+IqhyL._AC_UL320_.jpg")</f>
        <v/>
      </c>
      <c r="K3604" t="inlineStr">
        <is>
          <t>21.99</t>
        </is>
      </c>
      <c r="L3604" t="n">
        <v>18</v>
      </c>
      <c r="M3604" s="1" t="inlineStr">
        <is>
          <t>-18.14%</t>
        </is>
      </c>
      <c r="N3604" s="3" t="n">
        <v>-18.14</v>
      </c>
      <c r="O3604" t="n">
        <v>4.7</v>
      </c>
      <c r="P3604" t="n">
        <v>12</v>
      </c>
      <c r="R3604" t="inlineStr">
        <is>
          <t>InStock</t>
        </is>
      </c>
      <c r="S3604" t="inlineStr">
        <is>
          <t>29.95</t>
        </is>
      </c>
      <c r="T3604" t="inlineStr">
        <is>
          <t>CE8934</t>
        </is>
      </c>
    </row>
    <row r="3605" hidden="1" ht="15.75" customHeight="1">
      <c r="A3605" s="2">
        <f>HYPERLINK("https://www.soccerplususa.com/adidas/adidas-tabela-18-jersey-33808", "https://www.soccerplususa.com/adidas/adidas-tabela-18-jersey-33808")</f>
        <v/>
      </c>
      <c r="B3605" t="inlineStr">
        <is>
          <t>undefined</t>
        </is>
      </c>
      <c r="C3605" t="inlineStr">
        <is>
          <t>adidas Tabela 18 Jersey</t>
        </is>
      </c>
      <c r="D3605" t="inlineStr">
        <is>
          <t>adidas mens Tabela 18 Soccer Jersey</t>
        </is>
      </c>
      <c r="E3605" s="2">
        <f>HYPERLINK("https://www.amazon.com/adidas-TABELA-18-Jersey%E2%9D%97%EF%B8%8FShips-Directly/dp/B078LC7FNL/ref=sr_1_3?keywords=adidas+Tabela+18+Jersey&amp;qid=1695171170&amp;sr=8-3", "https://www.amazon.com/adidas-TABELA-18-Jersey%E2%9D%97%EF%B8%8FShips-Directly/dp/B078LC7FNL/ref=sr_1_3?keywords=adidas+Tabela+18+Jersey&amp;qid=1695171170&amp;sr=8-3")</f>
        <v/>
      </c>
      <c r="F3605" t="inlineStr">
        <is>
          <t>B078LC7FNL</t>
        </is>
      </c>
      <c r="G3605">
        <f>_xludf.IMAGE("https://www.soccerplususa.com/prodimages//35356-REDWHITE-M.jpg")</f>
        <v/>
      </c>
      <c r="H3605">
        <f>_xludf.IMAGE("https://m.media-amazon.com/images/I/71jcM+IqhyL._AC_UL320_.jpg")</f>
        <v/>
      </c>
      <c r="K3605" t="inlineStr">
        <is>
          <t>21.99</t>
        </is>
      </c>
      <c r="L3605" t="n">
        <v>18</v>
      </c>
      <c r="M3605" s="1" t="inlineStr">
        <is>
          <t>-18.14%</t>
        </is>
      </c>
      <c r="N3605" s="3" t="n">
        <v>-18.14</v>
      </c>
      <c r="O3605" t="n">
        <v>4.7</v>
      </c>
      <c r="P3605" t="n">
        <v>12</v>
      </c>
      <c r="R3605" t="inlineStr">
        <is>
          <t>InStock</t>
        </is>
      </c>
      <c r="S3605" t="inlineStr">
        <is>
          <t>29.95</t>
        </is>
      </c>
      <c r="T3605" t="inlineStr">
        <is>
          <t>CE8935</t>
        </is>
      </c>
    </row>
    <row r="3606" hidden="1" ht="15.75" customHeight="1">
      <c r="A3606" s="2">
        <f>HYPERLINK("https://www.soccerplususa.com/adidas/adidas-tabela-18-jersey-33808", "https://www.soccerplususa.com/adidas/adidas-tabela-18-jersey-33808")</f>
        <v/>
      </c>
      <c r="B3606" t="inlineStr">
        <is>
          <t>undefined</t>
        </is>
      </c>
      <c r="C3606" t="inlineStr">
        <is>
          <t>adidas Tabela 18 Jersey</t>
        </is>
      </c>
      <c r="D3606" t="inlineStr">
        <is>
          <t>adidas Mens Tabela 18 Soccer Jersey</t>
        </is>
      </c>
      <c r="E3606" s="2">
        <f>HYPERLINK("https://www.amazon.com/adidas-191034919038-TABELA-18-Jersey/dp/B078LCD4RX/ref=sr_1_2?keywords=adidas+Tabela+18+Jersey&amp;qid=1695171170&amp;sr=8-2", "https://www.amazon.com/adidas-191034919038-TABELA-18-Jersey/dp/B078LCD4RX/ref=sr_1_2?keywords=adidas+Tabela+18+Jersey&amp;qid=1695171170&amp;sr=8-2")</f>
        <v/>
      </c>
      <c r="F3606" t="inlineStr">
        <is>
          <t>B078LCD4RX</t>
        </is>
      </c>
      <c r="G3606">
        <f>_xludf.IMAGE("https://www.soccerplususa.com/prodimages//35356-REDWHITE-M.jpg")</f>
        <v/>
      </c>
      <c r="H3606">
        <f>_xludf.IMAGE("https://m.media-amazon.com/images/I/71SEmpIbeaL._AC_UL320_.jpg")</f>
        <v/>
      </c>
      <c r="K3606" t="inlineStr">
        <is>
          <t>21.99</t>
        </is>
      </c>
      <c r="L3606" t="n">
        <v>18</v>
      </c>
      <c r="M3606" s="1" t="inlineStr">
        <is>
          <t>-18.14%</t>
        </is>
      </c>
      <c r="N3606" s="3" t="n">
        <v>-18.14</v>
      </c>
      <c r="O3606" t="n">
        <v>4.7</v>
      </c>
      <c r="P3606" t="n">
        <v>197</v>
      </c>
      <c r="R3606" t="inlineStr">
        <is>
          <t>InStock</t>
        </is>
      </c>
      <c r="S3606" t="inlineStr">
        <is>
          <t>29.95</t>
        </is>
      </c>
      <c r="T3606" t="inlineStr">
        <is>
          <t>CE8935</t>
        </is>
      </c>
    </row>
    <row r="3607" hidden="1" ht="15.75" customHeight="1">
      <c r="A3607" s="2">
        <f>HYPERLINK("https://www.soccerplususa.com/adidas/adidas-tabela-18-jersey-5116", "https://www.soccerplususa.com/adidas/adidas-tabela-18-jersey-5116")</f>
        <v/>
      </c>
      <c r="B3607" t="inlineStr">
        <is>
          <t>undefined</t>
        </is>
      </c>
      <c r="C3607" t="inlineStr">
        <is>
          <t>adidas Tabela 18 Jersey</t>
        </is>
      </c>
      <c r="D3607" t="inlineStr">
        <is>
          <t>adidas Mens Tabela 18 Soccer Jersey</t>
        </is>
      </c>
      <c r="E3607" s="2">
        <f>HYPERLINK("https://www.amazon.com/adidas-191034919038-TABELA-18-Jersey/dp/B078LCD4RX/ref=sr_1_2?keywords=adidas+Tabela+18+Jersey&amp;qid=1695171247&amp;sr=8-2", "https://www.amazon.com/adidas-191034919038-TABELA-18-Jersey/dp/B078LCD4RX/ref=sr_1_2?keywords=adidas+Tabela+18+Jersey&amp;qid=1695171247&amp;sr=8-2")</f>
        <v/>
      </c>
      <c r="F3607" t="inlineStr">
        <is>
          <t>B078LCD4RX</t>
        </is>
      </c>
      <c r="G3607">
        <f>_xludf.IMAGE("https://www.soccerplususa.com/prodimages//31725-YELLOW-M.jpg")</f>
        <v/>
      </c>
      <c r="H3607">
        <f>_xludf.IMAGE("https://m.media-amazon.com/images/I/71SEmpIbeaL._AC_UL320_.jpg")</f>
        <v/>
      </c>
      <c r="K3607" t="inlineStr">
        <is>
          <t>21.99</t>
        </is>
      </c>
      <c r="L3607" t="n">
        <v>18</v>
      </c>
      <c r="M3607" s="1" t="inlineStr">
        <is>
          <t>-18.14%</t>
        </is>
      </c>
      <c r="N3607" s="3" t="n">
        <v>-18.14</v>
      </c>
      <c r="O3607" t="n">
        <v>4.7</v>
      </c>
      <c r="P3607" t="n">
        <v>197</v>
      </c>
      <c r="R3607" t="inlineStr">
        <is>
          <t>InStock</t>
        </is>
      </c>
      <c r="S3607" t="inlineStr">
        <is>
          <t>29.95</t>
        </is>
      </c>
      <c r="T3607" t="inlineStr">
        <is>
          <t>CE8941</t>
        </is>
      </c>
    </row>
    <row r="3608" hidden="1" ht="15.75" customHeight="1">
      <c r="A3608" s="2">
        <f>HYPERLINK("https://www.soccerplususa.com/adidas/adidas-tabela-18-jersey-5116", "https://www.soccerplususa.com/adidas/adidas-tabela-18-jersey-5116")</f>
        <v/>
      </c>
      <c r="B3608" t="inlineStr">
        <is>
          <t>undefined</t>
        </is>
      </c>
      <c r="C3608" t="inlineStr">
        <is>
          <t>adidas Tabela 18 Jersey</t>
        </is>
      </c>
      <c r="D3608" t="inlineStr">
        <is>
          <t>adidas mens Tabela 18 Soccer Jersey</t>
        </is>
      </c>
      <c r="E3608" s="2">
        <f>HYPERLINK("https://www.amazon.com/adidas-TABELA-18-Jersey%E2%9D%97%EF%B8%8FShips-Directly/dp/B078LC7FNL/ref=sr_1_3?keywords=adidas+Tabela+18+Jersey&amp;qid=1695171247&amp;sr=8-3", "https://www.amazon.com/adidas-TABELA-18-Jersey%E2%9D%97%EF%B8%8FShips-Directly/dp/B078LC7FNL/ref=sr_1_3?keywords=adidas+Tabela+18+Jersey&amp;qid=1695171247&amp;sr=8-3")</f>
        <v/>
      </c>
      <c r="F3608" t="inlineStr">
        <is>
          <t>B078LC7FNL</t>
        </is>
      </c>
      <c r="G3608">
        <f>_xludf.IMAGE("https://www.soccerplususa.com/prodimages//31725-YELLOW-M.jpg")</f>
        <v/>
      </c>
      <c r="H3608">
        <f>_xludf.IMAGE("https://m.media-amazon.com/images/I/71jcM+IqhyL._AC_UL320_.jpg")</f>
        <v/>
      </c>
      <c r="K3608" t="inlineStr">
        <is>
          <t>21.99</t>
        </is>
      </c>
      <c r="L3608" t="n">
        <v>18</v>
      </c>
      <c r="M3608" s="1" t="inlineStr">
        <is>
          <t>-18.14%</t>
        </is>
      </c>
      <c r="N3608" s="3" t="n">
        <v>-18.14</v>
      </c>
      <c r="O3608" t="n">
        <v>4.7</v>
      </c>
      <c r="P3608" t="n">
        <v>12</v>
      </c>
      <c r="R3608" t="inlineStr">
        <is>
          <t>InStock</t>
        </is>
      </c>
      <c r="S3608" t="inlineStr">
        <is>
          <t>29.95</t>
        </is>
      </c>
      <c r="T3608" t="inlineStr">
        <is>
          <t>CE8941</t>
        </is>
      </c>
    </row>
    <row r="3609" hidden="1" ht="15.75" customHeight="1">
      <c r="A3609" s="2">
        <f>HYPERLINK("https://www.soccerplususa.com/adidas/adidas-tabela-18-jersey-5115", "https://www.soccerplususa.com/adidas/adidas-tabela-18-jersey-5115")</f>
        <v/>
      </c>
      <c r="B3609" t="inlineStr">
        <is>
          <t>undefined</t>
        </is>
      </c>
      <c r="C3609" t="inlineStr">
        <is>
          <t>adidas Tabela 18 Jersey</t>
        </is>
      </c>
      <c r="D3609" t="inlineStr">
        <is>
          <t>adidas mens Tabela 18 Soccer Jersey</t>
        </is>
      </c>
      <c r="E3609" s="2">
        <f>HYPERLINK("https://www.amazon.com/adidas-TABELA-18-Jersey%E2%9D%97%EF%B8%8FShips-Directly/dp/B078LC7FNL/ref=sr_1_3?keywords=adidas+Tabela+18+Jersey&amp;qid=1695171223&amp;sr=8-3", "https://www.amazon.com/adidas-TABELA-18-Jersey%E2%9D%97%EF%B8%8FShips-Directly/dp/B078LC7FNL/ref=sr_1_3?keywords=adidas+Tabela+18+Jersey&amp;qid=1695171223&amp;sr=8-3")</f>
        <v/>
      </c>
      <c r="F3609" t="inlineStr">
        <is>
          <t>B078LC7FNL</t>
        </is>
      </c>
      <c r="G3609">
        <f>_xludf.IMAGE("https://www.soccerplususa.com/prodimages//31724-GRAY-M.jpg")</f>
        <v/>
      </c>
      <c r="H3609">
        <f>_xludf.IMAGE("https://m.media-amazon.com/images/I/71jcM+IqhyL._AC_UL320_.jpg")</f>
        <v/>
      </c>
      <c r="K3609" t="inlineStr">
        <is>
          <t>21.99</t>
        </is>
      </c>
      <c r="L3609" t="n">
        <v>18</v>
      </c>
      <c r="M3609" s="1" t="inlineStr">
        <is>
          <t>-18.14%</t>
        </is>
      </c>
      <c r="N3609" s="3" t="n">
        <v>-18.14</v>
      </c>
      <c r="O3609" t="n">
        <v>4.7</v>
      </c>
      <c r="P3609" t="n">
        <v>12</v>
      </c>
      <c r="R3609" t="inlineStr">
        <is>
          <t>InStock</t>
        </is>
      </c>
      <c r="S3609" t="inlineStr">
        <is>
          <t>29.95</t>
        </is>
      </c>
      <c r="T3609" t="inlineStr">
        <is>
          <t>CE8940</t>
        </is>
      </c>
    </row>
    <row r="3610" hidden="1" ht="15.75" customHeight="1">
      <c r="A3610" s="2">
        <f>HYPERLINK("https://www.soccerplususa.com/adidas/adidas-regista-14-jersey-6065", "https://www.soccerplususa.com/adidas/adidas-regista-14-jersey-6065")</f>
        <v/>
      </c>
      <c r="B3610" t="inlineStr">
        <is>
          <t>undefined</t>
        </is>
      </c>
      <c r="C3610" t="inlineStr">
        <is>
          <t>adidas Regista 14 Jersey</t>
        </is>
      </c>
      <c r="D3610" t="inlineStr">
        <is>
          <t>adidas Mens Regista 14 Shorts, Cobalt/White, Small</t>
        </is>
      </c>
      <c r="E3610" s="2">
        <f>HYPERLINK("https://www.amazon.com/Adidas-Climacool-Regista-Short-Cobalt/dp/B00IZHZJP6/ref=sr_1_7?keywords=adidas+Regista+14+Jersey&amp;qid=1695171215&amp;sr=8-7", "https://www.amazon.com/Adidas-Climacool-Regista-Short-Cobalt/dp/B00IZHZJP6/ref=sr_1_7?keywords=adidas+Regista+14+Jersey&amp;qid=1695171215&amp;sr=8-7")</f>
        <v/>
      </c>
      <c r="F3610" t="inlineStr">
        <is>
          <t>B00IZHZJP6</t>
        </is>
      </c>
      <c r="G3610">
        <f>_xludf.IMAGE("https://www.soccerplususa.com/prodimages/32793-DEFAULT-l.jpg")</f>
        <v/>
      </c>
      <c r="H3610">
        <f>_xludf.IMAGE("https://m.media-amazon.com/images/I/415mGa6u4NL._AC_UL320_.jpg")</f>
        <v/>
      </c>
      <c r="K3610" t="inlineStr">
        <is>
          <t>22.0</t>
        </is>
      </c>
      <c r="L3610" t="n">
        <v>17.99</v>
      </c>
      <c r="M3610" s="1" t="inlineStr">
        <is>
          <t>-18.23%</t>
        </is>
      </c>
      <c r="N3610" s="3" t="n">
        <v>-18.23</v>
      </c>
      <c r="O3610" t="n">
        <v>5</v>
      </c>
      <c r="P3610" t="n">
        <v>1</v>
      </c>
      <c r="R3610" t="inlineStr">
        <is>
          <t>InStock</t>
        </is>
      </c>
      <c r="S3610" t="inlineStr">
        <is>
          <t>44.95</t>
        </is>
      </c>
      <c r="T3610" t="inlineStr">
        <is>
          <t>F50009</t>
        </is>
      </c>
    </row>
    <row r="3611" hidden="1" ht="15.75" customHeight="1">
      <c r="A3611" s="2">
        <f>HYPERLINK("https://www.soccerplususa.com/adidas/adidas-regista-16-jersey-4149", "https://www.soccerplususa.com/adidas/adidas-regista-16-jersey-4149")</f>
        <v/>
      </c>
      <c r="B3611" t="inlineStr">
        <is>
          <t>undefined</t>
        </is>
      </c>
      <c r="C3611" t="inlineStr">
        <is>
          <t>adidas Regista 16 Jersey</t>
        </is>
      </c>
      <c r="D3611" t="inlineStr">
        <is>
          <t>adidas Mens Regista Jersey</t>
        </is>
      </c>
      <c r="E3611" s="2">
        <f>HYPERLINK("https://www.amazon.com/adidas-Regista-Jersey-Soccer-White-Bold/dp/B078LLZRDF/ref=sr_1_5?keywords=adidas+Regista+16+Jersey&amp;qid=1695171233&amp;sr=8-5", "https://www.amazon.com/adidas-Regista-Jersey-Soccer-White-Bold/dp/B078LLZRDF/ref=sr_1_5?keywords=adidas+Regista+16+Jersey&amp;qid=1695171233&amp;sr=8-5")</f>
        <v/>
      </c>
      <c r="F3611" t="inlineStr">
        <is>
          <t>B078LLZRDF</t>
        </is>
      </c>
      <c r="G3611">
        <f>_xludf.IMAGE("https://www.soccerplususa.com/prodimages/32795-DEFAULT-l.jpg")</f>
        <v/>
      </c>
      <c r="H3611">
        <f>_xludf.IMAGE("https://m.media-amazon.com/images/I/418ed8POJFL._AC_UL320_.jpg")</f>
        <v/>
      </c>
      <c r="K3611" t="inlineStr">
        <is>
          <t>17.0</t>
        </is>
      </c>
      <c r="L3611" t="n">
        <v>13.9</v>
      </c>
      <c r="M3611" s="1" t="inlineStr">
        <is>
          <t>-18.24%</t>
        </is>
      </c>
      <c r="N3611" s="3" t="n">
        <v>-18.24</v>
      </c>
      <c r="O3611" t="n">
        <v>3.5</v>
      </c>
      <c r="P3611" t="n">
        <v>10</v>
      </c>
      <c r="R3611" t="inlineStr">
        <is>
          <t>InStock</t>
        </is>
      </c>
      <c r="S3611" t="inlineStr">
        <is>
          <t>34.95</t>
        </is>
      </c>
      <c r="T3611" t="inlineStr">
        <is>
          <t>AP0535</t>
        </is>
      </c>
    </row>
    <row r="3612" hidden="1" ht="15.75" customHeight="1">
      <c r="A3612" s="2">
        <f>HYPERLINK("https://www.soccerplususa.com/adidas/adidas-essentials-hoodie-41596", "https://www.soccerplususa.com/adidas/adidas-essentials-hoodie-41596")</f>
        <v/>
      </c>
      <c r="B3612" t="inlineStr">
        <is>
          <t>undefined</t>
        </is>
      </c>
      <c r="C3612" t="inlineStr">
        <is>
          <t>adidas Essentials Hoodie</t>
        </is>
      </c>
      <c r="D3612" t="inlineStr">
        <is>
          <t>adidas Men's Tall Size Essentials French Terry 3-Stripes Hoodie</t>
        </is>
      </c>
      <c r="E3612" s="2">
        <f>HYPERLINK("https://www.amazon.com/adidas-Essentials-French-3-Stripes-Hoodie/dp/B09XCB26KZ/ref=sr_1_9?keywords=adidas+Essentials+Hoodie&amp;qid=1695171148&amp;sr=8-9", "https://www.amazon.com/adidas-Essentials-French-3-Stripes-Hoodie/dp/B09XCB26KZ/ref=sr_1_9?keywords=adidas+Essentials+Hoodie&amp;qid=1695171148&amp;sr=8-9")</f>
        <v/>
      </c>
      <c r="F3612" t="inlineStr">
        <is>
          <t>B09XCB26KZ</t>
        </is>
      </c>
      <c r="G3612">
        <f>_xludf.IMAGE("https://www.soccerplususa.com/prodimages//35143-BLACKWHITE-M.jpg")</f>
        <v/>
      </c>
      <c r="H3612">
        <f>_xludf.IMAGE("https://m.media-amazon.com/images/I/71D8P80V+IL._AC_UL320_.jpg")</f>
        <v/>
      </c>
      <c r="K3612" t="inlineStr">
        <is>
          <t>44.99</t>
        </is>
      </c>
      <c r="L3612" t="n">
        <v>36.74</v>
      </c>
      <c r="M3612" s="1" t="inlineStr">
        <is>
          <t>-18.34%</t>
        </is>
      </c>
      <c r="N3612" s="3" t="n">
        <v>-18.34</v>
      </c>
      <c r="O3612" t="n">
        <v>4.6</v>
      </c>
      <c r="P3612" t="n">
        <v>66</v>
      </c>
      <c r="R3612" t="inlineStr">
        <is>
          <t>InStock</t>
        </is>
      </c>
      <c r="S3612" t="inlineStr">
        <is>
          <t>59.95</t>
        </is>
      </c>
      <c r="T3612" t="inlineStr">
        <is>
          <t>GK9062</t>
        </is>
      </c>
    </row>
    <row r="3613" hidden="1" ht="15.75" customHeight="1">
      <c r="A3613" s="2">
        <f>HYPERLINK("https://www.soccerplususa.com/adidas/adidas-tabela-18-jersey-5113", "https://www.soccerplususa.com/adidas/adidas-tabela-18-jersey-5113")</f>
        <v/>
      </c>
      <c r="B3613" t="inlineStr">
        <is>
          <t>undefined</t>
        </is>
      </c>
      <c r="C3613" t="inlineStr">
        <is>
          <t>adidas Tabela 18 Jersey</t>
        </is>
      </c>
      <c r="D3613" t="inlineStr">
        <is>
          <t>adidas Womens Tabela 18 Soccer Jersey</t>
        </is>
      </c>
      <c r="E3613" s="2">
        <f>HYPERLINK("https://www.amazon.com/adidas-TABELA-18-Jersey-W/dp/B078LC53ZJ/ref=sr_1_1?keywords=adidas+Tabela+18+Jersey&amp;qid=1695171233&amp;sr=8-1", "https://www.amazon.com/adidas-TABELA-18-Jersey-W/dp/B078LC53ZJ/ref=sr_1_1?keywords=adidas+Tabela+18+Jersey&amp;qid=1695171233&amp;sr=8-1")</f>
        <v/>
      </c>
      <c r="F3613" t="inlineStr">
        <is>
          <t>B078LC53ZJ</t>
        </is>
      </c>
      <c r="G3613">
        <f>_xludf.IMAGE("https://www.soccerplususa.com/prodimages//31723-BLACK-M.jpg")</f>
        <v/>
      </c>
      <c r="H3613">
        <f>_xludf.IMAGE("https://m.media-amazon.com/images/I/61EdyK1tavL._AC_UL320_.jpg")</f>
        <v/>
      </c>
      <c r="K3613" t="inlineStr">
        <is>
          <t>21.99</t>
        </is>
      </c>
      <c r="L3613" t="n">
        <v>17.95</v>
      </c>
      <c r="M3613" s="1" t="inlineStr">
        <is>
          <t>-18.37%</t>
        </is>
      </c>
      <c r="N3613" s="3" t="n">
        <v>-18.37</v>
      </c>
      <c r="O3613" t="n">
        <v>4.6</v>
      </c>
      <c r="P3613" t="n">
        <v>135</v>
      </c>
      <c r="R3613" t="inlineStr">
        <is>
          <t>InStock</t>
        </is>
      </c>
      <c r="S3613" t="inlineStr">
        <is>
          <t>29.95</t>
        </is>
      </c>
      <c r="T3613" t="inlineStr">
        <is>
          <t>CE8934</t>
        </is>
      </c>
    </row>
    <row r="3614" hidden="1" ht="15.75" customHeight="1">
      <c r="A3614" s="2">
        <f>HYPERLINK("https://www.soccerplususa.com/adidas/adidas-tabela-18-jersey-33808", "https://www.soccerplususa.com/adidas/adidas-tabela-18-jersey-33808")</f>
        <v/>
      </c>
      <c r="B3614" t="inlineStr">
        <is>
          <t>undefined</t>
        </is>
      </c>
      <c r="C3614" t="inlineStr">
        <is>
          <t>adidas Tabela 18 Jersey</t>
        </is>
      </c>
      <c r="D3614" t="inlineStr">
        <is>
          <t>adidas Womens Tabela 18 Soccer Jersey</t>
        </is>
      </c>
      <c r="E3614" s="2">
        <f>HYPERLINK("https://www.amazon.com/adidas-TABELA-18-Jersey-W/dp/B078LC53ZJ/ref=sr_1_1?keywords=adidas+Tabela+18+Jersey&amp;qid=1695171170&amp;sr=8-1", "https://www.amazon.com/adidas-TABELA-18-Jersey-W/dp/B078LC53ZJ/ref=sr_1_1?keywords=adidas+Tabela+18+Jersey&amp;qid=1695171170&amp;sr=8-1")</f>
        <v/>
      </c>
      <c r="F3614" t="inlineStr">
        <is>
          <t>B078LC53ZJ</t>
        </is>
      </c>
      <c r="G3614">
        <f>_xludf.IMAGE("https://www.soccerplususa.com/prodimages//35356-REDWHITE-M.jpg")</f>
        <v/>
      </c>
      <c r="H3614">
        <f>_xludf.IMAGE("https://m.media-amazon.com/images/I/61EdyK1tavL._AC_UL320_.jpg")</f>
        <v/>
      </c>
      <c r="K3614" t="inlineStr">
        <is>
          <t>21.99</t>
        </is>
      </c>
      <c r="L3614" t="n">
        <v>17.95</v>
      </c>
      <c r="M3614" s="1" t="inlineStr">
        <is>
          <t>-18.37%</t>
        </is>
      </c>
      <c r="N3614" s="3" t="n">
        <v>-18.37</v>
      </c>
      <c r="O3614" t="n">
        <v>4.6</v>
      </c>
      <c r="P3614" t="n">
        <v>135</v>
      </c>
      <c r="R3614" t="inlineStr">
        <is>
          <t>InStock</t>
        </is>
      </c>
      <c r="S3614" t="inlineStr">
        <is>
          <t>29.95</t>
        </is>
      </c>
      <c r="T3614" t="inlineStr">
        <is>
          <t>CE8935</t>
        </is>
      </c>
    </row>
    <row r="3615" hidden="1" ht="15.75" customHeight="1">
      <c r="A3615" s="2">
        <f>HYPERLINK("https://www.soccerplususa.com/adidas/adidas-tabela-18-jersey-5115", "https://www.soccerplususa.com/adidas/adidas-tabela-18-jersey-5115")</f>
        <v/>
      </c>
      <c r="B3615" t="inlineStr">
        <is>
          <t>undefined</t>
        </is>
      </c>
      <c r="C3615" t="inlineStr">
        <is>
          <t>adidas Tabela 18 Jersey</t>
        </is>
      </c>
      <c r="D3615" t="inlineStr">
        <is>
          <t>adidas Womens Tabela 18 Soccer Jersey</t>
        </is>
      </c>
      <c r="E3615" s="2">
        <f>HYPERLINK("https://www.amazon.com/adidas-TABELA-18-Jersey-W/dp/B078LC53ZJ/ref=sr_1_1?keywords=adidas+Tabela+18+Jersey&amp;qid=1695171223&amp;sr=8-1", "https://www.amazon.com/adidas-TABELA-18-Jersey-W/dp/B078LC53ZJ/ref=sr_1_1?keywords=adidas+Tabela+18+Jersey&amp;qid=1695171223&amp;sr=8-1")</f>
        <v/>
      </c>
      <c r="F3615" t="inlineStr">
        <is>
          <t>B078LC53ZJ</t>
        </is>
      </c>
      <c r="G3615">
        <f>_xludf.IMAGE("https://www.soccerplususa.com/prodimages//31724-GRAY-M.jpg")</f>
        <v/>
      </c>
      <c r="H3615">
        <f>_xludf.IMAGE("https://m.media-amazon.com/images/I/61EdyK1tavL._AC_UL320_.jpg")</f>
        <v/>
      </c>
      <c r="K3615" t="inlineStr">
        <is>
          <t>21.99</t>
        </is>
      </c>
      <c r="L3615" t="n">
        <v>17.95</v>
      </c>
      <c r="M3615" s="1" t="inlineStr">
        <is>
          <t>-18.37%</t>
        </is>
      </c>
      <c r="N3615" s="3" t="n">
        <v>-18.37</v>
      </c>
      <c r="O3615" t="n">
        <v>4.6</v>
      </c>
      <c r="P3615" t="n">
        <v>135</v>
      </c>
      <c r="R3615" t="inlineStr">
        <is>
          <t>InStock</t>
        </is>
      </c>
      <c r="S3615" t="inlineStr">
        <is>
          <t>29.95</t>
        </is>
      </c>
      <c r="T3615" t="inlineStr">
        <is>
          <t>CE8940</t>
        </is>
      </c>
    </row>
    <row r="3616" hidden="1" ht="15.75" customHeight="1">
      <c r="A3616" s="2">
        <f>HYPERLINK("https://www.soccerplususa.com/adidas/adidas-tabela-18-jersey-5116", "https://www.soccerplususa.com/adidas/adidas-tabela-18-jersey-5116")</f>
        <v/>
      </c>
      <c r="B3616" t="inlineStr">
        <is>
          <t>undefined</t>
        </is>
      </c>
      <c r="C3616" t="inlineStr">
        <is>
          <t>adidas Tabela 18 Jersey</t>
        </is>
      </c>
      <c r="D3616" t="inlineStr">
        <is>
          <t>adidas Womens Tabela 18 Soccer Jersey</t>
        </is>
      </c>
      <c r="E3616" s="2">
        <f>HYPERLINK("https://www.amazon.com/adidas-TABELA-18-Jersey-W/dp/B078LC53ZJ/ref=sr_1_1?keywords=adidas+Tabela+18+Jersey&amp;qid=1695171247&amp;sr=8-1", "https://www.amazon.com/adidas-TABELA-18-Jersey-W/dp/B078LC53ZJ/ref=sr_1_1?keywords=adidas+Tabela+18+Jersey&amp;qid=1695171247&amp;sr=8-1")</f>
        <v/>
      </c>
      <c r="F3616" t="inlineStr">
        <is>
          <t>B078LC53ZJ</t>
        </is>
      </c>
      <c r="G3616">
        <f>_xludf.IMAGE("https://www.soccerplususa.com/prodimages//31725-YELLOW-M.jpg")</f>
        <v/>
      </c>
      <c r="H3616">
        <f>_xludf.IMAGE("https://m.media-amazon.com/images/I/61EdyK1tavL._AC_UL320_.jpg")</f>
        <v/>
      </c>
      <c r="K3616" t="inlineStr">
        <is>
          <t>21.99</t>
        </is>
      </c>
      <c r="L3616" t="n">
        <v>17.95</v>
      </c>
      <c r="M3616" s="1" t="inlineStr">
        <is>
          <t>-18.37%</t>
        </is>
      </c>
      <c r="N3616" s="3" t="n">
        <v>-18.37</v>
      </c>
      <c r="O3616" t="n">
        <v>4.6</v>
      </c>
      <c r="P3616" t="n">
        <v>135</v>
      </c>
      <c r="R3616" t="inlineStr">
        <is>
          <t>InStock</t>
        </is>
      </c>
      <c r="S3616" t="inlineStr">
        <is>
          <t>29.95</t>
        </is>
      </c>
      <c r="T3616" t="inlineStr">
        <is>
          <t>CE8941</t>
        </is>
      </c>
    </row>
    <row r="3617" hidden="1" ht="15.75" customHeight="1">
      <c r="A3617" s="2">
        <f>HYPERLINK("https://www.soccerplususa.com/adidas/adidas-tabela-18-jersey-5113", "https://www.soccerplususa.com/adidas/adidas-tabela-18-jersey-5113")</f>
        <v/>
      </c>
      <c r="B3617" t="inlineStr">
        <is>
          <t>undefined</t>
        </is>
      </c>
      <c r="C3617" t="inlineStr">
        <is>
          <t>adidas Tabela 18 Jersey</t>
        </is>
      </c>
      <c r="D3617" t="inlineStr">
        <is>
          <t>adidas Boy's Entrada 18 Jersey</t>
        </is>
      </c>
      <c r="E3617" s="2">
        <f>HYPERLINK("https://www.amazon.com/adidas-Entrada-Jersey-Light-White/dp/B072RCFXFL/ref=sr_1_4?keywords=adidas+Tabela+18+Jersey&amp;qid=1695171233&amp;sr=8-4", "https://www.amazon.com/adidas-Entrada-Jersey-Light-White/dp/B072RCFXFL/ref=sr_1_4?keywords=adidas+Tabela+18+Jersey&amp;qid=1695171233&amp;sr=8-4")</f>
        <v/>
      </c>
      <c r="F3617" t="inlineStr">
        <is>
          <t>B072RCFXFL</t>
        </is>
      </c>
      <c r="G3617">
        <f>_xludf.IMAGE("https://www.soccerplususa.com/prodimages//31723-BLACK-M.jpg")</f>
        <v/>
      </c>
      <c r="H3617">
        <f>_xludf.IMAGE("https://m.media-amazon.com/images/I/41q-X3hB3fL._AC_UL320_.jpg")</f>
        <v/>
      </c>
      <c r="K3617" t="inlineStr">
        <is>
          <t>21.99</t>
        </is>
      </c>
      <c r="L3617" t="n">
        <v>17.91</v>
      </c>
      <c r="M3617" s="1" t="inlineStr">
        <is>
          <t>-18.55%</t>
        </is>
      </c>
      <c r="N3617" s="3" t="n">
        <v>-18.55</v>
      </c>
      <c r="O3617" t="n">
        <v>4.5</v>
      </c>
      <c r="P3617" t="n">
        <v>4493</v>
      </c>
      <c r="R3617" t="inlineStr">
        <is>
          <t>InStock</t>
        </is>
      </c>
      <c r="S3617" t="inlineStr">
        <is>
          <t>29.95</t>
        </is>
      </c>
      <c r="T3617" t="inlineStr">
        <is>
          <t>CE8934</t>
        </is>
      </c>
    </row>
    <row r="3618" hidden="1" ht="15.75" customHeight="1">
      <c r="A3618" s="2">
        <f>HYPERLINK("https://www.soccerplususa.com/puma/puma-liga-casuals-padded-jacket-35508", "https://www.soccerplususa.com/puma/puma-liga-casuals-padded-jacket-35508")</f>
        <v/>
      </c>
      <c r="B3618" t="inlineStr">
        <is>
          <t>undefined</t>
        </is>
      </c>
      <c r="C3618" t="inlineStr">
        <is>
          <t>Puma Liga Casuals Padded Jacket</t>
        </is>
      </c>
      <c r="D3618" t="inlineStr">
        <is>
          <t>PUMA Men's Teamliga Padded Jacket</t>
        </is>
      </c>
      <c r="E3618" s="2">
        <f>HYPERLINK("https://www.amazon.com/PUMA-TeamLIGA-Padded-Jacket-Black/dp/B091DF1938/ref=sr_1_10?keywords=Puma+Liga+Casuals+Padded+Jacket&amp;qid=1695171160&amp;sr=8-10", "https://www.amazon.com/PUMA-TeamLIGA-Padded-Jacket-Black/dp/B091DF1938/ref=sr_1_10?keywords=Puma+Liga+Casuals+Padded+Jacket&amp;qid=1695171160&amp;sr=8-10")</f>
        <v/>
      </c>
      <c r="F3618" t="inlineStr">
        <is>
          <t>B091DF1938</t>
        </is>
      </c>
      <c r="G3618">
        <f>_xludf.IMAGE("https://www.soccerplususa.com/prodimages/32204-DEFAULT-l.jpg")</f>
        <v/>
      </c>
      <c r="H3618">
        <f>_xludf.IMAGE("https://m.media-amazon.com/images/I/71qaflwB4QL._AC_UL320_.jpg")</f>
        <v/>
      </c>
      <c r="K3618" t="inlineStr">
        <is>
          <t>109.95</t>
        </is>
      </c>
      <c r="L3618" t="n">
        <v>89.5</v>
      </c>
      <c r="M3618" s="1" t="inlineStr">
        <is>
          <t>-18.60%</t>
        </is>
      </c>
      <c r="N3618" s="3" t="n">
        <v>-18.6</v>
      </c>
      <c r="O3618" t="n">
        <v>4.3</v>
      </c>
      <c r="P3618" t="n">
        <v>14</v>
      </c>
      <c r="R3618" t="inlineStr">
        <is>
          <t>InStock</t>
        </is>
      </c>
      <c r="S3618" t="inlineStr">
        <is>
          <t>undefined</t>
        </is>
      </c>
      <c r="T3618" t="inlineStr">
        <is>
          <t>655301-02</t>
        </is>
      </c>
    </row>
    <row r="3619" hidden="1" ht="15.75" customHeight="1">
      <c r="A3619" s="2">
        <f>HYPERLINK("https://www.soccerplususa.com/puma/puma-liga-hooped-jersey-35526", "https://www.soccerplususa.com/puma/puma-liga-hooped-jersey-35526")</f>
        <v/>
      </c>
      <c r="B3619" t="inlineStr">
        <is>
          <t>undefined</t>
        </is>
      </c>
      <c r="C3619" t="inlineStr">
        <is>
          <t>Puma Liga Hooped Jersey</t>
        </is>
      </c>
      <c r="D3619" t="inlineStr">
        <is>
          <t>PUMA Men's Liga Long Sleeve Jersey</t>
        </is>
      </c>
      <c r="E3619" s="2">
        <f>HYPERLINK("https://www.amazon.com/PUMA-Jersey-Sleeve-Electric-Lemonadewhite/dp/B07892Y29D/ref=sr_1_3?keywords=Puma+Liga+Hooped+Jersey&amp;qid=1695171162&amp;sr=8-3", "https://www.amazon.com/PUMA-Jersey-Sleeve-Electric-Lemonadewhite/dp/B07892Y29D/ref=sr_1_3?keywords=Puma+Liga+Hooped+Jersey&amp;qid=1695171162&amp;sr=8-3")</f>
        <v/>
      </c>
      <c r="F3619" t="inlineStr">
        <is>
          <t>B07892Y29D</t>
        </is>
      </c>
      <c r="G3619">
        <f>_xludf.IMAGE("https://www.soccerplususa.com/prodimages/32667-DEFAULT-l.jpg")</f>
        <v/>
      </c>
      <c r="H3619">
        <f>_xludf.IMAGE("https://m.media-amazon.com/images/I/81o8g03CC7S._AC_UL320_.jpg")</f>
        <v/>
      </c>
      <c r="K3619" t="inlineStr">
        <is>
          <t>30.0</t>
        </is>
      </c>
      <c r="L3619" t="n">
        <v>24.37</v>
      </c>
      <c r="M3619" s="1" t="inlineStr">
        <is>
          <t>-18.77%</t>
        </is>
      </c>
      <c r="N3619" s="3" t="n">
        <v>-18.77</v>
      </c>
      <c r="O3619" t="n">
        <v>4.5</v>
      </c>
      <c r="P3619" t="n">
        <v>410</v>
      </c>
      <c r="R3619" t="inlineStr">
        <is>
          <t>InStock</t>
        </is>
      </c>
      <c r="S3619" t="inlineStr">
        <is>
          <t>39.95</t>
        </is>
      </c>
      <c r="T3619" t="inlineStr">
        <is>
          <t>703422-02</t>
        </is>
      </c>
    </row>
    <row r="3620" hidden="1" ht="15.75" customHeight="1">
      <c r="A3620" s="2">
        <f>HYPERLINK("https://www.soccerplususa.com/adidas/adidas-tiro-17-jersey-youth-8176", "https://www.soccerplususa.com/adidas/adidas-tiro-17-jersey-youth-8176")</f>
        <v/>
      </c>
      <c r="B3620" t="inlineStr">
        <is>
          <t>undefined</t>
        </is>
      </c>
      <c r="C3620" t="inlineStr">
        <is>
          <t>adidas Tiro 17 Jersey Youth</t>
        </is>
      </c>
      <c r="D3620" t="inlineStr">
        <is>
          <t>adidas Tiro 17 Mens Soccer Training Jersey</t>
        </is>
      </c>
      <c r="E3620" s="2">
        <f>HYPERLINK("https://www.amazon.com/adidas-Training-Jersey-White-Black/dp/B01M29BN8D/ref=sr_1_5?keywords=adidas+Tiro+17+Jersey+Youth&amp;qid=1695171210&amp;sr=8-5", "https://www.amazon.com/adidas-Training-Jersey-White-Black/dp/B01M29BN8D/ref=sr_1_5?keywords=adidas+Tiro+17+Jersey+Youth&amp;qid=1695171210&amp;sr=8-5")</f>
        <v/>
      </c>
      <c r="F3620" t="inlineStr">
        <is>
          <t>B01M29BN8D</t>
        </is>
      </c>
      <c r="G3620">
        <f>_xludf.IMAGE("https://www.soccerplususa.com/prodimages/7857-DEFAULT-l.jpg")</f>
        <v/>
      </c>
      <c r="H3620">
        <f>_xludf.IMAGE("https://m.media-amazon.com/images/I/51KCXIG2tsL._AC_UL320_.jpg")</f>
        <v/>
      </c>
      <c r="K3620" t="inlineStr">
        <is>
          <t>20.97</t>
        </is>
      </c>
      <c r="L3620" t="n">
        <v>16.99</v>
      </c>
      <c r="M3620" s="1" t="inlineStr">
        <is>
          <t>-18.98%</t>
        </is>
      </c>
      <c r="N3620" s="3" t="n">
        <v>-18.98</v>
      </c>
      <c r="O3620" t="n">
        <v>4.2</v>
      </c>
      <c r="P3620" t="n">
        <v>51</v>
      </c>
      <c r="R3620" t="inlineStr">
        <is>
          <t>InStock</t>
        </is>
      </c>
      <c r="S3620" t="inlineStr">
        <is>
          <t>34.95</t>
        </is>
      </c>
      <c r="T3620" t="inlineStr">
        <is>
          <t>S99148</t>
        </is>
      </c>
    </row>
    <row r="3621" hidden="1" ht="15.75" customHeight="1">
      <c r="A3621" s="2">
        <f>HYPERLINK("https://www.soccerplususa.com/puma/puma-teamgoal-23-casuals-hoody-40903", "https://www.soccerplususa.com/puma/puma-teamgoal-23-casuals-hoody-40903")</f>
        <v/>
      </c>
      <c r="B3621" t="inlineStr">
        <is>
          <t>undefined</t>
        </is>
      </c>
      <c r="C3621" t="inlineStr">
        <is>
          <t>Puma TeamGoal 23 Casuals Hoody</t>
        </is>
      </c>
      <c r="D3621" t="inlineStr">
        <is>
          <t>PUMA - Mens Teamgoal 23 Causals Hoody</t>
        </is>
      </c>
      <c r="E3621" s="2">
        <f>HYPERLINK("https://www.amazon.com/PUMA-teamGOAL-Sweatshirt-656580-konfektionsgr%C3%B6%C3%9Fe/dp/B07X8PJC6C/ref=sr_1_1?keywords=Puma+TeamGoal+23+Casuals+Hoody&amp;qid=1695171152&amp;sr=8-1", "https://www.amazon.com/PUMA-teamGOAL-Sweatshirt-656580-konfektionsgr%C3%B6%C3%9Fe/dp/B07X8PJC6C/ref=sr_1_1?keywords=Puma+TeamGoal+23+Casuals+Hoody&amp;qid=1695171152&amp;sr=8-1")</f>
        <v/>
      </c>
      <c r="F3621" t="inlineStr">
        <is>
          <t>B07X8PJC6C</t>
        </is>
      </c>
      <c r="G3621">
        <f>_xludf.IMAGE("https://www.soccerplususa.com/prodimages//35868-GREY-M.jpg")</f>
        <v/>
      </c>
      <c r="H3621">
        <f>_xludf.IMAGE("https://m.media-amazon.com/images/I/714XaaDTmeL._AC_UL320_.jpg")</f>
        <v/>
      </c>
      <c r="K3621" t="inlineStr">
        <is>
          <t>54.95</t>
        </is>
      </c>
      <c r="L3621" t="n">
        <v>44.37</v>
      </c>
      <c r="M3621" s="1" t="inlineStr">
        <is>
          <t>-19.25%</t>
        </is>
      </c>
      <c r="N3621" s="3" t="n">
        <v>-19.25</v>
      </c>
      <c r="O3621" t="n">
        <v>4.5</v>
      </c>
      <c r="P3621" t="n">
        <v>1331</v>
      </c>
      <c r="R3621" t="inlineStr">
        <is>
          <t>InStock</t>
        </is>
      </c>
      <c r="S3621" t="inlineStr">
        <is>
          <t>undefined</t>
        </is>
      </c>
      <c r="T3621" t="inlineStr">
        <is>
          <t>656580-33</t>
        </is>
      </c>
    </row>
    <row r="3622" hidden="1" ht="15.75" customHeight="1">
      <c r="A3622" s="2">
        <f>HYPERLINK("https://www.soccerplususa.com/adidas/adidas-tiro-17-training-jacket-youth-4851", "https://www.soccerplususa.com/adidas/adidas-tiro-17-training-jacket-youth-4851")</f>
        <v/>
      </c>
      <c r="B3622" t="inlineStr">
        <is>
          <t>undefined</t>
        </is>
      </c>
      <c r="C3622" t="inlineStr">
        <is>
          <t>adidas Tiro 17 Training Jacket Youth</t>
        </is>
      </c>
      <c r="D3622" t="inlineStr">
        <is>
          <t>adidas mens Youth Tiro 17 Soccer Training Jacket</t>
        </is>
      </c>
      <c r="E3622" s="2">
        <f>HYPERLINK("https://www.amazon.com/adidas-Soccer-Training-Jacket-Blue-Black-White/dp/B01N0B8GRV/ref=sr_1_1?keywords=adidas+Tiro+17+Training+Jacket+Youth&amp;qid=1695171224&amp;sr=8-1", "https://www.amazon.com/adidas-Soccer-Training-Jacket-Blue-Black-White/dp/B01N0B8GRV/ref=sr_1_1?keywords=adidas+Tiro+17+Training+Jacket+Youth&amp;qid=1695171224&amp;sr=8-1")</f>
        <v/>
      </c>
      <c r="F3622" t="inlineStr">
        <is>
          <t>B01N0B8GRV</t>
        </is>
      </c>
      <c r="G3622">
        <f>_xludf.IMAGE("https://www.soccerplususa.com/prodimages/4535-DEFAULT-l.jpg")</f>
        <v/>
      </c>
      <c r="H3622">
        <f>_xludf.IMAGE("https://m.media-amazon.com/images/I/61z+6e8It+L._AC_UL320_.jpg")</f>
        <v/>
      </c>
      <c r="K3622" t="inlineStr">
        <is>
          <t>31.0</t>
        </is>
      </c>
      <c r="L3622" t="n">
        <v>24.99</v>
      </c>
      <c r="M3622" s="1" t="inlineStr">
        <is>
          <t>-19.39%</t>
        </is>
      </c>
      <c r="N3622" s="3" t="n">
        <v>-19.39</v>
      </c>
      <c r="O3622" t="n">
        <v>3.6</v>
      </c>
      <c r="P3622" t="n">
        <v>37</v>
      </c>
      <c r="R3622" t="inlineStr">
        <is>
          <t>InStock</t>
        </is>
      </c>
      <c r="S3622" t="inlineStr">
        <is>
          <t>59.95</t>
        </is>
      </c>
      <c r="T3622" t="inlineStr">
        <is>
          <t>BJ9296</t>
        </is>
      </c>
    </row>
    <row r="3623" hidden="1" ht="15.75" customHeight="1">
      <c r="A3623" s="2">
        <f>HYPERLINK("https://www.soccerplususa.com/adidas/adidas-tiro-17-training-jacket-youth-4975", "https://www.soccerplususa.com/adidas/adidas-tiro-17-training-jacket-youth-4975")</f>
        <v/>
      </c>
      <c r="B3623" t="inlineStr">
        <is>
          <t>undefined</t>
        </is>
      </c>
      <c r="C3623" t="inlineStr">
        <is>
          <t>adidas Tiro 17 Training Jacket Youth</t>
        </is>
      </c>
      <c r="D3623" t="inlineStr">
        <is>
          <t>adidas mens Youth Tiro 17 Soccer Training Jacket</t>
        </is>
      </c>
      <c r="E3623" s="2">
        <f>HYPERLINK("https://www.amazon.com/adidas-Soccer-Training-Jacket-Blue-Black-White/dp/B01N0B8GRV/ref=sr_1_1?keywords=adidas+Tiro+17+Training+Jacket+Youth&amp;qid=1695171246&amp;sr=8-1", "https://www.amazon.com/adidas-Soccer-Training-Jacket-Blue-Black-White/dp/B01N0B8GRV/ref=sr_1_1?keywords=adidas+Tiro+17+Training+Jacket+Youth&amp;qid=1695171246&amp;sr=8-1")</f>
        <v/>
      </c>
      <c r="F3623" t="inlineStr">
        <is>
          <t>B01N0B8GRV</t>
        </is>
      </c>
      <c r="G3623">
        <f>_xludf.IMAGE("https://www.soccerplususa.com/prodimages/4537-DEFAULT-l.jpg")</f>
        <v/>
      </c>
      <c r="H3623">
        <f>_xludf.IMAGE("https://m.media-amazon.com/images/I/61z+6e8It+L._AC_UL320_.jpg")</f>
        <v/>
      </c>
      <c r="K3623" t="inlineStr">
        <is>
          <t>31.0</t>
        </is>
      </c>
      <c r="L3623" t="n">
        <v>24.99</v>
      </c>
      <c r="M3623" s="1" t="inlineStr">
        <is>
          <t>-19.39%</t>
        </is>
      </c>
      <c r="N3623" s="3" t="n">
        <v>-19.39</v>
      </c>
      <c r="O3623" t="n">
        <v>3.6</v>
      </c>
      <c r="P3623" t="n">
        <v>37</v>
      </c>
      <c r="R3623" t="inlineStr">
        <is>
          <t>InStock</t>
        </is>
      </c>
      <c r="S3623" t="inlineStr">
        <is>
          <t>59.95</t>
        </is>
      </c>
      <c r="T3623" t="inlineStr">
        <is>
          <t>BR2704</t>
        </is>
      </c>
    </row>
    <row r="3624" hidden="1" ht="15.75" customHeight="1">
      <c r="A3624" s="2">
        <f>HYPERLINK("https://www.soccerplususa.com/adidas/adidas-tiro-15-jersey-youth-7892", "https://www.soccerplususa.com/adidas/adidas-tiro-15-jersey-youth-7892")</f>
        <v/>
      </c>
      <c r="B3624" t="inlineStr">
        <is>
          <t>undefined</t>
        </is>
      </c>
      <c r="C3624" t="inlineStr">
        <is>
          <t>adidas Tiro 15 Jersey Youth</t>
        </is>
      </c>
      <c r="D3624" t="inlineStr">
        <is>
          <t>adidas Boys' Alphaskin Tiro Youth Jersey</t>
        </is>
      </c>
      <c r="E3624" s="2">
        <f>HYPERLINK("https://www.amazon.com/adidas-Alphaskin-Youth-Jersey-X-Large/dp/B07DXQYZG1/ref=sr_1_3?keywords=adidas+Tiro+15+Jersey+Youth&amp;qid=1695171200&amp;sr=8-3", "https://www.amazon.com/adidas-Alphaskin-Youth-Jersey-X-Large/dp/B07DXQYZG1/ref=sr_1_3?keywords=adidas+Tiro+15+Jersey+Youth&amp;qid=1695171200&amp;sr=8-3")</f>
        <v/>
      </c>
      <c r="F3624" t="inlineStr">
        <is>
          <t>B07DXQYZG1</t>
        </is>
      </c>
      <c r="G3624">
        <f>_xludf.IMAGE("https://www.soccerplususa.com/prodimages/5431-DEFAULT-l.jpg")</f>
        <v/>
      </c>
      <c r="H3624">
        <f>_xludf.IMAGE("https://m.media-amazon.com/images/I/51FrkChU33L._AC_UL320_.jpg")</f>
        <v/>
      </c>
      <c r="K3624" t="inlineStr">
        <is>
          <t>17.5</t>
        </is>
      </c>
      <c r="L3624" t="n">
        <v>14.04</v>
      </c>
      <c r="M3624" s="1" t="inlineStr">
        <is>
          <t>-19.77%</t>
        </is>
      </c>
      <c r="N3624" s="3" t="n">
        <v>-19.77</v>
      </c>
      <c r="O3624" t="n">
        <v>4.9</v>
      </c>
      <c r="P3624" t="n">
        <v>40</v>
      </c>
      <c r="R3624" t="inlineStr">
        <is>
          <t>InStock</t>
        </is>
      </c>
      <c r="S3624" t="inlineStr">
        <is>
          <t>34.95</t>
        </is>
      </c>
      <c r="T3624" t="inlineStr">
        <is>
          <t>S22375</t>
        </is>
      </c>
    </row>
    <row r="3625" hidden="1" ht="15.75" customHeight="1">
      <c r="A3625" s="2">
        <f>HYPERLINK("https://www.soccerplususa.com/puma/puma-liga-training-rain-jacket-youth-35518", "https://www.soccerplususa.com/puma/puma-liga-training-rain-jacket-youth-35518")</f>
        <v/>
      </c>
      <c r="B3625" t="inlineStr">
        <is>
          <t>undefined</t>
        </is>
      </c>
      <c r="C3625" t="inlineStr">
        <is>
          <t>Puma Liga Training Rain Jacket Youth</t>
        </is>
      </c>
      <c r="D3625" t="inlineStr">
        <is>
          <t>PUMA Men's Liga Training Rain Jacket</t>
        </is>
      </c>
      <c r="E3625" s="2">
        <f>HYPERLINK("https://www.amazon.com/PUMA-Training-Jacket-Black-White/dp/B07DY9HZBP/ref=sr_1_3?keywords=Puma+Liga+Training+Rain+Jacket+Youth&amp;qid=1695171159&amp;sr=8-3", "https://www.amazon.com/PUMA-Training-Jacket-Black-White/dp/B07DY9HZBP/ref=sr_1_3?keywords=Puma+Liga+Training+Rain+Jacket+Youth&amp;qid=1695171159&amp;sr=8-3")</f>
        <v/>
      </c>
      <c r="F3625" t="inlineStr">
        <is>
          <t>B07DY9HZBP</t>
        </is>
      </c>
      <c r="G3625">
        <f>_xludf.IMAGE("https://www.soccerplususa.com/prodimages/13113-DEFAULT-l.jpg")</f>
        <v/>
      </c>
      <c r="H3625">
        <f>_xludf.IMAGE("https://m.media-amazon.com/images/I/81LmNBkmtXL._AC_UL320_.jpg")</f>
        <v/>
      </c>
      <c r="K3625" t="inlineStr">
        <is>
          <t>59.95</t>
        </is>
      </c>
      <c r="L3625" t="n">
        <v>48.08</v>
      </c>
      <c r="M3625" s="1" t="inlineStr">
        <is>
          <t>-19.80%</t>
        </is>
      </c>
      <c r="N3625" s="3" t="n">
        <v>-19.8</v>
      </c>
      <c r="O3625" t="n">
        <v>4.4</v>
      </c>
      <c r="P3625" t="n">
        <v>40</v>
      </c>
      <c r="R3625" t="inlineStr">
        <is>
          <t>InStock</t>
        </is>
      </c>
      <c r="S3625" t="inlineStr">
        <is>
          <t>undefined</t>
        </is>
      </c>
      <c r="T3625" t="inlineStr">
        <is>
          <t>655660-03</t>
        </is>
      </c>
    </row>
    <row r="3626" hidden="1" ht="15.75" customHeight="1">
      <c r="A3626" s="2">
        <f>HYPERLINK("https://www.soccerplususa.com/adidas/adidas-regista-14-jersey-6067", "https://www.soccerplususa.com/adidas/adidas-regista-14-jersey-6067")</f>
        <v/>
      </c>
      <c r="B3626" t="inlineStr">
        <is>
          <t>undefined</t>
        </is>
      </c>
      <c r="C3626" t="inlineStr">
        <is>
          <t>adidas Regista 14 Jersey</t>
        </is>
      </c>
      <c r="D3626" t="inlineStr">
        <is>
          <t>adidas Mens Regista 14 Shorts, Cobalt/White, Small</t>
        </is>
      </c>
      <c r="E3626" s="2">
        <f>HYPERLINK("https://www.amazon.com/Adidas-Climacool-Regista-Short-Cobalt/dp/B00IZHZJP6/ref=sr_1_7?keywords=adidas+Regista+14+Jersey&amp;qid=1695171231&amp;sr=8-7", "https://www.amazon.com/Adidas-Climacool-Regista-Short-Cobalt/dp/B00IZHZJP6/ref=sr_1_7?keywords=adidas+Regista+14+Jersey&amp;qid=1695171231&amp;sr=8-7")</f>
        <v/>
      </c>
      <c r="F3626" t="inlineStr">
        <is>
          <t>B00IZHZJP6</t>
        </is>
      </c>
      <c r="G3626">
        <f>_xludf.IMAGE("https://www.soccerplususa.com/prodimages/10329-DEFAULT-l.jpg")</f>
        <v/>
      </c>
      <c r="H3626">
        <f>_xludf.IMAGE("https://m.media-amazon.com/images/I/415mGa6u4NL._AC_UL320_.jpg")</f>
        <v/>
      </c>
      <c r="K3626" t="inlineStr">
        <is>
          <t>22.5</t>
        </is>
      </c>
      <c r="L3626" t="n">
        <v>17.99</v>
      </c>
      <c r="M3626" s="1" t="inlineStr">
        <is>
          <t>-20.04%</t>
        </is>
      </c>
      <c r="N3626" s="3" t="n">
        <v>-20.04</v>
      </c>
      <c r="O3626" t="n">
        <v>5</v>
      </c>
      <c r="P3626" t="n">
        <v>1</v>
      </c>
      <c r="R3626" t="inlineStr">
        <is>
          <t>InStock</t>
        </is>
      </c>
      <c r="S3626" t="inlineStr">
        <is>
          <t>44.95</t>
        </is>
      </c>
      <c r="T3626" t="inlineStr">
        <is>
          <t>F50011</t>
        </is>
      </c>
    </row>
    <row r="3627" hidden="1" ht="15.75" customHeight="1">
      <c r="A3627" s="2">
        <f>HYPERLINK("https://www.soccerplususa.com/adidas/adidas-regista-14-jersey-6672", "https://www.soccerplususa.com/adidas/adidas-regista-14-jersey-6672")</f>
        <v/>
      </c>
      <c r="B3627" t="inlineStr">
        <is>
          <t>undefined</t>
        </is>
      </c>
      <c r="C3627" t="inlineStr">
        <is>
          <t>adidas Regista 14 Jersey</t>
        </is>
      </c>
      <c r="D3627" t="inlineStr">
        <is>
          <t>adidas Mens Regista 14 Shorts, Cobalt/White, Small</t>
        </is>
      </c>
      <c r="E3627" s="2">
        <f>HYPERLINK("https://www.amazon.com/Adidas-Climacool-Regista-Short-Cobalt/dp/B00IZHZJP6/ref=sr_1_7?keywords=adidas+Regista+14+Jersey&amp;qid=1695171217&amp;sr=8-7", "https://www.amazon.com/Adidas-Climacool-Regista-Short-Cobalt/dp/B00IZHZJP6/ref=sr_1_7?keywords=adidas+Regista+14+Jersey&amp;qid=1695171217&amp;sr=8-7")</f>
        <v/>
      </c>
      <c r="F3627" t="inlineStr">
        <is>
          <t>B00IZHZJP6</t>
        </is>
      </c>
      <c r="G3627">
        <f>_xludf.IMAGE("https://www.soccerplususa.com/prodimages/10435-DEFAULT-l.jpg")</f>
        <v/>
      </c>
      <c r="H3627">
        <f>_xludf.IMAGE("https://m.media-amazon.com/images/I/415mGa6u4NL._AC_UL320_.jpg")</f>
        <v/>
      </c>
      <c r="K3627" t="inlineStr">
        <is>
          <t>22.5</t>
        </is>
      </c>
      <c r="L3627" t="n">
        <v>17.99</v>
      </c>
      <c r="M3627" s="1" t="inlineStr">
        <is>
          <t>-20.04%</t>
        </is>
      </c>
      <c r="N3627" s="3" t="n">
        <v>-20.04</v>
      </c>
      <c r="O3627" t="n">
        <v>5</v>
      </c>
      <c r="P3627" t="n">
        <v>1</v>
      </c>
      <c r="R3627" t="inlineStr">
        <is>
          <t>InStock</t>
        </is>
      </c>
      <c r="S3627" t="inlineStr">
        <is>
          <t>44.95</t>
        </is>
      </c>
      <c r="T3627" t="inlineStr">
        <is>
          <t>G70830</t>
        </is>
      </c>
    </row>
    <row r="3628" hidden="1" ht="15.75" customHeight="1">
      <c r="A3628" s="2">
        <f>HYPERLINK("https://www.soccerplususa.com/adidas/adidas-tiro-17-jersey-womens-35760", "https://www.soccerplususa.com/adidas/adidas-tiro-17-jersey-womens-35760")</f>
        <v/>
      </c>
      <c r="B3628" t="inlineStr">
        <is>
          <t>undefined</t>
        </is>
      </c>
      <c r="C3628" t="inlineStr">
        <is>
          <t>adidas Tiro 17 Jersey Women's</t>
        </is>
      </c>
      <c r="D3628" t="inlineStr">
        <is>
          <t>adidas Tiro 17 Womens Soccer Jersey Rave Green-White</t>
        </is>
      </c>
      <c r="E3628" s="2">
        <f>HYPERLINK("https://www.amazon.com/adidas-Womens-Soccer-Jersey-Green-White/dp/B01MRQME91/ref=sr_1_5?keywords=adidas+Tiro+17+Jersey+Womens&amp;qid=1695171224&amp;sr=8-5", "https://www.amazon.com/adidas-Womens-Soccer-Jersey-Green-White/dp/B01MRQME91/ref=sr_1_5?keywords=adidas+Tiro+17+Jersey+Womens&amp;qid=1695171224&amp;sr=8-5")</f>
        <v/>
      </c>
      <c r="F3628" t="inlineStr">
        <is>
          <t>B01MRQME91</t>
        </is>
      </c>
      <c r="G3628">
        <f>_xludf.IMAGE("https://www.soccerplususa.com/prodimages/9819-DEFAULT-l.jpg")</f>
        <v/>
      </c>
      <c r="H3628">
        <f>_xludf.IMAGE("https://m.media-amazon.com/images/I/612I3NWEYPL._AC_UL320_.jpg")</f>
        <v/>
      </c>
      <c r="K3628" t="inlineStr">
        <is>
          <t>20.0</t>
        </is>
      </c>
      <c r="L3628" t="n">
        <v>15.99</v>
      </c>
      <c r="M3628" s="1" t="inlineStr">
        <is>
          <t>-20.05%</t>
        </is>
      </c>
      <c r="N3628" s="3" t="n">
        <v>-20.05</v>
      </c>
      <c r="O3628" t="n">
        <v>1</v>
      </c>
      <c r="P3628" t="n">
        <v>1</v>
      </c>
      <c r="R3628" t="inlineStr">
        <is>
          <t>InStock</t>
        </is>
      </c>
      <c r="S3628" t="inlineStr">
        <is>
          <t>39.95</t>
        </is>
      </c>
      <c r="T3628" t="inlineStr">
        <is>
          <t>BJ9096</t>
        </is>
      </c>
    </row>
    <row r="3629" hidden="1" ht="15.75" customHeight="1">
      <c r="A3629" s="2">
        <f>HYPERLINK("https://www.soccerplususa.com/adidas/adidas-tiro-21-track-jacket-41183", "https://www.soccerplususa.com/adidas/adidas-tiro-21-track-jacket-41183")</f>
        <v/>
      </c>
      <c r="B3629" t="inlineStr">
        <is>
          <t>undefined</t>
        </is>
      </c>
      <c r="C3629" t="inlineStr">
        <is>
          <t>adidas Tiro 21 Track Jacket</t>
        </is>
      </c>
      <c r="D3629" t="inlineStr">
        <is>
          <t>adidas Women's Tiro 21 Track Jacket</t>
        </is>
      </c>
      <c r="E3629" s="2">
        <f>HYPERLINK("https://www.amazon.com/adidas-Pride-Track-Jacket-Multicolor/dp/B093G5QT3Z/ref=sr_1_7?keywords=adidas+Tiro+21+Track+Jacket&amp;qid=1695171147&amp;sr=8-7", "https://www.amazon.com/adidas-Pride-Track-Jacket-Multicolor/dp/B093G5QT3Z/ref=sr_1_7?keywords=adidas+Tiro+21+Track+Jacket&amp;qid=1695171147&amp;sr=8-7")</f>
        <v/>
      </c>
      <c r="F3629" t="inlineStr">
        <is>
          <t>B093G5QT3Z</t>
        </is>
      </c>
      <c r="G3629">
        <f>_xludf.IMAGE("https://www.soccerplususa.com/prodimages//36165-BLACKWHITE-M.jpg")</f>
        <v/>
      </c>
      <c r="H3629">
        <f>_xludf.IMAGE("https://m.media-amazon.com/images/I/61xR83MCPVL._AC_UL320_.jpg")</f>
        <v/>
      </c>
      <c r="K3629" t="inlineStr">
        <is>
          <t>50.0</t>
        </is>
      </c>
      <c r="L3629" t="n">
        <v>39.95</v>
      </c>
      <c r="M3629" s="1" t="inlineStr">
        <is>
          <t>-20.10%</t>
        </is>
      </c>
      <c r="N3629" s="3" t="n">
        <v>-20.1</v>
      </c>
      <c r="O3629" t="n">
        <v>4.5</v>
      </c>
      <c r="P3629" t="n">
        <v>2</v>
      </c>
      <c r="R3629" t="inlineStr">
        <is>
          <t>InStock</t>
        </is>
      </c>
      <c r="S3629" t="inlineStr">
        <is>
          <t>undefined</t>
        </is>
      </c>
      <c r="T3629" t="inlineStr">
        <is>
          <t>GM7319</t>
        </is>
      </c>
    </row>
    <row r="3630" hidden="1" ht="15.75" customHeight="1">
      <c r="A3630" s="2">
        <f>HYPERLINK("https://www.soccerplususa.com/adidas/adidas-tiro-21-track-jacket-womens-41184", "https://www.soccerplususa.com/adidas/adidas-tiro-21-track-jacket-womens-41184")</f>
        <v/>
      </c>
      <c r="B3630" t="inlineStr">
        <is>
          <t>undefined</t>
        </is>
      </c>
      <c r="C3630" t="inlineStr">
        <is>
          <t>adidas Tiro 21 Track Jacket Women's</t>
        </is>
      </c>
      <c r="D3630" t="inlineStr">
        <is>
          <t>adidas Women's Tiro 21 Track Jacket</t>
        </is>
      </c>
      <c r="E3630" s="2">
        <f>HYPERLINK("https://www.amazon.com/adidas-Pride-Track-Jacket-Multicolor/dp/B093G6L91H/ref=sr_1_5?keywords=adidas+Tiro+21+Track+Jacket+Women%27s&amp;qid=1695171150&amp;sr=8-5", "https://www.amazon.com/adidas-Pride-Track-Jacket-Multicolor/dp/B093G6L91H/ref=sr_1_5?keywords=adidas+Tiro+21+Track+Jacket+Women%27s&amp;qid=1695171150&amp;sr=8-5")</f>
        <v/>
      </c>
      <c r="F3630" t="inlineStr">
        <is>
          <t>B093G6L91H</t>
        </is>
      </c>
      <c r="G3630">
        <f>_xludf.IMAGE("https://www.soccerplususa.com/prodimages//36136-BLACKWHITE-M.jpg")</f>
        <v/>
      </c>
      <c r="H3630">
        <f>_xludf.IMAGE("https://m.media-amazon.com/images/I/61xR83MCPVL._AC_UL320_.jpg")</f>
        <v/>
      </c>
      <c r="K3630" t="inlineStr">
        <is>
          <t>50.0</t>
        </is>
      </c>
      <c r="L3630" t="n">
        <v>39.95</v>
      </c>
      <c r="M3630" s="1" t="inlineStr">
        <is>
          <t>-20.10%</t>
        </is>
      </c>
      <c r="N3630" s="3" t="n">
        <v>-20.1</v>
      </c>
      <c r="O3630" t="n">
        <v>4.5</v>
      </c>
      <c r="P3630" t="n">
        <v>2</v>
      </c>
      <c r="R3630" t="inlineStr">
        <is>
          <t>InStock</t>
        </is>
      </c>
      <c r="S3630" t="inlineStr">
        <is>
          <t>undefined</t>
        </is>
      </c>
      <c r="T3630" t="inlineStr">
        <is>
          <t>GM7307</t>
        </is>
      </c>
    </row>
    <row r="3631" hidden="1" ht="15.75" customHeight="1">
      <c r="A3631" s="2">
        <f>HYPERLINK("https://www.soccerplususa.com/puma/puma-teamgoal-23-training-jacket-38703", "https://www.soccerplususa.com/puma/puma-teamgoal-23-training-jacket-38703")</f>
        <v/>
      </c>
      <c r="B3631" t="inlineStr">
        <is>
          <t>undefined</t>
        </is>
      </c>
      <c r="C3631" t="inlineStr">
        <is>
          <t>Puma Teamgoal 23 Training Jacket</t>
        </is>
      </c>
      <c r="D3631" t="inlineStr">
        <is>
          <t>PUMA Womens Teamgoal 23 Training Jacket W, Size: X-Large, Color: Electric Blue Lemonade/Team Power Blue</t>
        </is>
      </c>
      <c r="E3631" s="2">
        <f>HYPERLINK("https://www.amazon.com/PUMA-Teamgoal-Training-Electric-Lemonade/dp/B083NJ9CC5/ref=sr_1_4?keywords=Puma+Teamgoal+23+Training+Jacket&amp;qid=1695171154&amp;sr=8-4", "https://www.amazon.com/PUMA-Teamgoal-Training-Electric-Lemonade/dp/B083NJ9CC5/ref=sr_1_4?keywords=Puma+Teamgoal+23+Training+Jacket&amp;qid=1695171154&amp;sr=8-4")</f>
        <v/>
      </c>
      <c r="F3631" t="inlineStr">
        <is>
          <t>B083NJ9CC5</t>
        </is>
      </c>
      <c r="G3631">
        <f>_xludf.IMAGE("https://www.soccerplususa.com/prodimages//35608-Electric_Blue-M.jpg")</f>
        <v/>
      </c>
      <c r="H3631">
        <f>_xludf.IMAGE("https://m.media-amazon.com/images/I/516xDMm45zL._AC_UL320_.jpg")</f>
        <v/>
      </c>
      <c r="K3631" t="inlineStr">
        <is>
          <t>44.99</t>
        </is>
      </c>
      <c r="L3631" t="n">
        <v>35.93</v>
      </c>
      <c r="M3631" s="1" t="inlineStr">
        <is>
          <t>-20.14%</t>
        </is>
      </c>
      <c r="N3631" s="3" t="n">
        <v>-20.14</v>
      </c>
      <c r="O3631" t="n">
        <v>3.3</v>
      </c>
      <c r="P3631" t="n">
        <v>7</v>
      </c>
      <c r="R3631" t="inlineStr">
        <is>
          <t>InStock</t>
        </is>
      </c>
      <c r="S3631" t="inlineStr">
        <is>
          <t>59.95</t>
        </is>
      </c>
      <c r="T3631" t="inlineStr">
        <is>
          <t>656561-02</t>
        </is>
      </c>
    </row>
    <row r="3632" hidden="1" ht="15.75" customHeight="1">
      <c r="A3632" s="2">
        <f>HYPERLINK("https://www.soccerplususa.com/adidas/adidas-tabela-18-jersey-womens-33807", "https://www.soccerplususa.com/adidas/adidas-tabela-18-jersey-womens-33807")</f>
        <v/>
      </c>
      <c r="B3632" t="inlineStr">
        <is>
          <t>undefined</t>
        </is>
      </c>
      <c r="C3632" t="inlineStr">
        <is>
          <t>adidas Tabela 18 Jersey Women's</t>
        </is>
      </c>
      <c r="D3632" t="inlineStr">
        <is>
          <t>adidas Women's Tabela 14 Jersey T-Shirt White</t>
        </is>
      </c>
      <c r="E3632" s="2">
        <f>HYPERLINK("https://www.amazon.com/Adidas-Tabela-Womens-Soccer-Jersey/dp/B00HWLDS9U/ref=sr_1_8?keywords=adidas+Tabela+18+Jersey+Womens&amp;qid=1695171168&amp;sr=8-8", "https://www.amazon.com/Adidas-Tabela-Womens-Soccer-Jersey/dp/B00HWLDS9U/ref=sr_1_8?keywords=adidas+Tabela+18+Jersey+Womens&amp;qid=1695171168&amp;sr=8-8")</f>
        <v/>
      </c>
      <c r="F3632" t="inlineStr">
        <is>
          <t>B00HWLDS9U</t>
        </is>
      </c>
      <c r="G3632">
        <f>_xludf.IMAGE("https://www.soccerplususa.com/prodimages/35357-DEFAULT-l.jpg")</f>
        <v/>
      </c>
      <c r="H3632">
        <f>_xludf.IMAGE("https://m.media-amazon.com/images/I/51P9FbjE8BL._AC_UL320_.jpg")</f>
        <v/>
      </c>
      <c r="K3632" t="inlineStr">
        <is>
          <t>21.99</t>
        </is>
      </c>
      <c r="L3632" t="n">
        <v>17.5</v>
      </c>
      <c r="M3632" s="1" t="inlineStr">
        <is>
          <t>-20.42%</t>
        </is>
      </c>
      <c r="N3632" s="3" t="n">
        <v>-20.42</v>
      </c>
      <c r="O3632" t="n">
        <v>3.6</v>
      </c>
      <c r="P3632" t="n">
        <v>16</v>
      </c>
      <c r="R3632" t="inlineStr">
        <is>
          <t>InStock</t>
        </is>
      </c>
      <c r="S3632" t="inlineStr">
        <is>
          <t>29.95</t>
        </is>
      </c>
      <c r="T3632" t="inlineStr">
        <is>
          <t>CE8933</t>
        </is>
      </c>
    </row>
    <row r="3633" hidden="1" ht="15.75" customHeight="1">
      <c r="A3633" s="2">
        <f>HYPERLINK("https://www.soccerplususa.com/adidas/adidas-tabela-18-jersey-womens-33806", "https://www.soccerplususa.com/adidas/adidas-tabela-18-jersey-womens-33806")</f>
        <v/>
      </c>
      <c r="B3633" t="inlineStr">
        <is>
          <t>undefined</t>
        </is>
      </c>
      <c r="C3633" t="inlineStr">
        <is>
          <t>adidas Tabela 18 Jersey Women's</t>
        </is>
      </c>
      <c r="D3633" t="inlineStr">
        <is>
          <t>adidas Women's Tabela 14 Jersey T-Shirt White</t>
        </is>
      </c>
      <c r="E3633" s="2">
        <f>HYPERLINK("https://www.amazon.com/Adidas-Tabela-Womens-Soccer-Jersey/dp/B00HWLDS9U/ref=sr_1_8?keywords=adidas+Tabela+18+Jersey+Womens&amp;qid=1695171171&amp;sr=8-8", "https://www.amazon.com/Adidas-Tabela-Womens-Soccer-Jersey/dp/B00HWLDS9U/ref=sr_1_8?keywords=adidas+Tabela+18+Jersey+Womens&amp;qid=1695171171&amp;sr=8-8")</f>
        <v/>
      </c>
      <c r="F3633" t="inlineStr">
        <is>
          <t>B00HWLDS9U</t>
        </is>
      </c>
      <c r="G3633">
        <f>_xludf.IMAGE("https://www.soccerplususa.com/prodimages/35358-DEFAULT-l.jpg")</f>
        <v/>
      </c>
      <c r="H3633">
        <f>_xludf.IMAGE("https://m.media-amazon.com/images/I/51P9FbjE8BL._AC_UL320_.jpg")</f>
        <v/>
      </c>
      <c r="K3633" t="inlineStr">
        <is>
          <t>21.99</t>
        </is>
      </c>
      <c r="L3633" t="n">
        <v>17.5</v>
      </c>
      <c r="M3633" s="1" t="inlineStr">
        <is>
          <t>-20.42%</t>
        </is>
      </c>
      <c r="N3633" s="3" t="n">
        <v>-20.42</v>
      </c>
      <c r="O3633" t="n">
        <v>3.6</v>
      </c>
      <c r="P3633" t="n">
        <v>16</v>
      </c>
      <c r="R3633" t="inlineStr">
        <is>
          <t>InStock</t>
        </is>
      </c>
      <c r="S3633" t="inlineStr">
        <is>
          <t>29.95</t>
        </is>
      </c>
      <c r="T3633" t="inlineStr">
        <is>
          <t>CE8932</t>
        </is>
      </c>
    </row>
    <row r="3634" hidden="1" ht="15.75" customHeight="1">
      <c r="A3634" s="2">
        <f>HYPERLINK("https://www.soccerplususa.com/adidas/adidas-tiro-17-jersey-33798", "https://www.soccerplususa.com/adidas/adidas-tiro-17-jersey-33798")</f>
        <v/>
      </c>
      <c r="B3634" t="inlineStr">
        <is>
          <t>undefined</t>
        </is>
      </c>
      <c r="C3634" t="inlineStr">
        <is>
          <t>adidas Tiro 17 Jersey</t>
        </is>
      </c>
      <c r="D3634" t="inlineStr">
        <is>
          <t>adidas Mens Tiro 17 Jersey Black/White S</t>
        </is>
      </c>
      <c r="E3634" s="2">
        <f>HYPERLINK("https://www.amazon.com/Adidas-Mens-Jersey-Black-White/dp/B01N64GCZ6/ref=sr_1_3?keywords=adidas+Tiro+17+Jersey&amp;qid=1695171166&amp;sr=8-3", "https://www.amazon.com/Adidas-Mens-Jersey-Black-White/dp/B01N64GCZ6/ref=sr_1_3?keywords=adidas+Tiro+17+Jersey&amp;qid=1695171166&amp;sr=8-3")</f>
        <v/>
      </c>
      <c r="F3634" t="inlineStr">
        <is>
          <t>B01N64GCZ6</t>
        </is>
      </c>
      <c r="G3634">
        <f>_xludf.IMAGE("https://www.soccerplususa.com/prodimages/7452-DEFAULT-l.jpg")</f>
        <v/>
      </c>
      <c r="H3634">
        <f>_xludf.IMAGE("https://m.media-amazon.com/images/I/61WO-O2xDLL._AC_UL320_.jpg")</f>
        <v/>
      </c>
      <c r="K3634" t="inlineStr">
        <is>
          <t>23.97</t>
        </is>
      </c>
      <c r="L3634" t="n">
        <v>19.07</v>
      </c>
      <c r="M3634" s="1" t="inlineStr">
        <is>
          <t>-20.44%</t>
        </is>
      </c>
      <c r="N3634" s="3" t="n">
        <v>-20.44</v>
      </c>
      <c r="O3634" t="n">
        <v>4.3</v>
      </c>
      <c r="P3634" t="n">
        <v>8</v>
      </c>
      <c r="R3634" t="inlineStr">
        <is>
          <t>InStock</t>
        </is>
      </c>
      <c r="S3634" t="inlineStr">
        <is>
          <t>39.95</t>
        </is>
      </c>
      <c r="T3634" t="inlineStr">
        <is>
          <t>BS4216</t>
        </is>
      </c>
    </row>
    <row r="3635" hidden="1" ht="15.75" customHeight="1">
      <c r="A3635" s="2">
        <f>HYPERLINK("https://www.soccerplususa.com/adidas/adidas-regista-16-jersey-4147", "https://www.soccerplususa.com/adidas/adidas-regista-16-jersey-4147")</f>
        <v/>
      </c>
      <c r="B3635" t="inlineStr">
        <is>
          <t>undefined</t>
        </is>
      </c>
      <c r="C3635" t="inlineStr">
        <is>
          <t>adidas Regista 16 Jersey</t>
        </is>
      </c>
      <c r="D3635" t="inlineStr">
        <is>
          <t>adidas Mens Regista Jersey</t>
        </is>
      </c>
      <c r="E3635" s="2">
        <f>HYPERLINK("https://www.amazon.com/adidas-Regista-Jersey-Soccer-White-Bold/dp/B078LLZRDF/ref=sr_1_5?keywords=adidas+Regista+16+Jersey&amp;qid=1695171233&amp;sr=8-5", "https://www.amazon.com/adidas-Regista-Jersey-Soccer-White-Bold/dp/B078LLZRDF/ref=sr_1_5?keywords=adidas+Regista+16+Jersey&amp;qid=1695171233&amp;sr=8-5")</f>
        <v/>
      </c>
      <c r="F3635" t="inlineStr">
        <is>
          <t>B078LLZRDF</t>
        </is>
      </c>
      <c r="G3635">
        <f>_xludf.IMAGE("https://www.soccerplususa.com/prodimages/7616-DEFAULT-l.jpg")</f>
        <v/>
      </c>
      <c r="H3635">
        <f>_xludf.IMAGE("https://m.media-amazon.com/images/I/418ed8POJFL._AC_UL320_.jpg")</f>
        <v/>
      </c>
      <c r="K3635" t="inlineStr">
        <is>
          <t>17.5</t>
        </is>
      </c>
      <c r="L3635" t="n">
        <v>13.9</v>
      </c>
      <c r="M3635" s="1" t="inlineStr">
        <is>
          <t>-20.57%</t>
        </is>
      </c>
      <c r="N3635" s="3" t="n">
        <v>-20.57</v>
      </c>
      <c r="O3635" t="n">
        <v>3.5</v>
      </c>
      <c r="P3635" t="n">
        <v>10</v>
      </c>
      <c r="R3635" t="inlineStr">
        <is>
          <t>InStock</t>
        </is>
      </c>
      <c r="S3635" t="inlineStr">
        <is>
          <t>34.95</t>
        </is>
      </c>
      <c r="T3635" t="inlineStr">
        <is>
          <t>AP0529</t>
        </is>
      </c>
    </row>
    <row r="3636" hidden="1" ht="15.75" customHeight="1">
      <c r="A3636" s="2">
        <f>HYPERLINK("https://www.soccerplususa.com/nike/nike-dry-academy-18-football-jacket-youth-34589", "https://www.soccerplususa.com/nike/nike-dry-academy-18-football-jacket-youth-34589")</f>
        <v/>
      </c>
      <c r="B3636" t="inlineStr">
        <is>
          <t>undefined</t>
        </is>
      </c>
      <c r="C3636" t="inlineStr">
        <is>
          <t>Nike Dry Academy 18 Football Jacket Youth</t>
        </is>
      </c>
      <c r="D3636" t="inlineStr">
        <is>
          <t>Nike Men's Dry Park18 Football Jacket</t>
        </is>
      </c>
      <c r="E3636" s="2">
        <f>HYPERLINK("https://www.amazon.com/NIKE-Park18-Football-Jacket-Royal/dp/B078XCJ1SQ/ref=sr_1_5?keywords=Nike+Dry+Academy+18+Football+Jacket+Youth&amp;qid=1695171163&amp;sr=8-5", "https://www.amazon.com/NIKE-Park18-Football-Jacket-Royal/dp/B078XCJ1SQ/ref=sr_1_5?keywords=Nike+Dry+Academy+18+Football+Jacket+Youth&amp;qid=1695171163&amp;sr=8-5")</f>
        <v/>
      </c>
      <c r="F3636" t="inlineStr">
        <is>
          <t>B078XCJ1SQ</t>
        </is>
      </c>
      <c r="G3636">
        <f>_xludf.IMAGE("https://www.soccerplususa.com/prodimages/7468-DEFAULT-l.jpg")</f>
        <v/>
      </c>
      <c r="H3636">
        <f>_xludf.IMAGE("https://m.media-amazon.com/images/I/51Tjc+5QNQL._AC_UL320_.jpg")</f>
        <v/>
      </c>
      <c r="K3636" t="inlineStr">
        <is>
          <t>111.99</t>
        </is>
      </c>
      <c r="L3636" t="n">
        <v>88.90000000000001</v>
      </c>
      <c r="M3636" s="1" t="inlineStr">
        <is>
          <t>-20.62%</t>
        </is>
      </c>
      <c r="N3636" s="3" t="n">
        <v>-20.62</v>
      </c>
      <c r="O3636" t="n">
        <v>4.1</v>
      </c>
      <c r="P3636" t="n">
        <v>2438</v>
      </c>
      <c r="R3636" t="inlineStr">
        <is>
          <t>InStock</t>
        </is>
      </c>
      <c r="S3636" t="inlineStr">
        <is>
          <t>149.95</t>
        </is>
      </c>
      <c r="T3636" t="inlineStr">
        <is>
          <t>893827-010</t>
        </is>
      </c>
    </row>
    <row r="3637" hidden="1" ht="15.75" customHeight="1">
      <c r="A3637" s="2">
        <f>HYPERLINK("https://www.soccerplususa.com/under-armour/under-armour-cold-gear-armour-mock-youth-33310", "https://www.soccerplususa.com/under-armour/under-armour-cold-gear-armour-mock-youth-33310")</f>
        <v/>
      </c>
      <c r="B3637" t="inlineStr">
        <is>
          <t>undefined</t>
        </is>
      </c>
      <c r="C3637" t="inlineStr">
        <is>
          <t>Under Armour Cold Gear Armour Mock Youth</t>
        </is>
      </c>
      <c r="D3637" t="inlineStr">
        <is>
          <t>Under Armour Boys' ColdGear Armour Compression Crew</t>
        </is>
      </c>
      <c r="E3637" s="2">
        <f>HYPERLINK("https://www.amazon.com/Under-Armour-Coldgear-Pitch-Black/dp/B07CZMYVFH/ref=sr_1_7?keywords=Under+Armour+Cold+Gear+Armour+Mock+Youth&amp;qid=1695171174&amp;sr=8-7", "https://www.amazon.com/Under-Armour-Coldgear-Pitch-Black/dp/B07CZMYVFH/ref=sr_1_7?keywords=Under+Armour+Cold+Gear+Armour+Mock+Youth&amp;qid=1695171174&amp;sr=8-7")</f>
        <v/>
      </c>
      <c r="F3637" t="inlineStr">
        <is>
          <t>B07CZMYVFH</t>
        </is>
      </c>
      <c r="G3637">
        <f>_xludf.IMAGE("https://www.soccerplususa.com/prodimages/5586-DEFAULT-l.jpg")</f>
        <v/>
      </c>
      <c r="H3637">
        <f>_xludf.IMAGE("https://m.media-amazon.com/images/I/81FcthYrprL._AC_UL320_.jpg")</f>
        <v/>
      </c>
      <c r="K3637" t="inlineStr">
        <is>
          <t>39.95</t>
        </is>
      </c>
      <c r="L3637" t="n">
        <v>31.67</v>
      </c>
      <c r="M3637" s="1" t="inlineStr">
        <is>
          <t>-20.73%</t>
        </is>
      </c>
      <c r="N3637" s="3" t="n">
        <v>-20.73</v>
      </c>
      <c r="O3637" t="n">
        <v>4.7</v>
      </c>
      <c r="P3637" t="n">
        <v>367</v>
      </c>
      <c r="R3637" t="inlineStr">
        <is>
          <t>InStock</t>
        </is>
      </c>
      <c r="S3637" t="inlineStr">
        <is>
          <t>undefined</t>
        </is>
      </c>
      <c r="T3637" t="inlineStr">
        <is>
          <t>1288343-001</t>
        </is>
      </c>
    </row>
    <row r="3638" hidden="1" ht="15.75" customHeight="1">
      <c r="A3638" s="2">
        <f>HYPERLINK("https://www.soccerplususa.com/under-armour/under-armour-cold-gear-armour-mock-youth-33311", "https://www.soccerplususa.com/under-armour/under-armour-cold-gear-armour-mock-youth-33311")</f>
        <v/>
      </c>
      <c r="B3638" t="inlineStr">
        <is>
          <t>undefined</t>
        </is>
      </c>
      <c r="C3638" t="inlineStr">
        <is>
          <t>Under Armour Cold Gear Armour Mock Youth</t>
        </is>
      </c>
      <c r="D3638" t="inlineStr">
        <is>
          <t>Under Armour Boys' ColdGear Armour Compression Crew</t>
        </is>
      </c>
      <c r="E3638" s="2">
        <f>HYPERLINK("https://www.amazon.com/Under-Armour-Coldgear-Pitch-Black/dp/B07CZMYVFH/ref=sr_1_9?keywords=Under+Armour+Cold+Gear+Armour+Mock+Youth&amp;qid=1695171169&amp;sr=8-9", "https://www.amazon.com/Under-Armour-Coldgear-Pitch-Black/dp/B07CZMYVFH/ref=sr_1_9?keywords=Under+Armour+Cold+Gear+Armour+Mock+Youth&amp;qid=1695171169&amp;sr=8-9")</f>
        <v/>
      </c>
      <c r="F3638" t="inlineStr">
        <is>
          <t>B07CZMYVFH</t>
        </is>
      </c>
      <c r="G3638">
        <f>_xludf.IMAGE("https://www.soccerplususa.com/prodimages/5585-DEFAULT-l.jpg")</f>
        <v/>
      </c>
      <c r="H3638">
        <f>_xludf.IMAGE("https://m.media-amazon.com/images/I/81FcthYrprL._AC_UL320_.jpg")</f>
        <v/>
      </c>
      <c r="K3638" t="inlineStr">
        <is>
          <t>39.95</t>
        </is>
      </c>
      <c r="L3638" t="n">
        <v>31.67</v>
      </c>
      <c r="M3638" s="1" t="inlineStr">
        <is>
          <t>-20.73%</t>
        </is>
      </c>
      <c r="N3638" s="3" t="n">
        <v>-20.73</v>
      </c>
      <c r="O3638" t="n">
        <v>4.7</v>
      </c>
      <c r="P3638" t="n">
        <v>367</v>
      </c>
      <c r="R3638" t="inlineStr">
        <is>
          <t>InStock</t>
        </is>
      </c>
      <c r="S3638" t="inlineStr">
        <is>
          <t>undefined</t>
        </is>
      </c>
      <c r="T3638" t="inlineStr">
        <is>
          <t>1288343-100</t>
        </is>
      </c>
    </row>
    <row r="3639" hidden="1" ht="15.75" customHeight="1">
      <c r="A3639" s="2">
        <f>HYPERLINK("https://www.soccerplususa.com/under-armour/under-armour-cold-gear-armour-crew-youth-33312", "https://www.soccerplususa.com/under-armour/under-armour-cold-gear-armour-crew-youth-33312")</f>
        <v/>
      </c>
      <c r="B3639" t="inlineStr">
        <is>
          <t>undefined</t>
        </is>
      </c>
      <c r="C3639" t="inlineStr">
        <is>
          <t>Under Armour Cold Gear Armour Crew Youth</t>
        </is>
      </c>
      <c r="D3639" t="inlineStr">
        <is>
          <t>Under Armour Boys' ColdGear Armour Compression Crew</t>
        </is>
      </c>
      <c r="E3639" s="2">
        <f>HYPERLINK("https://www.amazon.com/Under-Armour-Coldgear-Pitch-Black/dp/B07CZMYVFH/ref=sr_1_1?keywords=Under+Armour+Cold+Gear+Armour+Crew+Youth&amp;qid=1695171168&amp;sr=8-1", "https://www.amazon.com/Under-Armour-Coldgear-Pitch-Black/dp/B07CZMYVFH/ref=sr_1_1?keywords=Under+Armour+Cold+Gear+Armour+Crew+Youth&amp;qid=1695171168&amp;sr=8-1")</f>
        <v/>
      </c>
      <c r="F3639" t="inlineStr">
        <is>
          <t>B07CZMYVFH</t>
        </is>
      </c>
      <c r="G3639">
        <f>_xludf.IMAGE("https://www.soccerplususa.com/prodimages/5584-DEFAULT-l.jpg")</f>
        <v/>
      </c>
      <c r="H3639">
        <f>_xludf.IMAGE("https://m.media-amazon.com/images/I/81FcthYrprL._AC_UL320_.jpg")</f>
        <v/>
      </c>
      <c r="K3639" t="inlineStr">
        <is>
          <t>39.95</t>
        </is>
      </c>
      <c r="L3639" t="n">
        <v>31.67</v>
      </c>
      <c r="M3639" s="1" t="inlineStr">
        <is>
          <t>-20.73%</t>
        </is>
      </c>
      <c r="N3639" s="3" t="n">
        <v>-20.73</v>
      </c>
      <c r="O3639" t="n">
        <v>4.7</v>
      </c>
      <c r="P3639" t="n">
        <v>367</v>
      </c>
      <c r="R3639" t="inlineStr">
        <is>
          <t>InStock</t>
        </is>
      </c>
      <c r="S3639" t="inlineStr">
        <is>
          <t>undefined</t>
        </is>
      </c>
      <c r="T3639" t="inlineStr">
        <is>
          <t>1288344-001</t>
        </is>
      </c>
    </row>
    <row r="3640" hidden="1" ht="15.75" customHeight="1">
      <c r="A3640" s="2">
        <f>HYPERLINK("https://www.soccerplususa.com/adidas/adidas-tiro-21-track-jacket-41183", "https://www.soccerplususa.com/adidas/adidas-tiro-21-track-jacket-41183")</f>
        <v/>
      </c>
      <c r="B3640" t="inlineStr">
        <is>
          <t>undefined</t>
        </is>
      </c>
      <c r="C3640" t="inlineStr">
        <is>
          <t>adidas Tiro 21 Track Jacket</t>
        </is>
      </c>
      <c r="D3640" t="inlineStr">
        <is>
          <t>adidas Women's Tiro 21 Track Jacket</t>
        </is>
      </c>
      <c r="E3640" s="2">
        <f>HYPERLINK("https://www.amazon.com/adidas-Womens-Tiro-Track-Jacket/dp/B089K5WHML/ref=sr_1_4?keywords=adidas+Tiro+21+Track+Jacket&amp;qid=1695171147&amp;sr=8-4", "https://www.amazon.com/adidas-Womens-Tiro-Track-Jacket/dp/B089K5WHML/ref=sr_1_4?keywords=adidas+Tiro+21+Track+Jacket&amp;qid=1695171147&amp;sr=8-4")</f>
        <v/>
      </c>
      <c r="F3640" t="inlineStr">
        <is>
          <t>B089K5WHML</t>
        </is>
      </c>
      <c r="G3640">
        <f>_xludf.IMAGE("https://www.soccerplususa.com/prodimages//36165-BLACKWHITE-M.jpg")</f>
        <v/>
      </c>
      <c r="H3640">
        <f>_xludf.IMAGE("https://m.media-amazon.com/images/I/81yS8T3hJhS._AC_UL320_.jpg")</f>
        <v/>
      </c>
      <c r="K3640" t="inlineStr">
        <is>
          <t>50.0</t>
        </is>
      </c>
      <c r="L3640" t="n">
        <v>39.62</v>
      </c>
      <c r="M3640" s="1" t="inlineStr">
        <is>
          <t>-20.76%</t>
        </is>
      </c>
      <c r="N3640" s="3" t="n">
        <v>-20.76</v>
      </c>
      <c r="O3640" t="n">
        <v>3.7</v>
      </c>
      <c r="P3640" t="n">
        <v>12</v>
      </c>
      <c r="R3640" t="inlineStr">
        <is>
          <t>InStock</t>
        </is>
      </c>
      <c r="S3640" t="inlineStr">
        <is>
          <t>undefined</t>
        </is>
      </c>
      <c r="T3640" t="inlineStr">
        <is>
          <t>GM7319</t>
        </is>
      </c>
    </row>
    <row r="3641" hidden="1" ht="15.75" customHeight="1">
      <c r="A3641" s="2">
        <f>HYPERLINK("https://www.soccerplususa.com/adidas/adidas-squadra-17-jersey-youth-45935", "https://www.soccerplususa.com/adidas/adidas-squadra-17-jersey-youth-45935")</f>
        <v/>
      </c>
      <c r="B3641" t="inlineStr">
        <is>
          <t>undefined</t>
        </is>
      </c>
      <c r="C3641" t="inlineStr">
        <is>
          <t>adidas Squadra 17 Jersey Youth</t>
        </is>
      </c>
      <c r="D3641" t="inlineStr">
        <is>
          <t>adidas Boys Squadra 17 Unisex Soccer Jersey</t>
        </is>
      </c>
      <c r="E3641" s="2">
        <f>HYPERLINK("https://www.amazon.com/adidas-Youth-Squadra-Jersey-Black/dp/B074585TVM/ref=sr_1_1?keywords=adidas+Squadra+17+Jersey+Youth&amp;qid=1695171144&amp;sr=8-1", "https://www.amazon.com/adidas-Youth-Squadra-Jersey-Black/dp/B074585TVM/ref=sr_1_1?keywords=adidas+Squadra+17+Jersey+Youth&amp;qid=1695171144&amp;sr=8-1")</f>
        <v/>
      </c>
      <c r="F3641" t="inlineStr">
        <is>
          <t>B074585TVM</t>
        </is>
      </c>
      <c r="G3641">
        <f>_xludf.IMAGE("https://www.soccerplususa.com/prodimages//37351-ORANGEWHITE-M.jpg")</f>
        <v/>
      </c>
      <c r="H3641">
        <f>_xludf.IMAGE("https://m.media-amazon.com/images/I/61kr+zjTC1L._AC_UL320_.jpg")</f>
        <v/>
      </c>
      <c r="K3641" t="inlineStr">
        <is>
          <t>18.99</t>
        </is>
      </c>
      <c r="L3641" t="n">
        <v>15</v>
      </c>
      <c r="M3641" s="1" t="inlineStr">
        <is>
          <t>-21.01%</t>
        </is>
      </c>
      <c r="N3641" s="3" t="n">
        <v>-21.01</v>
      </c>
      <c r="O3641" t="n">
        <v>4.3</v>
      </c>
      <c r="P3641" t="n">
        <v>41</v>
      </c>
      <c r="R3641" t="inlineStr">
        <is>
          <t>InStock</t>
        </is>
      </c>
      <c r="S3641" t="inlineStr">
        <is>
          <t>25.0</t>
        </is>
      </c>
      <c r="T3641" t="inlineStr">
        <is>
          <t>BJ9198</t>
        </is>
      </c>
    </row>
    <row r="3642" hidden="1" ht="15.75" customHeight="1">
      <c r="A3642" s="2">
        <f>HYPERLINK("https://www.soccerplususa.com/puma/puma-liga-training-1-4-zip-jacket-29028", "https://www.soccerplususa.com/puma/puma-liga-training-1-4-zip-jacket-29028")</f>
        <v/>
      </c>
      <c r="B3642" t="inlineStr">
        <is>
          <t>undefined</t>
        </is>
      </c>
      <c r="C3642" t="inlineStr">
        <is>
          <t>Puma Liga Training 1/4 Zip Jacket</t>
        </is>
      </c>
      <c r="D3642" t="inlineStr">
        <is>
          <t>PUMA Cup Training 1/4 Zip TOP</t>
        </is>
      </c>
      <c r="E3642" s="2">
        <f>HYPERLINK("https://www.amazon.com/PUMA-Cup-Training-Zip-TOP/dp/B07NFQSXGS/ref=sr_1_6?keywords=Puma+Liga+Training+1%2F4+Zip+Jacket&amp;qid=1695171178&amp;sr=8-6", "https://www.amazon.com/PUMA-Cup-Training-Zip-TOP/dp/B07NFQSXGS/ref=sr_1_6?keywords=Puma+Liga+Training+1%2F4+Zip+Jacket&amp;qid=1695171178&amp;sr=8-6")</f>
        <v/>
      </c>
      <c r="F3642" t="inlineStr">
        <is>
          <t>B07NFQSXGS</t>
        </is>
      </c>
      <c r="G3642">
        <f>_xludf.IMAGE("https://www.soccerplususa.com/prodimages/6871-DEFAULT-l.jpg")</f>
        <v/>
      </c>
      <c r="H3642">
        <f>_xludf.IMAGE("https://m.media-amazon.com/images/I/51YIJPT8S2L._AC_UL320_.jpg")</f>
        <v/>
      </c>
      <c r="K3642" t="inlineStr">
        <is>
          <t>38.0</t>
        </is>
      </c>
      <c r="L3642" t="n">
        <v>29.95</v>
      </c>
      <c r="M3642" s="1" t="inlineStr">
        <is>
          <t>-21.18%</t>
        </is>
      </c>
      <c r="N3642" s="3" t="n">
        <v>-21.18</v>
      </c>
      <c r="O3642" t="n">
        <v>1</v>
      </c>
      <c r="P3642" t="n">
        <v>1</v>
      </c>
      <c r="R3642" t="inlineStr">
        <is>
          <t>InStock</t>
        </is>
      </c>
      <c r="S3642" t="inlineStr">
        <is>
          <t>50.0</t>
        </is>
      </c>
      <c r="T3642" t="inlineStr">
        <is>
          <t>655606-06</t>
        </is>
      </c>
    </row>
    <row r="3643" hidden="1" ht="15.75" customHeight="1">
      <c r="A3643" s="2">
        <f>HYPERLINK("https://www.soccerplususa.com/adidas/adidas-core-18-training-top-33852", "https://www.soccerplususa.com/adidas/adidas-core-18-training-top-33852")</f>
        <v/>
      </c>
      <c r="B3643" t="inlineStr">
        <is>
          <t>undefined</t>
        </is>
      </c>
      <c r="C3643" t="inlineStr">
        <is>
          <t>adidas Core 18 Training Top</t>
        </is>
      </c>
      <c r="D3643" t="inlineStr">
        <is>
          <t>adidas Core18 Tank Top Black/White LG</t>
        </is>
      </c>
      <c r="E3643" s="2">
        <f>HYPERLINK("https://www.amazon.com/adidas-Womens-Core18-Black-White/dp/B071KHT4FR/ref=sr_1_10?keywords=adidas+Core+18+Training+Top&amp;qid=1695171165&amp;sr=8-10", "https://www.amazon.com/adidas-Womens-Core18-Black-White/dp/B071KHT4FR/ref=sr_1_10?keywords=adidas+Core+18+Training+Top&amp;qid=1695171165&amp;sr=8-10")</f>
        <v/>
      </c>
      <c r="F3643" t="inlineStr">
        <is>
          <t>B071KHT4FR</t>
        </is>
      </c>
      <c r="G3643">
        <f>_xludf.IMAGE("https://www.soccerplususa.com/prodimages/33345-DEFAULT-l.jpg")</f>
        <v/>
      </c>
      <c r="H3643">
        <f>_xludf.IMAGE("https://m.media-amazon.com/images/I/61ECF4MdBSL._AC_UL320_.jpg")</f>
        <v/>
      </c>
      <c r="K3643" t="inlineStr">
        <is>
          <t>22.99</t>
        </is>
      </c>
      <c r="L3643" t="n">
        <v>17.99</v>
      </c>
      <c r="M3643" s="1" t="inlineStr">
        <is>
          <t>-21.75%</t>
        </is>
      </c>
      <c r="N3643" s="3" t="n">
        <v>-21.75</v>
      </c>
      <c r="O3643" t="n">
        <v>3.4</v>
      </c>
      <c r="P3643" t="n">
        <v>10</v>
      </c>
      <c r="R3643" t="inlineStr">
        <is>
          <t>InStock</t>
        </is>
      </c>
      <c r="S3643" t="inlineStr">
        <is>
          <t>30.95</t>
        </is>
      </c>
      <c r="T3643" t="inlineStr">
        <is>
          <t>CV4000</t>
        </is>
      </c>
    </row>
    <row r="3644" hidden="1" ht="15.75" customHeight="1">
      <c r="A3644" s="2">
        <f>HYPERLINK("https://www.soccerplususa.com/adidas/adidas-tiro-21-track-jacket-womens-41184", "https://www.soccerplususa.com/adidas/adidas-tiro-21-track-jacket-womens-41184")</f>
        <v/>
      </c>
      <c r="B3644" t="inlineStr">
        <is>
          <t>undefined</t>
        </is>
      </c>
      <c r="C3644" t="inlineStr">
        <is>
          <t>adidas Tiro 21 Track Jacket Women's</t>
        </is>
      </c>
      <c r="D3644" t="inlineStr">
        <is>
          <t>adidas womens Tiro 21 Track Jacket Team Navy Blue X-Small</t>
        </is>
      </c>
      <c r="E3644" s="2">
        <f>HYPERLINK("https://www.amazon.com/adidas-Womens-Track-Jacket-X-Small/dp/B087C39ST8/ref=sr_1_2?keywords=adidas+Tiro+21+Track+Jacket+Women%27s&amp;qid=1695171150&amp;sr=8-2", "https://www.amazon.com/adidas-Womens-Track-Jacket-X-Small/dp/B087C39ST8/ref=sr_1_2?keywords=adidas+Tiro+21+Track+Jacket+Women%27s&amp;qid=1695171150&amp;sr=8-2")</f>
        <v/>
      </c>
      <c r="F3644" t="inlineStr">
        <is>
          <t>B087C39ST8</t>
        </is>
      </c>
      <c r="G3644">
        <f>_xludf.IMAGE("https://www.soccerplususa.com/prodimages//36136-BLACKWHITE-M.jpg")</f>
        <v/>
      </c>
      <c r="H3644">
        <f>_xludf.IMAGE("https://m.media-amazon.com/images/I/51lXSCfKOYL._AC_UL320_.jpg")</f>
        <v/>
      </c>
      <c r="K3644" t="inlineStr">
        <is>
          <t>50.0</t>
        </is>
      </c>
      <c r="L3644" t="n">
        <v>38.98</v>
      </c>
      <c r="M3644" s="1" t="inlineStr">
        <is>
          <t>-22.04%</t>
        </is>
      </c>
      <c r="N3644" s="3" t="n">
        <v>-22.04</v>
      </c>
      <c r="O3644" t="n">
        <v>4.6</v>
      </c>
      <c r="P3644" t="n">
        <v>8</v>
      </c>
      <c r="R3644" t="inlineStr">
        <is>
          <t>InStock</t>
        </is>
      </c>
      <c r="S3644" t="inlineStr">
        <is>
          <t>undefined</t>
        </is>
      </c>
      <c r="T3644" t="inlineStr">
        <is>
          <t>GM7307</t>
        </is>
      </c>
    </row>
    <row r="3645" hidden="1" ht="15.75" customHeight="1">
      <c r="A3645" s="2">
        <f>HYPERLINK("https://www.soccerplususa.com/adidas/adidas-tiro-21-track-jacket-41183", "https://www.soccerplususa.com/adidas/adidas-tiro-21-track-jacket-41183")</f>
        <v/>
      </c>
      <c r="B3645" t="inlineStr">
        <is>
          <t>undefined</t>
        </is>
      </c>
      <c r="C3645" t="inlineStr">
        <is>
          <t>adidas Tiro 21 Track Jacket</t>
        </is>
      </c>
      <c r="D3645" t="inlineStr">
        <is>
          <t>adidas womens Tiro 21 Track Jacket Team Navy Blue X-Small</t>
        </is>
      </c>
      <c r="E3645" s="2">
        <f>HYPERLINK("https://www.amazon.com/adidas-Womens-Track-Jacket-X-Small/dp/B087C39ST8/ref=sr_1_6?keywords=adidas+Tiro+21+Track+Jacket&amp;qid=1695171147&amp;sr=8-6", "https://www.amazon.com/adidas-Womens-Track-Jacket-X-Small/dp/B087C39ST8/ref=sr_1_6?keywords=adidas+Tiro+21+Track+Jacket&amp;qid=1695171147&amp;sr=8-6")</f>
        <v/>
      </c>
      <c r="F3645" t="inlineStr">
        <is>
          <t>B087C39ST8</t>
        </is>
      </c>
      <c r="G3645">
        <f>_xludf.IMAGE("https://www.soccerplususa.com/prodimages//36165-BLACKWHITE-M.jpg")</f>
        <v/>
      </c>
      <c r="H3645">
        <f>_xludf.IMAGE("https://m.media-amazon.com/images/I/51lXSCfKOYL._AC_UL320_.jpg")</f>
        <v/>
      </c>
      <c r="K3645" t="inlineStr">
        <is>
          <t>50.0</t>
        </is>
      </c>
      <c r="L3645" t="n">
        <v>38.98</v>
      </c>
      <c r="M3645" s="1" t="inlineStr">
        <is>
          <t>-22.04%</t>
        </is>
      </c>
      <c r="N3645" s="3" t="n">
        <v>-22.04</v>
      </c>
      <c r="O3645" t="n">
        <v>4.6</v>
      </c>
      <c r="P3645" t="n">
        <v>8</v>
      </c>
      <c r="R3645" t="inlineStr">
        <is>
          <t>InStock</t>
        </is>
      </c>
      <c r="S3645" t="inlineStr">
        <is>
          <t>undefined</t>
        </is>
      </c>
      <c r="T3645" t="inlineStr">
        <is>
          <t>GM7319</t>
        </is>
      </c>
    </row>
    <row r="3646" hidden="1" ht="15.75" customHeight="1">
      <c r="A3646" s="2">
        <f>HYPERLINK("https://www.soccerplususa.com/puma/puma-teamgoal-23-training-jacket-38703", "https://www.soccerplususa.com/puma/puma-teamgoal-23-training-jacket-38703")</f>
        <v/>
      </c>
      <c r="B3646" t="inlineStr">
        <is>
          <t>undefined</t>
        </is>
      </c>
      <c r="C3646" t="inlineStr">
        <is>
          <t>Puma Teamgoal 23 Training Jacket</t>
        </is>
      </c>
      <c r="D3646" t="inlineStr">
        <is>
          <t>PUMA Womens Teamgoal 23 Training Jacket W, Size: Large, Color: Pepper Green/Power Green</t>
        </is>
      </c>
      <c r="E3646" s="2">
        <f>HYPERLINK("https://www.amazon.com/PUMA-Womens-Teamgoal-Training-Jacket/dp/B086MYHSXT/ref=sr_1_5?keywords=Puma+Teamgoal+23+Training+Jacket&amp;qid=1695171154&amp;sr=8-5", "https://www.amazon.com/PUMA-Womens-Teamgoal-Training-Jacket/dp/B086MYHSXT/ref=sr_1_5?keywords=Puma+Teamgoal+23+Training+Jacket&amp;qid=1695171154&amp;sr=8-5")</f>
        <v/>
      </c>
      <c r="F3646" t="inlineStr">
        <is>
          <t>B086MYHSXT</t>
        </is>
      </c>
      <c r="G3646">
        <f>_xludf.IMAGE("https://www.soccerplususa.com/prodimages//35608-Electric_Blue-M.jpg")</f>
        <v/>
      </c>
      <c r="H3646">
        <f>_xludf.IMAGE("https://m.media-amazon.com/images/I/61ii7h8RXbL._AC_UL320_.jpg")</f>
        <v/>
      </c>
      <c r="K3646" t="inlineStr">
        <is>
          <t>44.99</t>
        </is>
      </c>
      <c r="L3646" t="n">
        <v>34.95</v>
      </c>
      <c r="M3646" s="1" t="inlineStr">
        <is>
          <t>-22.32%</t>
        </is>
      </c>
      <c r="N3646" s="3" t="n">
        <v>-22.32</v>
      </c>
      <c r="O3646" t="n">
        <v>5</v>
      </c>
      <c r="P3646" t="n">
        <v>1</v>
      </c>
      <c r="R3646" t="inlineStr">
        <is>
          <t>InStock</t>
        </is>
      </c>
      <c r="S3646" t="inlineStr">
        <is>
          <t>59.95</t>
        </is>
      </c>
      <c r="T3646" t="inlineStr">
        <is>
          <t>656561-02</t>
        </is>
      </c>
    </row>
    <row r="3647" hidden="1" ht="15.75" customHeight="1">
      <c r="A3647" s="2">
        <f>HYPERLINK("https://www.soccerplususa.com/puma/puma-liga-training-jacket-youth-35521", "https://www.soccerplususa.com/puma/puma-liga-training-jacket-youth-35521")</f>
        <v/>
      </c>
      <c r="B3647" t="inlineStr">
        <is>
          <t>undefined</t>
        </is>
      </c>
      <c r="C3647" t="inlineStr">
        <is>
          <t>Puma Liga Training Jacket Youth</t>
        </is>
      </c>
      <c r="D3647" t="inlineStr">
        <is>
          <t>PUMA Youth Liga Training Rain Jacket</t>
        </is>
      </c>
      <c r="E3647" s="2">
        <f>HYPERLINK("https://www.amazon.com/PUMA-Training-Jacket-Black-White/dp/B07DXZ1N14/ref=sr_1_3?keywords=Puma+Liga+Training+Jacket+Youth&amp;qid=1695171158&amp;sr=8-3", "https://www.amazon.com/PUMA-Training-Jacket-Black-White/dp/B07DXZ1N14/ref=sr_1_3?keywords=Puma+Liga+Training+Jacket+Youth&amp;qid=1695171158&amp;sr=8-3")</f>
        <v/>
      </c>
      <c r="F3647" t="inlineStr">
        <is>
          <t>B07DXZ1N14</t>
        </is>
      </c>
      <c r="G3647">
        <f>_xludf.IMAGE("https://www.soccerplususa.com/prodimages/32219-DEFAULT-l.jpg")</f>
        <v/>
      </c>
      <c r="H3647">
        <f>_xludf.IMAGE("https://m.media-amazon.com/images/I/81zxCvmnqxL._AC_UL320_.jpg")</f>
        <v/>
      </c>
      <c r="K3647" t="inlineStr">
        <is>
          <t>45.0</t>
        </is>
      </c>
      <c r="L3647" t="n">
        <v>34.95</v>
      </c>
      <c r="M3647" s="1" t="inlineStr">
        <is>
          <t>-22.33%</t>
        </is>
      </c>
      <c r="N3647" s="3" t="n">
        <v>-22.33</v>
      </c>
      <c r="O3647" t="n">
        <v>3.3</v>
      </c>
      <c r="P3647" t="n">
        <v>22</v>
      </c>
      <c r="R3647" t="inlineStr">
        <is>
          <t>InStock</t>
        </is>
      </c>
      <c r="S3647" t="inlineStr">
        <is>
          <t>59.95</t>
        </is>
      </c>
      <c r="T3647" t="inlineStr">
        <is>
          <t>655688-02</t>
        </is>
      </c>
    </row>
    <row r="3648" hidden="1" ht="15.75" customHeight="1">
      <c r="A3648" s="2">
        <f>HYPERLINK("https://www.soccerplususa.com/under-armour/under-armour-coldgear-armour-fitted-mock-youth-41594", "https://www.soccerplususa.com/under-armour/under-armour-coldgear-armour-fitted-mock-youth-41594")</f>
        <v/>
      </c>
      <c r="B3648" t="inlineStr">
        <is>
          <t>undefined</t>
        </is>
      </c>
      <c r="C3648" t="inlineStr">
        <is>
          <t>Under Armour ColdGear Armour Fitted Mock Youth</t>
        </is>
      </c>
      <c r="D3648" t="inlineStr">
        <is>
          <t>Under Armour Boys' ColdGear Mock Long Sleeve T-Shirt</t>
        </is>
      </c>
      <c r="E3648" s="2">
        <f>HYPERLINK("https://www.amazon.com/Under-Armour-ColdGear-T-Shirt-X-Large/dp/B08LMKJ2PZ/ref=sr_1_1?keywords=Under+Armour+ColdGear+Armour+Fitted+Mock+Youth&amp;qid=1695171149&amp;sr=8-1", "https://www.amazon.com/Under-Armour-ColdGear-T-Shirt-X-Large/dp/B08LMKJ2PZ/ref=sr_1_1?keywords=Under+Armour+ColdGear+Armour+Fitted+Mock+Youth&amp;qid=1695171149&amp;sr=8-1")</f>
        <v/>
      </c>
      <c r="F3648" t="inlineStr">
        <is>
          <t>B08LMKJ2PZ</t>
        </is>
      </c>
      <c r="G3648">
        <f>_xludf.IMAGE("https://www.soccerplususa.com/prodimages//36053-WHITE-M.jpg")</f>
        <v/>
      </c>
      <c r="H3648">
        <f>_xludf.IMAGE("https://m.media-amazon.com/images/I/41RZhJHj3DL._AC_UL320_.jpg")</f>
        <v/>
      </c>
      <c r="K3648" t="inlineStr">
        <is>
          <t>39.95</t>
        </is>
      </c>
      <c r="L3648" t="n">
        <v>30.97</v>
      </c>
      <c r="M3648" s="1" t="inlineStr">
        <is>
          <t>-22.48%</t>
        </is>
      </c>
      <c r="N3648" s="3" t="n">
        <v>-22.48</v>
      </c>
      <c r="O3648" t="n">
        <v>4.8</v>
      </c>
      <c r="P3648" t="n">
        <v>345</v>
      </c>
      <c r="R3648" t="inlineStr">
        <is>
          <t>InStock</t>
        </is>
      </c>
      <c r="S3648" t="inlineStr">
        <is>
          <t>undefined</t>
        </is>
      </c>
      <c r="T3648" t="inlineStr">
        <is>
          <t>1366373-100</t>
        </is>
      </c>
    </row>
    <row r="3649" hidden="1" ht="15.75" customHeight="1">
      <c r="A3649" s="2">
        <f>HYPERLINK("https://www.soccerplususa.com/under-armour/under-armour-coldgear-armour-fitted-mock-youth-41593", "https://www.soccerplususa.com/under-armour/under-armour-coldgear-armour-fitted-mock-youth-41593")</f>
        <v/>
      </c>
      <c r="B3649" t="inlineStr">
        <is>
          <t>undefined</t>
        </is>
      </c>
      <c r="C3649" t="inlineStr">
        <is>
          <t>Under Armour ColdGear Armour Fitted Mock Youth</t>
        </is>
      </c>
      <c r="D3649" t="inlineStr">
        <is>
          <t>Under Armour Boys' ColdGear Mock Long Sleeve T-Shirt</t>
        </is>
      </c>
      <c r="E3649" s="2">
        <f>HYPERLINK("https://www.amazon.com/Under-Armour-ColdGear-T-Shirt-X-Large/dp/B08LMKJ2PZ/ref=sr_1_1?keywords=Under+Armour+ColdGear+Armour+Fitted+Mock+Youth&amp;qid=1695171155&amp;sr=8-1", "https://www.amazon.com/Under-Armour-ColdGear-T-Shirt-X-Large/dp/B08LMKJ2PZ/ref=sr_1_1?keywords=Under+Armour+ColdGear+Armour+Fitted+Mock+Youth&amp;qid=1695171155&amp;sr=8-1")</f>
        <v/>
      </c>
      <c r="F3649" t="inlineStr">
        <is>
          <t>B08LMKJ2PZ</t>
        </is>
      </c>
      <c r="G3649">
        <f>_xludf.IMAGE("https://www.soccerplususa.com/prodimages//36054-BLACK-M.jpg")</f>
        <v/>
      </c>
      <c r="H3649">
        <f>_xludf.IMAGE("https://m.media-amazon.com/images/I/41RZhJHj3DL._AC_UL320_.jpg")</f>
        <v/>
      </c>
      <c r="K3649" t="inlineStr">
        <is>
          <t>39.95</t>
        </is>
      </c>
      <c r="L3649" t="n">
        <v>30.97</v>
      </c>
      <c r="M3649" s="1" t="inlineStr">
        <is>
          <t>-22.48%</t>
        </is>
      </c>
      <c r="N3649" s="3" t="n">
        <v>-22.48</v>
      </c>
      <c r="O3649" t="n">
        <v>4.8</v>
      </c>
      <c r="P3649" t="n">
        <v>345</v>
      </c>
      <c r="R3649" t="inlineStr">
        <is>
          <t>InStock</t>
        </is>
      </c>
      <c r="S3649" t="inlineStr">
        <is>
          <t>undefined</t>
        </is>
      </c>
      <c r="T3649" t="inlineStr">
        <is>
          <t>1366373-001</t>
        </is>
      </c>
    </row>
    <row r="3650" hidden="1" ht="15.75" customHeight="1">
      <c r="A3650" s="2">
        <f>HYPERLINK("https://www.soccerplususa.com/adidas/adidas-tiro-21-track-jacket-41183", "https://www.soccerplususa.com/adidas/adidas-tiro-21-track-jacket-41183")</f>
        <v/>
      </c>
      <c r="B3650" t="inlineStr">
        <is>
          <t>undefined</t>
        </is>
      </c>
      <c r="C3650" t="inlineStr">
        <is>
          <t>adidas Tiro 21 Track Jacket</t>
        </is>
      </c>
      <c r="D3650" t="inlineStr">
        <is>
          <t>adidas Women's Tiro Track Jacket</t>
        </is>
      </c>
      <c r="E3650" s="2">
        <f>HYPERLINK("https://www.amazon.com/adidas-Womens-Standard-Jacket-Medium/dp/B093QQ66XY/ref=sr_1_10?keywords=adidas+Tiro+21+Track+Jacket&amp;qid=1695171147&amp;sr=8-10", "https://www.amazon.com/adidas-Womens-Standard-Jacket-Medium/dp/B093QQ66XY/ref=sr_1_10?keywords=adidas+Tiro+21+Track+Jacket&amp;qid=1695171147&amp;sr=8-10")</f>
        <v/>
      </c>
      <c r="F3650" t="inlineStr">
        <is>
          <t>B093QQ66XY</t>
        </is>
      </c>
      <c r="G3650">
        <f>_xludf.IMAGE("https://www.soccerplususa.com/prodimages//36165-BLACKWHITE-M.jpg")</f>
        <v/>
      </c>
      <c r="H3650">
        <f>_xludf.IMAGE("https://m.media-amazon.com/images/I/51nCT80SB4L._AC_UL320_.jpg")</f>
        <v/>
      </c>
      <c r="K3650" t="inlineStr">
        <is>
          <t>50.0</t>
        </is>
      </c>
      <c r="L3650" t="n">
        <v>38.67</v>
      </c>
      <c r="M3650" s="1" t="inlineStr">
        <is>
          <t>-22.66%</t>
        </is>
      </c>
      <c r="N3650" s="3" t="n">
        <v>-22.66</v>
      </c>
      <c r="O3650" t="n">
        <v>4.4</v>
      </c>
      <c r="P3650" t="n">
        <v>527</v>
      </c>
      <c r="R3650" t="inlineStr">
        <is>
          <t>InStock</t>
        </is>
      </c>
      <c r="S3650" t="inlineStr">
        <is>
          <t>undefined</t>
        </is>
      </c>
      <c r="T3650" t="inlineStr">
        <is>
          <t>GM7319</t>
        </is>
      </c>
    </row>
    <row r="3651" hidden="1" ht="15.75" customHeight="1">
      <c r="A3651" s="2">
        <f>HYPERLINK("https://www.soccerplususa.com/puma/puma-team-liga-all-weather-jacket-youth-42141", "https://www.soccerplususa.com/puma/puma-team-liga-all-weather-jacket-youth-42141")</f>
        <v/>
      </c>
      <c r="B3651" t="inlineStr">
        <is>
          <t>undefined</t>
        </is>
      </c>
      <c r="C3651" t="inlineStr">
        <is>
          <t>Puma Team Liga All Weather Jacket Youth</t>
        </is>
      </c>
      <c r="D3651" t="inlineStr">
        <is>
          <t>PUMA Men's Teamliga All Weather Jacket</t>
        </is>
      </c>
      <c r="E3651" s="2">
        <f>HYPERLINK("https://www.amazon.com/PUMA-TeamLIGA-Weather-Jacket-Black/dp/B091DFVR6Q/ref=sr_1_10?keywords=Puma+Team+Liga+All+Weather+Jacket+Youth&amp;qid=1695171144&amp;sr=8-10", "https://www.amazon.com/PUMA-TeamLIGA-Weather-Jacket-Black/dp/B091DFVR6Q/ref=sr_1_10?keywords=Puma+Team+Liga+All+Weather+Jacket+Youth&amp;qid=1695171144&amp;sr=8-10")</f>
        <v/>
      </c>
      <c r="F3651" t="inlineStr">
        <is>
          <t>B091DFVR6Q</t>
        </is>
      </c>
      <c r="G3651">
        <f>_xludf.IMAGE("https://www.soccerplususa.com/prodimages//37890-BLACK-M.jpg")</f>
        <v/>
      </c>
      <c r="H3651">
        <f>_xludf.IMAGE("https://m.media-amazon.com/images/I/81vaIe846UL._AC_UL320_.jpg")</f>
        <v/>
      </c>
      <c r="K3651" t="inlineStr">
        <is>
          <t>54.95</t>
        </is>
      </c>
      <c r="L3651" t="n">
        <v>42.43</v>
      </c>
      <c r="M3651" s="1" t="inlineStr">
        <is>
          <t>-22.78%</t>
        </is>
      </c>
      <c r="N3651" s="3" t="n">
        <v>-22.78</v>
      </c>
      <c r="O3651" t="n">
        <v>4.3</v>
      </c>
      <c r="P3651" t="n">
        <v>130</v>
      </c>
      <c r="R3651" t="inlineStr">
        <is>
          <t>InStock</t>
        </is>
      </c>
      <c r="S3651" t="inlineStr">
        <is>
          <t>undefined</t>
        </is>
      </c>
      <c r="T3651" t="inlineStr">
        <is>
          <t>657246-03</t>
        </is>
      </c>
    </row>
    <row r="3652" hidden="1" ht="15.75" customHeight="1">
      <c r="A3652" s="2">
        <f>HYPERLINK("https://www.soccerplususa.com/adidas/adidas-tiro-21-track-jacket-womens-41184", "https://www.soccerplususa.com/adidas/adidas-tiro-21-track-jacket-womens-41184")</f>
        <v/>
      </c>
      <c r="B3652" t="inlineStr">
        <is>
          <t>undefined</t>
        </is>
      </c>
      <c r="C3652" t="inlineStr">
        <is>
          <t>adidas Tiro 21 Track Jacket Women's</t>
        </is>
      </c>
      <c r="D3652" t="inlineStr">
        <is>
          <t>adidas womens Tiro 21 Track Jacket Team Grey XX-Large</t>
        </is>
      </c>
      <c r="E3652" s="2">
        <f>HYPERLINK("https://www.amazon.com/adidas-Womens-Track-Jacket-XX-Large/dp/B089K7QN53/ref=sr_1_8?keywords=adidas+Tiro+21+Track+Jacket+Women%27s&amp;qid=1695171150&amp;sr=8-8", "https://www.amazon.com/adidas-Womens-Track-Jacket-XX-Large/dp/B089K7QN53/ref=sr_1_8?keywords=adidas+Tiro+21+Track+Jacket+Women%27s&amp;qid=1695171150&amp;sr=8-8")</f>
        <v/>
      </c>
      <c r="F3652" t="inlineStr">
        <is>
          <t>B089K7QN53</t>
        </is>
      </c>
      <c r="G3652">
        <f>_xludf.IMAGE("https://www.soccerplususa.com/prodimages//36136-BLACKWHITE-M.jpg")</f>
        <v/>
      </c>
      <c r="H3652">
        <f>_xludf.IMAGE("https://m.media-amazon.com/images/I/51GSE5g4YEL._AC_UL320_.jpg")</f>
        <v/>
      </c>
      <c r="K3652" t="inlineStr">
        <is>
          <t>50.0</t>
        </is>
      </c>
      <c r="L3652" t="n">
        <v>38.41</v>
      </c>
      <c r="M3652" s="1" t="inlineStr">
        <is>
          <t>-23.18%</t>
        </is>
      </c>
      <c r="N3652" s="3" t="n">
        <v>-23.18</v>
      </c>
      <c r="O3652" t="n">
        <v>4.9</v>
      </c>
      <c r="P3652" t="n">
        <v>13</v>
      </c>
      <c r="R3652" t="inlineStr">
        <is>
          <t>InStock</t>
        </is>
      </c>
      <c r="S3652" t="inlineStr">
        <is>
          <t>undefined</t>
        </is>
      </c>
      <c r="T3652" t="inlineStr">
        <is>
          <t>GM7307</t>
        </is>
      </c>
    </row>
    <row r="3653" hidden="1" ht="15.75" customHeight="1">
      <c r="A3653" s="2">
        <f>HYPERLINK("https://www.soccerplususa.com/adidas/adidas-tiro-21-track-jacket-womens-41184", "https://www.soccerplususa.com/adidas/adidas-tiro-21-track-jacket-womens-41184")</f>
        <v/>
      </c>
      <c r="B3653" t="inlineStr">
        <is>
          <t>undefined</t>
        </is>
      </c>
      <c r="C3653" t="inlineStr">
        <is>
          <t>adidas Tiro 21 Track Jacket Women's</t>
        </is>
      </c>
      <c r="D3653" t="inlineStr">
        <is>
          <t>adidas womens Tiro 21 Track Jacket Team Navy Blue 2X</t>
        </is>
      </c>
      <c r="E3653" s="2">
        <f>HYPERLINK("https://www.amazon.com/adidas-Womens-Tiro-Track-Jacket/dp/B087C3RQHW/ref=sr_1_6?keywords=adidas+Tiro+21+Track+Jacket+Women%27s&amp;qid=1695171150&amp;sr=8-6", "https://www.amazon.com/adidas-Womens-Tiro-Track-Jacket/dp/B087C3RQHW/ref=sr_1_6?keywords=adidas+Tiro+21+Track+Jacket+Women%27s&amp;qid=1695171150&amp;sr=8-6")</f>
        <v/>
      </c>
      <c r="F3653" t="inlineStr">
        <is>
          <t>B087C3RQHW</t>
        </is>
      </c>
      <c r="G3653">
        <f>_xludf.IMAGE("https://www.soccerplususa.com/prodimages//36136-BLACKWHITE-M.jpg")</f>
        <v/>
      </c>
      <c r="H3653">
        <f>_xludf.IMAGE("https://m.media-amazon.com/images/I/51b6kIHFKML._AC_UL320_.jpg")</f>
        <v/>
      </c>
      <c r="K3653" t="inlineStr">
        <is>
          <t>50.0</t>
        </is>
      </c>
      <c r="L3653" t="n">
        <v>38.26</v>
      </c>
      <c r="M3653" s="1" t="inlineStr">
        <is>
          <t>-23.48%</t>
        </is>
      </c>
      <c r="N3653" s="3" t="n">
        <v>-23.48</v>
      </c>
      <c r="O3653" t="n">
        <v>4.4</v>
      </c>
      <c r="P3653" t="n">
        <v>13</v>
      </c>
      <c r="R3653" t="inlineStr">
        <is>
          <t>InStock</t>
        </is>
      </c>
      <c r="S3653" t="inlineStr">
        <is>
          <t>undefined</t>
        </is>
      </c>
      <c r="T3653" t="inlineStr">
        <is>
          <t>GM7307</t>
        </is>
      </c>
    </row>
    <row r="3654" hidden="1" ht="15.75" customHeight="1">
      <c r="A3654" s="2">
        <f>HYPERLINK("https://www.soccerplususa.com/under-armour/under-armour-coldgear-compression-mock-44300", "https://www.soccerplususa.com/under-armour/under-armour-coldgear-compression-mock-44300")</f>
        <v/>
      </c>
      <c r="B3654" t="inlineStr">
        <is>
          <t>undefined</t>
        </is>
      </c>
      <c r="C3654" t="inlineStr">
        <is>
          <t>Under Armour ColdGear Compression Mock</t>
        </is>
      </c>
      <c r="D3654" t="inlineStr">
        <is>
          <t>Under Armour Men's ColdGear Armour Compression Mock Long-Sleeve T-Shirt</t>
        </is>
      </c>
      <c r="E3654" s="2">
        <f>HYPERLINK("https://www.amazon.com/Under-Armour-ColdGear-Compression-White/dp/B00QHAPD9K/ref=sr_1_3?keywords=Under+Armour+ColdGear+Compression+Mock&amp;qid=1695171160&amp;sr=8-3", "https://www.amazon.com/Under-Armour-ColdGear-Compression-White/dp/B00QHAPD9K/ref=sr_1_3?keywords=Under+Armour+ColdGear+Compression+Mock&amp;qid=1695171160&amp;sr=8-3")</f>
        <v/>
      </c>
      <c r="F3654" t="inlineStr">
        <is>
          <t>B00QHAPD9K</t>
        </is>
      </c>
      <c r="G3654">
        <f>_xludf.IMAGE("https://www.soccerplususa.com/prodimages//36057-BLACK-M.jpg")</f>
        <v/>
      </c>
      <c r="H3654">
        <f>_xludf.IMAGE("https://m.media-amazon.com/images/I/61e0siO0pJL._AC_UL320_.jpg")</f>
        <v/>
      </c>
      <c r="K3654" t="inlineStr">
        <is>
          <t>54.95</t>
        </is>
      </c>
      <c r="L3654" t="n">
        <v>42</v>
      </c>
      <c r="M3654" s="1" t="inlineStr">
        <is>
          <t>-23.57%</t>
        </is>
      </c>
      <c r="N3654" s="3" t="n">
        <v>-23.57</v>
      </c>
      <c r="O3654" t="n">
        <v>4.7</v>
      </c>
      <c r="P3654" t="n">
        <v>12512</v>
      </c>
      <c r="R3654" t="inlineStr">
        <is>
          <t>InStock</t>
        </is>
      </c>
      <c r="S3654" t="inlineStr">
        <is>
          <t>undefined</t>
        </is>
      </c>
      <c r="T3654" t="inlineStr">
        <is>
          <t>1366072-001</t>
        </is>
      </c>
    </row>
    <row r="3655" hidden="1" ht="15.75" customHeight="1">
      <c r="A3655" s="2">
        <f>HYPERLINK("https://www.soccerplususa.com/adidas/adidas-essentials-hoodie-41596", "https://www.soccerplususa.com/adidas/adidas-essentials-hoodie-41596")</f>
        <v/>
      </c>
      <c r="B3655" t="inlineStr">
        <is>
          <t>undefined</t>
        </is>
      </c>
      <c r="C3655" t="inlineStr">
        <is>
          <t>adidas Essentials Hoodie</t>
        </is>
      </c>
      <c r="D3655" t="inlineStr">
        <is>
          <t>adidas Men's Essentials Fleece Hoodie</t>
        </is>
      </c>
      <c r="E3655" s="2">
        <f>HYPERLINK("https://www.amazon.com/adidas-Standard-Essentials-Fleece-Hoodie/dp/B08MJC9MWD/ref=sr_1_2?keywords=adidas+Essentials+Hoodie&amp;qid=1695171148&amp;sr=8-2", "https://www.amazon.com/adidas-Standard-Essentials-Fleece-Hoodie/dp/B08MJC9MWD/ref=sr_1_2?keywords=adidas+Essentials+Hoodie&amp;qid=1695171148&amp;sr=8-2")</f>
        <v/>
      </c>
      <c r="F3655" t="inlineStr">
        <is>
          <t>B08MJC9MWD</t>
        </is>
      </c>
      <c r="G3655">
        <f>_xludf.IMAGE("https://www.soccerplususa.com/prodimages//35143-BLACKWHITE-M.jpg")</f>
        <v/>
      </c>
      <c r="H3655">
        <f>_xludf.IMAGE("https://m.media-amazon.com/images/I/615FrV6jELL._AC_UL320_.jpg")</f>
        <v/>
      </c>
      <c r="K3655" t="inlineStr">
        <is>
          <t>44.99</t>
        </is>
      </c>
      <c r="L3655" t="n">
        <v>34.2</v>
      </c>
      <c r="M3655" s="1" t="inlineStr">
        <is>
          <t>-23.98%</t>
        </is>
      </c>
      <c r="N3655" s="3" t="n">
        <v>-23.98</v>
      </c>
      <c r="O3655" t="n">
        <v>4.7</v>
      </c>
      <c r="P3655" t="n">
        <v>2403</v>
      </c>
      <c r="R3655" t="inlineStr">
        <is>
          <t>InStock</t>
        </is>
      </c>
      <c r="S3655" t="inlineStr">
        <is>
          <t>59.95</t>
        </is>
      </c>
      <c r="T3655" t="inlineStr">
        <is>
          <t>GK9062</t>
        </is>
      </c>
    </row>
    <row r="3656" hidden="1" ht="15.75" customHeight="1">
      <c r="A3656" s="2">
        <f>HYPERLINK("https://www.soccerplususa.com/new-balance/new-balance-thermal-half-zip-top-womens-39182", "https://www.soccerplususa.com/new-balance/new-balance-thermal-half-zip-top-womens-39182")</f>
        <v/>
      </c>
      <c r="B3656" t="inlineStr">
        <is>
          <t>undefined</t>
        </is>
      </c>
      <c r="C3656" t="inlineStr">
        <is>
          <t>New Balance Thermal Half Zip Top Women's</t>
        </is>
      </c>
      <c r="D3656" t="inlineStr">
        <is>
          <t>BALEAF Women's Thermal Fleece Pullover Tops Half Zip Thumbholes Winter Long Sleeve Running Jacket Cold Weather</t>
        </is>
      </c>
      <c r="E3656" s="2">
        <f>HYPERLINK("https://www.amazon.com/Baleaf-Womens-Thermal-Thumbholes-Running/dp/B01JLOON08/ref=sr_1_9?keywords=New+Balance+Thermal+Half+Zip+Top+Womens&amp;qid=1695171153&amp;sr=8-9", "https://www.amazon.com/Baleaf-Womens-Thermal-Thumbholes-Running/dp/B01JLOON08/ref=sr_1_9?keywords=New+Balance+Thermal+Half+Zip+Top+Womens&amp;qid=1695171153&amp;sr=8-9")</f>
        <v/>
      </c>
      <c r="F3656" t="inlineStr">
        <is>
          <t>B01JLOON08</t>
        </is>
      </c>
      <c r="G3656">
        <f>_xludf.IMAGE("https://www.soccerplususa.com/prodimages/35277-DEFAULT-l.jpg")</f>
        <v/>
      </c>
      <c r="H3656">
        <f>_xludf.IMAGE("https://m.media-amazon.com/images/I/61CUL8iJ6gL._AC_UL320_.jpg")</f>
        <v/>
      </c>
      <c r="K3656" t="inlineStr">
        <is>
          <t>48.99</t>
        </is>
      </c>
      <c r="L3656" t="n">
        <v>36.99</v>
      </c>
      <c r="M3656" s="1" t="inlineStr">
        <is>
          <t>-24.49%</t>
        </is>
      </c>
      <c r="N3656" s="3" t="n">
        <v>-24.49</v>
      </c>
      <c r="O3656" t="n">
        <v>4.5</v>
      </c>
      <c r="P3656" t="n">
        <v>2953</v>
      </c>
      <c r="R3656" t="inlineStr">
        <is>
          <t>InStock</t>
        </is>
      </c>
      <c r="S3656" t="inlineStr">
        <is>
          <t>65.0</t>
        </is>
      </c>
      <c r="T3656" t="inlineStr">
        <is>
          <t>TMWT725</t>
        </is>
      </c>
    </row>
    <row r="3657" hidden="1" ht="15.75" customHeight="1">
      <c r="A3657" s="2">
        <f>HYPERLINK("https://www.soccerplususa.com/adidas/adidas-tiro-21-track-jacket-youth-41182", "https://www.soccerplususa.com/adidas/adidas-tiro-21-track-jacket-youth-41182")</f>
        <v/>
      </c>
      <c r="B3657" t="inlineStr">
        <is>
          <t>undefined</t>
        </is>
      </c>
      <c r="C3657" t="inlineStr">
        <is>
          <t>adidas Tiro 21 Track Jacket Youth</t>
        </is>
      </c>
      <c r="D3657" t="inlineStr">
        <is>
          <t>adidas Men's Tiro 21 Track Jacket</t>
        </is>
      </c>
      <c r="E3657" s="2">
        <f>HYPERLINK("https://www.amazon.com/adidas-Track-Jacket-Black-Medium/dp/B087C3R1GH/ref=sr_1_4?keywords=adidas+Tiro+21+Track+Jacket+Youth&amp;qid=1695171152&amp;sr=8-4", "https://www.amazon.com/adidas-Track-Jacket-Black-Medium/dp/B087C3R1GH/ref=sr_1_4?keywords=adidas+Tiro+21+Track+Jacket+Youth&amp;qid=1695171152&amp;sr=8-4")</f>
        <v/>
      </c>
      <c r="F3657" t="inlineStr">
        <is>
          <t>B087C3R1GH</t>
        </is>
      </c>
      <c r="G3657">
        <f>_xludf.IMAGE("https://www.soccerplususa.com/prodimages//35391-BLACKWHITE-M.jpg")</f>
        <v/>
      </c>
      <c r="H3657">
        <f>_xludf.IMAGE("https://m.media-amazon.com/images/I/916pGrtW0WL._AC_UL320_.jpg")</f>
        <v/>
      </c>
      <c r="K3657" t="inlineStr">
        <is>
          <t>45.0</t>
        </is>
      </c>
      <c r="L3657" t="n">
        <v>33.88</v>
      </c>
      <c r="M3657" s="1" t="inlineStr">
        <is>
          <t>-24.71%</t>
        </is>
      </c>
      <c r="N3657" s="3" t="n">
        <v>-24.71</v>
      </c>
      <c r="O3657" t="n">
        <v>4.6</v>
      </c>
      <c r="P3657" t="n">
        <v>3449</v>
      </c>
      <c r="R3657" t="inlineStr">
        <is>
          <t>InStock</t>
        </is>
      </c>
      <c r="S3657" t="inlineStr">
        <is>
          <t>undefined</t>
        </is>
      </c>
      <c r="T3657" t="inlineStr">
        <is>
          <t>GM7314</t>
        </is>
      </c>
    </row>
    <row r="3658" hidden="1" ht="15.75" customHeight="1">
      <c r="A3658" s="2">
        <f>HYPERLINK("https://www.soccerplususa.com/puma/puma-liga-training-rain-jacket-youth-35518", "https://www.soccerplususa.com/puma/puma-liga-training-rain-jacket-youth-35518")</f>
        <v/>
      </c>
      <c r="B3658" t="inlineStr">
        <is>
          <t>undefined</t>
        </is>
      </c>
      <c r="C3658" t="inlineStr">
        <is>
          <t>Puma Liga Training Rain Jacket Youth</t>
        </is>
      </c>
      <c r="D3658" t="inlineStr">
        <is>
          <t>PUMA Youth Liga Training Rain Jacket</t>
        </is>
      </c>
      <c r="E3658" s="2">
        <f>HYPERLINK("https://www.amazon.com/PUMA-Training-Jacket-Black-X-Large/dp/B07FGTQQH1/ref=sr_1_1?keywords=Puma+Liga+Training+Rain+Jacket+Youth&amp;qid=1695171159&amp;sr=8-1", "https://www.amazon.com/PUMA-Training-Jacket-Black-X-Large/dp/B07FGTQQH1/ref=sr_1_1?keywords=Puma+Liga+Training+Rain+Jacket+Youth&amp;qid=1695171159&amp;sr=8-1")</f>
        <v/>
      </c>
      <c r="F3658" t="inlineStr">
        <is>
          <t>B07FGTQQH1</t>
        </is>
      </c>
      <c r="G3658">
        <f>_xludf.IMAGE("https://www.soccerplususa.com/prodimages/13113-DEFAULT-l.jpg")</f>
        <v/>
      </c>
      <c r="H3658">
        <f>_xludf.IMAGE("https://m.media-amazon.com/images/I/81zxCvmnqxL._AC_UL320_.jpg")</f>
        <v/>
      </c>
      <c r="K3658" t="inlineStr">
        <is>
          <t>59.95</t>
        </is>
      </c>
      <c r="L3658" t="n">
        <v>44.98</v>
      </c>
      <c r="M3658" s="1" t="inlineStr">
        <is>
          <t>-24.97%</t>
        </is>
      </c>
      <c r="N3658" s="3" t="n">
        <v>-24.97</v>
      </c>
      <c r="O3658" t="n">
        <v>3.3</v>
      </c>
      <c r="P3658" t="n">
        <v>22</v>
      </c>
      <c r="R3658" t="inlineStr">
        <is>
          <t>InStock</t>
        </is>
      </c>
      <c r="S3658" t="inlineStr">
        <is>
          <t>undefined</t>
        </is>
      </c>
      <c r="T3658" t="inlineStr">
        <is>
          <t>655660-03</t>
        </is>
      </c>
    </row>
    <row r="3659" hidden="1" ht="15.75" customHeight="1">
      <c r="A3659" s="2">
        <f>HYPERLINK("https://www.soccerplususa.com/under-armour/under-armour-coldgear-mock-womens-33129", "https://www.soccerplususa.com/under-armour/under-armour-coldgear-mock-womens-33129")</f>
        <v/>
      </c>
      <c r="B3659" t="inlineStr">
        <is>
          <t>undefined</t>
        </is>
      </c>
      <c r="C3659" t="inlineStr">
        <is>
          <t>Under Armour Coldgear Mock Women's</t>
        </is>
      </c>
      <c r="D3659" t="inlineStr">
        <is>
          <t>Under Armour Women's ColdGear Infrared Storm Long Sleeve Mock Neck</t>
        </is>
      </c>
      <c r="E3659" s="2">
        <f>HYPERLINK("https://www.amazon.com/Under-Armour-Standard-ColdGear-Infrared/dp/B09G2XZF91/ref=sr_1_2?keywords=Under+Armour+Coldgear+Mock+Women%27s&amp;qid=1695171175&amp;sr=8-2", "https://www.amazon.com/Under-Armour-Standard-ColdGear-Infrared/dp/B09G2XZF91/ref=sr_1_2?keywords=Under+Armour+Coldgear+Mock+Women%27s&amp;qid=1695171175&amp;sr=8-2")</f>
        <v/>
      </c>
      <c r="F3659" t="inlineStr">
        <is>
          <t>B09G2XZF91</t>
        </is>
      </c>
      <c r="G3659">
        <f>_xludf.IMAGE("https://www.soccerplususa.com/prodimages/2365-DEFAULT-l.jpg")</f>
        <v/>
      </c>
      <c r="H3659">
        <f>_xludf.IMAGE("https://m.media-amazon.com/images/I/71miIMRY1rL._AC_UL320_.jpg")</f>
        <v/>
      </c>
      <c r="K3659" t="inlineStr">
        <is>
          <t>49.95</t>
        </is>
      </c>
      <c r="L3659" t="n">
        <v>37.37</v>
      </c>
      <c r="M3659" s="1" t="inlineStr">
        <is>
          <t>-25.19%</t>
        </is>
      </c>
      <c r="N3659" s="3" t="n">
        <v>-25.19</v>
      </c>
      <c r="O3659" t="n">
        <v>4.2</v>
      </c>
      <c r="P3659" t="n">
        <v>15</v>
      </c>
      <c r="R3659" t="inlineStr">
        <is>
          <t>InStock</t>
        </is>
      </c>
      <c r="S3659" t="inlineStr">
        <is>
          <t>undefined</t>
        </is>
      </c>
      <c r="T3659" t="inlineStr">
        <is>
          <t>1215968-100</t>
        </is>
      </c>
    </row>
    <row r="3660" hidden="1" ht="15.75" customHeight="1">
      <c r="A3660" s="2">
        <f>HYPERLINK("https://www.soccerplususa.com/adidas/adidas-toque-13-jersey-8996", "https://www.soccerplususa.com/adidas/adidas-toque-13-jersey-8996")</f>
        <v/>
      </c>
      <c r="B3660" t="inlineStr">
        <is>
          <t>undefined</t>
        </is>
      </c>
      <c r="C3660" t="inlineStr">
        <is>
          <t>adidas Toque 13 Jersey</t>
        </is>
      </c>
      <c r="D3660" t="inlineStr">
        <is>
          <t>adidas Toque 13 SS-Z20266-Size M</t>
        </is>
      </c>
      <c r="E3660" s="2">
        <f>HYPERLINK("https://www.amazon.com/adidas-Toque-13-SS-Z20266-Size-M/dp/B00D9S1PRM/ref=sr_1_4?keywords=adidas+Toque+13+Jersey&amp;qid=1695171185&amp;sr=8-4", "https://www.amazon.com/adidas-Toque-13-SS-Z20266-Size-M/dp/B00D9S1PRM/ref=sr_1_4?keywords=adidas+Toque+13+Jersey&amp;qid=1695171185&amp;sr=8-4")</f>
        <v/>
      </c>
      <c r="F3660" t="inlineStr">
        <is>
          <t>B00D9S1PRM</t>
        </is>
      </c>
      <c r="G3660">
        <f>_xludf.IMAGE("https://www.soccerplususa.com/prodimages/5432-DEFAULT-l.jpg")</f>
        <v/>
      </c>
      <c r="H3660">
        <f>_xludf.IMAGE("https://m.media-amazon.com/images/I/513ELDMzXVL._AC_UL320_.jpg")</f>
        <v/>
      </c>
      <c r="K3660" t="inlineStr">
        <is>
          <t>20.0</t>
        </is>
      </c>
      <c r="L3660" t="n">
        <v>14.95</v>
      </c>
      <c r="M3660" s="1" t="inlineStr">
        <is>
          <t>-25.25%</t>
        </is>
      </c>
      <c r="N3660" s="3" t="n">
        <v>-25.25</v>
      </c>
      <c r="O3660" t="n">
        <v>5</v>
      </c>
      <c r="P3660" t="n">
        <v>1</v>
      </c>
      <c r="R3660" t="inlineStr">
        <is>
          <t>InStock</t>
        </is>
      </c>
      <c r="S3660" t="inlineStr">
        <is>
          <t>39.95</t>
        </is>
      </c>
      <c r="T3660" t="inlineStr">
        <is>
          <t>Z20262</t>
        </is>
      </c>
    </row>
    <row r="3661" hidden="1" ht="15.75" customHeight="1">
      <c r="A3661" s="2">
        <f>HYPERLINK("https://www.soccerplususa.com/under-armour/under-armour-cold-gear-armour-mock-youth-33310", "https://www.soccerplususa.com/under-armour/under-armour-cold-gear-armour-mock-youth-33310")</f>
        <v/>
      </c>
      <c r="B3661" t="inlineStr">
        <is>
          <t>undefined</t>
        </is>
      </c>
      <c r="C3661" t="inlineStr">
        <is>
          <t>Under Armour Cold Gear Armour Mock Youth</t>
        </is>
      </c>
      <c r="D3661" t="inlineStr">
        <is>
          <t>Under Armour Boys' HeatGear Mock Long Sleeve</t>
        </is>
      </c>
      <c r="E3661" s="2">
        <f>HYPERLINK("https://www.amazon.com/Under-Armour-HeatGear-Sleeve-Black/dp/B093LQXHRV/ref=sr_1_10?keywords=Under+Armour+Cold+Gear+Armour+Mock+Youth&amp;qid=1695171174&amp;sr=8-10", "https://www.amazon.com/Under-Armour-HeatGear-Sleeve-Black/dp/B093LQXHRV/ref=sr_1_10?keywords=Under+Armour+Cold+Gear+Armour+Mock+Youth&amp;qid=1695171174&amp;sr=8-10")</f>
        <v/>
      </c>
      <c r="F3661" t="inlineStr">
        <is>
          <t>B093LQXHRV</t>
        </is>
      </c>
      <c r="G3661">
        <f>_xludf.IMAGE("https://www.soccerplususa.com/prodimages/5586-DEFAULT-l.jpg")</f>
        <v/>
      </c>
      <c r="H3661">
        <f>_xludf.IMAGE("https://m.media-amazon.com/images/I/41y7n6GcMpL._AC_UL320_.jpg")</f>
        <v/>
      </c>
      <c r="K3661" t="inlineStr">
        <is>
          <t>39.95</t>
        </is>
      </c>
      <c r="L3661" t="n">
        <v>29.8</v>
      </c>
      <c r="M3661" s="1" t="inlineStr">
        <is>
          <t>-25.41%</t>
        </is>
      </c>
      <c r="N3661" s="3" t="n">
        <v>-25.41</v>
      </c>
      <c r="O3661" t="n">
        <v>4.1</v>
      </c>
      <c r="P3661" t="n">
        <v>90</v>
      </c>
      <c r="R3661" t="inlineStr">
        <is>
          <t>InStock</t>
        </is>
      </c>
      <c r="S3661" t="inlineStr">
        <is>
          <t>undefined</t>
        </is>
      </c>
      <c r="T3661" t="inlineStr">
        <is>
          <t>1288343-001</t>
        </is>
      </c>
    </row>
    <row r="3662" hidden="1" ht="15.75" customHeight="1">
      <c r="A3662" s="2">
        <f>HYPERLINK("https://www.soccerplususa.com/adidas/adidas-tiro-17-jersey-4871", "https://www.soccerplususa.com/adidas/adidas-tiro-17-jersey-4871")</f>
        <v/>
      </c>
      <c r="B3662" t="inlineStr">
        <is>
          <t>undefined</t>
        </is>
      </c>
      <c r="C3662" t="inlineStr">
        <is>
          <t>adidas Tiro 17 Jersey</t>
        </is>
      </c>
      <c r="D3662" t="inlineStr">
        <is>
          <t>adidas Tiro 17 Womens Soccer Jersey 2XS Power Red-White</t>
        </is>
      </c>
      <c r="E3662" s="2">
        <f>HYPERLINK("https://www.amazon.com/adidas-Womens-Soccer-Jersey-Red-White/dp/B01N76Z1OB/ref=sr_1_9?keywords=adidas+Tiro+17+Jersey&amp;qid=1695171224&amp;sr=8-9", "https://www.amazon.com/adidas-Womens-Soccer-Jersey-Red-White/dp/B01N76Z1OB/ref=sr_1_9?keywords=adidas+Tiro+17+Jersey&amp;qid=1695171224&amp;sr=8-9")</f>
        <v/>
      </c>
      <c r="F3662" t="inlineStr">
        <is>
          <t>B01N76Z1OB</t>
        </is>
      </c>
      <c r="G3662">
        <f>_xludf.IMAGE("https://www.soccerplususa.com/prodimages/31717-DEFAULT-l.jpg")</f>
        <v/>
      </c>
      <c r="H3662">
        <f>_xludf.IMAGE("https://m.media-amazon.com/images/I/51gJIbK-kFL._AC_UL320_.jpg")</f>
        <v/>
      </c>
      <c r="K3662" t="inlineStr">
        <is>
          <t>20.0</t>
        </is>
      </c>
      <c r="L3662" t="n">
        <v>14.89</v>
      </c>
      <c r="M3662" s="1" t="inlineStr">
        <is>
          <t>-25.55%</t>
        </is>
      </c>
      <c r="N3662" s="3" t="n">
        <v>-25.55</v>
      </c>
      <c r="O3662" t="n">
        <v>5</v>
      </c>
      <c r="P3662" t="n">
        <v>1</v>
      </c>
      <c r="R3662" t="inlineStr">
        <is>
          <t>InStock</t>
        </is>
      </c>
      <c r="S3662" t="inlineStr">
        <is>
          <t>39.95</t>
        </is>
      </c>
      <c r="T3662" t="inlineStr">
        <is>
          <t>BK5439</t>
        </is>
      </c>
    </row>
    <row r="3663" hidden="1" ht="15.75" customHeight="1">
      <c r="A3663" s="2">
        <f>HYPERLINK("https://www.soccerplususa.com/adidas/adidas-tiro-17-jersey-womens-35760", "https://www.soccerplususa.com/adidas/adidas-tiro-17-jersey-womens-35760")</f>
        <v/>
      </c>
      <c r="B3663" t="inlineStr">
        <is>
          <t>undefined</t>
        </is>
      </c>
      <c r="C3663" t="inlineStr">
        <is>
          <t>adidas Tiro 17 Jersey Women's</t>
        </is>
      </c>
      <c r="D3663" t="inlineStr">
        <is>
          <t>adidas Tiro 17 Womens Soccer Jersey 2XS Power Red-White</t>
        </is>
      </c>
      <c r="E3663" s="2">
        <f>HYPERLINK("https://www.amazon.com/adidas-Womens-Soccer-Jersey-Red-White/dp/B01N76Z1OB/ref=sr_1_4?keywords=adidas+Tiro+17+Jersey+Womens&amp;qid=1695171224&amp;sr=8-4", "https://www.amazon.com/adidas-Womens-Soccer-Jersey-Red-White/dp/B01N76Z1OB/ref=sr_1_4?keywords=adidas+Tiro+17+Jersey+Womens&amp;qid=1695171224&amp;sr=8-4")</f>
        <v/>
      </c>
      <c r="F3663" t="inlineStr">
        <is>
          <t>B01N76Z1OB</t>
        </is>
      </c>
      <c r="G3663">
        <f>_xludf.IMAGE("https://www.soccerplususa.com/prodimages/9819-DEFAULT-l.jpg")</f>
        <v/>
      </c>
      <c r="H3663">
        <f>_xludf.IMAGE("https://m.media-amazon.com/images/I/51gJIbK-kFL._AC_UL320_.jpg")</f>
        <v/>
      </c>
      <c r="K3663" t="inlineStr">
        <is>
          <t>20.0</t>
        </is>
      </c>
      <c r="L3663" t="n">
        <v>14.89</v>
      </c>
      <c r="M3663" s="1" t="inlineStr">
        <is>
          <t>-25.55%</t>
        </is>
      </c>
      <c r="N3663" s="3" t="n">
        <v>-25.55</v>
      </c>
      <c r="O3663" t="n">
        <v>5</v>
      </c>
      <c r="P3663" t="n">
        <v>1</v>
      </c>
      <c r="R3663" t="inlineStr">
        <is>
          <t>InStock</t>
        </is>
      </c>
      <c r="S3663" t="inlineStr">
        <is>
          <t>39.95</t>
        </is>
      </c>
      <c r="T3663" t="inlineStr">
        <is>
          <t>BJ9096</t>
        </is>
      </c>
    </row>
    <row r="3664" hidden="1" ht="15.75" customHeight="1">
      <c r="A3664" s="2">
        <f>HYPERLINK("https://www.soccerplususa.com/adidas/adidas-tiro-17-jersey-4869", "https://www.soccerplususa.com/adidas/adidas-tiro-17-jersey-4869")</f>
        <v/>
      </c>
      <c r="B3664" t="inlineStr">
        <is>
          <t>undefined</t>
        </is>
      </c>
      <c r="C3664" t="inlineStr">
        <is>
          <t>adidas Tiro 17 Jersey</t>
        </is>
      </c>
      <c r="D3664" t="inlineStr">
        <is>
          <t>adidas Tiro 17 Womens Soccer Jersey 2XS Power Red-White</t>
        </is>
      </c>
      <c r="E3664" s="2">
        <f>HYPERLINK("https://www.amazon.com/adidas-Womens-Soccer-Jersey-Red-White/dp/B01N76Z1OB/ref=sr_1_10?keywords=adidas+Tiro+17+Jersey&amp;qid=1695171236&amp;sr=8-10", "https://www.amazon.com/adidas-Womens-Soccer-Jersey-Red-White/dp/B01N76Z1OB/ref=sr_1_10?keywords=adidas+Tiro+17+Jersey&amp;qid=1695171236&amp;sr=8-10")</f>
        <v/>
      </c>
      <c r="F3664" t="inlineStr">
        <is>
          <t>B01N76Z1OB</t>
        </is>
      </c>
      <c r="G3664">
        <f>_xludf.IMAGE("https://www.soccerplususa.com/prodimages/7451-DEFAULT-l.jpg")</f>
        <v/>
      </c>
      <c r="H3664">
        <f>_xludf.IMAGE("https://m.media-amazon.com/images/I/51gJIbK-kFL._AC_UL320_.jpg")</f>
        <v/>
      </c>
      <c r="K3664" t="inlineStr">
        <is>
          <t>20.0</t>
        </is>
      </c>
      <c r="L3664" t="n">
        <v>14.89</v>
      </c>
      <c r="M3664" s="1" t="inlineStr">
        <is>
          <t>-25.55%</t>
        </is>
      </c>
      <c r="N3664" s="3" t="n">
        <v>-25.55</v>
      </c>
      <c r="O3664" t="n">
        <v>5</v>
      </c>
      <c r="P3664" t="n">
        <v>1</v>
      </c>
      <c r="R3664" t="inlineStr">
        <is>
          <t>InStock</t>
        </is>
      </c>
      <c r="S3664" t="inlineStr">
        <is>
          <t>39.95</t>
        </is>
      </c>
      <c r="T3664" t="inlineStr">
        <is>
          <t>BK5437</t>
        </is>
      </c>
    </row>
    <row r="3665" hidden="1" ht="15.75" customHeight="1">
      <c r="A3665" s="2">
        <f>HYPERLINK("https://www.soccerplususa.com/puma/puma-liga-training-jacket-35519", "https://www.soccerplususa.com/puma/puma-liga-training-jacket-35519")</f>
        <v/>
      </c>
      <c r="B3665" t="inlineStr">
        <is>
          <t>undefined</t>
        </is>
      </c>
      <c r="C3665" t="inlineStr">
        <is>
          <t>Puma Liga Training Jacket</t>
        </is>
      </c>
      <c r="D3665" t="inlineStr">
        <is>
          <t>PUMA Men's Standard Team Liga Training Jacket</t>
        </is>
      </c>
      <c r="E3665" s="2">
        <f>HYPERLINK("https://www.amazon.com/PUMA-TeamLIGA-Training-Jacket-Black/dp/B091DCKQ81/ref=sr_1_2?keywords=Puma+Liga+Training+Jacket&amp;qid=1695171164&amp;sr=8-2", "https://www.amazon.com/PUMA-TeamLIGA-Training-Jacket-Black/dp/B091DCKQ81/ref=sr_1_2?keywords=Puma+Liga+Training+Jacket&amp;qid=1695171164&amp;sr=8-2")</f>
        <v/>
      </c>
      <c r="F3665" t="inlineStr">
        <is>
          <t>B091DCKQ81</t>
        </is>
      </c>
      <c r="G3665">
        <f>_xludf.IMAGE("https://www.soccerplususa.com/prodimages/32207-DEFAULT-l.jpg")</f>
        <v/>
      </c>
      <c r="H3665">
        <f>_xludf.IMAGE("https://m.media-amazon.com/images/I/71-29QBQXmS._AC_UL320_.jpg")</f>
        <v/>
      </c>
      <c r="K3665" t="inlineStr">
        <is>
          <t>45.0</t>
        </is>
      </c>
      <c r="L3665" t="n">
        <v>33.5</v>
      </c>
      <c r="M3665" s="1" t="inlineStr">
        <is>
          <t>-25.56%</t>
        </is>
      </c>
      <c r="N3665" s="3" t="n">
        <v>-25.56</v>
      </c>
      <c r="O3665" t="n">
        <v>4.6</v>
      </c>
      <c r="P3665" t="n">
        <v>38</v>
      </c>
      <c r="R3665" t="inlineStr">
        <is>
          <t>InStock</t>
        </is>
      </c>
      <c r="S3665" t="inlineStr">
        <is>
          <t>59.95</t>
        </is>
      </c>
      <c r="T3665" t="inlineStr">
        <is>
          <t>655687-02</t>
        </is>
      </c>
    </row>
    <row r="3666" hidden="1" ht="15.75" customHeight="1">
      <c r="A3666" s="2">
        <f>HYPERLINK("https://www.soccerplususa.com/puma/puma-liga-training-jacket-35519", "https://www.soccerplususa.com/puma/puma-liga-training-jacket-35519")</f>
        <v/>
      </c>
      <c r="B3666" t="inlineStr">
        <is>
          <t>undefined</t>
        </is>
      </c>
      <c r="C3666" t="inlineStr">
        <is>
          <t>Puma Liga Training Jacket</t>
        </is>
      </c>
      <c r="D3666" t="inlineStr">
        <is>
          <t>PUMA Men's Liga Training 1/4 Zip Top</t>
        </is>
      </c>
      <c r="E3666" s="2">
        <f>HYPERLINK("https://www.amazon.com/PUMA-Mens-Training-Black-White/dp/B07CGFVJHQ/ref=sr_1_9?keywords=Puma+Liga+Training+Jacket&amp;qid=1695171164&amp;sr=8-9", "https://www.amazon.com/PUMA-Mens-Training-Black-White/dp/B07CGFVJHQ/ref=sr_1_9?keywords=Puma+Liga+Training+Jacket&amp;qid=1695171164&amp;sr=8-9")</f>
        <v/>
      </c>
      <c r="F3666" t="inlineStr">
        <is>
          <t>B07CGFVJHQ</t>
        </is>
      </c>
      <c r="G3666">
        <f>_xludf.IMAGE("https://www.soccerplususa.com/prodimages/32207-DEFAULT-l.jpg")</f>
        <v/>
      </c>
      <c r="H3666">
        <f>_xludf.IMAGE("https://m.media-amazon.com/images/I/51lTgUAO49L._AC_UL320_.jpg")</f>
        <v/>
      </c>
      <c r="K3666" t="inlineStr">
        <is>
          <t>45.0</t>
        </is>
      </c>
      <c r="L3666" t="n">
        <v>33.35</v>
      </c>
      <c r="M3666" s="1" t="inlineStr">
        <is>
          <t>-25.89%</t>
        </is>
      </c>
      <c r="N3666" s="3" t="n">
        <v>-25.89</v>
      </c>
      <c r="O3666" t="n">
        <v>4.6</v>
      </c>
      <c r="P3666" t="n">
        <v>313</v>
      </c>
      <c r="R3666" t="inlineStr">
        <is>
          <t>InStock</t>
        </is>
      </c>
      <c r="S3666" t="inlineStr">
        <is>
          <t>59.95</t>
        </is>
      </c>
      <c r="T3666" t="inlineStr">
        <is>
          <t>655687-02</t>
        </is>
      </c>
    </row>
    <row r="3667" hidden="1" ht="15.75" customHeight="1">
      <c r="A3667" s="2">
        <f>HYPERLINK("https://www.soccerplususa.com/adidas/adidas-condivo-21-training-top-womens-41950", "https://www.soccerplususa.com/adidas/adidas-condivo-21-training-top-womens-41950")</f>
        <v/>
      </c>
      <c r="B3667" t="inlineStr">
        <is>
          <t>undefined</t>
        </is>
      </c>
      <c r="C3667" t="inlineStr">
        <is>
          <t>adidas Condivo 21 Training Top Women's</t>
        </is>
      </c>
      <c r="D3667" t="inlineStr">
        <is>
          <t>adidas Women's Condivo 22 Training Top</t>
        </is>
      </c>
      <c r="E3667" s="2">
        <f>HYPERLINK("https://www.amazon.com/adidas-Womens-Condivo-Training-Medium/dp/B09HJKW33X/ref=sr_1_3?keywords=adidas+Condivo+21+Training+Top+Womens&amp;qid=1695171149&amp;sr=8-3", "https://www.amazon.com/adidas-Womens-Condivo-Training-Medium/dp/B09HJKW33X/ref=sr_1_3?keywords=adidas+Condivo+21+Training+Top+Womens&amp;qid=1695171149&amp;sr=8-3")</f>
        <v/>
      </c>
      <c r="F3667" t="inlineStr">
        <is>
          <t>B09HJKW33X</t>
        </is>
      </c>
      <c r="G3667">
        <f>_xludf.IMAGE("https://www.soccerplususa.com/prodimages//37061-GREYWHITE-M.jpg")</f>
        <v/>
      </c>
      <c r="H3667">
        <f>_xludf.IMAGE("https://m.media-amazon.com/images/I/51809whMXpL._MCnd_AC_UL320_.jpg")</f>
        <v/>
      </c>
      <c r="K3667" t="inlineStr">
        <is>
          <t>48.49</t>
        </is>
      </c>
      <c r="L3667" t="n">
        <v>35.75</v>
      </c>
      <c r="M3667" s="1" t="inlineStr">
        <is>
          <t>-26.27%</t>
        </is>
      </c>
      <c r="N3667" s="3" t="n">
        <v>-26.27</v>
      </c>
      <c r="O3667" t="n">
        <v>5</v>
      </c>
      <c r="P3667" t="n">
        <v>4</v>
      </c>
      <c r="R3667" t="inlineStr">
        <is>
          <t>InStock</t>
        </is>
      </c>
      <c r="S3667" t="inlineStr">
        <is>
          <t>64.95</t>
        </is>
      </c>
      <c r="T3667" t="inlineStr">
        <is>
          <t>GP1902</t>
        </is>
      </c>
    </row>
    <row r="3668" hidden="1" ht="15.75" customHeight="1">
      <c r="A3668" s="2">
        <f>HYPERLINK("https://www.soccerplususa.com/puma/puma-bench-jacket-42494", "https://www.soccerplususa.com/puma/puma-bench-jacket-42494")</f>
        <v/>
      </c>
      <c r="B3668" t="inlineStr">
        <is>
          <t>undefined</t>
        </is>
      </c>
      <c r="C3668" t="inlineStr">
        <is>
          <t>Puma Bench Jacket</t>
        </is>
      </c>
      <c r="D3668" t="inlineStr">
        <is>
          <t>PUMA Men's Bench Jacket</t>
        </is>
      </c>
      <c r="E3668" s="2">
        <f>HYPERLINK("https://www.amazon.com/PUMA-Bench-Jacket-Black-White/dp/B091DGKGS7/ref=sr_1_1?keywords=Puma+Bench+Jacket&amp;qid=1695171144&amp;sr=8-1", "https://www.amazon.com/PUMA-Bench-Jacket-Black-White/dp/B091DGKGS7/ref=sr_1_1?keywords=Puma+Bench+Jacket&amp;qid=1695171144&amp;sr=8-1")</f>
        <v/>
      </c>
      <c r="F3668" t="inlineStr">
        <is>
          <t>B091DGKGS7</t>
        </is>
      </c>
      <c r="G3668">
        <f>_xludf.IMAGE("https://www.soccerplususa.com/prodimages//35571-BLACKWHITE-M.jpg")</f>
        <v/>
      </c>
      <c r="H3668">
        <f>_xludf.IMAGE("https://m.media-amazon.com/images/I/81KlwwVuczL._AC_UL320_.jpg")</f>
        <v/>
      </c>
      <c r="K3668" t="inlineStr">
        <is>
          <t>99.95</t>
        </is>
      </c>
      <c r="L3668" t="n">
        <v>71.89</v>
      </c>
      <c r="M3668" s="1" t="inlineStr">
        <is>
          <t>-28.07%</t>
        </is>
      </c>
      <c r="N3668" s="3" t="n">
        <v>-28.07</v>
      </c>
      <c r="O3668" t="n">
        <v>4.4</v>
      </c>
      <c r="P3668" t="n">
        <v>94</v>
      </c>
      <c r="R3668" t="inlineStr">
        <is>
          <t>InStock</t>
        </is>
      </c>
      <c r="S3668" t="inlineStr">
        <is>
          <t>undefined</t>
        </is>
      </c>
      <c r="T3668" t="inlineStr">
        <is>
          <t>657268-03</t>
        </is>
      </c>
    </row>
    <row r="3669" hidden="1" ht="15.75" customHeight="1">
      <c r="A3669" s="2">
        <f>HYPERLINK("https://www.soccerplususa.com/puma/puma-liga-jersey-37883", "https://www.soccerplususa.com/puma/puma-liga-jersey-37883")</f>
        <v/>
      </c>
      <c r="B3669" t="inlineStr">
        <is>
          <t>undefined</t>
        </is>
      </c>
      <c r="C3669" t="inlineStr">
        <is>
          <t>Puma Liga Jersey</t>
        </is>
      </c>
      <c r="D3669" t="inlineStr">
        <is>
          <t>PUMA Unisex Youth Liga Jersey</t>
        </is>
      </c>
      <c r="E3669" s="2">
        <f>HYPERLINK("https://www.amazon.com/PUMA-Mens-LIGA-Jersey-White/dp/B07DY9HZB2/ref=sr_1_7?keywords=Puma+Liga+Jersey&amp;qid=1695171159&amp;sr=8-7", "https://www.amazon.com/PUMA-Mens-LIGA-Jersey-White/dp/B07DY9HZB2/ref=sr_1_7?keywords=Puma+Liga+Jersey&amp;qid=1695171159&amp;sr=8-7")</f>
        <v/>
      </c>
      <c r="F3669" t="inlineStr">
        <is>
          <t>B07DY9HZB2</t>
        </is>
      </c>
      <c r="G3669">
        <f>_xludf.IMAGE("https://www.soccerplususa.com/prodimages//36780-REDWHITE-M.jpg")</f>
        <v/>
      </c>
      <c r="H3669">
        <f>_xludf.IMAGE("https://m.media-amazon.com/images/I/61tvgoNrhmL._AC_UL320_.jpg")</f>
        <v/>
      </c>
      <c r="K3669" t="inlineStr">
        <is>
          <t>27.95</t>
        </is>
      </c>
      <c r="L3669" t="n">
        <v>20.09</v>
      </c>
      <c r="M3669" s="1" t="inlineStr">
        <is>
          <t>-28.12%</t>
        </is>
      </c>
      <c r="N3669" s="3" t="n">
        <v>-28.12</v>
      </c>
      <c r="O3669" t="n">
        <v>4</v>
      </c>
      <c r="P3669" t="n">
        <v>37</v>
      </c>
      <c r="R3669" t="inlineStr">
        <is>
          <t>InStock</t>
        </is>
      </c>
      <c r="S3669" t="inlineStr">
        <is>
          <t>undefined</t>
        </is>
      </c>
      <c r="T3669" t="inlineStr">
        <is>
          <t>703417-01</t>
        </is>
      </c>
    </row>
    <row r="3670" hidden="1" ht="15.75" customHeight="1">
      <c r="A3670" s="2">
        <f>HYPERLINK("https://www.soccerplususa.com/adidas/adidas-condivo-22-winter-jacket-45454", "https://www.soccerplususa.com/adidas/adidas-condivo-22-winter-jacket-45454")</f>
        <v/>
      </c>
      <c r="B3670" t="inlineStr">
        <is>
          <t>undefined</t>
        </is>
      </c>
      <c r="C3670" t="inlineStr">
        <is>
          <t>adidas Condivo 22 Winter Jacket</t>
        </is>
      </c>
      <c r="D3670" t="inlineStr">
        <is>
          <t>adidas Condivo 22 Winter Jacket Kids'</t>
        </is>
      </c>
      <c r="E3670" s="2">
        <f>HYPERLINK("https://www.amazon.com/adidas-Condivo-Winter-Jacket-Black/dp/B0BCL39HDC/ref=sr_1_3?keywords=adidas+Condivo+22+Winter+Jacket&amp;qid=1695171146&amp;sr=8-3", "https://www.amazon.com/adidas-Condivo-Winter-Jacket-Black/dp/B0BCL39HDC/ref=sr_1_3?keywords=adidas+Condivo+22+Winter+Jacket&amp;qid=1695171146&amp;sr=8-3")</f>
        <v/>
      </c>
      <c r="F3670" t="inlineStr">
        <is>
          <t>B0BCL39HDC</t>
        </is>
      </c>
      <c r="G3670">
        <f>_xludf.IMAGE("https://www.soccerplususa.com/prodimages//37456-BLACKWHITE-M.jpg")</f>
        <v/>
      </c>
      <c r="H3670">
        <f>_xludf.IMAGE("https://m.media-amazon.com/images/I/41lMBZeQn3L._AC_UL320_.jpg")</f>
        <v/>
      </c>
      <c r="K3670" t="inlineStr">
        <is>
          <t>139.95</t>
        </is>
      </c>
      <c r="L3670" t="n">
        <v>99.98999999999999</v>
      </c>
      <c r="M3670" s="1" t="inlineStr">
        <is>
          <t>-28.55%</t>
        </is>
      </c>
      <c r="N3670" s="3" t="n">
        <v>-28.55</v>
      </c>
      <c r="O3670" t="n">
        <v>4</v>
      </c>
      <c r="P3670" t="n">
        <v>1</v>
      </c>
      <c r="R3670" t="inlineStr">
        <is>
          <t>InStock</t>
        </is>
      </c>
      <c r="S3670" t="inlineStr">
        <is>
          <t>undefined</t>
        </is>
      </c>
      <c r="T3670" t="inlineStr">
        <is>
          <t>HT2542</t>
        </is>
      </c>
    </row>
    <row r="3671" hidden="1" ht="15.75" customHeight="1">
      <c r="A3671" s="2">
        <f>HYPERLINK("https://www.soccerplususa.com/adidas/adidas-condivo-22-winter-jacket-42215", "https://www.soccerplususa.com/adidas/adidas-condivo-22-winter-jacket-42215")</f>
        <v/>
      </c>
      <c r="B3671" t="inlineStr">
        <is>
          <t>undefined</t>
        </is>
      </c>
      <c r="C3671" t="inlineStr">
        <is>
          <t>adidas Condivo 22 Winter Jacket</t>
        </is>
      </c>
      <c r="D3671" t="inlineStr">
        <is>
          <t>adidas Condivo 22 Winter Jacket Kids'</t>
        </is>
      </c>
      <c r="E3671" s="2">
        <f>HYPERLINK("https://www.amazon.com/adidas-Condivo-Winter-Jacket-Black/dp/B0BCL39HDC/ref=sr_1_3?keywords=adidas+Condivo+22+Winter+Jacket&amp;qid=1695171144&amp;sr=8-3", "https://www.amazon.com/adidas-Condivo-Winter-Jacket-Black/dp/B0BCL39HDC/ref=sr_1_3?keywords=adidas+Condivo+22+Winter+Jacket&amp;qid=1695171144&amp;sr=8-3")</f>
        <v/>
      </c>
      <c r="F3671" t="inlineStr">
        <is>
          <t>B0BCL39HDC</t>
        </is>
      </c>
      <c r="G3671">
        <f>_xludf.IMAGE("https://www.soccerplususa.com/prodimages//35132-BLACKWHITE-M.jpg")</f>
        <v/>
      </c>
      <c r="H3671">
        <f>_xludf.IMAGE("https://m.media-amazon.com/images/I/41lMBZeQn3L._AC_UL320_.jpg")</f>
        <v/>
      </c>
      <c r="K3671" t="inlineStr">
        <is>
          <t>139.95</t>
        </is>
      </c>
      <c r="L3671" t="n">
        <v>99.98999999999999</v>
      </c>
      <c r="M3671" s="1" t="inlineStr">
        <is>
          <t>-28.55%</t>
        </is>
      </c>
      <c r="N3671" s="3" t="n">
        <v>-28.55</v>
      </c>
      <c r="O3671" t="n">
        <v>4</v>
      </c>
      <c r="P3671" t="n">
        <v>1</v>
      </c>
      <c r="R3671" t="inlineStr">
        <is>
          <t>InStock</t>
        </is>
      </c>
      <c r="S3671" t="inlineStr">
        <is>
          <t>undefined</t>
        </is>
      </c>
      <c r="T3671" t="inlineStr">
        <is>
          <t>H21280</t>
        </is>
      </c>
    </row>
    <row r="3672" hidden="1" ht="15.75" customHeight="1">
      <c r="A3672" s="2">
        <f>HYPERLINK("https://www.soccerplususa.com/puma/puma-liga-jersey-youth-39601", "https://www.soccerplususa.com/puma/puma-liga-jersey-youth-39601")</f>
        <v/>
      </c>
      <c r="B3672" t="inlineStr">
        <is>
          <t>undefined</t>
        </is>
      </c>
      <c r="C3672" t="inlineStr">
        <is>
          <t>Puma Liga Jersey Youth</t>
        </is>
      </c>
      <c r="D3672" t="inlineStr">
        <is>
          <t>PUMA Unisex Youth Liga Jersey</t>
        </is>
      </c>
      <c r="E3672" s="2">
        <f>HYPERLINK("https://www.amazon.com/PUMA-Jersey-Cyber-Yellowpuma-X-Large/dp/B07KWYGMG7/ref=sr_1_3?keywords=Puma+Liga+Jersey+Youth&amp;qid=1695171161&amp;sr=8-3", "https://www.amazon.com/PUMA-Jersey-Cyber-Yellowpuma-X-Large/dp/B07KWYGMG7/ref=sr_1_3?keywords=Puma+Liga+Jersey+Youth&amp;qid=1695171161&amp;sr=8-3")</f>
        <v/>
      </c>
      <c r="F3672" t="inlineStr">
        <is>
          <t>B07KWYGMG7</t>
        </is>
      </c>
      <c r="G3672">
        <f>_xludf.IMAGE("https://www.soccerplususa.com/prodimages//36796-WHITE-M.jpg")</f>
        <v/>
      </c>
      <c r="H3672">
        <f>_xludf.IMAGE("https://m.media-amazon.com/images/I/61NmJE8EwpL._AC_UL320_.jpg")</f>
        <v/>
      </c>
      <c r="K3672" t="inlineStr">
        <is>
          <t>20.99</t>
        </is>
      </c>
      <c r="L3672" t="n">
        <v>14.95</v>
      </c>
      <c r="M3672" s="1" t="inlineStr">
        <is>
          <t>-28.78%</t>
        </is>
      </c>
      <c r="N3672" s="3" t="n">
        <v>-28.78</v>
      </c>
      <c r="O3672" t="n">
        <v>4.1</v>
      </c>
      <c r="P3672" t="n">
        <v>81</v>
      </c>
      <c r="R3672" t="inlineStr">
        <is>
          <t>InStock</t>
        </is>
      </c>
      <c r="S3672" t="inlineStr">
        <is>
          <t>27.95</t>
        </is>
      </c>
      <c r="T3672" t="inlineStr">
        <is>
          <t>703418-14</t>
        </is>
      </c>
    </row>
    <row r="3673" hidden="1" ht="15.75" customHeight="1">
      <c r="A3673" s="2">
        <f>HYPERLINK("https://www.soccerplususa.com/puma/puma-liga-jersey-youth-37885", "https://www.soccerplususa.com/puma/puma-liga-jersey-youth-37885")</f>
        <v/>
      </c>
      <c r="B3673" t="inlineStr">
        <is>
          <t>undefined</t>
        </is>
      </c>
      <c r="C3673" t="inlineStr">
        <is>
          <t>Puma Liga Jersey Youth</t>
        </is>
      </c>
      <c r="D3673" t="inlineStr">
        <is>
          <t>PUMA Unisex Youth Liga Jersey</t>
        </is>
      </c>
      <c r="E3673" s="2">
        <f>HYPERLINK("https://www.amazon.com/PUMA-Jersey-Black-White-X-Large/dp/B07DXZ5R84/ref=sr_1_2?keywords=Puma+Liga+Jersey+Youth&amp;qid=1695171154&amp;sr=8-2", "https://www.amazon.com/PUMA-Jersey-Black-White-X-Large/dp/B07DXZ5R84/ref=sr_1_2?keywords=Puma+Liga+Jersey+Youth&amp;qid=1695171154&amp;sr=8-2")</f>
        <v/>
      </c>
      <c r="F3673" t="inlineStr">
        <is>
          <t>B07DXZ5R84</t>
        </is>
      </c>
      <c r="G3673">
        <f>_xludf.IMAGE("https://www.soccerplususa.com/prodimages//36779-REDWHITE-M.jpg")</f>
        <v/>
      </c>
      <c r="H3673">
        <f>_xludf.IMAGE("https://m.media-amazon.com/images/I/71f+GPiGtdL._AC_UL320_.jpg")</f>
        <v/>
      </c>
      <c r="K3673" t="inlineStr">
        <is>
          <t>20.99</t>
        </is>
      </c>
      <c r="L3673" t="n">
        <v>14.95</v>
      </c>
      <c r="M3673" s="1" t="inlineStr">
        <is>
          <t>-28.78%</t>
        </is>
      </c>
      <c r="N3673" s="3" t="n">
        <v>-28.78</v>
      </c>
      <c r="O3673" t="n">
        <v>4</v>
      </c>
      <c r="P3673" t="n">
        <v>37</v>
      </c>
      <c r="R3673" t="inlineStr">
        <is>
          <t>InStock</t>
        </is>
      </c>
      <c r="S3673" t="inlineStr">
        <is>
          <t>27.95</t>
        </is>
      </c>
      <c r="T3673" t="inlineStr">
        <is>
          <t>703418-01</t>
        </is>
      </c>
    </row>
    <row r="3674" hidden="1" ht="15.75" customHeight="1">
      <c r="A3674" s="2">
        <f>HYPERLINK("https://www.soccerplususa.com/puma/puma-liga-jersey-youth-37886", "https://www.soccerplususa.com/puma/puma-liga-jersey-youth-37886")</f>
        <v/>
      </c>
      <c r="B3674" t="inlineStr">
        <is>
          <t>undefined</t>
        </is>
      </c>
      <c r="C3674" t="inlineStr">
        <is>
          <t>Puma Liga Jersey Youth</t>
        </is>
      </c>
      <c r="D3674" t="inlineStr">
        <is>
          <t>PUMA Unisex Youth Liga Jersey</t>
        </is>
      </c>
      <c r="E3674" s="2">
        <f>HYPERLINK("https://www.amazon.com/PUMA-Jersey-Black-White-X-Large/dp/B07DXZ5R84/ref=sr_1_2?keywords=Puma+Liga+Jersey+Youth&amp;qid=1695171188&amp;sr=8-2", "https://www.amazon.com/PUMA-Jersey-Black-White-X-Large/dp/B07DXZ5R84/ref=sr_1_2?keywords=Puma+Liga+Jersey+Youth&amp;qid=1695171188&amp;sr=8-2")</f>
        <v/>
      </c>
      <c r="F3674" t="inlineStr">
        <is>
          <t>B07DXZ5R84</t>
        </is>
      </c>
      <c r="G3674">
        <f>_xludf.IMAGE("https://www.soccerplususa.com/prodimages//35271-NAVYWHITE-M.jpg")</f>
        <v/>
      </c>
      <c r="H3674">
        <f>_xludf.IMAGE("https://m.media-amazon.com/images/I/71f+GPiGtdL._AC_UL320_.jpg")</f>
        <v/>
      </c>
      <c r="K3674" t="inlineStr">
        <is>
          <t>20.99</t>
        </is>
      </c>
      <c r="L3674" t="n">
        <v>14.95</v>
      </c>
      <c r="M3674" s="1" t="inlineStr">
        <is>
          <t>-28.78%</t>
        </is>
      </c>
      <c r="N3674" s="3" t="n">
        <v>-28.78</v>
      </c>
      <c r="O3674" t="n">
        <v>4</v>
      </c>
      <c r="P3674" t="n">
        <v>37</v>
      </c>
      <c r="R3674" t="inlineStr">
        <is>
          <t>InStock</t>
        </is>
      </c>
      <c r="S3674" t="inlineStr">
        <is>
          <t>27.95</t>
        </is>
      </c>
      <c r="T3674" t="inlineStr">
        <is>
          <t>703418-06</t>
        </is>
      </c>
    </row>
    <row r="3675" hidden="1" ht="15.75" customHeight="1">
      <c r="A3675" s="2">
        <f>HYPERLINK("https://www.soccerplususa.com/puma/puma-liga-jersey-youth-37886", "https://www.soccerplususa.com/puma/puma-liga-jersey-youth-37886")</f>
        <v/>
      </c>
      <c r="B3675" t="inlineStr">
        <is>
          <t>undefined</t>
        </is>
      </c>
      <c r="C3675" t="inlineStr">
        <is>
          <t>Puma Liga Jersey Youth</t>
        </is>
      </c>
      <c r="D3675" t="inlineStr">
        <is>
          <t>PUMA Youth Liga Jersey Hooped</t>
        </is>
      </c>
      <c r="E3675" s="2">
        <f>HYPERLINK("https://www.amazon.com/PUMA-Jersey-Hooped-Pepper-Greenpuma/dp/B07KWYFQ2B/ref=sr_1_5?keywords=Puma+Liga+Jersey+Youth&amp;qid=1695171188&amp;sr=8-5", "https://www.amazon.com/PUMA-Jersey-Hooped-Pepper-Greenpuma/dp/B07KWYFQ2B/ref=sr_1_5?keywords=Puma+Liga+Jersey+Youth&amp;qid=1695171188&amp;sr=8-5")</f>
        <v/>
      </c>
      <c r="F3675" t="inlineStr">
        <is>
          <t>B07KWYFQ2B</t>
        </is>
      </c>
      <c r="G3675">
        <f>_xludf.IMAGE("https://www.soccerplususa.com/prodimages//35271-NAVYWHITE-M.jpg")</f>
        <v/>
      </c>
      <c r="H3675">
        <f>_xludf.IMAGE("https://m.media-amazon.com/images/I/71MmWWnHWBL._AC_UL320_.jpg")</f>
        <v/>
      </c>
      <c r="K3675" t="inlineStr">
        <is>
          <t>20.99</t>
        </is>
      </c>
      <c r="L3675" t="n">
        <v>14.95</v>
      </c>
      <c r="M3675" s="1" t="inlineStr">
        <is>
          <t>-28.78%</t>
        </is>
      </c>
      <c r="N3675" s="3" t="n">
        <v>-28.78</v>
      </c>
      <c r="O3675" t="n">
        <v>3.3</v>
      </c>
      <c r="P3675" t="n">
        <v>106</v>
      </c>
      <c r="R3675" t="inlineStr">
        <is>
          <t>InStock</t>
        </is>
      </c>
      <c r="S3675" t="inlineStr">
        <is>
          <t>27.95</t>
        </is>
      </c>
      <c r="T3675" t="inlineStr">
        <is>
          <t>703418-06</t>
        </is>
      </c>
    </row>
    <row r="3676" hidden="1" ht="15.75" customHeight="1">
      <c r="A3676" s="2">
        <f>HYPERLINK("https://www.soccerplususa.com/puma/puma-liga-jersey-youth-37885", "https://www.soccerplususa.com/puma/puma-liga-jersey-youth-37885")</f>
        <v/>
      </c>
      <c r="B3676" t="inlineStr">
        <is>
          <t>undefined</t>
        </is>
      </c>
      <c r="C3676" t="inlineStr">
        <is>
          <t>Puma Liga Jersey Youth</t>
        </is>
      </c>
      <c r="D3676" t="inlineStr">
        <is>
          <t>PUMA Unisex Youth Liga Jersey</t>
        </is>
      </c>
      <c r="E3676" s="2">
        <f>HYPERLINK("https://www.amazon.com/PUMA-Jersey-Cyber-Yellowpuma-X-Large/dp/B07KWYGMG7/ref=sr_1_3?keywords=Puma+Liga+Jersey+Youth&amp;qid=1695171154&amp;sr=8-3", "https://www.amazon.com/PUMA-Jersey-Cyber-Yellowpuma-X-Large/dp/B07KWYGMG7/ref=sr_1_3?keywords=Puma+Liga+Jersey+Youth&amp;qid=1695171154&amp;sr=8-3")</f>
        <v/>
      </c>
      <c r="F3676" t="inlineStr">
        <is>
          <t>B07KWYGMG7</t>
        </is>
      </c>
      <c r="G3676">
        <f>_xludf.IMAGE("https://www.soccerplususa.com/prodimages//36779-REDWHITE-M.jpg")</f>
        <v/>
      </c>
      <c r="H3676">
        <f>_xludf.IMAGE("https://m.media-amazon.com/images/I/61NmJE8EwpL._AC_UL320_.jpg")</f>
        <v/>
      </c>
      <c r="K3676" t="inlineStr">
        <is>
          <t>20.99</t>
        </is>
      </c>
      <c r="L3676" t="n">
        <v>14.95</v>
      </c>
      <c r="M3676" s="1" t="inlineStr">
        <is>
          <t>-28.78%</t>
        </is>
      </c>
      <c r="N3676" s="3" t="n">
        <v>-28.78</v>
      </c>
      <c r="O3676" t="n">
        <v>4.1</v>
      </c>
      <c r="P3676" t="n">
        <v>81</v>
      </c>
      <c r="R3676" t="inlineStr">
        <is>
          <t>InStock</t>
        </is>
      </c>
      <c r="S3676" t="inlineStr">
        <is>
          <t>27.95</t>
        </is>
      </c>
      <c r="T3676" t="inlineStr">
        <is>
          <t>703418-01</t>
        </is>
      </c>
    </row>
    <row r="3677" hidden="1" ht="15.75" customHeight="1">
      <c r="A3677" s="2">
        <f>HYPERLINK("https://www.soccerplususa.com/puma/puma-liga-jersey-youth-37886", "https://www.soccerplususa.com/puma/puma-liga-jersey-youth-37886")</f>
        <v/>
      </c>
      <c r="B3677" t="inlineStr">
        <is>
          <t>undefined</t>
        </is>
      </c>
      <c r="C3677" t="inlineStr">
        <is>
          <t>Puma Liga Jersey Youth</t>
        </is>
      </c>
      <c r="D3677" t="inlineStr">
        <is>
          <t>PUMA Unisex Youth Liga Jersey</t>
        </is>
      </c>
      <c r="E3677" s="2">
        <f>HYPERLINK("https://www.amazon.com/PUMA-Jersey-Cyber-Yellowpuma-X-Large/dp/B07KWYGMG7/ref=sr_1_3?keywords=Puma+Liga+Jersey+Youth&amp;qid=1695171188&amp;sr=8-3", "https://www.amazon.com/PUMA-Jersey-Cyber-Yellowpuma-X-Large/dp/B07KWYGMG7/ref=sr_1_3?keywords=Puma+Liga+Jersey+Youth&amp;qid=1695171188&amp;sr=8-3")</f>
        <v/>
      </c>
      <c r="F3677" t="inlineStr">
        <is>
          <t>B07KWYGMG7</t>
        </is>
      </c>
      <c r="G3677">
        <f>_xludf.IMAGE("https://www.soccerplususa.com/prodimages//35271-NAVYWHITE-M.jpg")</f>
        <v/>
      </c>
      <c r="H3677">
        <f>_xludf.IMAGE("https://m.media-amazon.com/images/I/61NmJE8EwpL._AC_UL320_.jpg")</f>
        <v/>
      </c>
      <c r="K3677" t="inlineStr">
        <is>
          <t>20.99</t>
        </is>
      </c>
      <c r="L3677" t="n">
        <v>14.95</v>
      </c>
      <c r="M3677" s="1" t="inlineStr">
        <is>
          <t>-28.78%</t>
        </is>
      </c>
      <c r="N3677" s="3" t="n">
        <v>-28.78</v>
      </c>
      <c r="O3677" t="n">
        <v>4.1</v>
      </c>
      <c r="P3677" t="n">
        <v>81</v>
      </c>
      <c r="R3677" t="inlineStr">
        <is>
          <t>InStock</t>
        </is>
      </c>
      <c r="S3677" t="inlineStr">
        <is>
          <t>27.95</t>
        </is>
      </c>
      <c r="T3677" t="inlineStr">
        <is>
          <t>703418-06</t>
        </is>
      </c>
    </row>
    <row r="3678" hidden="1" ht="15.75" customHeight="1">
      <c r="A3678" s="2">
        <f>HYPERLINK("https://www.soccerplususa.com/puma/puma-liga-jersey-youth-39601", "https://www.soccerplususa.com/puma/puma-liga-jersey-youth-39601")</f>
        <v/>
      </c>
      <c r="B3678" t="inlineStr">
        <is>
          <t>undefined</t>
        </is>
      </c>
      <c r="C3678" t="inlineStr">
        <is>
          <t>Puma Liga Jersey Youth</t>
        </is>
      </c>
      <c r="D3678" t="inlineStr">
        <is>
          <t>PUMA Unisex Youth Liga Jersey</t>
        </is>
      </c>
      <c r="E3678" s="2">
        <f>HYPERLINK("https://www.amazon.com/PUMA-Jersey-Black-White-X-Large/dp/B07DXZ5R84/ref=sr_1_2?keywords=Puma+Liga+Jersey+Youth&amp;qid=1695171161&amp;sr=8-2", "https://www.amazon.com/PUMA-Jersey-Black-White-X-Large/dp/B07DXZ5R84/ref=sr_1_2?keywords=Puma+Liga+Jersey+Youth&amp;qid=1695171161&amp;sr=8-2")</f>
        <v/>
      </c>
      <c r="F3678" t="inlineStr">
        <is>
          <t>B07DXZ5R84</t>
        </is>
      </c>
      <c r="G3678">
        <f>_xludf.IMAGE("https://www.soccerplususa.com/prodimages//36796-WHITE-M.jpg")</f>
        <v/>
      </c>
      <c r="H3678">
        <f>_xludf.IMAGE("https://m.media-amazon.com/images/I/71f+GPiGtdL._AC_UL320_.jpg")</f>
        <v/>
      </c>
      <c r="K3678" t="inlineStr">
        <is>
          <t>20.99</t>
        </is>
      </c>
      <c r="L3678" t="n">
        <v>14.95</v>
      </c>
      <c r="M3678" s="1" t="inlineStr">
        <is>
          <t>-28.78%</t>
        </is>
      </c>
      <c r="N3678" s="3" t="n">
        <v>-28.78</v>
      </c>
      <c r="O3678" t="n">
        <v>4</v>
      </c>
      <c r="P3678" t="n">
        <v>37</v>
      </c>
      <c r="R3678" t="inlineStr">
        <is>
          <t>InStock</t>
        </is>
      </c>
      <c r="S3678" t="inlineStr">
        <is>
          <t>27.95</t>
        </is>
      </c>
      <c r="T3678" t="inlineStr">
        <is>
          <t>703418-14</t>
        </is>
      </c>
    </row>
    <row r="3679" hidden="1" ht="15.75" customHeight="1">
      <c r="A3679" s="2">
        <f>HYPERLINK("https://www.soccerplususa.com/puma/puma-liga-jersey-youth-37885", "https://www.soccerplususa.com/puma/puma-liga-jersey-youth-37885")</f>
        <v/>
      </c>
      <c r="B3679" t="inlineStr">
        <is>
          <t>undefined</t>
        </is>
      </c>
      <c r="C3679" t="inlineStr">
        <is>
          <t>Puma Liga Jersey Youth</t>
        </is>
      </c>
      <c r="D3679" t="inlineStr">
        <is>
          <t>PUMA Youth Liga Jersey Hooped</t>
        </is>
      </c>
      <c r="E3679" s="2">
        <f>HYPERLINK("https://www.amazon.com/PUMA-Jersey-Hooped-Pepper-Greenpuma/dp/B07KWYFQ2B/ref=sr_1_5?keywords=Puma+Liga+Jersey+Youth&amp;qid=1695171154&amp;sr=8-5", "https://www.amazon.com/PUMA-Jersey-Hooped-Pepper-Greenpuma/dp/B07KWYFQ2B/ref=sr_1_5?keywords=Puma+Liga+Jersey+Youth&amp;qid=1695171154&amp;sr=8-5")</f>
        <v/>
      </c>
      <c r="F3679" t="inlineStr">
        <is>
          <t>B07KWYFQ2B</t>
        </is>
      </c>
      <c r="G3679">
        <f>_xludf.IMAGE("https://www.soccerplususa.com/prodimages//36779-REDWHITE-M.jpg")</f>
        <v/>
      </c>
      <c r="H3679">
        <f>_xludf.IMAGE("https://m.media-amazon.com/images/I/71MmWWnHWBL._AC_UL320_.jpg")</f>
        <v/>
      </c>
      <c r="K3679" t="inlineStr">
        <is>
          <t>20.99</t>
        </is>
      </c>
      <c r="L3679" t="n">
        <v>14.95</v>
      </c>
      <c r="M3679" s="1" t="inlineStr">
        <is>
          <t>-28.78%</t>
        </is>
      </c>
      <c r="N3679" s="3" t="n">
        <v>-28.78</v>
      </c>
      <c r="O3679" t="n">
        <v>3.3</v>
      </c>
      <c r="P3679" t="n">
        <v>106</v>
      </c>
      <c r="R3679" t="inlineStr">
        <is>
          <t>InStock</t>
        </is>
      </c>
      <c r="S3679" t="inlineStr">
        <is>
          <t>27.95</t>
        </is>
      </c>
      <c r="T3679" t="inlineStr">
        <is>
          <t>703418-01</t>
        </is>
      </c>
    </row>
    <row r="3680" hidden="1" ht="15.75" customHeight="1">
      <c r="A3680" s="2">
        <f>HYPERLINK("https://www.soccerplususa.com/puma/puma-liga-jersey-youth-39601", "https://www.soccerplususa.com/puma/puma-liga-jersey-youth-39601")</f>
        <v/>
      </c>
      <c r="B3680" t="inlineStr">
        <is>
          <t>undefined</t>
        </is>
      </c>
      <c r="C3680" t="inlineStr">
        <is>
          <t>Puma Liga Jersey Youth</t>
        </is>
      </c>
      <c r="D3680" t="inlineStr">
        <is>
          <t>PUMA Youth Liga Jersey Hooped</t>
        </is>
      </c>
      <c r="E3680" s="2">
        <f>HYPERLINK("https://www.amazon.com/PUMA-Jersey-Hooped-Pepper-Greenpuma/dp/B07KWYFQ2B/ref=sr_1_5?keywords=Puma+Liga+Jersey+Youth&amp;qid=1695171161&amp;sr=8-5", "https://www.amazon.com/PUMA-Jersey-Hooped-Pepper-Greenpuma/dp/B07KWYFQ2B/ref=sr_1_5?keywords=Puma+Liga+Jersey+Youth&amp;qid=1695171161&amp;sr=8-5")</f>
        <v/>
      </c>
      <c r="F3680" t="inlineStr">
        <is>
          <t>B07KWYFQ2B</t>
        </is>
      </c>
      <c r="G3680">
        <f>_xludf.IMAGE("https://www.soccerplususa.com/prodimages//36796-WHITE-M.jpg")</f>
        <v/>
      </c>
      <c r="H3680">
        <f>_xludf.IMAGE("https://m.media-amazon.com/images/I/71MmWWnHWBL._AC_UL320_.jpg")</f>
        <v/>
      </c>
      <c r="K3680" t="inlineStr">
        <is>
          <t>20.99</t>
        </is>
      </c>
      <c r="L3680" t="n">
        <v>14.95</v>
      </c>
      <c r="M3680" s="1" t="inlineStr">
        <is>
          <t>-28.78%</t>
        </is>
      </c>
      <c r="N3680" s="3" t="n">
        <v>-28.78</v>
      </c>
      <c r="O3680" t="n">
        <v>3.3</v>
      </c>
      <c r="P3680" t="n">
        <v>106</v>
      </c>
      <c r="R3680" t="inlineStr">
        <is>
          <t>InStock</t>
        </is>
      </c>
      <c r="S3680" t="inlineStr">
        <is>
          <t>27.95</t>
        </is>
      </c>
      <c r="T3680" t="inlineStr">
        <is>
          <t>703418-14</t>
        </is>
      </c>
    </row>
    <row r="3681" hidden="1" ht="15.75" customHeight="1">
      <c r="A3681" s="2">
        <f>HYPERLINK("https://www.soccerplususa.com/adidas/adidas-condivo-22-winter-jacket-42215", "https://www.soccerplususa.com/adidas/adidas-condivo-22-winter-jacket-42215")</f>
        <v/>
      </c>
      <c r="B3681" t="inlineStr">
        <is>
          <t>undefined</t>
        </is>
      </c>
      <c r="C3681" t="inlineStr">
        <is>
          <t>adidas Condivo 22 Winter Jacket</t>
        </is>
      </c>
      <c r="D3681" t="inlineStr">
        <is>
          <t>adidas Youth Soccer Condivo 18 Winter Jacket - Kid's Soccer</t>
        </is>
      </c>
      <c r="E3681" s="2">
        <f>HYPERLINK("https://www.amazon.com/adidas-Soccer-Condivo-Winter-Jacket/dp/B078LC9YKV/ref=sr_1_9?keywords=adidas+Condivo+22+Winter+Jacket&amp;qid=1695171144&amp;sr=8-9", "https://www.amazon.com/adidas-Soccer-Condivo-Winter-Jacket/dp/B078LC9YKV/ref=sr_1_9?keywords=adidas+Condivo+22+Winter+Jacket&amp;qid=1695171144&amp;sr=8-9")</f>
        <v/>
      </c>
      <c r="F3681" t="inlineStr">
        <is>
          <t>B078LC9YKV</t>
        </is>
      </c>
      <c r="G3681">
        <f>_xludf.IMAGE("https://www.soccerplususa.com/prodimages//35132-BLACKWHITE-M.jpg")</f>
        <v/>
      </c>
      <c r="H3681">
        <f>_xludf.IMAGE("https://m.media-amazon.com/images/I/41o7dZPORXL._AC_UL320_.jpg")</f>
        <v/>
      </c>
      <c r="K3681" t="inlineStr">
        <is>
          <t>139.95</t>
        </is>
      </c>
      <c r="L3681" t="n">
        <v>99.31</v>
      </c>
      <c r="M3681" s="1" t="inlineStr">
        <is>
          <t>-29.04%</t>
        </is>
      </c>
      <c r="N3681" s="3" t="n">
        <v>-29.04</v>
      </c>
      <c r="O3681" t="n">
        <v>4.1</v>
      </c>
      <c r="P3681" t="n">
        <v>14</v>
      </c>
      <c r="R3681" t="inlineStr">
        <is>
          <t>InStock</t>
        </is>
      </c>
      <c r="S3681" t="inlineStr">
        <is>
          <t>undefined</t>
        </is>
      </c>
      <c r="T3681" t="inlineStr">
        <is>
          <t>H21280</t>
        </is>
      </c>
    </row>
    <row r="3682" hidden="1" ht="15.75" customHeight="1">
      <c r="A3682" s="2">
        <f>HYPERLINK("https://www.soccerplususa.com/adidas/adidas-condivo-22-winter-jacket-45454", "https://www.soccerplususa.com/adidas/adidas-condivo-22-winter-jacket-45454")</f>
        <v/>
      </c>
      <c r="B3682" t="inlineStr">
        <is>
          <t>undefined</t>
        </is>
      </c>
      <c r="C3682" t="inlineStr">
        <is>
          <t>adidas Condivo 22 Winter Jacket</t>
        </is>
      </c>
      <c r="D3682" t="inlineStr">
        <is>
          <t>adidas Youth Soccer Condivo 18 Winter Jacket - Kid's Soccer</t>
        </is>
      </c>
      <c r="E3682" s="2">
        <f>HYPERLINK("https://www.amazon.com/adidas-Soccer-Condivo-Winter-Jacket/dp/B078LC9YKV/ref=sr_1_9?keywords=adidas+Condivo+22+Winter+Jacket&amp;qid=1695171146&amp;sr=8-9", "https://www.amazon.com/adidas-Soccer-Condivo-Winter-Jacket/dp/B078LC9YKV/ref=sr_1_9?keywords=adidas+Condivo+22+Winter+Jacket&amp;qid=1695171146&amp;sr=8-9")</f>
        <v/>
      </c>
      <c r="F3682" t="inlineStr">
        <is>
          <t>B078LC9YKV</t>
        </is>
      </c>
      <c r="G3682">
        <f>_xludf.IMAGE("https://www.soccerplususa.com/prodimages//37456-BLACKWHITE-M.jpg")</f>
        <v/>
      </c>
      <c r="H3682">
        <f>_xludf.IMAGE("https://m.media-amazon.com/images/I/41o7dZPORXL._AC_UL320_.jpg")</f>
        <v/>
      </c>
      <c r="K3682" t="inlineStr">
        <is>
          <t>139.95</t>
        </is>
      </c>
      <c r="L3682" t="n">
        <v>99.31</v>
      </c>
      <c r="M3682" s="1" t="inlineStr">
        <is>
          <t>-29.04%</t>
        </is>
      </c>
      <c r="N3682" s="3" t="n">
        <v>-29.04</v>
      </c>
      <c r="O3682" t="n">
        <v>4.1</v>
      </c>
      <c r="P3682" t="n">
        <v>14</v>
      </c>
      <c r="R3682" t="inlineStr">
        <is>
          <t>InStock</t>
        </is>
      </c>
      <c r="S3682" t="inlineStr">
        <is>
          <t>undefined</t>
        </is>
      </c>
      <c r="T3682" t="inlineStr">
        <is>
          <t>HT2542</t>
        </is>
      </c>
    </row>
    <row r="3683" hidden="1" ht="15.75" customHeight="1">
      <c r="A3683" s="2">
        <f>HYPERLINK("https://www.soccerplususa.com/adidas/adidas-condivo-18-training-jacket-5182", "https://www.soccerplususa.com/adidas/adidas-condivo-18-training-jacket-5182")</f>
        <v/>
      </c>
      <c r="B3683" t="inlineStr">
        <is>
          <t>undefined</t>
        </is>
      </c>
      <c r="C3683" t="inlineStr">
        <is>
          <t>adidas Condivo 18 Training Jacket</t>
        </is>
      </c>
      <c r="D3683" t="inlineStr">
        <is>
          <t>adidas Men's Condivo 18 Polyester Jacket</t>
        </is>
      </c>
      <c r="E3683" s="2">
        <f>HYPERLINK("https://www.amazon.com/adidas-Condivo-Training-Jacket-Black/dp/B078WHPGXF/ref=sr_1_2?keywords=adidas+Condivo+18+Training+Jacket&amp;qid=1695171222&amp;sr=8-2", "https://www.amazon.com/adidas-Condivo-Training-Jacket-Black/dp/B078WHPGXF/ref=sr_1_2?keywords=adidas+Condivo+18+Training+Jacket&amp;qid=1695171222&amp;sr=8-2")</f>
        <v/>
      </c>
      <c r="F3683" t="inlineStr">
        <is>
          <t>B078WHPGXF</t>
        </is>
      </c>
      <c r="G3683">
        <f>_xludf.IMAGE("https://www.soccerplususa.com/prodimages/5961-DEFAULT-l.jpg")</f>
        <v/>
      </c>
      <c r="H3683">
        <f>_xludf.IMAGE("https://m.media-amazon.com/images/I/61KcOyoVpCL._AC_UL320_.jpg")</f>
        <v/>
      </c>
      <c r="K3683" t="inlineStr">
        <is>
          <t>49.0</t>
        </is>
      </c>
      <c r="L3683" t="n">
        <v>34.74</v>
      </c>
      <c r="M3683" s="1" t="inlineStr">
        <is>
          <t>-29.10%</t>
        </is>
      </c>
      <c r="N3683" s="3" t="n">
        <v>-29.1</v>
      </c>
      <c r="O3683" t="n">
        <v>4.5</v>
      </c>
      <c r="P3683" t="n">
        <v>162</v>
      </c>
      <c r="R3683" t="inlineStr">
        <is>
          <t>InStock</t>
        </is>
      </c>
      <c r="S3683" t="inlineStr">
        <is>
          <t>64.95</t>
        </is>
      </c>
      <c r="T3683" t="inlineStr">
        <is>
          <t>CF4319</t>
        </is>
      </c>
    </row>
    <row r="3684" hidden="1" ht="15.75" customHeight="1">
      <c r="A3684" s="2">
        <f>HYPERLINK("https://www.soccerplususa.com/adidas/adidas-condivo-18-training-jacket-5183", "https://www.soccerplususa.com/adidas/adidas-condivo-18-training-jacket-5183")</f>
        <v/>
      </c>
      <c r="B3684" t="inlineStr">
        <is>
          <t>undefined</t>
        </is>
      </c>
      <c r="C3684" t="inlineStr">
        <is>
          <t>adidas Condivo 18 Training Jacket</t>
        </is>
      </c>
      <c r="D3684" t="inlineStr">
        <is>
          <t>adidas Men's Condivo 18 Polyester Jacket</t>
        </is>
      </c>
      <c r="E3684" s="2">
        <f>HYPERLINK("https://www.amazon.com/adidas-Condivo-Training-Jacket-Black/dp/B078WHPGXF/ref=sr_1_3?keywords=adidas+Condivo+18+Training+Jacket&amp;qid=1695171224&amp;sr=8-3", "https://www.amazon.com/adidas-Condivo-Training-Jacket-Black/dp/B078WHPGXF/ref=sr_1_3?keywords=adidas+Condivo+18+Training+Jacket&amp;qid=1695171224&amp;sr=8-3")</f>
        <v/>
      </c>
      <c r="F3684" t="inlineStr">
        <is>
          <t>B078WHPGXF</t>
        </is>
      </c>
      <c r="G3684">
        <f>_xludf.IMAGE("https://www.soccerplususa.com/prodimages/5962-DEFAULT-l.jpg")</f>
        <v/>
      </c>
      <c r="H3684">
        <f>_xludf.IMAGE("https://m.media-amazon.com/images/I/61KcOyoVpCL._AC_UL320_.jpg")</f>
        <v/>
      </c>
      <c r="K3684" t="inlineStr">
        <is>
          <t>49.0</t>
        </is>
      </c>
      <c r="L3684" t="n">
        <v>34.74</v>
      </c>
      <c r="M3684" s="1" t="inlineStr">
        <is>
          <t>-29.10%</t>
        </is>
      </c>
      <c r="N3684" s="3" t="n">
        <v>-29.1</v>
      </c>
      <c r="O3684" t="n">
        <v>4.5</v>
      </c>
      <c r="P3684" t="n">
        <v>162</v>
      </c>
      <c r="R3684" t="inlineStr">
        <is>
          <t>InStock</t>
        </is>
      </c>
      <c r="S3684" t="inlineStr">
        <is>
          <t>64.95</t>
        </is>
      </c>
      <c r="T3684" t="inlineStr">
        <is>
          <t>CF4321</t>
        </is>
      </c>
    </row>
    <row r="3685" hidden="1" ht="15.75" customHeight="1">
      <c r="A3685" s="2">
        <f>HYPERLINK("https://www.soccerplususa.com/adidas/adidas-condivo-18-training-jacket-5184", "https://www.soccerplususa.com/adidas/adidas-condivo-18-training-jacket-5184")</f>
        <v/>
      </c>
      <c r="B3685" t="inlineStr">
        <is>
          <t>undefined</t>
        </is>
      </c>
      <c r="C3685" t="inlineStr">
        <is>
          <t>adidas Condivo 18 Training Jacket</t>
        </is>
      </c>
      <c r="D3685" t="inlineStr">
        <is>
          <t>adidas Men's Condivo 18 Polyester Jacket</t>
        </is>
      </c>
      <c r="E3685" s="2">
        <f>HYPERLINK("https://www.amazon.com/adidas-Condivo-Training-Jacket-Black/dp/B078WHPGXF/ref=sr_1_2?keywords=adidas+Condivo+18+Training+Jacket&amp;qid=1695171221&amp;sr=8-2", "https://www.amazon.com/adidas-Condivo-Training-Jacket-Black/dp/B078WHPGXF/ref=sr_1_2?keywords=adidas+Condivo+18+Training+Jacket&amp;qid=1695171221&amp;sr=8-2")</f>
        <v/>
      </c>
      <c r="F3685" t="inlineStr">
        <is>
          <t>B078WHPGXF</t>
        </is>
      </c>
      <c r="G3685">
        <f>_xludf.IMAGE("https://www.soccerplususa.com/prodimages/5963-DEFAULT-l.jpg")</f>
        <v/>
      </c>
      <c r="H3685">
        <f>_xludf.IMAGE("https://m.media-amazon.com/images/I/61KcOyoVpCL._AC_UL320_.jpg")</f>
        <v/>
      </c>
      <c r="K3685" t="inlineStr">
        <is>
          <t>49.0</t>
        </is>
      </c>
      <c r="L3685" t="n">
        <v>34.74</v>
      </c>
      <c r="M3685" s="1" t="inlineStr">
        <is>
          <t>-29.10%</t>
        </is>
      </c>
      <c r="N3685" s="3" t="n">
        <v>-29.1</v>
      </c>
      <c r="O3685" t="n">
        <v>4.5</v>
      </c>
      <c r="P3685" t="n">
        <v>162</v>
      </c>
      <c r="R3685" t="inlineStr">
        <is>
          <t>InStock</t>
        </is>
      </c>
      <c r="S3685" t="inlineStr">
        <is>
          <t>64.95</t>
        </is>
      </c>
      <c r="T3685" t="inlineStr">
        <is>
          <t>CF4322</t>
        </is>
      </c>
    </row>
    <row r="3686" hidden="1" ht="15.75" customHeight="1">
      <c r="A3686" s="2">
        <f>HYPERLINK("https://www.soccerplususa.com/adidas/adidas-condivo-18-training-jacket-5185", "https://www.soccerplususa.com/adidas/adidas-condivo-18-training-jacket-5185")</f>
        <v/>
      </c>
      <c r="B3686" t="inlineStr">
        <is>
          <t>undefined</t>
        </is>
      </c>
      <c r="C3686" t="inlineStr">
        <is>
          <t>adidas Condivo 18 Training Jacket</t>
        </is>
      </c>
      <c r="D3686" t="inlineStr">
        <is>
          <t>adidas Men's Condivo 18 Polyester Jacket</t>
        </is>
      </c>
      <c r="E3686" s="2">
        <f>HYPERLINK("https://www.amazon.com/adidas-Condivo-Training-Jacket-Black/dp/B078WHPGXF/ref=sr_1_3?keywords=adidas+Condivo+18+Training+Jacket&amp;qid=1695171252&amp;sr=8-3", "https://www.amazon.com/adidas-Condivo-Training-Jacket-Black/dp/B078WHPGXF/ref=sr_1_3?keywords=adidas+Condivo+18+Training+Jacket&amp;qid=1695171252&amp;sr=8-3")</f>
        <v/>
      </c>
      <c r="F3686" t="inlineStr">
        <is>
          <t>B078WHPGXF</t>
        </is>
      </c>
      <c r="G3686">
        <f>_xludf.IMAGE("https://www.soccerplususa.com/prodimages/5960-DEFAULT-l.jpg")</f>
        <v/>
      </c>
      <c r="H3686">
        <f>_xludf.IMAGE("https://m.media-amazon.com/images/I/61KcOyoVpCL._AC_UL320_.jpg")</f>
        <v/>
      </c>
      <c r="K3686" t="inlineStr">
        <is>
          <t>49.0</t>
        </is>
      </c>
      <c r="L3686" t="n">
        <v>34.74</v>
      </c>
      <c r="M3686" s="1" t="inlineStr">
        <is>
          <t>-29.10%</t>
        </is>
      </c>
      <c r="N3686" s="3" t="n">
        <v>-29.1</v>
      </c>
      <c r="O3686" t="n">
        <v>4.5</v>
      </c>
      <c r="P3686" t="n">
        <v>162</v>
      </c>
      <c r="R3686" t="inlineStr">
        <is>
          <t>InStock</t>
        </is>
      </c>
      <c r="S3686" t="inlineStr">
        <is>
          <t>64.95</t>
        </is>
      </c>
      <c r="T3686" t="inlineStr">
        <is>
          <t>CF4325</t>
        </is>
      </c>
    </row>
    <row r="3687" hidden="1" ht="15.75" customHeight="1">
      <c r="A3687" s="2">
        <f>HYPERLINK("https://www.soccerplususa.com/adidas/adidas-tiro-17-jersey-33798", "https://www.soccerplususa.com/adidas/adidas-tiro-17-jersey-33798")</f>
        <v/>
      </c>
      <c r="B3687" t="inlineStr">
        <is>
          <t>undefined</t>
        </is>
      </c>
      <c r="C3687" t="inlineStr">
        <is>
          <t>adidas Tiro 17 Jersey</t>
        </is>
      </c>
      <c r="D3687" t="inlineStr">
        <is>
          <t>adidas Tiro 17 Mens Soccer Training Jersey</t>
        </is>
      </c>
      <c r="E3687" s="2">
        <f>HYPERLINK("https://www.amazon.com/adidas-Training-Jersey-White-Black/dp/B01M29BN8D/ref=sr_1_4?keywords=adidas+Tiro+17+Jersey&amp;qid=1695171166&amp;sr=8-4", "https://www.amazon.com/adidas-Training-Jersey-White-Black/dp/B01M29BN8D/ref=sr_1_4?keywords=adidas+Tiro+17+Jersey&amp;qid=1695171166&amp;sr=8-4")</f>
        <v/>
      </c>
      <c r="F3687" t="inlineStr">
        <is>
          <t>B01M29BN8D</t>
        </is>
      </c>
      <c r="G3687">
        <f>_xludf.IMAGE("https://www.soccerplususa.com/prodimages/7452-DEFAULT-l.jpg")</f>
        <v/>
      </c>
      <c r="H3687">
        <f>_xludf.IMAGE("https://m.media-amazon.com/images/I/51KCXIG2tsL._AC_UL320_.jpg")</f>
        <v/>
      </c>
      <c r="K3687" t="inlineStr">
        <is>
          <t>23.97</t>
        </is>
      </c>
      <c r="L3687" t="n">
        <v>16.99</v>
      </c>
      <c r="M3687" s="1" t="inlineStr">
        <is>
          <t>-29.12%</t>
        </is>
      </c>
      <c r="N3687" s="3" t="n">
        <v>-29.12</v>
      </c>
      <c r="O3687" t="n">
        <v>4.2</v>
      </c>
      <c r="P3687" t="n">
        <v>51</v>
      </c>
      <c r="R3687" t="inlineStr">
        <is>
          <t>InStock</t>
        </is>
      </c>
      <c r="S3687" t="inlineStr">
        <is>
          <t>39.95</t>
        </is>
      </c>
      <c r="T3687" t="inlineStr">
        <is>
          <t>BS4216</t>
        </is>
      </c>
    </row>
    <row r="3688" hidden="1" ht="15.75" customHeight="1">
      <c r="A3688" s="2">
        <f>HYPERLINK("https://www.soccerplususa.com/adidas/adidas-essentials-hoodie-41596", "https://www.soccerplususa.com/adidas/adidas-essentials-hoodie-41596")</f>
        <v/>
      </c>
      <c r="B3688" t="inlineStr">
        <is>
          <t>undefined</t>
        </is>
      </c>
      <c r="C3688" t="inlineStr">
        <is>
          <t>adidas Essentials Hoodie</t>
        </is>
      </c>
      <c r="D3688" t="inlineStr">
        <is>
          <t>adidas Men's Essentials Logo Hoodie</t>
        </is>
      </c>
      <c r="E3688" s="2">
        <f>HYPERLINK("https://www.amazon.com/adidas-Essentials-Hoodie-Black-Medium/dp/B09XF9X62V/ref=sr_1_5?keywords=adidas+Essentials+Hoodie&amp;qid=1695171148&amp;sr=8-5", "https://www.amazon.com/adidas-Essentials-Hoodie-Black-Medium/dp/B09XF9X62V/ref=sr_1_5?keywords=adidas+Essentials+Hoodie&amp;qid=1695171148&amp;sr=8-5")</f>
        <v/>
      </c>
      <c r="F3688" t="inlineStr">
        <is>
          <t>B09XF9X62V</t>
        </is>
      </c>
      <c r="G3688">
        <f>_xludf.IMAGE("https://www.soccerplususa.com/prodimages//35143-BLACKWHITE-M.jpg")</f>
        <v/>
      </c>
      <c r="H3688">
        <f>_xludf.IMAGE("https://m.media-amazon.com/images/I/71225dW64HL._AC_UL320_.jpg")</f>
        <v/>
      </c>
      <c r="K3688" t="inlineStr">
        <is>
          <t>44.99</t>
        </is>
      </c>
      <c r="L3688" t="n">
        <v>30.97</v>
      </c>
      <c r="M3688" s="1" t="inlineStr">
        <is>
          <t>-31.16%</t>
        </is>
      </c>
      <c r="N3688" s="3" t="n">
        <v>-31.16</v>
      </c>
      <c r="O3688" t="n">
        <v>4.4</v>
      </c>
      <c r="P3688" t="n">
        <v>150</v>
      </c>
      <c r="R3688" t="inlineStr">
        <is>
          <t>InStock</t>
        </is>
      </c>
      <c r="S3688" t="inlineStr">
        <is>
          <t>59.95</t>
        </is>
      </c>
      <c r="T3688" t="inlineStr">
        <is>
          <t>GK9062</t>
        </is>
      </c>
    </row>
    <row r="3689" hidden="1" ht="15.75" customHeight="1">
      <c r="A3689" s="2">
        <f>HYPERLINK("https://www.soccerplususa.com/adidas/adidas-tiro-21-track-jacket-youth-41182", "https://www.soccerplususa.com/adidas/adidas-tiro-21-track-jacket-youth-41182")</f>
        <v/>
      </c>
      <c r="B3689" t="inlineStr">
        <is>
          <t>undefined</t>
        </is>
      </c>
      <c r="C3689" t="inlineStr">
        <is>
          <t>adidas Tiro 21 Track Jacket Youth</t>
        </is>
      </c>
      <c r="D3689" t="inlineStr">
        <is>
          <t>adidas Unisex-Child Tiro 21 Track Jacket</t>
        </is>
      </c>
      <c r="E3689" s="2">
        <f>HYPERLINK("https://www.amazon.com/adidas-unisex-child-Track-Jacket-X-Large/dp/B087C7FH79/ref=sr_1_3?keywords=adidas+Tiro+21+Track+Jacket+Youth&amp;qid=1695171152&amp;sr=8-3", "https://www.amazon.com/adidas-unisex-child-Track-Jacket-X-Large/dp/B087C7FH79/ref=sr_1_3?keywords=adidas+Tiro+21+Track+Jacket+Youth&amp;qid=1695171152&amp;sr=8-3")</f>
        <v/>
      </c>
      <c r="F3689" t="inlineStr">
        <is>
          <t>B087C7FH79</t>
        </is>
      </c>
      <c r="G3689">
        <f>_xludf.IMAGE("https://www.soccerplususa.com/prodimages//35391-BLACKWHITE-M.jpg")</f>
        <v/>
      </c>
      <c r="H3689">
        <f>_xludf.IMAGE("https://m.media-amazon.com/images/I/618W8IypD6L._AC_UL320_.jpg")</f>
        <v/>
      </c>
      <c r="K3689" t="inlineStr">
        <is>
          <t>45.0</t>
        </is>
      </c>
      <c r="L3689" t="n">
        <v>30.84</v>
      </c>
      <c r="M3689" s="1" t="inlineStr">
        <is>
          <t>-31.47%</t>
        </is>
      </c>
      <c r="N3689" s="3" t="n">
        <v>-31.47</v>
      </c>
      <c r="O3689" t="n">
        <v>4.5</v>
      </c>
      <c r="P3689" t="n">
        <v>338</v>
      </c>
      <c r="R3689" t="inlineStr">
        <is>
          <t>InStock</t>
        </is>
      </c>
      <c r="S3689" t="inlineStr">
        <is>
          <t>undefined</t>
        </is>
      </c>
      <c r="T3689" t="inlineStr">
        <is>
          <t>GM7314</t>
        </is>
      </c>
    </row>
    <row r="3690" hidden="1" ht="15.75" customHeight="1">
      <c r="A3690" s="2">
        <f>HYPERLINK("https://www.soccerplususa.com/under-armour/under-armour-coldgear-authentics-mock-womens-44305", "https://www.soccerplususa.com/under-armour/under-armour-coldgear-authentics-mock-womens-44305")</f>
        <v/>
      </c>
      <c r="B3690" t="inlineStr">
        <is>
          <t>undefined</t>
        </is>
      </c>
      <c r="C3690" t="inlineStr">
        <is>
          <t>Under Armour ColdGear Authentics Mock Women's</t>
        </is>
      </c>
      <c r="D3690" t="inlineStr">
        <is>
          <t>Under Armour Women's ColdGear Infrared Storm Long Sleeve Mock Neck</t>
        </is>
      </c>
      <c r="E3690" s="2">
        <f>HYPERLINK("https://www.amazon.com/Under-Armour-Standard-ColdGear-Infrared/dp/B09G2XZF91/ref=sr_1_7?keywords=Under+Armour+ColdGear+Authentics+Mock+Womens&amp;qid=1695171151&amp;sr=8-7", "https://www.amazon.com/Under-Armour-Standard-ColdGear-Infrared/dp/B09G2XZF91/ref=sr_1_7?keywords=Under+Armour+ColdGear+Authentics+Mock+Womens&amp;qid=1695171151&amp;sr=8-7")</f>
        <v/>
      </c>
      <c r="F3690" t="inlineStr">
        <is>
          <t>B09G2XZF91</t>
        </is>
      </c>
      <c r="G3690">
        <f>_xludf.IMAGE("https://www.soccerplususa.com/prodimages//36058-WHITE-M.jpg")</f>
        <v/>
      </c>
      <c r="H3690">
        <f>_xludf.IMAGE("https://m.media-amazon.com/images/I/71miIMRY1rL._AC_UL320_.jpg")</f>
        <v/>
      </c>
      <c r="K3690" t="inlineStr">
        <is>
          <t>54.95</t>
        </is>
      </c>
      <c r="L3690" t="n">
        <v>37.37</v>
      </c>
      <c r="M3690" s="1" t="inlineStr">
        <is>
          <t>-31.99%</t>
        </is>
      </c>
      <c r="N3690" s="3" t="n">
        <v>-31.99</v>
      </c>
      <c r="O3690" t="n">
        <v>4.2</v>
      </c>
      <c r="P3690" t="n">
        <v>15</v>
      </c>
      <c r="R3690" t="inlineStr">
        <is>
          <t>InStock</t>
        </is>
      </c>
      <c r="S3690" t="inlineStr">
        <is>
          <t>undefined</t>
        </is>
      </c>
      <c r="T3690" t="inlineStr">
        <is>
          <t>1368702-100</t>
        </is>
      </c>
    </row>
    <row r="3691" hidden="1" ht="15.75" customHeight="1">
      <c r="A3691" s="2">
        <f>HYPERLINK("https://www.soccerplususa.com/under-armour/under-armour-coldgear-authentics-mock-womens-44304", "https://www.soccerplususa.com/under-armour/under-armour-coldgear-authentics-mock-womens-44304")</f>
        <v/>
      </c>
      <c r="B3691" t="inlineStr">
        <is>
          <t>undefined</t>
        </is>
      </c>
      <c r="C3691" t="inlineStr">
        <is>
          <t>Under Armour ColdGear Authentics Mock Women's</t>
        </is>
      </c>
      <c r="D3691" t="inlineStr">
        <is>
          <t>Under Armour Women's ColdGear Infrared Storm Long Sleeve Mock Neck</t>
        </is>
      </c>
      <c r="E3691" s="2">
        <f>HYPERLINK("https://www.amazon.com/Under-Armour-Standard-ColdGear-Infrared/dp/B09G2XZF91/ref=sr_1_7?keywords=Under+Armour+ColdGear+Authentics+Mock+Womens&amp;qid=1695171145&amp;sr=8-7", "https://www.amazon.com/Under-Armour-Standard-ColdGear-Infrared/dp/B09G2XZF91/ref=sr_1_7?keywords=Under+Armour+ColdGear+Authentics+Mock+Womens&amp;qid=1695171145&amp;sr=8-7")</f>
        <v/>
      </c>
      <c r="F3691" t="inlineStr">
        <is>
          <t>B09G2XZF91</t>
        </is>
      </c>
      <c r="G3691">
        <f>_xludf.IMAGE("https://www.soccerplususa.com/prodimages//36059-BLACK-M.jpg")</f>
        <v/>
      </c>
      <c r="H3691">
        <f>_xludf.IMAGE("https://m.media-amazon.com/images/I/71miIMRY1rL._AC_UL320_.jpg")</f>
        <v/>
      </c>
      <c r="K3691" t="inlineStr">
        <is>
          <t>54.95</t>
        </is>
      </c>
      <c r="L3691" t="n">
        <v>37.37</v>
      </c>
      <c r="M3691" s="1" t="inlineStr">
        <is>
          <t>-31.99%</t>
        </is>
      </c>
      <c r="N3691" s="3" t="n">
        <v>-31.99</v>
      </c>
      <c r="O3691" t="n">
        <v>4.2</v>
      </c>
      <c r="P3691" t="n">
        <v>15</v>
      </c>
      <c r="R3691" t="inlineStr">
        <is>
          <t>InStock</t>
        </is>
      </c>
      <c r="S3691" t="inlineStr">
        <is>
          <t>undefined</t>
        </is>
      </c>
      <c r="T3691" t="inlineStr">
        <is>
          <t>1368702-001</t>
        </is>
      </c>
    </row>
    <row r="3692" hidden="1" ht="15.75" customHeight="1">
      <c r="A3692" s="2">
        <f>HYPERLINK("https://www.soccerplususa.com/adidas/adidas-regista-14-jersey-6065", "https://www.soccerplususa.com/adidas/adidas-regista-14-jersey-6065")</f>
        <v/>
      </c>
      <c r="B3692" t="inlineStr">
        <is>
          <t>undefined</t>
        </is>
      </c>
      <c r="C3692" t="inlineStr">
        <is>
          <t>adidas Regista 14 Jersey</t>
        </is>
      </c>
      <c r="D3692" t="inlineStr">
        <is>
          <t>adidas Mens Regista 14 Shorts, Cobalt/White, XLarge</t>
        </is>
      </c>
      <c r="E3692" s="2">
        <f>HYPERLINK("https://www.amazon.com/Adidas-Climacool-Regista-X-Large-Cobalt/dp/B00I1JNRDO/ref=sr_1_6?keywords=adidas+Regista+14+Jersey&amp;qid=1695171215&amp;sr=8-6", "https://www.amazon.com/Adidas-Climacool-Regista-X-Large-Cobalt/dp/B00I1JNRDO/ref=sr_1_6?keywords=adidas+Regista+14+Jersey&amp;qid=1695171215&amp;sr=8-6")</f>
        <v/>
      </c>
      <c r="F3692" t="inlineStr">
        <is>
          <t>B00I1JNRDO</t>
        </is>
      </c>
      <c r="G3692">
        <f>_xludf.IMAGE("https://www.soccerplususa.com/prodimages/32793-DEFAULT-l.jpg")</f>
        <v/>
      </c>
      <c r="H3692">
        <f>_xludf.IMAGE("https://m.media-amazon.com/images/I/51LaPP1PouL._AC_UL320_.jpg")</f>
        <v/>
      </c>
      <c r="K3692" t="inlineStr">
        <is>
          <t>22.0</t>
        </is>
      </c>
      <c r="L3692" t="n">
        <v>14.95</v>
      </c>
      <c r="M3692" s="1" t="inlineStr">
        <is>
          <t>-32.05%</t>
        </is>
      </c>
      <c r="N3692" s="3" t="n">
        <v>-32.05</v>
      </c>
      <c r="O3692" t="n">
        <v>5</v>
      </c>
      <c r="P3692" t="n">
        <v>1</v>
      </c>
      <c r="R3692" t="inlineStr">
        <is>
          <t>InStock</t>
        </is>
      </c>
      <c r="S3692" t="inlineStr">
        <is>
          <t>44.95</t>
        </is>
      </c>
      <c r="T3692" t="inlineStr">
        <is>
          <t>F50009</t>
        </is>
      </c>
    </row>
    <row r="3693" hidden="1" ht="15.75" customHeight="1">
      <c r="A3693" s="2">
        <f>HYPERLINK("https://www.soccerplususa.com/puma/puma-liga-training-rain-jacket-youth-35518", "https://www.soccerplususa.com/puma/puma-liga-training-rain-jacket-youth-35518")</f>
        <v/>
      </c>
      <c r="B3693" t="inlineStr">
        <is>
          <t>undefined</t>
        </is>
      </c>
      <c r="C3693" t="inlineStr">
        <is>
          <t>Puma Liga Training Rain Jacket Youth</t>
        </is>
      </c>
      <c r="D3693" t="inlineStr">
        <is>
          <t>PUMA Men's Standard Team Liga Training Jacket</t>
        </is>
      </c>
      <c r="E3693" s="2">
        <f>HYPERLINK("https://www.amazon.com/PUMA-TeamLIGA-Training-Jacket-Black/dp/B091DCVWN9/ref=sr_1_7?keywords=Puma+Liga+Training+Rain+Jacket+Youth&amp;qid=1695171159&amp;sr=8-7", "https://www.amazon.com/PUMA-TeamLIGA-Training-Jacket-Black/dp/B091DCVWN9/ref=sr_1_7?keywords=Puma+Liga+Training+Rain+Jacket+Youth&amp;qid=1695171159&amp;sr=8-7")</f>
        <v/>
      </c>
      <c r="F3693" t="inlineStr">
        <is>
          <t>B091DCVWN9</t>
        </is>
      </c>
      <c r="G3693">
        <f>_xludf.IMAGE("https://www.soccerplususa.com/prodimages/13113-DEFAULT-l.jpg")</f>
        <v/>
      </c>
      <c r="H3693">
        <f>_xludf.IMAGE("https://m.media-amazon.com/images/I/71-29QBQXmS._AC_UL320_.jpg")</f>
        <v/>
      </c>
      <c r="K3693" t="inlineStr">
        <is>
          <t>59.95</t>
        </is>
      </c>
      <c r="L3693" t="n">
        <v>40.7</v>
      </c>
      <c r="M3693" s="1" t="inlineStr">
        <is>
          <t>-32.11%</t>
        </is>
      </c>
      <c r="N3693" s="3" t="n">
        <v>-32.11</v>
      </c>
      <c r="O3693" t="n">
        <v>4.7</v>
      </c>
      <c r="P3693" t="n">
        <v>9</v>
      </c>
      <c r="R3693" t="inlineStr">
        <is>
          <t>InStock</t>
        </is>
      </c>
      <c r="S3693" t="inlineStr">
        <is>
          <t>undefined</t>
        </is>
      </c>
      <c r="T3693" t="inlineStr">
        <is>
          <t>655660-03</t>
        </is>
      </c>
    </row>
    <row r="3694" hidden="1" ht="15.75" customHeight="1">
      <c r="A3694" s="2">
        <f>HYPERLINK("https://www.soccerplususa.com/adidas/adidas-tiro-21-track-jacket-41183", "https://www.soccerplususa.com/adidas/adidas-tiro-21-track-jacket-41183")</f>
        <v/>
      </c>
      <c r="B3694" t="inlineStr">
        <is>
          <t>undefined</t>
        </is>
      </c>
      <c r="C3694" t="inlineStr">
        <is>
          <t>adidas Tiro 21 Track Jacket</t>
        </is>
      </c>
      <c r="D3694" t="inlineStr">
        <is>
          <t>adidas Men's Tiro 21 Track Jacket</t>
        </is>
      </c>
      <c r="E3694" s="2">
        <f>HYPERLINK("https://www.amazon.com/adidas-Track-Jacket-Black-Medium/dp/B087C3R1GH/ref=sr_1_1?keywords=adidas+Tiro+21+Track+Jacket&amp;qid=1695171147&amp;sr=8-1", "https://www.amazon.com/adidas-Track-Jacket-Black-Medium/dp/B087C3R1GH/ref=sr_1_1?keywords=adidas+Tiro+21+Track+Jacket&amp;qid=1695171147&amp;sr=8-1")</f>
        <v/>
      </c>
      <c r="F3694" t="inlineStr">
        <is>
          <t>B087C3R1GH</t>
        </is>
      </c>
      <c r="G3694">
        <f>_xludf.IMAGE("https://www.soccerplususa.com/prodimages//36165-BLACKWHITE-M.jpg")</f>
        <v/>
      </c>
      <c r="H3694">
        <f>_xludf.IMAGE("https://m.media-amazon.com/images/I/916pGrtW0WL._AC_UL320_.jpg")</f>
        <v/>
      </c>
      <c r="K3694" t="inlineStr">
        <is>
          <t>50.0</t>
        </is>
      </c>
      <c r="L3694" t="n">
        <v>33.88</v>
      </c>
      <c r="M3694" s="1" t="inlineStr">
        <is>
          <t>-32.24%</t>
        </is>
      </c>
      <c r="N3694" s="3" t="n">
        <v>-32.24</v>
      </c>
      <c r="O3694" t="n">
        <v>4.6</v>
      </c>
      <c r="P3694" t="n">
        <v>3449</v>
      </c>
      <c r="R3694" t="inlineStr">
        <is>
          <t>InStock</t>
        </is>
      </c>
      <c r="S3694" t="inlineStr">
        <is>
          <t>undefined</t>
        </is>
      </c>
      <c r="T3694" t="inlineStr">
        <is>
          <t>GM7319</t>
        </is>
      </c>
    </row>
    <row r="3695" hidden="1" ht="15.75" customHeight="1">
      <c r="A3695" s="2">
        <f>HYPERLINK("https://www.soccerplususa.com/under-armour/under-armour-coldgear-authentics-mock-womens-44304", "https://www.soccerplususa.com/under-armour/under-armour-coldgear-authentics-mock-womens-44304")</f>
        <v/>
      </c>
      <c r="B3695" t="inlineStr">
        <is>
          <t>undefined</t>
        </is>
      </c>
      <c r="C3695" t="inlineStr">
        <is>
          <t>Under Armour ColdGear Authentics Mock Women's</t>
        </is>
      </c>
      <c r="D3695" t="inlineStr">
        <is>
          <t>Under Armour Women's ColdGear Authentics Compression Mock</t>
        </is>
      </c>
      <c r="E3695" s="2">
        <f>HYPERLINK("https://www.amazon.com/Under-Armour-ColdGear-Authentic-X-Large/dp/B003Z711FI/ref=sr_1_2?keywords=Under+Armour+ColdGear+Authentics+Mock+Womens&amp;qid=1695171145&amp;sr=8-2", "https://www.amazon.com/Under-Armour-ColdGear-Authentic-X-Large/dp/B003Z711FI/ref=sr_1_2?keywords=Under+Armour+ColdGear+Authentics+Mock+Womens&amp;qid=1695171145&amp;sr=8-2")</f>
        <v/>
      </c>
      <c r="F3695" t="inlineStr">
        <is>
          <t>B003Z711FI</t>
        </is>
      </c>
      <c r="G3695">
        <f>_xludf.IMAGE("https://www.soccerplususa.com/prodimages//36059-BLACK-M.jpg")</f>
        <v/>
      </c>
      <c r="H3695">
        <f>_xludf.IMAGE("https://m.media-amazon.com/images/I/71rirqUzA6L._AC_UL320_.jpg")</f>
        <v/>
      </c>
      <c r="K3695" t="inlineStr">
        <is>
          <t>54.95</t>
        </is>
      </c>
      <c r="L3695" t="n">
        <v>37.01</v>
      </c>
      <c r="M3695" s="1" t="inlineStr">
        <is>
          <t>-32.65%</t>
        </is>
      </c>
      <c r="N3695" s="3" t="n">
        <v>-32.65</v>
      </c>
      <c r="O3695" t="n">
        <v>4.8</v>
      </c>
      <c r="P3695" t="n">
        <v>7721</v>
      </c>
      <c r="R3695" t="inlineStr">
        <is>
          <t>InStock</t>
        </is>
      </c>
      <c r="S3695" t="inlineStr">
        <is>
          <t>undefined</t>
        </is>
      </c>
      <c r="T3695" t="inlineStr">
        <is>
          <t>1368702-001</t>
        </is>
      </c>
    </row>
    <row r="3696" hidden="1" ht="15.75" customHeight="1">
      <c r="A3696" s="2">
        <f>HYPERLINK("https://www.soccerplususa.com/under-armour/under-armour-coldgear-armour-fitted-mock-41592", "https://www.soccerplususa.com/under-armour/under-armour-coldgear-armour-fitted-mock-41592")</f>
        <v/>
      </c>
      <c r="B3696" t="inlineStr">
        <is>
          <t>undefined</t>
        </is>
      </c>
      <c r="C3696" t="inlineStr">
        <is>
          <t>Under Armour ColdGear Armour Fitted Mock</t>
        </is>
      </c>
      <c r="D3696" t="inlineStr">
        <is>
          <t>Under Armour Men's ColdGear Fitted Mock</t>
        </is>
      </c>
      <c r="E3696" s="2">
        <f>HYPERLINK("https://www.amazon.com/Under-Armour-ColdGear-Fitted-Medium/dp/B08LNZ74C7/ref=sr_1_1?keywords=Under+Armour+ColdGear+Armour+Fitted+Mock&amp;qid=1695171146&amp;sr=8-1", "https://www.amazon.com/Under-Armour-ColdGear-Fitted-Medium/dp/B08LNZ74C7/ref=sr_1_1?keywords=Under+Armour+ColdGear+Armour+Fitted+Mock&amp;qid=1695171146&amp;sr=8-1")</f>
        <v/>
      </c>
      <c r="F3696" t="inlineStr">
        <is>
          <t>B08LNZ74C7</t>
        </is>
      </c>
      <c r="G3696">
        <f>_xludf.IMAGE("https://www.soccerplususa.com/prodimages//36795-BLACK-M.jpg")</f>
        <v/>
      </c>
      <c r="H3696">
        <f>_xludf.IMAGE("https://m.media-amazon.com/images/I/41kGm2fUC1L._AC_UL320_.jpg")</f>
        <v/>
      </c>
      <c r="K3696" t="inlineStr">
        <is>
          <t>54.95</t>
        </is>
      </c>
      <c r="L3696" t="n">
        <v>36.99</v>
      </c>
      <c r="M3696" s="1" t="inlineStr">
        <is>
          <t>-32.68%</t>
        </is>
      </c>
      <c r="N3696" s="3" t="n">
        <v>-32.68</v>
      </c>
      <c r="O3696" t="n">
        <v>4.7</v>
      </c>
      <c r="P3696" t="n">
        <v>2138</v>
      </c>
      <c r="R3696" t="inlineStr">
        <is>
          <t>InStock</t>
        </is>
      </c>
      <c r="S3696" t="inlineStr">
        <is>
          <t>undefined</t>
        </is>
      </c>
      <c r="T3696" t="inlineStr">
        <is>
          <t>1366066-001</t>
        </is>
      </c>
    </row>
    <row r="3697" hidden="1" ht="15.75" customHeight="1">
      <c r="A3697" s="2">
        <f>HYPERLINK("https://www.soccerplususa.com/adidas/adidas-tiro-17-jersey-youth-8176", "https://www.soccerplususa.com/adidas/adidas-tiro-17-jersey-youth-8176")</f>
        <v/>
      </c>
      <c r="B3697" t="inlineStr">
        <is>
          <t>undefined</t>
        </is>
      </c>
      <c r="C3697" t="inlineStr">
        <is>
          <t>adidas Tiro 17 Jersey Youth</t>
        </is>
      </c>
      <c r="D3697" t="inlineStr">
        <is>
          <t>adidas Boys' Alphaskin Tiro Youth Jersey</t>
        </is>
      </c>
      <c r="E3697" s="2">
        <f>HYPERLINK("https://www.amazon.com/adidas-Alphaskin-Youth-Jersey-X-Large/dp/B07DXQYZG1/ref=sr_1_7?keywords=adidas+Tiro+17+Jersey+Youth&amp;qid=1695171210&amp;sr=8-7", "https://www.amazon.com/adidas-Alphaskin-Youth-Jersey-X-Large/dp/B07DXQYZG1/ref=sr_1_7?keywords=adidas+Tiro+17+Jersey+Youth&amp;qid=1695171210&amp;sr=8-7")</f>
        <v/>
      </c>
      <c r="F3697" t="inlineStr">
        <is>
          <t>B07DXQYZG1</t>
        </is>
      </c>
      <c r="G3697">
        <f>_xludf.IMAGE("https://www.soccerplususa.com/prodimages/7857-DEFAULT-l.jpg")</f>
        <v/>
      </c>
      <c r="H3697">
        <f>_xludf.IMAGE("https://m.media-amazon.com/images/I/51FrkChU33L._AC_UL320_.jpg")</f>
        <v/>
      </c>
      <c r="K3697" t="inlineStr">
        <is>
          <t>20.97</t>
        </is>
      </c>
      <c r="L3697" t="n">
        <v>14.04</v>
      </c>
      <c r="M3697" s="1" t="inlineStr">
        <is>
          <t>-33.05%</t>
        </is>
      </c>
      <c r="N3697" s="3" t="n">
        <v>-33.05</v>
      </c>
      <c r="O3697" t="n">
        <v>4.9</v>
      </c>
      <c r="P3697" t="n">
        <v>40</v>
      </c>
      <c r="R3697" t="inlineStr">
        <is>
          <t>InStock</t>
        </is>
      </c>
      <c r="S3697" t="inlineStr">
        <is>
          <t>34.95</t>
        </is>
      </c>
      <c r="T3697" t="inlineStr">
        <is>
          <t>S99148</t>
        </is>
      </c>
    </row>
    <row r="3698" hidden="1" ht="15.75" customHeight="1">
      <c r="A3698" s="2">
        <f>HYPERLINK("https://www.soccerplususa.com/adidas/adidas-essentials-hoodie-41596", "https://www.soccerplususa.com/adidas/adidas-essentials-hoodie-41596")</f>
        <v/>
      </c>
      <c r="B3698" t="inlineStr">
        <is>
          <t>undefined</t>
        </is>
      </c>
      <c r="C3698" t="inlineStr">
        <is>
          <t>adidas Essentials Hoodie</t>
        </is>
      </c>
      <c r="D3698" t="inlineStr">
        <is>
          <t>adidas Men's Essentials Logo Hoodie</t>
        </is>
      </c>
      <c r="E3698" s="2">
        <f>HYPERLINK("https://www.amazon.com/adidas-Standard-Essentials-Hoodie-X-Large/dp/B08MHSDYD5/ref=sr_1_10?keywords=adidas+Essentials+Hoodie&amp;qid=1695171148&amp;sr=8-10", "https://www.amazon.com/adidas-Standard-Essentials-Hoodie-X-Large/dp/B08MHSDYD5/ref=sr_1_10?keywords=adidas+Essentials+Hoodie&amp;qid=1695171148&amp;sr=8-10")</f>
        <v/>
      </c>
      <c r="F3698" t="inlineStr">
        <is>
          <t>B08MHSDYD5</t>
        </is>
      </c>
      <c r="G3698">
        <f>_xludf.IMAGE("https://www.soccerplususa.com/prodimages//35143-BLACKWHITE-M.jpg")</f>
        <v/>
      </c>
      <c r="H3698">
        <f>_xludf.IMAGE("https://m.media-amazon.com/images/I/81iHsNpE7KL._AC_UL320_.jpg")</f>
        <v/>
      </c>
      <c r="K3698" t="inlineStr">
        <is>
          <t>44.99</t>
        </is>
      </c>
      <c r="L3698" t="n">
        <v>30.12</v>
      </c>
      <c r="M3698" s="1" t="inlineStr">
        <is>
          <t>-33.05%</t>
        </is>
      </c>
      <c r="N3698" s="3" t="n">
        <v>-33.05</v>
      </c>
      <c r="O3698" t="n">
        <v>4.5</v>
      </c>
      <c r="P3698" t="n">
        <v>1119</v>
      </c>
      <c r="R3698" t="inlineStr">
        <is>
          <t>InStock</t>
        </is>
      </c>
      <c r="S3698" t="inlineStr">
        <is>
          <t>59.95</t>
        </is>
      </c>
      <c r="T3698" t="inlineStr">
        <is>
          <t>GK9062</t>
        </is>
      </c>
    </row>
    <row r="3699" hidden="1" ht="15.75" customHeight="1">
      <c r="A3699" s="2">
        <f>HYPERLINK("https://www.soccerplususa.com/adidas/adidas-squadra-17-jersey-youth-4844", "https://www.soccerplususa.com/adidas/adidas-squadra-17-jersey-youth-4844")</f>
        <v/>
      </c>
      <c r="B3699" t="inlineStr">
        <is>
          <t>undefined</t>
        </is>
      </c>
      <c r="C3699" t="inlineStr">
        <is>
          <t>adidas Squadra 17 Jersey Youth</t>
        </is>
      </c>
      <c r="D3699" t="inlineStr">
        <is>
          <t>adidas Boys Squadra 17 Unisex Soccer Jersey</t>
        </is>
      </c>
      <c r="E3699" s="2">
        <f>HYPERLINK("https://www.amazon.com/adidas-Youth-Squadra-Jersey-Black/dp/B074585TVM/ref=sr_1_1?keywords=adidas+Squadra+17+Jersey+Youth&amp;qid=1695171227&amp;sr=8-1", "https://www.amazon.com/adidas-Youth-Squadra-Jersey-Black/dp/B074585TVM/ref=sr_1_1?keywords=adidas+Squadra+17+Jersey+Youth&amp;qid=1695171227&amp;sr=8-1")</f>
        <v/>
      </c>
      <c r="F3699" t="inlineStr">
        <is>
          <t>B074585TVM</t>
        </is>
      </c>
      <c r="G3699">
        <f>_xludf.IMAGE("https://www.soccerplususa.com/prodimages//37069-WHITE-M.jpg")</f>
        <v/>
      </c>
      <c r="H3699">
        <f>_xludf.IMAGE("https://m.media-amazon.com/images/I/61kr+zjTC1L._AC_UL320_.jpg")</f>
        <v/>
      </c>
      <c r="K3699" t="inlineStr">
        <is>
          <t>22.49</t>
        </is>
      </c>
      <c r="L3699" t="n">
        <v>15</v>
      </c>
      <c r="M3699" s="1" t="inlineStr">
        <is>
          <t>-33.30%</t>
        </is>
      </c>
      <c r="N3699" s="3" t="n">
        <v>-33.3</v>
      </c>
      <c r="O3699" t="n">
        <v>4.3</v>
      </c>
      <c r="P3699" t="n">
        <v>41</v>
      </c>
      <c r="R3699" t="inlineStr">
        <is>
          <t>InStock</t>
        </is>
      </c>
      <c r="S3699" t="inlineStr">
        <is>
          <t>29.95</t>
        </is>
      </c>
      <c r="T3699" t="inlineStr">
        <is>
          <t>BJ9197</t>
        </is>
      </c>
    </row>
    <row r="3700" hidden="1" ht="15.75" customHeight="1">
      <c r="A3700" s="2">
        <f>HYPERLINK("https://www.soccerplususa.com/adidas/adidas-condivo-16-jersey-youth-4210", "https://www.soccerplususa.com/adidas/adidas-condivo-16-jersey-youth-4210")</f>
        <v/>
      </c>
      <c r="B3700" t="inlineStr">
        <is>
          <t>undefined</t>
        </is>
      </c>
      <c r="C3700" t="inlineStr">
        <is>
          <t>adidas Condivo 16 Jersey Youth</t>
        </is>
      </c>
      <c r="D3700" t="inlineStr">
        <is>
          <t>adidas Women's Condivo 16 Soccer Jersey</t>
        </is>
      </c>
      <c r="E3700" s="2">
        <f>HYPERLINK("https://www.amazon.com/Adidas-Condivo-Womens-Soccer-Jersey/dp/B01E7NEQLY/ref=sr_1_2?keywords=adidas+Condivo+16+Jersey+Youth&amp;qid=1695171233&amp;sr=8-2", "https://www.amazon.com/Adidas-Condivo-Womens-Soccer-Jersey/dp/B01E7NEQLY/ref=sr_1_2?keywords=adidas+Condivo+16+Jersey+Youth&amp;qid=1695171233&amp;sr=8-2")</f>
        <v/>
      </c>
      <c r="F3700" t="inlineStr">
        <is>
          <t>B01E7NEQLY</t>
        </is>
      </c>
      <c r="G3700">
        <f>_xludf.IMAGE("https://www.soccerplususa.com/prodimages/7805-DEFAULT-l.jpg")</f>
        <v/>
      </c>
      <c r="H3700">
        <f>_xludf.IMAGE("https://m.media-amazon.com/images/I/61C3UkXQA4L._AC_UL320_.jpg")</f>
        <v/>
      </c>
      <c r="K3700" t="inlineStr">
        <is>
          <t>22.48</t>
        </is>
      </c>
      <c r="L3700" t="n">
        <v>14.99</v>
      </c>
      <c r="M3700" s="1" t="inlineStr">
        <is>
          <t>-33.32%</t>
        </is>
      </c>
      <c r="N3700" s="3" t="n">
        <v>-33.32</v>
      </c>
      <c r="O3700" t="n">
        <v>5</v>
      </c>
      <c r="P3700" t="n">
        <v>1</v>
      </c>
      <c r="R3700" t="inlineStr">
        <is>
          <t>InStock</t>
        </is>
      </c>
      <c r="S3700" t="inlineStr">
        <is>
          <t>44.95</t>
        </is>
      </c>
      <c r="T3700" t="inlineStr">
        <is>
          <t>AP4366</t>
        </is>
      </c>
    </row>
    <row r="3701" hidden="1" ht="15.75" customHeight="1">
      <c r="A3701" s="2">
        <f>HYPERLINK("https://www.soccerplususa.com/nike/nike-academy-18-jacket-youth-34588", "https://www.soccerplususa.com/nike/nike-academy-18-jacket-youth-34588")</f>
        <v/>
      </c>
      <c r="B3701" t="inlineStr">
        <is>
          <t>undefined</t>
        </is>
      </c>
      <c r="C3701" t="inlineStr">
        <is>
          <t>Nike Academy 18 Jacket Youth</t>
        </is>
      </c>
      <c r="D3701" t="inlineStr">
        <is>
          <t>Nike Youth Park 18 Track Jacket Black/White</t>
        </is>
      </c>
      <c r="E3701" s="2">
        <f>HYPERLINK("https://www.amazon.com/NIKE-Youth-Track-Jacket-Black/dp/B0797PXVVG/ref=sr_1_5?keywords=Nike+Academy+18+Jacket+Youth&amp;qid=1695171169&amp;sr=8-5", "https://www.amazon.com/NIKE-Youth-Track-Jacket-Black/dp/B0797PXVVG/ref=sr_1_5?keywords=Nike+Academy+18+Jacket+Youth&amp;qid=1695171169&amp;sr=8-5")</f>
        <v/>
      </c>
      <c r="F3701" t="inlineStr">
        <is>
          <t>B0797PXVVG</t>
        </is>
      </c>
      <c r="G3701">
        <f>_xludf.IMAGE("https://www.soccerplususa.com/prodimages/7669-DEFAULT-l.jpg")</f>
        <v/>
      </c>
      <c r="H3701">
        <f>_xludf.IMAGE("https://m.media-amazon.com/images/I/51SdFrsYTDL._AC_UL320_.jpg")</f>
        <v/>
      </c>
      <c r="K3701" t="inlineStr">
        <is>
          <t>59.99</t>
        </is>
      </c>
      <c r="L3701" t="n">
        <v>39.99</v>
      </c>
      <c r="M3701" s="1" t="inlineStr">
        <is>
          <t>-33.34%</t>
        </is>
      </c>
      <c r="N3701" s="3" t="n">
        <v>-33.34</v>
      </c>
      <c r="O3701" t="n">
        <v>4.3</v>
      </c>
      <c r="P3701" t="n">
        <v>52</v>
      </c>
      <c r="R3701" t="inlineStr">
        <is>
          <t>InStock</t>
        </is>
      </c>
      <c r="S3701" t="inlineStr">
        <is>
          <t>79.95</t>
        </is>
      </c>
      <c r="T3701" t="inlineStr">
        <is>
          <t>893819-010</t>
        </is>
      </c>
    </row>
    <row r="3702" hidden="1" ht="15.75" customHeight="1">
      <c r="A3702" s="2">
        <f>HYPERLINK("https://www.soccerplususa.com/adidas/adidas-condivo-18-training-jacket-youth-5190", "https://www.soccerplususa.com/adidas/adidas-condivo-18-training-jacket-youth-5190")</f>
        <v/>
      </c>
      <c r="B3702" t="inlineStr">
        <is>
          <t>undefined</t>
        </is>
      </c>
      <c r="C3702" t="inlineStr">
        <is>
          <t>adidas Condivo 18 Training Jacket Youth</t>
        </is>
      </c>
      <c r="D3702" t="inlineStr">
        <is>
          <t>adidas Youth Condivo 16 Training Black Jacket</t>
        </is>
      </c>
      <c r="E3702" s="2">
        <f>HYPERLINK("https://www.amazon.com/Adidas-Condivo-Training-Jacket-Black-Vista/dp/B016L2FT5Q/ref=sr_1_7?keywords=adidas+Condivo+18+Training+Jacket+Youth&amp;qid=1695171215&amp;sr=8-7", "https://www.amazon.com/Adidas-Condivo-Training-Jacket-Black-Vista/dp/B016L2FT5Q/ref=sr_1_7?keywords=adidas+Condivo+18+Training+Jacket+Youth&amp;qid=1695171215&amp;sr=8-7")</f>
        <v/>
      </c>
      <c r="F3702" t="inlineStr">
        <is>
          <t>B016L2FT5Q</t>
        </is>
      </c>
      <c r="G3702">
        <f>_xludf.IMAGE("https://www.soccerplususa.com/prodimages/5979-DEFAULT-l.jpg")</f>
        <v/>
      </c>
      <c r="H3702">
        <f>_xludf.IMAGE("https://m.media-amazon.com/images/I/61FtdbL8UVL._AC_UL320_.jpg")</f>
        <v/>
      </c>
      <c r="K3702" t="inlineStr">
        <is>
          <t>45.0</t>
        </is>
      </c>
      <c r="L3702" t="n">
        <v>29.99</v>
      </c>
      <c r="M3702" s="1" t="inlineStr">
        <is>
          <t>-33.36%</t>
        </is>
      </c>
      <c r="N3702" s="3" t="n">
        <v>-33.36</v>
      </c>
      <c r="O3702" t="n">
        <v>5</v>
      </c>
      <c r="P3702" t="n">
        <v>1</v>
      </c>
      <c r="R3702" t="inlineStr">
        <is>
          <t>InStock</t>
        </is>
      </c>
      <c r="S3702" t="inlineStr">
        <is>
          <t>59.95</t>
        </is>
      </c>
      <c r="T3702" t="inlineStr">
        <is>
          <t>CF4336</t>
        </is>
      </c>
    </row>
    <row r="3703" hidden="1" ht="15.75" customHeight="1">
      <c r="A3703" s="2">
        <f>HYPERLINK("https://www.soccerplususa.com/adidas/adidas-condivo-18-training-jacket-youth-5189", "https://www.soccerplususa.com/adidas/adidas-condivo-18-training-jacket-youth-5189")</f>
        <v/>
      </c>
      <c r="B3703" t="inlineStr">
        <is>
          <t>undefined</t>
        </is>
      </c>
      <c r="C3703" t="inlineStr">
        <is>
          <t>adidas Condivo 18 Training Jacket Youth</t>
        </is>
      </c>
      <c r="D3703" t="inlineStr">
        <is>
          <t>adidas Youth Condivo 16 Training Black Jacket</t>
        </is>
      </c>
      <c r="E3703" s="2">
        <f>HYPERLINK("https://www.amazon.com/Adidas-Condivo-Training-Jacket-Black-Vista/dp/B016L2FT5Q/ref=sr_1_7?keywords=adidas+Condivo+18+Training+Jacket+Youth&amp;qid=1695171218&amp;sr=8-7", "https://www.amazon.com/Adidas-Condivo-Training-Jacket-Black-Vista/dp/B016L2FT5Q/ref=sr_1_7?keywords=adidas+Condivo+18+Training+Jacket+Youth&amp;qid=1695171218&amp;sr=8-7")</f>
        <v/>
      </c>
      <c r="F3703" t="inlineStr">
        <is>
          <t>B016L2FT5Q</t>
        </is>
      </c>
      <c r="G3703">
        <f>_xludf.IMAGE("https://www.soccerplususa.com/prodimages/5978-DEFAULT-l.jpg")</f>
        <v/>
      </c>
      <c r="H3703">
        <f>_xludf.IMAGE("https://m.media-amazon.com/images/I/61FtdbL8UVL._AC_UL320_.jpg")</f>
        <v/>
      </c>
      <c r="K3703" t="inlineStr">
        <is>
          <t>45.0</t>
        </is>
      </c>
      <c r="L3703" t="n">
        <v>29.99</v>
      </c>
      <c r="M3703" s="1" t="inlineStr">
        <is>
          <t>-33.36%</t>
        </is>
      </c>
      <c r="N3703" s="3" t="n">
        <v>-33.36</v>
      </c>
      <c r="O3703" t="n">
        <v>5</v>
      </c>
      <c r="P3703" t="n">
        <v>1</v>
      </c>
      <c r="R3703" t="inlineStr">
        <is>
          <t>InStock</t>
        </is>
      </c>
      <c r="S3703" t="inlineStr">
        <is>
          <t>59.95</t>
        </is>
      </c>
      <c r="T3703" t="inlineStr">
        <is>
          <t>CF4334</t>
        </is>
      </c>
    </row>
    <row r="3704" hidden="1" ht="15.75" customHeight="1">
      <c r="A3704" s="2">
        <f>HYPERLINK("https://www.soccerplususa.com/adidas/adidas-condivo-18-training-jacket-youth-5192", "https://www.soccerplususa.com/adidas/adidas-condivo-18-training-jacket-youth-5192")</f>
        <v/>
      </c>
      <c r="B3704" t="inlineStr">
        <is>
          <t>undefined</t>
        </is>
      </c>
      <c r="C3704" t="inlineStr">
        <is>
          <t>adidas Condivo 18 Training Jacket Youth</t>
        </is>
      </c>
      <c r="D3704" t="inlineStr">
        <is>
          <t>adidas Youth Condivo 16 Training Black Jacket</t>
        </is>
      </c>
      <c r="E3704" s="2">
        <f>HYPERLINK("https://www.amazon.com/Adidas-Condivo-Training-Jacket-Black-Vista/dp/B016L2FT5Q/ref=sr_1_9?keywords=adidas+Condivo+18+Training+Jacket+Youth&amp;qid=1695171214&amp;sr=8-9", "https://www.amazon.com/Adidas-Condivo-Training-Jacket-Black-Vista/dp/B016L2FT5Q/ref=sr_1_9?keywords=adidas+Condivo+18+Training+Jacket+Youth&amp;qid=1695171214&amp;sr=8-9")</f>
        <v/>
      </c>
      <c r="F3704" t="inlineStr">
        <is>
          <t>B016L2FT5Q</t>
        </is>
      </c>
      <c r="G3704">
        <f>_xludf.IMAGE("https://www.soccerplususa.com/prodimages/5977-DEFAULT-l.jpg")</f>
        <v/>
      </c>
      <c r="H3704">
        <f>_xludf.IMAGE("https://m.media-amazon.com/images/I/61FtdbL8UVL._AC_UL320_.jpg")</f>
        <v/>
      </c>
      <c r="K3704" t="inlineStr">
        <is>
          <t>45.0</t>
        </is>
      </c>
      <c r="L3704" t="n">
        <v>29.99</v>
      </c>
      <c r="M3704" s="1" t="inlineStr">
        <is>
          <t>-33.36%</t>
        </is>
      </c>
      <c r="N3704" s="3" t="n">
        <v>-33.36</v>
      </c>
      <c r="O3704" t="n">
        <v>5</v>
      </c>
      <c r="P3704" t="n">
        <v>1</v>
      </c>
      <c r="R3704" t="inlineStr">
        <is>
          <t>InStock</t>
        </is>
      </c>
      <c r="S3704" t="inlineStr">
        <is>
          <t>59.95</t>
        </is>
      </c>
      <c r="T3704" t="inlineStr">
        <is>
          <t>CF4338</t>
        </is>
      </c>
    </row>
    <row r="3705" hidden="1" ht="15.75" customHeight="1">
      <c r="A3705" s="2">
        <f>HYPERLINK("https://www.soccerplususa.com/adidas/adidas-condivo-16-jersey-youth-4209", "https://www.soccerplususa.com/adidas/adidas-condivo-16-jersey-youth-4209")</f>
        <v/>
      </c>
      <c r="B3705" t="inlineStr">
        <is>
          <t>undefined</t>
        </is>
      </c>
      <c r="C3705" t="inlineStr">
        <is>
          <t>adidas Condivo 16 Jersey Youth</t>
        </is>
      </c>
      <c r="D3705" t="inlineStr">
        <is>
          <t>adidas Women's Condivo 16 Soccer Jersey</t>
        </is>
      </c>
      <c r="E3705" s="2">
        <f>HYPERLINK("https://www.amazon.com/Adidas-Condivo-Womens-Soccer-Jersey/dp/B01E7NEQLY/ref=sr_1_10?keywords=adidas+Condivo+16+Jersey+Youth&amp;qid=1695171235&amp;sr=8-10", "https://www.amazon.com/Adidas-Condivo-Womens-Soccer-Jersey/dp/B01E7NEQLY/ref=sr_1_10?keywords=adidas+Condivo+16+Jersey+Youth&amp;qid=1695171235&amp;sr=8-10")</f>
        <v/>
      </c>
      <c r="F3705" t="inlineStr">
        <is>
          <t>B01E7NEQLY</t>
        </is>
      </c>
      <c r="G3705">
        <f>_xludf.IMAGE("https://www.soccerplususa.com/prodimages/7665-DEFAULT-l.jpg")</f>
        <v/>
      </c>
      <c r="H3705">
        <f>_xludf.IMAGE("https://m.media-amazon.com/images/I/61C3UkXQA4L._AC_UL320_.jpg")</f>
        <v/>
      </c>
      <c r="K3705" t="inlineStr">
        <is>
          <t>22.5</t>
        </is>
      </c>
      <c r="L3705" t="n">
        <v>14.99</v>
      </c>
      <c r="M3705" s="1" t="inlineStr">
        <is>
          <t>-33.38%</t>
        </is>
      </c>
      <c r="N3705" s="3" t="n">
        <v>-33.38</v>
      </c>
      <c r="O3705" t="n">
        <v>5</v>
      </c>
      <c r="P3705" t="n">
        <v>1</v>
      </c>
      <c r="R3705" t="inlineStr">
        <is>
          <t>InStock</t>
        </is>
      </c>
      <c r="S3705" t="inlineStr">
        <is>
          <t>44.95</t>
        </is>
      </c>
      <c r="T3705" t="inlineStr">
        <is>
          <t>AP4365</t>
        </is>
      </c>
    </row>
    <row r="3706" hidden="1" ht="15.75" customHeight="1">
      <c r="A3706" s="2">
        <f>HYPERLINK("https://www.soccerplususa.com/adidas/adidas-condivo-16-jersey-youth-4211", "https://www.soccerplususa.com/adidas/adidas-condivo-16-jersey-youth-4211")</f>
        <v/>
      </c>
      <c r="B3706" t="inlineStr">
        <is>
          <t>undefined</t>
        </is>
      </c>
      <c r="C3706" t="inlineStr">
        <is>
          <t>adidas Condivo 16 Jersey Youth</t>
        </is>
      </c>
      <c r="D3706" t="inlineStr">
        <is>
          <t>adidas Women's Condivo 16 Soccer Jersey</t>
        </is>
      </c>
      <c r="E3706" s="2">
        <f>HYPERLINK("https://www.amazon.com/Adidas-Condivo-Womens-Soccer-Jersey/dp/B01E7NEQLY/ref=sr_1_2?keywords=adidas+Condivo+16+Jersey+Youth&amp;qid=1695171230&amp;sr=8-2", "https://www.amazon.com/Adidas-Condivo-Womens-Soccer-Jersey/dp/B01E7NEQLY/ref=sr_1_2?keywords=adidas+Condivo+16+Jersey+Youth&amp;qid=1695171230&amp;sr=8-2")</f>
        <v/>
      </c>
      <c r="F3706" t="inlineStr">
        <is>
          <t>B01E7NEQLY</t>
        </is>
      </c>
      <c r="G3706">
        <f>_xludf.IMAGE("https://www.soccerplususa.com/prodimages/6944-DEFAULT-l.jpg")</f>
        <v/>
      </c>
      <c r="H3706">
        <f>_xludf.IMAGE("https://m.media-amazon.com/images/I/61C3UkXQA4L._AC_UL320_.jpg")</f>
        <v/>
      </c>
      <c r="K3706" t="inlineStr">
        <is>
          <t>22.5</t>
        </is>
      </c>
      <c r="L3706" t="n">
        <v>14.99</v>
      </c>
      <c r="M3706" s="1" t="inlineStr">
        <is>
          <t>-33.38%</t>
        </is>
      </c>
      <c r="N3706" s="3" t="n">
        <v>-33.38</v>
      </c>
      <c r="O3706" t="n">
        <v>5</v>
      </c>
      <c r="P3706" t="n">
        <v>1</v>
      </c>
      <c r="R3706" t="inlineStr">
        <is>
          <t>InStock</t>
        </is>
      </c>
      <c r="S3706" t="inlineStr">
        <is>
          <t>44.95</t>
        </is>
      </c>
      <c r="T3706" t="inlineStr">
        <is>
          <t>AP4367</t>
        </is>
      </c>
    </row>
    <row r="3707" hidden="1" ht="15.75" customHeight="1">
      <c r="A3707" s="2">
        <f>HYPERLINK("https://www.soccerplususa.com/puma/puma-liga-casual-padded-jacket-37830", "https://www.soccerplususa.com/puma/puma-liga-casual-padded-jacket-37830")</f>
        <v/>
      </c>
      <c r="B3707" t="inlineStr">
        <is>
          <t>undefined</t>
        </is>
      </c>
      <c r="C3707" t="inlineStr">
        <is>
          <t>Puma Liga Casual Padded Jacket</t>
        </is>
      </c>
      <c r="D3707" t="inlineStr">
        <is>
          <t>PUMA Unisex Youth Liga Casuals Padded Jacket</t>
        </is>
      </c>
      <c r="E3707" s="2">
        <f>HYPERLINK("https://www.amazon.com/PUMA-Casuals-Electric-Lemonade-X-Large/dp/B07KX4CMN1/ref=sr_1_2?keywords=Puma+Liga+Casual+Padded+Jacket&amp;qid=1695171170&amp;sr=8-2", "https://www.amazon.com/PUMA-Casuals-Electric-Lemonade-X-Large/dp/B07KX4CMN1/ref=sr_1_2?keywords=Puma+Liga+Casual+Padded+Jacket&amp;qid=1695171170&amp;sr=8-2")</f>
        <v/>
      </c>
      <c r="F3707" t="inlineStr">
        <is>
          <t>B07KX4CMN1</t>
        </is>
      </c>
      <c r="G3707">
        <f>_xludf.IMAGE("https://www.soccerplususa.com/prodimages/32203-DEFAULT-l.jpg")</f>
        <v/>
      </c>
      <c r="H3707">
        <f>_xludf.IMAGE("https://m.media-amazon.com/images/I/81ndCWi0ZJL._AC_UL320_.jpg")</f>
        <v/>
      </c>
      <c r="K3707" t="inlineStr">
        <is>
          <t>82.49</t>
        </is>
      </c>
      <c r="L3707" t="n">
        <v>54.95</v>
      </c>
      <c r="M3707" s="1" t="inlineStr">
        <is>
          <t>-33.39%</t>
        </is>
      </c>
      <c r="N3707" s="3" t="n">
        <v>-33.39</v>
      </c>
      <c r="O3707" t="n">
        <v>3.9</v>
      </c>
      <c r="P3707" t="n">
        <v>31</v>
      </c>
      <c r="R3707" t="inlineStr">
        <is>
          <t>InStock</t>
        </is>
      </c>
      <c r="S3707" t="inlineStr">
        <is>
          <t>109.95</t>
        </is>
      </c>
      <c r="T3707" t="inlineStr">
        <is>
          <t>655301-01</t>
        </is>
      </c>
    </row>
    <row r="3708" hidden="1" ht="15.75" customHeight="1">
      <c r="A3708" s="2">
        <f>HYPERLINK("https://www.soccerplususa.com/puma/puma-liga-training-jacket-35519", "https://www.soccerplususa.com/puma/puma-liga-training-jacket-35519")</f>
        <v/>
      </c>
      <c r="B3708" t="inlineStr">
        <is>
          <t>undefined</t>
        </is>
      </c>
      <c r="C3708" t="inlineStr">
        <is>
          <t>Puma Liga Training Jacket</t>
        </is>
      </c>
      <c r="D3708" t="inlineStr">
        <is>
          <t>PUMA Youth Liga Training Jacket</t>
        </is>
      </c>
      <c r="E3708" s="2">
        <f>HYPERLINK("https://www.amazon.com/PUMA-Training-Jacket-Blackpuma-White/dp/B07KWQF1RF/ref=sr_1_1?keywords=Puma+Liga+Training+Jacket&amp;qid=1695171164&amp;sr=8-1", "https://www.amazon.com/PUMA-Training-Jacket-Blackpuma-White/dp/B07KWQF1RF/ref=sr_1_1?keywords=Puma+Liga+Training+Jacket&amp;qid=1695171164&amp;sr=8-1")</f>
        <v/>
      </c>
      <c r="F3708" t="inlineStr">
        <is>
          <t>B07KWQF1RF</t>
        </is>
      </c>
      <c r="G3708">
        <f>_xludf.IMAGE("https://www.soccerplususa.com/prodimages/32207-DEFAULT-l.jpg")</f>
        <v/>
      </c>
      <c r="H3708">
        <f>_xludf.IMAGE("https://m.media-amazon.com/images/I/71b2+Cj8o-L._AC_UL320_.jpg")</f>
        <v/>
      </c>
      <c r="K3708" t="inlineStr">
        <is>
          <t>45.0</t>
        </is>
      </c>
      <c r="L3708" t="n">
        <v>29.95</v>
      </c>
      <c r="M3708" s="1" t="inlineStr">
        <is>
          <t>-33.44%</t>
        </is>
      </c>
      <c r="N3708" s="3" t="n">
        <v>-33.44</v>
      </c>
      <c r="O3708" t="n">
        <v>3.5</v>
      </c>
      <c r="P3708" t="n">
        <v>80</v>
      </c>
      <c r="R3708" t="inlineStr">
        <is>
          <t>InStock</t>
        </is>
      </c>
      <c r="S3708" t="inlineStr">
        <is>
          <t>59.95</t>
        </is>
      </c>
      <c r="T3708" t="inlineStr">
        <is>
          <t>655687-02</t>
        </is>
      </c>
    </row>
    <row r="3709" hidden="1" ht="15.75" customHeight="1">
      <c r="A3709" s="2">
        <f>HYPERLINK("https://www.soccerplususa.com/puma/puma-liga-training-jacket-35519", "https://www.soccerplususa.com/puma/puma-liga-training-jacket-35519")</f>
        <v/>
      </c>
      <c r="B3709" t="inlineStr">
        <is>
          <t>undefined</t>
        </is>
      </c>
      <c r="C3709" t="inlineStr">
        <is>
          <t>Puma Liga Training Jacket</t>
        </is>
      </c>
      <c r="D3709" t="inlineStr">
        <is>
          <t>PUMA Women's Liga Training Jacket</t>
        </is>
      </c>
      <c r="E3709" s="2">
        <f>HYPERLINK("https://www.amazon.com/PUMA-Womens-Training-Jacket-Blackpuma/dp/B07FBJ7XK2/ref=sr_1_6?keywords=Puma+Liga+Training+Jacket&amp;qid=1695171164&amp;sr=8-6", "https://www.amazon.com/PUMA-Womens-Training-Jacket-Blackpuma/dp/B07FBJ7XK2/ref=sr_1_6?keywords=Puma+Liga+Training+Jacket&amp;qid=1695171164&amp;sr=8-6")</f>
        <v/>
      </c>
      <c r="F3709" t="inlineStr">
        <is>
          <t>B07FBJ7XK2</t>
        </is>
      </c>
      <c r="G3709">
        <f>_xludf.IMAGE("https://www.soccerplususa.com/prodimages/32207-DEFAULT-l.jpg")</f>
        <v/>
      </c>
      <c r="H3709">
        <f>_xludf.IMAGE("https://m.media-amazon.com/images/I/61RvUittiEL._AC_UL320_.jpg")</f>
        <v/>
      </c>
      <c r="K3709" t="inlineStr">
        <is>
          <t>45.0</t>
        </is>
      </c>
      <c r="L3709" t="n">
        <v>29.91</v>
      </c>
      <c r="M3709" s="1" t="inlineStr">
        <is>
          <t>-33.53%</t>
        </is>
      </c>
      <c r="N3709" s="3" t="n">
        <v>-33.53</v>
      </c>
      <c r="O3709" t="n">
        <v>4.5</v>
      </c>
      <c r="P3709" t="n">
        <v>489</v>
      </c>
      <c r="R3709" t="inlineStr">
        <is>
          <t>InStock</t>
        </is>
      </c>
      <c r="S3709" t="inlineStr">
        <is>
          <t>59.95</t>
        </is>
      </c>
      <c r="T3709" t="inlineStr">
        <is>
          <t>655687-02</t>
        </is>
      </c>
    </row>
    <row r="3710" hidden="1" ht="15.75" customHeight="1">
      <c r="A3710" s="2">
        <f>HYPERLINK("https://www.soccerplususa.com/adidas/adidas-regista-14-jersey-6067", "https://www.soccerplususa.com/adidas/adidas-regista-14-jersey-6067")</f>
        <v/>
      </c>
      <c r="B3710" t="inlineStr">
        <is>
          <t>undefined</t>
        </is>
      </c>
      <c r="C3710" t="inlineStr">
        <is>
          <t>adidas Regista 14 Jersey</t>
        </is>
      </c>
      <c r="D3710" t="inlineStr">
        <is>
          <t>adidas Mens Regista 14 Shorts, Cobalt/White, XLarge</t>
        </is>
      </c>
      <c r="E3710" s="2">
        <f>HYPERLINK("https://www.amazon.com/Adidas-Climacool-Regista-X-Large-Cobalt/dp/B00I1JNRDO/ref=sr_1_6?keywords=adidas+Regista+14+Jersey&amp;qid=1695171231&amp;sr=8-6", "https://www.amazon.com/Adidas-Climacool-Regista-X-Large-Cobalt/dp/B00I1JNRDO/ref=sr_1_6?keywords=adidas+Regista+14+Jersey&amp;qid=1695171231&amp;sr=8-6")</f>
        <v/>
      </c>
      <c r="F3710" t="inlineStr">
        <is>
          <t>B00I1JNRDO</t>
        </is>
      </c>
      <c r="G3710">
        <f>_xludf.IMAGE("https://www.soccerplususa.com/prodimages/10329-DEFAULT-l.jpg")</f>
        <v/>
      </c>
      <c r="H3710">
        <f>_xludf.IMAGE("https://m.media-amazon.com/images/I/51LaPP1PouL._AC_UL320_.jpg")</f>
        <v/>
      </c>
      <c r="K3710" t="inlineStr">
        <is>
          <t>22.5</t>
        </is>
      </c>
      <c r="L3710" t="n">
        <v>14.95</v>
      </c>
      <c r="M3710" s="1" t="inlineStr">
        <is>
          <t>-33.56%</t>
        </is>
      </c>
      <c r="N3710" s="3" t="n">
        <v>-33.56</v>
      </c>
      <c r="O3710" t="n">
        <v>5</v>
      </c>
      <c r="P3710" t="n">
        <v>1</v>
      </c>
      <c r="R3710" t="inlineStr">
        <is>
          <t>InStock</t>
        </is>
      </c>
      <c r="S3710" t="inlineStr">
        <is>
          <t>44.95</t>
        </is>
      </c>
      <c r="T3710" t="inlineStr">
        <is>
          <t>F50011</t>
        </is>
      </c>
    </row>
    <row r="3711" hidden="1" ht="15.75" customHeight="1">
      <c r="A3711" s="2">
        <f>HYPERLINK("https://www.soccerplususa.com/adidas/adidas-tiro-19-training-jacket-youth-33998", "https://www.soccerplususa.com/adidas/adidas-tiro-19-training-jacket-youth-33998")</f>
        <v/>
      </c>
      <c r="B3711" t="inlineStr">
        <is>
          <t>undefined</t>
        </is>
      </c>
      <c r="C3711" t="inlineStr">
        <is>
          <t>adidas Tiro 19 Training Jacket Youth</t>
        </is>
      </c>
      <c r="D3711" t="inlineStr">
        <is>
          <t>adidas Tiro 19 Training Jacket DW4795_Grey/White YXS</t>
        </is>
      </c>
      <c r="E3711" s="2">
        <f>HYPERLINK("https://www.amazon.com/adidas-Tiro-Youth-Jacket-White/dp/B07H3VHQMV/ref=sr_1_2?keywords=adidas+Tiro+19+Training+Jacket+Youth&amp;qid=1695171164&amp;sr=8-2", "https://www.amazon.com/adidas-Tiro-Youth-Jacket-White/dp/B07H3VHQMV/ref=sr_1_2?keywords=adidas+Tiro+19+Training+Jacket+Youth&amp;qid=1695171164&amp;sr=8-2")</f>
        <v/>
      </c>
      <c r="F3711" t="inlineStr">
        <is>
          <t>B07H3VHQMV</t>
        </is>
      </c>
      <c r="G3711">
        <f>_xludf.IMAGE("https://www.soccerplususa.com/prodimages/7897-DEFAULT-l.jpg")</f>
        <v/>
      </c>
      <c r="H3711">
        <f>_xludf.IMAGE("https://m.media-amazon.com/images/I/81i8MyHlXJL._AC_UL320_.jpg")</f>
        <v/>
      </c>
      <c r="K3711" t="inlineStr">
        <is>
          <t>45.0</t>
        </is>
      </c>
      <c r="L3711" t="n">
        <v>29.9</v>
      </c>
      <c r="M3711" s="1" t="inlineStr">
        <is>
          <t>-33.56%</t>
        </is>
      </c>
      <c r="N3711" s="3" t="n">
        <v>-33.56</v>
      </c>
      <c r="O3711" t="n">
        <v>4.1</v>
      </c>
      <c r="P3711" t="n">
        <v>5</v>
      </c>
      <c r="R3711" t="inlineStr">
        <is>
          <t>InStock</t>
        </is>
      </c>
      <c r="S3711" t="inlineStr">
        <is>
          <t>59.95</t>
        </is>
      </c>
      <c r="T3711" t="inlineStr">
        <is>
          <t>DT5276</t>
        </is>
      </c>
    </row>
    <row r="3712" hidden="1" ht="15.75" customHeight="1">
      <c r="A3712" s="2">
        <f>HYPERLINK("https://www.soccerplususa.com/adidas/adidas-regista-14-jersey-6672", "https://www.soccerplususa.com/adidas/adidas-regista-14-jersey-6672")</f>
        <v/>
      </c>
      <c r="B3712" t="inlineStr">
        <is>
          <t>undefined</t>
        </is>
      </c>
      <c r="C3712" t="inlineStr">
        <is>
          <t>adidas Regista 14 Jersey</t>
        </is>
      </c>
      <c r="D3712" t="inlineStr">
        <is>
          <t>adidas Mens Regista 14 Shorts, Cobalt/White, XLarge</t>
        </is>
      </c>
      <c r="E3712" s="2">
        <f>HYPERLINK("https://www.amazon.com/Adidas-Climacool-Regista-X-Large-Cobalt/dp/B00I1JNRDO/ref=sr_1_6?keywords=adidas+Regista+14+Jersey&amp;qid=1695171217&amp;sr=8-6", "https://www.amazon.com/Adidas-Climacool-Regista-X-Large-Cobalt/dp/B00I1JNRDO/ref=sr_1_6?keywords=adidas+Regista+14+Jersey&amp;qid=1695171217&amp;sr=8-6")</f>
        <v/>
      </c>
      <c r="F3712" t="inlineStr">
        <is>
          <t>B00I1JNRDO</t>
        </is>
      </c>
      <c r="G3712">
        <f>_xludf.IMAGE("https://www.soccerplususa.com/prodimages/10435-DEFAULT-l.jpg")</f>
        <v/>
      </c>
      <c r="H3712">
        <f>_xludf.IMAGE("https://m.media-amazon.com/images/I/51LaPP1PouL._AC_UL320_.jpg")</f>
        <v/>
      </c>
      <c r="K3712" t="inlineStr">
        <is>
          <t>22.5</t>
        </is>
      </c>
      <c r="L3712" t="n">
        <v>14.95</v>
      </c>
      <c r="M3712" s="1" t="inlineStr">
        <is>
          <t>-33.56%</t>
        </is>
      </c>
      <c r="N3712" s="3" t="n">
        <v>-33.56</v>
      </c>
      <c r="O3712" t="n">
        <v>5</v>
      </c>
      <c r="P3712" t="n">
        <v>1</v>
      </c>
      <c r="R3712" t="inlineStr">
        <is>
          <t>InStock</t>
        </is>
      </c>
      <c r="S3712" t="inlineStr">
        <is>
          <t>44.95</t>
        </is>
      </c>
      <c r="T3712" t="inlineStr">
        <is>
          <t>G70830</t>
        </is>
      </c>
    </row>
    <row r="3713" hidden="1" ht="15.75" customHeight="1">
      <c r="A3713" s="2">
        <f>HYPERLINK("https://www.soccerplususa.com/adidas/adidas-tiro-19-training-jacket-youth-33858", "https://www.soccerplususa.com/adidas/adidas-tiro-19-training-jacket-youth-33858")</f>
        <v/>
      </c>
      <c r="B3713" t="inlineStr">
        <is>
          <t>undefined</t>
        </is>
      </c>
      <c r="C3713" t="inlineStr">
        <is>
          <t>adidas Tiro 19 Training Jacket Youth</t>
        </is>
      </c>
      <c r="D3713" t="inlineStr">
        <is>
          <t>adidas Tiro 19 Training Jacket DW4795_Grey/White YXS</t>
        </is>
      </c>
      <c r="E3713" s="2">
        <f>HYPERLINK("https://www.amazon.com/adidas-Tiro-Youth-Jacket-White/dp/B07H3VHQMV/ref=sr_1_6?keywords=adidas+Tiro+19+Training+Jacket+Youth&amp;qid=1695171168&amp;sr=8-6", "https://www.amazon.com/adidas-Tiro-Youth-Jacket-White/dp/B07H3VHQMV/ref=sr_1_6?keywords=adidas+Tiro+19+Training+Jacket+Youth&amp;qid=1695171168&amp;sr=8-6")</f>
        <v/>
      </c>
      <c r="F3713" t="inlineStr">
        <is>
          <t>B07H3VHQMV</t>
        </is>
      </c>
      <c r="G3713">
        <f>_xludf.IMAGE("https://www.soccerplususa.com/prodimages/8020-DEFAULT-l.jpg")</f>
        <v/>
      </c>
      <c r="H3713">
        <f>_xludf.IMAGE("https://m.media-amazon.com/images/I/81i8MyHlXJL._AC_UL320_.jpg")</f>
        <v/>
      </c>
      <c r="K3713" t="inlineStr">
        <is>
          <t>45.0</t>
        </is>
      </c>
      <c r="L3713" t="n">
        <v>29.9</v>
      </c>
      <c r="M3713" s="1" t="inlineStr">
        <is>
          <t>-33.56%</t>
        </is>
      </c>
      <c r="N3713" s="3" t="n">
        <v>-33.56</v>
      </c>
      <c r="O3713" t="n">
        <v>4.1</v>
      </c>
      <c r="P3713" t="n">
        <v>5</v>
      </c>
      <c r="R3713" t="inlineStr">
        <is>
          <t>InStock</t>
        </is>
      </c>
      <c r="S3713" t="inlineStr">
        <is>
          <t>59.95</t>
        </is>
      </c>
      <c r="T3713" t="inlineStr">
        <is>
          <t>D95922</t>
        </is>
      </c>
    </row>
    <row r="3714" hidden="1" ht="15.75" customHeight="1">
      <c r="A3714" s="2">
        <f>HYPERLINK("https://www.soccerplususa.com/adidas/adidas-tiro-17-jersey-4868", "https://www.soccerplususa.com/adidas/adidas-tiro-17-jersey-4868")</f>
        <v/>
      </c>
      <c r="B3714" t="inlineStr">
        <is>
          <t>undefined</t>
        </is>
      </c>
      <c r="C3714" t="inlineStr">
        <is>
          <t>adidas Tiro 17 Jersey</t>
        </is>
      </c>
      <c r="D3714" t="inlineStr">
        <is>
          <t>adidas Climacool TIRO 17 Soccer Jersey Womens Active Shirts &amp; Tees</t>
        </is>
      </c>
      <c r="E3714" s="2">
        <f>HYPERLINK("https://www.amazon.com/adidas-Climacool-Soccer-Jersey-Womens/dp/B0BM3MSHQ6/ref=sr_1_1?keywords=adidas+Tiro+17+Jersey&amp;qid=1695171228&amp;sr=8-1", "https://www.amazon.com/adidas-Climacool-Soccer-Jersey-Womens/dp/B0BM3MSHQ6/ref=sr_1_1?keywords=adidas+Tiro+17+Jersey&amp;qid=1695171228&amp;sr=8-1")</f>
        <v/>
      </c>
      <c r="F3714" t="inlineStr">
        <is>
          <t>B0BM3MSHQ6</t>
        </is>
      </c>
      <c r="G3714">
        <f>_xludf.IMAGE("https://www.soccerplususa.com/prodimages/32792-DEFAULT-l.jpg")</f>
        <v/>
      </c>
      <c r="H3714">
        <f>_xludf.IMAGE("https://m.media-amazon.com/images/I/41vbz2JJbLL._AC_UL320_.jpg")</f>
        <v/>
      </c>
      <c r="K3714" t="inlineStr">
        <is>
          <t>29.99</t>
        </is>
      </c>
      <c r="L3714" t="n">
        <v>19.91</v>
      </c>
      <c r="M3714" s="1" t="inlineStr">
        <is>
          <t>-33.61%</t>
        </is>
      </c>
      <c r="N3714" s="3" t="n">
        <v>-33.61</v>
      </c>
      <c r="O3714" t="n">
        <v>5</v>
      </c>
      <c r="P3714" t="n">
        <v>3</v>
      </c>
      <c r="R3714" t="inlineStr">
        <is>
          <t>InStock</t>
        </is>
      </c>
      <c r="S3714" t="inlineStr">
        <is>
          <t>39.95</t>
        </is>
      </c>
      <c r="T3714" t="inlineStr">
        <is>
          <t>BK5435</t>
        </is>
      </c>
    </row>
    <row r="3715" hidden="1" ht="15.75" customHeight="1">
      <c r="A3715" s="2">
        <f>HYPERLINK("https://www.soccerplususa.com/adidas/adidas-tiro-17-jersey-womens-4818", "https://www.soccerplususa.com/adidas/adidas-tiro-17-jersey-womens-4818")</f>
        <v/>
      </c>
      <c r="B3715" t="inlineStr">
        <is>
          <t>undefined</t>
        </is>
      </c>
      <c r="C3715" t="inlineStr">
        <is>
          <t>adidas Tiro 17 Jersey Women's</t>
        </is>
      </c>
      <c r="D3715" t="inlineStr">
        <is>
          <t>adidas Climacool TIRO 17 Soccer Jersey Womens Active Shirts &amp; Tees</t>
        </is>
      </c>
      <c r="E3715" s="2">
        <f>HYPERLINK("https://www.amazon.com/adidas-Climacool-Soccer-Jersey-Womens/dp/B0BM3RLRP9/ref=sr_1_2?keywords=adidas+Tiro+17+Jersey+Women%27s&amp;qid=1695171228&amp;sr=8-2", "https://www.amazon.com/adidas-Climacool-Soccer-Jersey-Womens/dp/B0BM3RLRP9/ref=sr_1_2?keywords=adidas+Tiro+17+Jersey+Women%27s&amp;qid=1695171228&amp;sr=8-2")</f>
        <v/>
      </c>
      <c r="F3715" t="inlineStr">
        <is>
          <t>B0BM3RLRP9</t>
        </is>
      </c>
      <c r="G3715">
        <f>_xludf.IMAGE("https://www.soccerplususa.com/prodimages/33189-DEFAULT-l.jpg")</f>
        <v/>
      </c>
      <c r="H3715">
        <f>_xludf.IMAGE("https://m.media-amazon.com/images/I/41vbz2JJbLL._AC_UL320_.jpg")</f>
        <v/>
      </c>
      <c r="K3715" t="inlineStr">
        <is>
          <t>30.0</t>
        </is>
      </c>
      <c r="L3715" t="n">
        <v>19.91</v>
      </c>
      <c r="M3715" s="1" t="inlineStr">
        <is>
          <t>-33.63%</t>
        </is>
      </c>
      <c r="N3715" s="3" t="n">
        <v>-33.63</v>
      </c>
      <c r="O3715" t="n">
        <v>5</v>
      </c>
      <c r="P3715" t="n">
        <v>3</v>
      </c>
      <c r="R3715" t="inlineStr">
        <is>
          <t>InStock</t>
        </is>
      </c>
      <c r="S3715" t="inlineStr">
        <is>
          <t>39.95</t>
        </is>
      </c>
      <c r="T3715" t="inlineStr">
        <is>
          <t>BJ9095</t>
        </is>
      </c>
    </row>
    <row r="3716" hidden="1" ht="15.75" customHeight="1">
      <c r="A3716" s="2">
        <f>HYPERLINK("https://www.soccerplususa.com/adidas/adidas-fifa-world-cup-2018-emblem-tee-5351", "https://www.soccerplususa.com/adidas/adidas-fifa-world-cup-2018-emblem-tee-5351")</f>
        <v/>
      </c>
      <c r="B3716" t="inlineStr">
        <is>
          <t>undefined</t>
        </is>
      </c>
      <c r="C3716" t="inlineStr">
        <is>
          <t>adidas FIFA World Cup 2018 Emblem Tee</t>
        </is>
      </c>
      <c r="D3716" t="inlineStr">
        <is>
          <t>adidas Boys Soccer World Cup Emblem Tee</t>
        </is>
      </c>
      <c r="E3716" s="2">
        <f>HYPERLINK("https://www.amazon.com/adidas-World-Soccer-Emblem-Youth/dp/B075FBS26F/ref=sr_1_1?keywords=adidas+FIFA+World+Cup+2018+Emblem+Tee&amp;qid=1695171231&amp;sr=8-1", "https://www.amazon.com/adidas-World-Soccer-Emblem-Youth/dp/B075FBS26F/ref=sr_1_1?keywords=adidas+FIFA+World+Cup+2018+Emblem+Tee&amp;qid=1695171231&amp;sr=8-1")</f>
        <v/>
      </c>
      <c r="F3716" t="inlineStr">
        <is>
          <t>B075FBS26F</t>
        </is>
      </c>
      <c r="G3716">
        <f>_xludf.IMAGE("https://www.soccerplususa.com/prodimages/5610-DEFAULT-l.jpg")</f>
        <v/>
      </c>
      <c r="H3716">
        <f>_xludf.IMAGE("https://m.media-amazon.com/images/I/61DDYf6MAhL._AC_UL320_.jpg")</f>
        <v/>
      </c>
      <c r="K3716" t="inlineStr">
        <is>
          <t>15.0</t>
        </is>
      </c>
      <c r="L3716" t="n">
        <v>9.949999999999999</v>
      </c>
      <c r="M3716" s="1" t="inlineStr">
        <is>
          <t>-33.67%</t>
        </is>
      </c>
      <c r="N3716" s="3" t="n">
        <v>-33.67</v>
      </c>
      <c r="O3716" t="n">
        <v>3</v>
      </c>
      <c r="P3716" t="n">
        <v>1</v>
      </c>
      <c r="R3716" t="inlineStr">
        <is>
          <t>InStock</t>
        </is>
      </c>
      <c r="S3716" t="inlineStr">
        <is>
          <t>29.95</t>
        </is>
      </c>
      <c r="T3716" t="inlineStr">
        <is>
          <t>CV6337</t>
        </is>
      </c>
    </row>
    <row r="3717" hidden="1" ht="15.75" customHeight="1">
      <c r="A3717" s="2">
        <f>HYPERLINK("https://www.soccerplususa.com/adidas/adidas-regista-14-jersey-womens-6069", "https://www.soccerplususa.com/adidas/adidas-regista-14-jersey-womens-6069")</f>
        <v/>
      </c>
      <c r="B3717" t="inlineStr">
        <is>
          <t>undefined</t>
        </is>
      </c>
      <c r="C3717" t="inlineStr">
        <is>
          <t>adidas Regista 14 Jersey Women's</t>
        </is>
      </c>
      <c r="D3717" t="inlineStr">
        <is>
          <t>adidas Women's Regista 18 Jersey</t>
        </is>
      </c>
      <c r="E3717" s="2">
        <f>HYPERLINK("https://www.amazon.com/adidas-Regista-Jersey-W%E2%9D%97%EF%B8%8FShips-Directly/dp/B07BHKLXBB/ref=sr_1_4?keywords=adidas+Regista+14+Jersey+Womens&amp;qid=1695171219&amp;sr=8-4", "https://www.amazon.com/adidas-Regista-Jersey-W%E2%9D%97%EF%B8%8FShips-Directly/dp/B07BHKLXBB/ref=sr_1_4?keywords=adidas+Regista+14+Jersey+Womens&amp;qid=1695171219&amp;sr=8-4")</f>
        <v/>
      </c>
      <c r="F3717" t="inlineStr">
        <is>
          <t>B07BHKLXBB</t>
        </is>
      </c>
      <c r="G3717">
        <f>_xludf.IMAGE("https://www.soccerplususa.com/prodimages/31729-DEFAULT-l.jpg")</f>
        <v/>
      </c>
      <c r="H3717">
        <f>_xludf.IMAGE("https://m.media-amazon.com/images/I/41McoRO1GaL._AC_UL320_.jpg")</f>
        <v/>
      </c>
      <c r="K3717" t="inlineStr">
        <is>
          <t>33.99</t>
        </is>
      </c>
      <c r="L3717" t="n">
        <v>22.49</v>
      </c>
      <c r="M3717" s="1" t="inlineStr">
        <is>
          <t>-33.83%</t>
        </is>
      </c>
      <c r="N3717" s="3" t="n">
        <v>-33.83</v>
      </c>
      <c r="O3717" t="n">
        <v>4.4</v>
      </c>
      <c r="P3717" t="n">
        <v>146</v>
      </c>
      <c r="R3717" t="inlineStr">
        <is>
          <t>InStock</t>
        </is>
      </c>
      <c r="S3717" t="inlineStr">
        <is>
          <t>44.95</t>
        </is>
      </c>
      <c r="T3717" t="inlineStr">
        <is>
          <t>F50028</t>
        </is>
      </c>
    </row>
    <row r="3718" hidden="1" ht="15.75" customHeight="1">
      <c r="A3718" s="2">
        <f>HYPERLINK("https://www.soccerplususa.com/under-armour/under-armour-coldgear-armour-fitted-mock-41592", "https://www.soccerplususa.com/under-armour/under-armour-coldgear-armour-fitted-mock-41592")</f>
        <v/>
      </c>
      <c r="B3718" t="inlineStr">
        <is>
          <t>undefined</t>
        </is>
      </c>
      <c r="C3718" t="inlineStr">
        <is>
          <t>Under Armour ColdGear Armour Fitted Mock</t>
        </is>
      </c>
      <c r="D3718" t="inlineStr">
        <is>
          <t>Under Armour Men's ColdGear Fitted Mock Long-Sleeve T-Shirt</t>
        </is>
      </c>
      <c r="E3718" s="2">
        <f>HYPERLINK("https://www.amazon.com/Under-Armour-ColdGear-Fitted-XX-Large/dp/B077XMF8P4/ref=sr_1_4?keywords=Under+Armour+ColdGear+Armour+Fitted+Mock&amp;qid=1695171146&amp;sr=8-4", "https://www.amazon.com/Under-Armour-ColdGear-Fitted-XX-Large/dp/B077XMF8P4/ref=sr_1_4?keywords=Under+Armour+ColdGear+Armour+Fitted+Mock&amp;qid=1695171146&amp;sr=8-4")</f>
        <v/>
      </c>
      <c r="F3718" t="inlineStr">
        <is>
          <t>B077XMF8P4</t>
        </is>
      </c>
      <c r="G3718">
        <f>_xludf.IMAGE("https://www.soccerplususa.com/prodimages//36795-BLACK-M.jpg")</f>
        <v/>
      </c>
      <c r="H3718">
        <f>_xludf.IMAGE("https://m.media-amazon.com/images/I/91recmI-P1L._AC_UL320_.jpg")</f>
        <v/>
      </c>
      <c r="K3718" t="inlineStr">
        <is>
          <t>54.95</t>
        </is>
      </c>
      <c r="L3718" t="n">
        <v>36.13</v>
      </c>
      <c r="M3718" s="1" t="inlineStr">
        <is>
          <t>-34.25%</t>
        </is>
      </c>
      <c r="N3718" s="3" t="n">
        <v>-34.25</v>
      </c>
      <c r="O3718" t="n">
        <v>4.8</v>
      </c>
      <c r="P3718" t="n">
        <v>2969</v>
      </c>
      <c r="R3718" t="inlineStr">
        <is>
          <t>InStock</t>
        </is>
      </c>
      <c r="S3718" t="inlineStr">
        <is>
          <t>undefined</t>
        </is>
      </c>
      <c r="T3718" t="inlineStr">
        <is>
          <t>1366066-001</t>
        </is>
      </c>
    </row>
    <row r="3719" hidden="1" ht="15.75" customHeight="1">
      <c r="A3719" s="2">
        <f>HYPERLINK("https://www.soccerplususa.com/under-armour/under-armour-coldgear-compression-mock-44300", "https://www.soccerplususa.com/under-armour/under-armour-coldgear-compression-mock-44300")</f>
        <v/>
      </c>
      <c r="B3719" t="inlineStr">
        <is>
          <t>undefined</t>
        </is>
      </c>
      <c r="C3719" t="inlineStr">
        <is>
          <t>Under Armour ColdGear Compression Mock</t>
        </is>
      </c>
      <c r="D3719" t="inlineStr">
        <is>
          <t>Under Armour Men's ColdGear Fitted Mock Long-Sleeve T-Shirt</t>
        </is>
      </c>
      <c r="E3719" s="2">
        <f>HYPERLINK("https://www.amazon.com/Under-Armour-ColdGear-Fitted-XX-Large/dp/B077XMF8P4/ref=sr_1_6?keywords=Under+Armour+ColdGear+Compression+Mock&amp;qid=1695171160&amp;sr=8-6", "https://www.amazon.com/Under-Armour-ColdGear-Fitted-XX-Large/dp/B077XMF8P4/ref=sr_1_6?keywords=Under+Armour+ColdGear+Compression+Mock&amp;qid=1695171160&amp;sr=8-6")</f>
        <v/>
      </c>
      <c r="F3719" t="inlineStr">
        <is>
          <t>B077XMF8P4</t>
        </is>
      </c>
      <c r="G3719">
        <f>_xludf.IMAGE("https://www.soccerplususa.com/prodimages//36057-BLACK-M.jpg")</f>
        <v/>
      </c>
      <c r="H3719">
        <f>_xludf.IMAGE("https://m.media-amazon.com/images/I/91recmI-P1L._AC_UL320_.jpg")</f>
        <v/>
      </c>
      <c r="K3719" t="inlineStr">
        <is>
          <t>54.95</t>
        </is>
      </c>
      <c r="L3719" t="n">
        <v>36.13</v>
      </c>
      <c r="M3719" s="1" t="inlineStr">
        <is>
          <t>-34.25%</t>
        </is>
      </c>
      <c r="N3719" s="3" t="n">
        <v>-34.25</v>
      </c>
      <c r="O3719" t="n">
        <v>4.8</v>
      </c>
      <c r="P3719" t="n">
        <v>2969</v>
      </c>
      <c r="R3719" t="inlineStr">
        <is>
          <t>InStock</t>
        </is>
      </c>
      <c r="S3719" t="inlineStr">
        <is>
          <t>undefined</t>
        </is>
      </c>
      <c r="T3719" t="inlineStr">
        <is>
          <t>1366072-001</t>
        </is>
      </c>
    </row>
    <row r="3720" hidden="1" ht="15.75" customHeight="1">
      <c r="A3720" s="2">
        <f>HYPERLINK("https://www.soccerplususa.com/adidas/adidas-tiro-21-track-jacket-womens-41184", "https://www.soccerplususa.com/adidas/adidas-tiro-21-track-jacket-womens-41184")</f>
        <v/>
      </c>
      <c r="B3720" t="inlineStr">
        <is>
          <t>undefined</t>
        </is>
      </c>
      <c r="C3720" t="inlineStr">
        <is>
          <t>adidas Tiro 21 Track Jacket Women's</t>
        </is>
      </c>
      <c r="D3720" t="inlineStr">
        <is>
          <t>adidas womens Tiro 21 Track Jacket Black 2X</t>
        </is>
      </c>
      <c r="E3720" s="2">
        <f>HYPERLINK("https://www.amazon.com/adidas-Womens-Track-Jacket-Black/dp/B087C362PW/ref=sr_1_3?keywords=adidas+Tiro+21+Track+Jacket+Women%27s&amp;qid=1695171150&amp;sr=8-3", "https://www.amazon.com/adidas-Womens-Track-Jacket-Black/dp/B087C362PW/ref=sr_1_3?keywords=adidas+Tiro+21+Track+Jacket+Women%27s&amp;qid=1695171150&amp;sr=8-3")</f>
        <v/>
      </c>
      <c r="F3720" t="inlineStr">
        <is>
          <t>B087C362PW</t>
        </is>
      </c>
      <c r="G3720">
        <f>_xludf.IMAGE("https://www.soccerplususa.com/prodimages//36136-BLACKWHITE-M.jpg")</f>
        <v/>
      </c>
      <c r="H3720">
        <f>_xludf.IMAGE("https://m.media-amazon.com/images/I/51NGL8nFl7L._AC_UL320_.jpg")</f>
        <v/>
      </c>
      <c r="K3720" t="inlineStr">
        <is>
          <t>50.0</t>
        </is>
      </c>
      <c r="L3720" t="n">
        <v>32.77</v>
      </c>
      <c r="M3720" s="1" t="inlineStr">
        <is>
          <t>-34.46%</t>
        </is>
      </c>
      <c r="N3720" s="3" t="n">
        <v>-34.46</v>
      </c>
      <c r="O3720" t="n">
        <v>4.7</v>
      </c>
      <c r="P3720" t="n">
        <v>26</v>
      </c>
      <c r="R3720" t="inlineStr">
        <is>
          <t>InStock</t>
        </is>
      </c>
      <c r="S3720" t="inlineStr">
        <is>
          <t>undefined</t>
        </is>
      </c>
      <c r="T3720" t="inlineStr">
        <is>
          <t>GM7307</t>
        </is>
      </c>
    </row>
    <row r="3721" hidden="1" ht="15.75" customHeight="1">
      <c r="A3721" s="2">
        <f>HYPERLINK("https://www.soccerplususa.com/under-armour/under-armour-coldgear-mock-womens-33129", "https://www.soccerplususa.com/under-armour/under-armour-coldgear-mock-womens-33129")</f>
        <v/>
      </c>
      <c r="B3721" t="inlineStr">
        <is>
          <t>undefined</t>
        </is>
      </c>
      <c r="C3721" t="inlineStr">
        <is>
          <t>Under Armour Coldgear Mock Women's</t>
        </is>
      </c>
      <c r="D3721" t="inlineStr">
        <is>
          <t>Under Armour Women's ColdGear Authentics Compression Mock</t>
        </is>
      </c>
      <c r="E3721" s="2">
        <f>HYPERLINK("https://www.amazon.com/Under-Armour-ColdGear-Authentic-Midnight/dp/B005IM0QMC/ref=sr_1_3?keywords=Under+Armour+Coldgear+Mock+Women%27s&amp;qid=1695171175&amp;sr=8-3", "https://www.amazon.com/Under-Armour-ColdGear-Authentic-Midnight/dp/B005IM0QMC/ref=sr_1_3?keywords=Under+Armour+Coldgear+Mock+Women%27s&amp;qid=1695171175&amp;sr=8-3")</f>
        <v/>
      </c>
      <c r="F3721" t="inlineStr">
        <is>
          <t>B005IM0QMC</t>
        </is>
      </c>
      <c r="G3721">
        <f>_xludf.IMAGE("https://www.soccerplususa.com/prodimages/2365-DEFAULT-l.jpg")</f>
        <v/>
      </c>
      <c r="H3721">
        <f>_xludf.IMAGE("https://m.media-amazon.com/images/I/516ZUq9iV2L._AC_UL320_.jpg")</f>
        <v/>
      </c>
      <c r="K3721" t="inlineStr">
        <is>
          <t>49.95</t>
        </is>
      </c>
      <c r="L3721" t="n">
        <v>32.43</v>
      </c>
      <c r="M3721" s="1" t="inlineStr">
        <is>
          <t>-35.08%</t>
        </is>
      </c>
      <c r="N3721" s="3" t="n">
        <v>-35.08</v>
      </c>
      <c r="O3721" t="n">
        <v>4.8</v>
      </c>
      <c r="P3721" t="n">
        <v>7721</v>
      </c>
      <c r="R3721" t="inlineStr">
        <is>
          <t>InStock</t>
        </is>
      </c>
      <c r="S3721" t="inlineStr">
        <is>
          <t>undefined</t>
        </is>
      </c>
      <c r="T3721" t="inlineStr">
        <is>
          <t>1215968-100</t>
        </is>
      </c>
    </row>
    <row r="3722" hidden="1" ht="15.75" customHeight="1">
      <c r="A3722" s="2">
        <f>HYPERLINK("https://www.soccerplususa.com/adidas/adidas-tiro-21-track-jacket-womens-41184", "https://www.soccerplususa.com/adidas/adidas-tiro-21-track-jacket-womens-41184")</f>
        <v/>
      </c>
      <c r="B3722" t="inlineStr">
        <is>
          <t>undefined</t>
        </is>
      </c>
      <c r="C3722" t="inlineStr">
        <is>
          <t>adidas Tiro 21 Track Jacket Women's</t>
        </is>
      </c>
      <c r="D3722" t="inlineStr">
        <is>
          <t>adidas Women's Tiro 21 Track Jacket, Black/Clear Pink, Medium</t>
        </is>
      </c>
      <c r="E3722" s="2">
        <f>HYPERLINK("https://www.amazon.com/adidas-Womens-Standard-Jacket-Medium/dp/B098KS8TZ4/ref=sr_1_7?keywords=adidas+Tiro+21+Track+Jacket+Women%27s&amp;qid=1695171150&amp;sr=8-7", "https://www.amazon.com/adidas-Womens-Standard-Jacket-Medium/dp/B098KS8TZ4/ref=sr_1_7?keywords=adidas+Tiro+21+Track+Jacket+Women%27s&amp;qid=1695171150&amp;sr=8-7")</f>
        <v/>
      </c>
      <c r="F3722" t="inlineStr">
        <is>
          <t>B098KS8TZ4</t>
        </is>
      </c>
      <c r="G3722">
        <f>_xludf.IMAGE("https://www.soccerplususa.com/prodimages//36136-BLACKWHITE-M.jpg")</f>
        <v/>
      </c>
      <c r="H3722">
        <f>_xludf.IMAGE("https://m.media-amazon.com/images/I/61gf98hgnZL._AC_UL320_.jpg")</f>
        <v/>
      </c>
      <c r="K3722" t="inlineStr">
        <is>
          <t>50.0</t>
        </is>
      </c>
      <c r="L3722" t="n">
        <v>32.45</v>
      </c>
      <c r="M3722" s="1" t="inlineStr">
        <is>
          <t>-35.10%</t>
        </is>
      </c>
      <c r="N3722" s="3" t="n">
        <v>-35.1</v>
      </c>
      <c r="O3722" t="n">
        <v>4.1</v>
      </c>
      <c r="P3722" t="n">
        <v>8</v>
      </c>
      <c r="R3722" t="inlineStr">
        <is>
          <t>InStock</t>
        </is>
      </c>
      <c r="S3722" t="inlineStr">
        <is>
          <t>undefined</t>
        </is>
      </c>
      <c r="T3722" t="inlineStr">
        <is>
          <t>GM7307</t>
        </is>
      </c>
    </row>
    <row r="3723" hidden="1" ht="15.75" customHeight="1">
      <c r="A3723" s="2">
        <f>HYPERLINK("https://www.soccerplususa.com/adidas/adidas-tiro-17-training-jersey-4924", "https://www.soccerplususa.com/adidas/adidas-tiro-17-training-jersey-4924")</f>
        <v/>
      </c>
      <c r="B3723" t="inlineStr">
        <is>
          <t>undefined</t>
        </is>
      </c>
      <c r="C3723" t="inlineStr">
        <is>
          <t>adidas Tiro 17 Training Jersey</t>
        </is>
      </c>
      <c r="D3723" t="inlineStr">
        <is>
          <t>adidas Tiro 17 Mens Soccer Training Jersey</t>
        </is>
      </c>
      <c r="E3723" s="2">
        <f>HYPERLINK("https://www.amazon.com/adidas-Training-Jersey-White-Black/dp/B01M29BN8D/ref=sr_1_1?keywords=adidas+Tiro+17+Training+Jersey&amp;qid=1695171226&amp;sr=8-1", "https://www.amazon.com/adidas-Training-Jersey-White-Black/dp/B01M29BN8D/ref=sr_1_1?keywords=adidas+Tiro+17+Training+Jersey&amp;qid=1695171226&amp;sr=8-1")</f>
        <v/>
      </c>
      <c r="F3723" t="inlineStr">
        <is>
          <t>B01M29BN8D</t>
        </is>
      </c>
      <c r="G3723">
        <f>_xludf.IMAGE("https://www.soccerplususa.com/prodimages/6626-DEFAULT-l.jpg")</f>
        <v/>
      </c>
      <c r="H3723">
        <f>_xludf.IMAGE("https://m.media-amazon.com/images/I/51KCXIG2tsL._AC_UL320_.jpg")</f>
        <v/>
      </c>
      <c r="K3723" t="inlineStr">
        <is>
          <t>26.21</t>
        </is>
      </c>
      <c r="L3723" t="n">
        <v>16.99</v>
      </c>
      <c r="M3723" s="1" t="inlineStr">
        <is>
          <t>-35.18%</t>
        </is>
      </c>
      <c r="N3723" s="3" t="n">
        <v>-35.18</v>
      </c>
      <c r="O3723" t="n">
        <v>4.2</v>
      </c>
      <c r="P3723" t="n">
        <v>51</v>
      </c>
      <c r="R3723" t="inlineStr">
        <is>
          <t>InStock</t>
        </is>
      </c>
      <c r="S3723" t="inlineStr">
        <is>
          <t>34.95</t>
        </is>
      </c>
      <c r="T3723" t="inlineStr">
        <is>
          <t>BQ2806</t>
        </is>
      </c>
    </row>
    <row r="3724" hidden="1" ht="15.75" customHeight="1">
      <c r="A3724" s="2">
        <f>HYPERLINK("https://www.soccerplususa.com/puma/puma-liga-jersey-37883", "https://www.soccerplususa.com/puma/puma-liga-jersey-37883")</f>
        <v/>
      </c>
      <c r="B3724" t="inlineStr">
        <is>
          <t>undefined</t>
        </is>
      </c>
      <c r="C3724" t="inlineStr">
        <is>
          <t>Puma Liga Jersey</t>
        </is>
      </c>
      <c r="D3724" t="inlineStr">
        <is>
          <t>PUMA Youth Liga Jersey Core</t>
        </is>
      </c>
      <c r="E3724" s="2">
        <f>HYPERLINK("https://www.amazon.com/PUMA-Mens-Jersey-Redpuma-White/dp/B07B8DXZYL/ref=sr_1_6?keywords=Puma+Liga+Jersey&amp;qid=1695171159&amp;sr=8-6", "https://www.amazon.com/PUMA-Mens-Jersey-Redpuma-White/dp/B07B8DXZYL/ref=sr_1_6?keywords=Puma+Liga+Jersey&amp;qid=1695171159&amp;sr=8-6")</f>
        <v/>
      </c>
      <c r="F3724" t="inlineStr">
        <is>
          <t>B07B8DXZYL</t>
        </is>
      </c>
      <c r="G3724">
        <f>_xludf.IMAGE("https://www.soccerplususa.com/prodimages//36780-REDWHITE-M.jpg")</f>
        <v/>
      </c>
      <c r="H3724">
        <f>_xludf.IMAGE("https://m.media-amazon.com/images/I/71154h+V-SL._AC_UL320_.jpg")</f>
        <v/>
      </c>
      <c r="K3724" t="inlineStr">
        <is>
          <t>27.95</t>
        </is>
      </c>
      <c r="L3724" t="n">
        <v>17.95</v>
      </c>
      <c r="M3724" s="1" t="inlineStr">
        <is>
          <t>-35.78%</t>
        </is>
      </c>
      <c r="N3724" s="3" t="n">
        <v>-35.78</v>
      </c>
      <c r="O3724" t="n">
        <v>3.5</v>
      </c>
      <c r="P3724" t="n">
        <v>320</v>
      </c>
      <c r="R3724" t="inlineStr">
        <is>
          <t>InStock</t>
        </is>
      </c>
      <c r="S3724" t="inlineStr">
        <is>
          <t>undefined</t>
        </is>
      </c>
      <c r="T3724" t="inlineStr">
        <is>
          <t>703417-01</t>
        </is>
      </c>
    </row>
    <row r="3725" hidden="1" ht="15.75" customHeight="1">
      <c r="A3725" s="2">
        <f>HYPERLINK("https://www.soccerplususa.com/under-armour/under-armour-coldgear-mock-womens-33129", "https://www.soccerplususa.com/under-armour/under-armour-coldgear-mock-womens-33129")</f>
        <v/>
      </c>
      <c r="B3725" t="inlineStr">
        <is>
          <t>undefined</t>
        </is>
      </c>
      <c r="C3725" t="inlineStr">
        <is>
          <t>Under Armour Coldgear Mock Women's</t>
        </is>
      </c>
      <c r="D3725" t="inlineStr">
        <is>
          <t>Under Armour Cold Gear Rush Jacquard Mock Top - Women's Black/White/Iridescent, S</t>
        </is>
      </c>
      <c r="E3725" s="2">
        <f>HYPERLINK("https://www.amazon.com/Under-Armour-Cold-Gear-Jacquard/dp/B0876PG2XH/ref=sr_1_8?keywords=Under+Armour+Coldgear+Mock+Women%27s&amp;qid=1695171175&amp;sr=8-8", "https://www.amazon.com/Under-Armour-Cold-Gear-Jacquard/dp/B0876PG2XH/ref=sr_1_8?keywords=Under+Armour+Coldgear+Mock+Women%27s&amp;qid=1695171175&amp;sr=8-8")</f>
        <v/>
      </c>
      <c r="F3725" t="inlineStr">
        <is>
          <t>B0876PG2XH</t>
        </is>
      </c>
      <c r="G3725">
        <f>_xludf.IMAGE("https://www.soccerplususa.com/prodimages/2365-DEFAULT-l.jpg")</f>
        <v/>
      </c>
      <c r="H3725">
        <f>_xludf.IMAGE("https://m.media-amazon.com/images/I/61z7M1X5k9L._AC_UL320_.jpg")</f>
        <v/>
      </c>
      <c r="K3725" t="inlineStr">
        <is>
          <t>49.95</t>
        </is>
      </c>
      <c r="L3725" t="n">
        <v>31.84</v>
      </c>
      <c r="M3725" s="1" t="inlineStr">
        <is>
          <t>-36.26%</t>
        </is>
      </c>
      <c r="N3725" s="3" t="n">
        <v>-36.26</v>
      </c>
      <c r="O3725" t="n">
        <v>5</v>
      </c>
      <c r="P3725" t="n">
        <v>1</v>
      </c>
      <c r="R3725" t="inlineStr">
        <is>
          <t>InStock</t>
        </is>
      </c>
      <c r="S3725" t="inlineStr">
        <is>
          <t>undefined</t>
        </is>
      </c>
      <c r="T3725" t="inlineStr">
        <is>
          <t>1215968-100</t>
        </is>
      </c>
    </row>
    <row r="3726" hidden="1" ht="15.75" customHeight="1">
      <c r="A3726" s="2">
        <f>HYPERLINK("https://www.soccerplususa.com/puma/puma-liga-training-jacket-35519", "https://www.soccerplususa.com/puma/puma-liga-training-jacket-35519")</f>
        <v/>
      </c>
      <c r="B3726" t="inlineStr">
        <is>
          <t>undefined</t>
        </is>
      </c>
      <c r="C3726" t="inlineStr">
        <is>
          <t>Puma Liga Training Jacket</t>
        </is>
      </c>
      <c r="D3726" t="inlineStr">
        <is>
          <t>PUMA womens Liga Training Jacket, Black-white, Medium US</t>
        </is>
      </c>
      <c r="E3726" s="2">
        <f>HYPERLINK("https://www.amazon.com/PUMA-Womens-Training-Jacket-Blackpuma/dp/B07FBK244Q/ref=sr_1_4?keywords=Puma+Liga+Training+Jacket&amp;qid=1695171164&amp;sr=8-4", "https://www.amazon.com/PUMA-Womens-Training-Jacket-Blackpuma/dp/B07FBK244Q/ref=sr_1_4?keywords=Puma+Liga+Training+Jacket&amp;qid=1695171164&amp;sr=8-4")</f>
        <v/>
      </c>
      <c r="F3726" t="inlineStr">
        <is>
          <t>B07FBK244Q</t>
        </is>
      </c>
      <c r="G3726">
        <f>_xludf.IMAGE("https://www.soccerplususa.com/prodimages/32207-DEFAULT-l.jpg")</f>
        <v/>
      </c>
      <c r="H3726">
        <f>_xludf.IMAGE("https://m.media-amazon.com/images/I/61RvUittiEL._AC_UL320_.jpg")</f>
        <v/>
      </c>
      <c r="K3726" t="inlineStr">
        <is>
          <t>45.0</t>
        </is>
      </c>
      <c r="L3726" t="n">
        <v>28.63</v>
      </c>
      <c r="M3726" s="1" t="inlineStr">
        <is>
          <t>-36.38%</t>
        </is>
      </c>
      <c r="N3726" s="3" t="n">
        <v>-36.38</v>
      </c>
      <c r="O3726" t="n">
        <v>4.4</v>
      </c>
      <c r="P3726" t="n">
        <v>71</v>
      </c>
      <c r="R3726" t="inlineStr">
        <is>
          <t>InStock</t>
        </is>
      </c>
      <c r="S3726" t="inlineStr">
        <is>
          <t>59.95</t>
        </is>
      </c>
      <c r="T3726" t="inlineStr">
        <is>
          <t>655687-02</t>
        </is>
      </c>
    </row>
    <row r="3727" hidden="1" ht="15.75" customHeight="1">
      <c r="A3727" s="2">
        <f>HYPERLINK("https://www.soccerplususa.com/under-armour/under-armour-coldgear-compression-mock-44300", "https://www.soccerplususa.com/under-armour/under-armour-coldgear-compression-mock-44300")</f>
        <v/>
      </c>
      <c r="B3727" t="inlineStr">
        <is>
          <t>undefined</t>
        </is>
      </c>
      <c r="C3727" t="inlineStr">
        <is>
          <t>Under Armour ColdGear Compression Mock</t>
        </is>
      </c>
      <c r="D3727" t="inlineStr">
        <is>
          <t>Under Armour Men's Compression Mock Turtlenecks (Medium)</t>
        </is>
      </c>
      <c r="E3727" s="2">
        <f>HYPERLINK("https://www.amazon.com/Under-Armour-Compression-Turtlenecks-Medium/dp/B01N2Z7X9H/ref=sr_1_7?keywords=Under+Armour+ColdGear+Compression+Mock&amp;qid=1695171160&amp;sr=8-7", "https://www.amazon.com/Under-Armour-Compression-Turtlenecks-Medium/dp/B01N2Z7X9H/ref=sr_1_7?keywords=Under+Armour+ColdGear+Compression+Mock&amp;qid=1695171160&amp;sr=8-7")</f>
        <v/>
      </c>
      <c r="F3727" t="inlineStr">
        <is>
          <t>B01N2Z7X9H</t>
        </is>
      </c>
      <c r="G3727">
        <f>_xludf.IMAGE("https://www.soccerplususa.com/prodimages//36057-BLACK-M.jpg")</f>
        <v/>
      </c>
      <c r="H3727">
        <f>_xludf.IMAGE("https://m.media-amazon.com/images/I/91tl1tGlsNL._AC_UL320_.jpg")</f>
        <v/>
      </c>
      <c r="K3727" t="inlineStr">
        <is>
          <t>54.95</t>
        </is>
      </c>
      <c r="L3727" t="n">
        <v>34.95</v>
      </c>
      <c r="M3727" s="1" t="inlineStr">
        <is>
          <t>-36.40%</t>
        </is>
      </c>
      <c r="N3727" s="3" t="n">
        <v>-36.4</v>
      </c>
      <c r="O3727" t="n">
        <v>1</v>
      </c>
      <c r="P3727" t="n">
        <v>1</v>
      </c>
      <c r="R3727" t="inlineStr">
        <is>
          <t>InStock</t>
        </is>
      </c>
      <c r="S3727" t="inlineStr">
        <is>
          <t>undefined</t>
        </is>
      </c>
      <c r="T3727" t="inlineStr">
        <is>
          <t>1366072-001</t>
        </is>
      </c>
    </row>
    <row r="3728" hidden="1" ht="15.75" customHeight="1">
      <c r="A3728" s="2">
        <f>HYPERLINK("https://www.soccerplususa.com/adidas/adidas-tiro-17-jersey-4868", "https://www.soccerplususa.com/adidas/adidas-tiro-17-jersey-4868")</f>
        <v/>
      </c>
      <c r="B3728" t="inlineStr">
        <is>
          <t>undefined</t>
        </is>
      </c>
      <c r="C3728" t="inlineStr">
        <is>
          <t>adidas Tiro 17 Jersey</t>
        </is>
      </c>
      <c r="D3728" t="inlineStr">
        <is>
          <t>adidas Mens Tiro 17 Jersey Black/White S</t>
        </is>
      </c>
      <c r="E3728" s="2">
        <f>HYPERLINK("https://www.amazon.com/Adidas-Mens-Jersey-Black-White/dp/B01N64GCZ6/ref=sr_1_3?keywords=adidas+Tiro+17+Jersey&amp;qid=1695171228&amp;sr=8-3", "https://www.amazon.com/Adidas-Mens-Jersey-Black-White/dp/B01N64GCZ6/ref=sr_1_3?keywords=adidas+Tiro+17+Jersey&amp;qid=1695171228&amp;sr=8-3")</f>
        <v/>
      </c>
      <c r="F3728" t="inlineStr">
        <is>
          <t>B01N64GCZ6</t>
        </is>
      </c>
      <c r="G3728">
        <f>_xludf.IMAGE("https://www.soccerplususa.com/prodimages/32792-DEFAULT-l.jpg")</f>
        <v/>
      </c>
      <c r="H3728">
        <f>_xludf.IMAGE("https://m.media-amazon.com/images/I/61WO-O2xDLL._AC_UL320_.jpg")</f>
        <v/>
      </c>
      <c r="K3728" t="inlineStr">
        <is>
          <t>29.99</t>
        </is>
      </c>
      <c r="L3728" t="n">
        <v>19.07</v>
      </c>
      <c r="M3728" s="1" t="inlineStr">
        <is>
          <t>-36.41%</t>
        </is>
      </c>
      <c r="N3728" s="3" t="n">
        <v>-36.41</v>
      </c>
      <c r="O3728" t="n">
        <v>4.3</v>
      </c>
      <c r="P3728" t="n">
        <v>8</v>
      </c>
      <c r="R3728" t="inlineStr">
        <is>
          <t>InStock</t>
        </is>
      </c>
      <c r="S3728" t="inlineStr">
        <is>
          <t>39.95</t>
        </is>
      </c>
      <c r="T3728" t="inlineStr">
        <is>
          <t>BK5435</t>
        </is>
      </c>
    </row>
    <row r="3729" hidden="1" ht="15.75" customHeight="1">
      <c r="A3729" s="2">
        <f>HYPERLINK("https://www.soccerplususa.com/adidas/adidas-tiro-17-jersey-womens-4818", "https://www.soccerplususa.com/adidas/adidas-tiro-17-jersey-womens-4818")</f>
        <v/>
      </c>
      <c r="B3729" t="inlineStr">
        <is>
          <t>undefined</t>
        </is>
      </c>
      <c r="C3729" t="inlineStr">
        <is>
          <t>adidas Tiro 17 Jersey Women's</t>
        </is>
      </c>
      <c r="D3729" t="inlineStr">
        <is>
          <t>adidas Mens Tiro 17 Jersey Black/White S</t>
        </is>
      </c>
      <c r="E3729" s="2">
        <f>HYPERLINK("https://www.amazon.com/Adidas-Mens-Jersey-Black-White/dp/B01N64GCZ6/ref=sr_1_7?keywords=adidas+Tiro+17+Jersey+Women%27s&amp;qid=1695171228&amp;sr=8-7", "https://www.amazon.com/Adidas-Mens-Jersey-Black-White/dp/B01N64GCZ6/ref=sr_1_7?keywords=adidas+Tiro+17+Jersey+Women%27s&amp;qid=1695171228&amp;sr=8-7")</f>
        <v/>
      </c>
      <c r="F3729" t="inlineStr">
        <is>
          <t>B01N64GCZ6</t>
        </is>
      </c>
      <c r="G3729">
        <f>_xludf.IMAGE("https://www.soccerplususa.com/prodimages/33189-DEFAULT-l.jpg")</f>
        <v/>
      </c>
      <c r="H3729">
        <f>_xludf.IMAGE("https://m.media-amazon.com/images/I/61WO-O2xDLL._AC_UL320_.jpg")</f>
        <v/>
      </c>
      <c r="K3729" t="inlineStr">
        <is>
          <t>30.0</t>
        </is>
      </c>
      <c r="L3729" t="n">
        <v>19.07</v>
      </c>
      <c r="M3729" s="1" t="inlineStr">
        <is>
          <t>-36.43%</t>
        </is>
      </c>
      <c r="N3729" s="3" t="n">
        <v>-36.43</v>
      </c>
      <c r="O3729" t="n">
        <v>4.3</v>
      </c>
      <c r="P3729" t="n">
        <v>8</v>
      </c>
      <c r="R3729" t="inlineStr">
        <is>
          <t>InStock</t>
        </is>
      </c>
      <c r="S3729" t="inlineStr">
        <is>
          <t>39.95</t>
        </is>
      </c>
      <c r="T3729" t="inlineStr">
        <is>
          <t>BJ9095</t>
        </is>
      </c>
    </row>
    <row r="3730" hidden="1" ht="15.75" customHeight="1">
      <c r="A3730" s="2">
        <f>HYPERLINK("https://www.soccerplususa.com/adidas/adidas-tiro-23-league-warm-top-45473", "https://www.soccerplususa.com/adidas/adidas-tiro-23-league-warm-top-45473")</f>
        <v/>
      </c>
      <c r="B3730" t="inlineStr">
        <is>
          <t>undefined</t>
        </is>
      </c>
      <c r="C3730" t="inlineStr">
        <is>
          <t>adidas Tiro 23 League Warm Top</t>
        </is>
      </c>
      <c r="D3730" t="inlineStr">
        <is>
          <t>adidas Men's Tiro23 League Training Top</t>
        </is>
      </c>
      <c r="E3730" s="2">
        <f>HYPERLINK("https://www.amazon.com/adidas-Tiro23-League-Training-X-Large/dp/B09YDQCLWW/ref=sr_1_2?keywords=adidas+Tiro+23+League+Warm+Top&amp;qid=1695171152&amp;sr=8-2", "https://www.amazon.com/adidas-Tiro23-League-Training-X-Large/dp/B09YDQCLWW/ref=sr_1_2?keywords=adidas+Tiro+23+League+Warm+Top&amp;qid=1695171152&amp;sr=8-2")</f>
        <v/>
      </c>
      <c r="F3730" t="inlineStr">
        <is>
          <t>B09YDQCLWW</t>
        </is>
      </c>
      <c r="G3730">
        <f>_xludf.IMAGE("https://www.soccerplususa.com/prodimages//37396-BLACKWHITE-M.jpg")</f>
        <v/>
      </c>
      <c r="H3730">
        <f>_xludf.IMAGE("https://m.media-amazon.com/images/I/61RORblhDBL._AC_UL320_.jpg")</f>
        <v/>
      </c>
      <c r="K3730" t="inlineStr">
        <is>
          <t>74.95</t>
        </is>
      </c>
      <c r="L3730" t="n">
        <v>47.54</v>
      </c>
      <c r="M3730" s="1" t="inlineStr">
        <is>
          <t>-36.57%</t>
        </is>
      </c>
      <c r="N3730" s="3" t="n">
        <v>-36.57</v>
      </c>
      <c r="O3730" t="n">
        <v>5</v>
      </c>
      <c r="P3730" t="n">
        <v>5</v>
      </c>
      <c r="R3730" t="inlineStr">
        <is>
          <t>InStock</t>
        </is>
      </c>
      <c r="S3730" t="inlineStr">
        <is>
          <t>undefined</t>
        </is>
      </c>
      <c r="T3730" t="inlineStr">
        <is>
          <t>HS3573</t>
        </is>
      </c>
    </row>
    <row r="3731" hidden="1" ht="15.75" customHeight="1">
      <c r="A3731" s="2">
        <f>HYPERLINK("https://www.soccerplususa.com/under-armour/under-armour-cold-gear-armour-mock-youth-33310", "https://www.soccerplususa.com/under-armour/under-armour-cold-gear-armour-mock-youth-33310")</f>
        <v/>
      </c>
      <c r="B3731" t="inlineStr">
        <is>
          <t>undefined</t>
        </is>
      </c>
      <c r="C3731" t="inlineStr">
        <is>
          <t>Under Armour Cold Gear Armour Mock Youth</t>
        </is>
      </c>
      <c r="D3731" t="inlineStr">
        <is>
          <t>Under Armour Boys ColdGear Evo Fitted Long Sleeve Mock T-Shirt</t>
        </is>
      </c>
      <c r="E3731" s="2">
        <f>HYPERLINK("https://www.amazon.com/Under-Armour-ColdGear-Fitted-Orange/dp/B00GOGO4X8/ref=sr_1_6?keywords=Under+Armour+Cold+Gear+Armour+Mock+Youth&amp;qid=1695171174&amp;sr=8-6", "https://www.amazon.com/Under-Armour-ColdGear-Fitted-Orange/dp/B00GOGO4X8/ref=sr_1_6?keywords=Under+Armour+Cold+Gear+Armour+Mock+Youth&amp;qid=1695171174&amp;sr=8-6")</f>
        <v/>
      </c>
      <c r="F3731" t="inlineStr">
        <is>
          <t>B00GOGO4X8</t>
        </is>
      </c>
      <c r="G3731">
        <f>_xludf.IMAGE("https://www.soccerplususa.com/prodimages/5586-DEFAULT-l.jpg")</f>
        <v/>
      </c>
      <c r="H3731">
        <f>_xludf.IMAGE("https://m.media-amazon.com/images/I/91WruWTd6DL._AC_UL320_.jpg")</f>
        <v/>
      </c>
      <c r="K3731" t="inlineStr">
        <is>
          <t>39.95</t>
        </is>
      </c>
      <c r="L3731" t="n">
        <v>25</v>
      </c>
      <c r="M3731" s="1" t="inlineStr">
        <is>
          <t>-37.42%</t>
        </is>
      </c>
      <c r="N3731" s="3" t="n">
        <v>-37.42</v>
      </c>
      <c r="O3731" t="n">
        <v>4.7</v>
      </c>
      <c r="P3731" t="n">
        <v>155</v>
      </c>
      <c r="R3731" t="inlineStr">
        <is>
          <t>InStock</t>
        </is>
      </c>
      <c r="S3731" t="inlineStr">
        <is>
          <t>undefined</t>
        </is>
      </c>
      <c r="T3731" t="inlineStr">
        <is>
          <t>1288343-001</t>
        </is>
      </c>
    </row>
    <row r="3732" hidden="1" ht="15.75" customHeight="1">
      <c r="A3732" s="2">
        <f>HYPERLINK("https://www.soccerplususa.com/under-armour/under-armour-cold-gear-armour-mock-youth-33311", "https://www.soccerplususa.com/under-armour/under-armour-cold-gear-armour-mock-youth-33311")</f>
        <v/>
      </c>
      <c r="B3732" t="inlineStr">
        <is>
          <t>undefined</t>
        </is>
      </c>
      <c r="C3732" t="inlineStr">
        <is>
          <t>Under Armour Cold Gear Armour Mock Youth</t>
        </is>
      </c>
      <c r="D3732" t="inlineStr">
        <is>
          <t>Under Armour Boys ColdGear Evo Fitted Long Sleeve Mock T-Shirt</t>
        </is>
      </c>
      <c r="E3732" s="2">
        <f>HYPERLINK("https://www.amazon.com/Under-Armour-ColdGear-Fitted-Orange/dp/B00GOGO4X8/ref=sr_1_8?keywords=Under+Armour+Cold+Gear+Armour+Mock+Youth&amp;qid=1695171169&amp;sr=8-8", "https://www.amazon.com/Under-Armour-ColdGear-Fitted-Orange/dp/B00GOGO4X8/ref=sr_1_8?keywords=Under+Armour+Cold+Gear+Armour+Mock+Youth&amp;qid=1695171169&amp;sr=8-8")</f>
        <v/>
      </c>
      <c r="F3732" t="inlineStr">
        <is>
          <t>B00GOGO4X8</t>
        </is>
      </c>
      <c r="G3732">
        <f>_xludf.IMAGE("https://www.soccerplususa.com/prodimages/5585-DEFAULT-l.jpg")</f>
        <v/>
      </c>
      <c r="H3732">
        <f>_xludf.IMAGE("https://m.media-amazon.com/images/I/91WruWTd6DL._AC_UL320_.jpg")</f>
        <v/>
      </c>
      <c r="K3732" t="inlineStr">
        <is>
          <t>39.95</t>
        </is>
      </c>
      <c r="L3732" t="n">
        <v>25</v>
      </c>
      <c r="M3732" s="1" t="inlineStr">
        <is>
          <t>-37.42%</t>
        </is>
      </c>
      <c r="N3732" s="3" t="n">
        <v>-37.42</v>
      </c>
      <c r="O3732" t="n">
        <v>4.7</v>
      </c>
      <c r="P3732" t="n">
        <v>155</v>
      </c>
      <c r="R3732" t="inlineStr">
        <is>
          <t>InStock</t>
        </is>
      </c>
      <c r="S3732" t="inlineStr">
        <is>
          <t>undefined</t>
        </is>
      </c>
      <c r="T3732" t="inlineStr">
        <is>
          <t>1288343-100</t>
        </is>
      </c>
    </row>
    <row r="3733" hidden="1" ht="15.75" customHeight="1">
      <c r="A3733" s="2">
        <f>HYPERLINK("https://www.soccerplususa.com/nike/nike-dry-academy-18-football-jacket-youth-34589", "https://www.soccerplususa.com/nike/nike-dry-academy-18-football-jacket-youth-34589")</f>
        <v/>
      </c>
      <c r="B3733" t="inlineStr">
        <is>
          <t>undefined</t>
        </is>
      </c>
      <c r="C3733" t="inlineStr">
        <is>
          <t>Nike Dry Academy 18 Football Jacket Youth</t>
        </is>
      </c>
      <c r="D3733" t="inlineStr">
        <is>
          <t>Men's Nike Dry Academy18 Football Jacket</t>
        </is>
      </c>
      <c r="E3733" s="2">
        <f>HYPERLINK("https://www.amazon.com/Academy18-Football-Jacket-University-White/dp/B079K2XQQL/ref=sr_1_6?keywords=Nike+Dry+Academy+18+Football+Jacket+Youth&amp;qid=1695171163&amp;sr=8-6", "https://www.amazon.com/Academy18-Football-Jacket-University-White/dp/B079K2XQQL/ref=sr_1_6?keywords=Nike+Dry+Academy+18+Football+Jacket+Youth&amp;qid=1695171163&amp;sr=8-6")</f>
        <v/>
      </c>
      <c r="F3733" t="inlineStr">
        <is>
          <t>B079K2XQQL</t>
        </is>
      </c>
      <c r="G3733">
        <f>_xludf.IMAGE("https://www.soccerplususa.com/prodimages/7468-DEFAULT-l.jpg")</f>
        <v/>
      </c>
      <c r="H3733">
        <f>_xludf.IMAGE("https://m.media-amazon.com/images/I/81eVvYX73iL._AC_UL320_.jpg")</f>
        <v/>
      </c>
      <c r="K3733" t="inlineStr">
        <is>
          <t>111.99</t>
        </is>
      </c>
      <c r="L3733" t="n">
        <v>70</v>
      </c>
      <c r="M3733" s="1" t="inlineStr">
        <is>
          <t>-37.49%</t>
        </is>
      </c>
      <c r="N3733" s="3" t="n">
        <v>-37.49</v>
      </c>
      <c r="O3733" t="n">
        <v>4.4</v>
      </c>
      <c r="P3733" t="n">
        <v>1577</v>
      </c>
      <c r="R3733" t="inlineStr">
        <is>
          <t>InStock</t>
        </is>
      </c>
      <c r="S3733" t="inlineStr">
        <is>
          <t>149.95</t>
        </is>
      </c>
      <c r="T3733" t="inlineStr">
        <is>
          <t>893827-010</t>
        </is>
      </c>
    </row>
    <row r="3734" hidden="1" ht="15.75" customHeight="1">
      <c r="A3734" s="2">
        <f>HYPERLINK("https://www.soccerplususa.com/adidas/adidas-tiro-19-training-jacket-33919", "https://www.soccerplususa.com/adidas/adidas-tiro-19-training-jacket-33919")</f>
        <v/>
      </c>
      <c r="B3734" t="inlineStr">
        <is>
          <t>undefined</t>
        </is>
      </c>
      <c r="C3734" t="inlineStr">
        <is>
          <t>adidas Tiro 19 Training Jacket</t>
        </is>
      </c>
      <c r="D3734" t="inlineStr">
        <is>
          <t>adidas Men's Tiro23 League Training Jacket</t>
        </is>
      </c>
      <c r="E3734" s="2">
        <f>HYPERLINK("https://www.amazon.com/adidas-Tiro23-League-Training-X-Large/dp/B09XM226NP/ref=sr_1_10?keywords=adidas+Tiro+19+Training+Jacket&amp;qid=1695171165&amp;sr=8-10", "https://www.amazon.com/adidas-Tiro23-League-Training-X-Large/dp/B09XM226NP/ref=sr_1_10?keywords=adidas+Tiro+19+Training+Jacket&amp;qid=1695171165&amp;sr=8-10")</f>
        <v/>
      </c>
      <c r="F3734" t="inlineStr">
        <is>
          <t>B09XM226NP</t>
        </is>
      </c>
      <c r="G3734">
        <f>_xludf.IMAGE("https://www.soccerplususa.com/prodimages/7895-DEFAULT-l.jpg")</f>
        <v/>
      </c>
      <c r="H3734">
        <f>_xludf.IMAGE("https://m.media-amazon.com/images/I/71kSTlott3L._AC_UL320_.jpg")</f>
        <v/>
      </c>
      <c r="K3734" t="inlineStr">
        <is>
          <t>49.0</t>
        </is>
      </c>
      <c r="L3734" t="n">
        <v>30.57</v>
      </c>
      <c r="M3734" s="1" t="inlineStr">
        <is>
          <t>-37.61%</t>
        </is>
      </c>
      <c r="N3734" s="3" t="n">
        <v>-37.61</v>
      </c>
      <c r="O3734" t="n">
        <v>4.6</v>
      </c>
      <c r="P3734" t="n">
        <v>35</v>
      </c>
      <c r="R3734" t="inlineStr">
        <is>
          <t>InStock</t>
        </is>
      </c>
      <c r="S3734" t="inlineStr">
        <is>
          <t>64.95</t>
        </is>
      </c>
      <c r="T3734" t="inlineStr">
        <is>
          <t>DJ2594</t>
        </is>
      </c>
    </row>
    <row r="3735" hidden="1" ht="15.75" customHeight="1">
      <c r="A3735" s="2">
        <f>HYPERLINK("https://www.soccerplususa.com/under-armour/under-armour-coldgear-armour-fitted-mock-41592", "https://www.soccerplususa.com/under-armour/under-armour-coldgear-armour-fitted-mock-41592")</f>
        <v/>
      </c>
      <c r="B3735" t="inlineStr">
        <is>
          <t>undefined</t>
        </is>
      </c>
      <c r="C3735" t="inlineStr">
        <is>
          <t>Under Armour ColdGear Armour Fitted Mock</t>
        </is>
      </c>
      <c r="D3735" t="inlineStr">
        <is>
          <t>Under Armour Men's ColdGear Fitted Crew</t>
        </is>
      </c>
      <c r="E3735" s="2">
        <f>HYPERLINK("https://www.amazon.com/Under-Armour-ColdGear-Fitted-X-Large/dp/B08LNZ94M7/ref=sr_1_3?keywords=Under+Armour+ColdGear+Armour+Fitted+Mock&amp;qid=1695171146&amp;sr=8-3", "https://www.amazon.com/Under-Armour-ColdGear-Fitted-X-Large/dp/B08LNZ94M7/ref=sr_1_3?keywords=Under+Armour+ColdGear+Armour+Fitted+Mock&amp;qid=1695171146&amp;sr=8-3")</f>
        <v/>
      </c>
      <c r="F3735" t="inlineStr">
        <is>
          <t>B08LNZ94M7</t>
        </is>
      </c>
      <c r="G3735">
        <f>_xludf.IMAGE("https://www.soccerplususa.com/prodimages//36795-BLACK-M.jpg")</f>
        <v/>
      </c>
      <c r="H3735">
        <f>_xludf.IMAGE("https://m.media-amazon.com/images/I/71+I+VK+RfL._AC_UL320_.jpg")</f>
        <v/>
      </c>
      <c r="K3735" t="inlineStr">
        <is>
          <t>54.95</t>
        </is>
      </c>
      <c r="L3735" t="n">
        <v>34.21</v>
      </c>
      <c r="M3735" s="1" t="inlineStr">
        <is>
          <t>-37.74%</t>
        </is>
      </c>
      <c r="N3735" s="3" t="n">
        <v>-37.74</v>
      </c>
      <c r="O3735" t="n">
        <v>4.8</v>
      </c>
      <c r="P3735" t="n">
        <v>612</v>
      </c>
      <c r="R3735" t="inlineStr">
        <is>
          <t>InStock</t>
        </is>
      </c>
      <c r="S3735" t="inlineStr">
        <is>
          <t>undefined</t>
        </is>
      </c>
      <c r="T3735" t="inlineStr">
        <is>
          <t>1366066-001</t>
        </is>
      </c>
    </row>
    <row r="3736" hidden="1" ht="15.75" customHeight="1">
      <c r="A3736" s="2">
        <f>HYPERLINK("https://www.soccerplususa.com/puma/puma-santiago-jersey-35512", "https://www.soccerplususa.com/puma/puma-santiago-jersey-35512")</f>
        <v/>
      </c>
      <c r="B3736" t="inlineStr">
        <is>
          <t>undefined</t>
        </is>
      </c>
      <c r="C3736" t="inlineStr">
        <is>
          <t>Puma Santiago Jersey</t>
        </is>
      </c>
      <c r="D3736" t="inlineStr">
        <is>
          <t>PUMA Kids' Santiago Tg Jersey</t>
        </is>
      </c>
      <c r="E3736" s="2">
        <f>HYPERLINK("https://www.amazon.com/PUMA-Santiago-TG-Youth-Jersey/dp/B07NC5LB5J/ref=sr_1_2?keywords=Puma+Santiago+Jersey&amp;qid=1695171161&amp;sr=8-2", "https://www.amazon.com/PUMA-Santiago-TG-Youth-Jersey/dp/B07NC5LB5J/ref=sr_1_2?keywords=Puma+Santiago+Jersey&amp;qid=1695171161&amp;sr=8-2")</f>
        <v/>
      </c>
      <c r="F3736" t="inlineStr">
        <is>
          <t>B07NC5LB5J</t>
        </is>
      </c>
      <c r="G3736">
        <f>_xludf.IMAGE("https://www.soccerplususa.com/prodimages/32674-DEFAULT-l.jpg")</f>
        <v/>
      </c>
      <c r="H3736">
        <f>_xludf.IMAGE("https://m.media-amazon.com/images/I/71VlDVNNYxL._AC_UL320_.jpg")</f>
        <v/>
      </c>
      <c r="K3736" t="inlineStr">
        <is>
          <t>16.0</t>
        </is>
      </c>
      <c r="L3736" t="n">
        <v>9.949999999999999</v>
      </c>
      <c r="M3736" s="1" t="inlineStr">
        <is>
          <t>-37.81%</t>
        </is>
      </c>
      <c r="N3736" s="3" t="n">
        <v>-37.81</v>
      </c>
      <c r="O3736" t="n">
        <v>3.7</v>
      </c>
      <c r="P3736" t="n">
        <v>20</v>
      </c>
      <c r="R3736" t="inlineStr">
        <is>
          <t>InStock</t>
        </is>
      </c>
      <c r="S3736" t="inlineStr">
        <is>
          <t>31.95</t>
        </is>
      </c>
      <c r="T3736" t="inlineStr">
        <is>
          <t>655501-16</t>
        </is>
      </c>
    </row>
    <row r="3737" hidden="1" ht="15.75" customHeight="1">
      <c r="A3737" s="2">
        <f>HYPERLINK("https://www.soccerplususa.com/puma/puma-santiago-jersey-29026", "https://www.soccerplususa.com/puma/puma-santiago-jersey-29026")</f>
        <v/>
      </c>
      <c r="B3737" t="inlineStr">
        <is>
          <t>undefined</t>
        </is>
      </c>
      <c r="C3737" t="inlineStr">
        <is>
          <t>Puma Santiago Jersey</t>
        </is>
      </c>
      <c r="D3737" t="inlineStr">
        <is>
          <t>PUMA Kids' Santiago Tg Jersey</t>
        </is>
      </c>
      <c r="E3737" s="2">
        <f>HYPERLINK("https://www.amazon.com/PUMA-Santiago-TG-Youth-Jersey/dp/B07NC5LB5J/ref=sr_1_2?keywords=Puma+Santiago+Jersey&amp;qid=1695171172&amp;sr=8-2", "https://www.amazon.com/PUMA-Santiago-TG-Youth-Jersey/dp/B07NC5LB5J/ref=sr_1_2?keywords=Puma+Santiago+Jersey&amp;qid=1695171172&amp;sr=8-2")</f>
        <v/>
      </c>
      <c r="F3737" t="inlineStr">
        <is>
          <t>B07NC5LB5J</t>
        </is>
      </c>
      <c r="G3737">
        <f>_xludf.IMAGE("https://www.soccerplususa.com/prodimages/32663-DEFAULT-l.jpg")</f>
        <v/>
      </c>
      <c r="H3737">
        <f>_xludf.IMAGE("https://m.media-amazon.com/images/I/71VlDVNNYxL._AC_UL320_.jpg")</f>
        <v/>
      </c>
      <c r="K3737" t="inlineStr">
        <is>
          <t>16.0</t>
        </is>
      </c>
      <c r="L3737" t="n">
        <v>9.949999999999999</v>
      </c>
      <c r="M3737" s="1" t="inlineStr">
        <is>
          <t>-37.81%</t>
        </is>
      </c>
      <c r="N3737" s="3" t="n">
        <v>-37.81</v>
      </c>
      <c r="O3737" t="n">
        <v>3.7</v>
      </c>
      <c r="P3737" t="n">
        <v>20</v>
      </c>
      <c r="R3737" t="inlineStr">
        <is>
          <t>InStock</t>
        </is>
      </c>
      <c r="S3737" t="inlineStr">
        <is>
          <t>31.95</t>
        </is>
      </c>
      <c r="T3737" t="inlineStr">
        <is>
          <t>655501-06</t>
        </is>
      </c>
    </row>
    <row r="3738" hidden="1" ht="15.75" customHeight="1">
      <c r="A3738" s="2">
        <f>HYPERLINK("https://www.soccerplususa.com/puma/puma-santiago-jersey-29027", "https://www.soccerplususa.com/puma/puma-santiago-jersey-29027")</f>
        <v/>
      </c>
      <c r="B3738" t="inlineStr">
        <is>
          <t>undefined</t>
        </is>
      </c>
      <c r="C3738" t="inlineStr">
        <is>
          <t>Puma Santiago Jersey</t>
        </is>
      </c>
      <c r="D3738" t="inlineStr">
        <is>
          <t>PUMA Kids' Santiago Tg Jersey</t>
        </is>
      </c>
      <c r="E3738" s="2">
        <f>HYPERLINK("https://www.amazon.com/PUMA-Santiago-TG-Youth-Jersey/dp/B07NC5LB5J/ref=sr_1_1?keywords=Puma+Santiago+Jersey&amp;qid=1695171173&amp;sr=8-1", "https://www.amazon.com/PUMA-Santiago-TG-Youth-Jersey/dp/B07NC5LB5J/ref=sr_1_1?keywords=Puma+Santiago+Jersey&amp;qid=1695171173&amp;sr=8-1")</f>
        <v/>
      </c>
      <c r="F3738" t="inlineStr">
        <is>
          <t>B07NC5LB5J</t>
        </is>
      </c>
      <c r="G3738">
        <f>_xludf.IMAGE("https://www.soccerplususa.com/prodimages/32664-DEFAULT-l.jpg")</f>
        <v/>
      </c>
      <c r="H3738">
        <f>_xludf.IMAGE("https://m.media-amazon.com/images/I/71VlDVNNYxL._AC_UL320_.jpg")</f>
        <v/>
      </c>
      <c r="K3738" t="inlineStr">
        <is>
          <t>16.0</t>
        </is>
      </c>
      <c r="L3738" t="n">
        <v>9.949999999999999</v>
      </c>
      <c r="M3738" s="1" t="inlineStr">
        <is>
          <t>-37.81%</t>
        </is>
      </c>
      <c r="N3738" s="3" t="n">
        <v>-37.81</v>
      </c>
      <c r="O3738" t="n">
        <v>3.7</v>
      </c>
      <c r="P3738" t="n">
        <v>20</v>
      </c>
      <c r="R3738" t="inlineStr">
        <is>
          <t>InStock</t>
        </is>
      </c>
      <c r="S3738" t="inlineStr">
        <is>
          <t>31.95</t>
        </is>
      </c>
      <c r="T3738" t="inlineStr">
        <is>
          <t>655501-29</t>
        </is>
      </c>
    </row>
    <row r="3739" hidden="1" ht="15.75" customHeight="1">
      <c r="A3739" s="2">
        <f>HYPERLINK("https://www.soccerplususa.com/adidas/adidas-tiro-17-jersey-33798", "https://www.soccerplususa.com/adidas/adidas-tiro-17-jersey-33798")</f>
        <v/>
      </c>
      <c r="B3739" t="inlineStr">
        <is>
          <t>undefined</t>
        </is>
      </c>
      <c r="C3739" t="inlineStr">
        <is>
          <t>adidas Tiro 17 Jersey</t>
        </is>
      </c>
      <c r="D3739" t="inlineStr">
        <is>
          <t>adidas Tiro 17 Womens Soccer Jersey 2XS Power Red-White</t>
        </is>
      </c>
      <c r="E3739" s="2">
        <f>HYPERLINK("https://www.amazon.com/adidas-Womens-Soccer-Jersey-Red-White/dp/B01N76Z1OB/ref=sr_1_9?keywords=adidas+Tiro+17+Jersey&amp;qid=1695171166&amp;sr=8-9", "https://www.amazon.com/adidas-Womens-Soccer-Jersey-Red-White/dp/B01N76Z1OB/ref=sr_1_9?keywords=adidas+Tiro+17+Jersey&amp;qid=1695171166&amp;sr=8-9")</f>
        <v/>
      </c>
      <c r="F3739" t="inlineStr">
        <is>
          <t>B01N76Z1OB</t>
        </is>
      </c>
      <c r="G3739">
        <f>_xludf.IMAGE("https://www.soccerplususa.com/prodimages/7452-DEFAULT-l.jpg")</f>
        <v/>
      </c>
      <c r="H3739">
        <f>_xludf.IMAGE("https://m.media-amazon.com/images/I/51gJIbK-kFL._AC_UL320_.jpg")</f>
        <v/>
      </c>
      <c r="K3739" t="inlineStr">
        <is>
          <t>23.97</t>
        </is>
      </c>
      <c r="L3739" t="n">
        <v>14.89</v>
      </c>
      <c r="M3739" s="1" t="inlineStr">
        <is>
          <t>-37.88%</t>
        </is>
      </c>
      <c r="N3739" s="3" t="n">
        <v>-37.88</v>
      </c>
      <c r="O3739" t="n">
        <v>5</v>
      </c>
      <c r="P3739" t="n">
        <v>1</v>
      </c>
      <c r="R3739" t="inlineStr">
        <is>
          <t>InStock</t>
        </is>
      </c>
      <c r="S3739" t="inlineStr">
        <is>
          <t>39.95</t>
        </is>
      </c>
      <c r="T3739" t="inlineStr">
        <is>
          <t>BS4216</t>
        </is>
      </c>
    </row>
    <row r="3740" hidden="1" ht="15.75" customHeight="1">
      <c r="A3740" s="2">
        <f>HYPERLINK("https://www.soccerplususa.com/puma/puma-liga-jersey-youth-37886", "https://www.soccerplususa.com/puma/puma-liga-jersey-youth-37886")</f>
        <v/>
      </c>
      <c r="B3740" t="inlineStr">
        <is>
          <t>undefined</t>
        </is>
      </c>
      <c r="C3740" t="inlineStr">
        <is>
          <t>Puma Liga Jersey Youth</t>
        </is>
      </c>
      <c r="D3740" t="inlineStr">
        <is>
          <t>PUMA Kids' Youth Liga Training Jersey</t>
        </is>
      </c>
      <c r="E3740" s="2">
        <f>HYPERLINK("https://www.amazon.com/PUMA-Training-Jersey-Electric-Lemonade/dp/B07FGTC21T/ref=sr_1_4?keywords=Puma+Liga+Jersey+Youth&amp;qid=1695171188&amp;sr=8-4", "https://www.amazon.com/PUMA-Training-Jersey-Electric-Lemonade/dp/B07FGTC21T/ref=sr_1_4?keywords=Puma+Liga+Jersey+Youth&amp;qid=1695171188&amp;sr=8-4")</f>
        <v/>
      </c>
      <c r="F3740" t="inlineStr">
        <is>
          <t>B07FGTC21T</t>
        </is>
      </c>
      <c r="G3740">
        <f>_xludf.IMAGE("https://www.soccerplususa.com/prodimages//35271-NAVYWHITE-M.jpg")</f>
        <v/>
      </c>
      <c r="H3740">
        <f>_xludf.IMAGE("https://m.media-amazon.com/images/I/81fB0WeaEbL._AC_UL320_.jpg")</f>
        <v/>
      </c>
      <c r="K3740" t="inlineStr">
        <is>
          <t>20.99</t>
        </is>
      </c>
      <c r="L3740" t="n">
        <v>12.95</v>
      </c>
      <c r="M3740" s="1" t="inlineStr">
        <is>
          <t>-38.30%</t>
        </is>
      </c>
      <c r="N3740" s="3" t="n">
        <v>-38.3</v>
      </c>
      <c r="O3740" t="n">
        <v>3.3</v>
      </c>
      <c r="P3740" t="n">
        <v>42</v>
      </c>
      <c r="R3740" t="inlineStr">
        <is>
          <t>InStock</t>
        </is>
      </c>
      <c r="S3740" t="inlineStr">
        <is>
          <t>27.95</t>
        </is>
      </c>
      <c r="T3740" t="inlineStr">
        <is>
          <t>703418-06</t>
        </is>
      </c>
    </row>
    <row r="3741" hidden="1" ht="15.75" customHeight="1">
      <c r="A3741" s="2">
        <f>HYPERLINK("https://www.soccerplususa.com/puma/puma-liga-jersey-youth-37885", "https://www.soccerplususa.com/puma/puma-liga-jersey-youth-37885")</f>
        <v/>
      </c>
      <c r="B3741" t="inlineStr">
        <is>
          <t>undefined</t>
        </is>
      </c>
      <c r="C3741" t="inlineStr">
        <is>
          <t>Puma Liga Jersey Youth</t>
        </is>
      </c>
      <c r="D3741" t="inlineStr">
        <is>
          <t>PUMA Unisex Youth Cup Jersey</t>
        </is>
      </c>
      <c r="E3741" s="2">
        <f>HYPERLINK("https://www.amazon.com/PUMA-Kids-Cup-Jersey-White/dp/B084ZXCDZ8/ref=sr_1_9?keywords=Puma+Liga+Jersey+Youth&amp;qid=1695171154&amp;sr=8-9", "https://www.amazon.com/PUMA-Kids-Cup-Jersey-White/dp/B084ZXCDZ8/ref=sr_1_9?keywords=Puma+Liga+Jersey+Youth&amp;qid=1695171154&amp;sr=8-9")</f>
        <v/>
      </c>
      <c r="F3741" t="inlineStr">
        <is>
          <t>B084ZXCDZ8</t>
        </is>
      </c>
      <c r="G3741">
        <f>_xludf.IMAGE("https://www.soccerplususa.com/prodimages//36779-REDWHITE-M.jpg")</f>
        <v/>
      </c>
      <c r="H3741">
        <f>_xludf.IMAGE("https://m.media-amazon.com/images/I/71kUthjI2aL._AC_UL320_.jpg")</f>
        <v/>
      </c>
      <c r="K3741" t="inlineStr">
        <is>
          <t>20.99</t>
        </is>
      </c>
      <c r="L3741" t="n">
        <v>12.95</v>
      </c>
      <c r="M3741" s="1" t="inlineStr">
        <is>
          <t>-38.30%</t>
        </is>
      </c>
      <c r="N3741" s="3" t="n">
        <v>-38.3</v>
      </c>
      <c r="O3741" t="n">
        <v>4.2</v>
      </c>
      <c r="P3741" t="n">
        <v>4</v>
      </c>
      <c r="R3741" t="inlineStr">
        <is>
          <t>InStock</t>
        </is>
      </c>
      <c r="S3741" t="inlineStr">
        <is>
          <t>27.95</t>
        </is>
      </c>
      <c r="T3741" t="inlineStr">
        <is>
          <t>703418-01</t>
        </is>
      </c>
    </row>
    <row r="3742" hidden="1" ht="15.75" customHeight="1">
      <c r="A3742" s="2">
        <f>HYPERLINK("https://www.soccerplususa.com/puma/puma-liga-jersey-youth-37886", "https://www.soccerplususa.com/puma/puma-liga-jersey-youth-37886")</f>
        <v/>
      </c>
      <c r="B3742" t="inlineStr">
        <is>
          <t>undefined</t>
        </is>
      </c>
      <c r="C3742" t="inlineStr">
        <is>
          <t>Puma Liga Jersey Youth</t>
        </is>
      </c>
      <c r="D3742" t="inlineStr">
        <is>
          <t>PUMA Unisex Youth Cup Jersey</t>
        </is>
      </c>
      <c r="E3742" s="2">
        <f>HYPERLINK("https://www.amazon.com/PUMA-Kids-Cup-Jersey-White/dp/B084ZXCDZ8/ref=sr_1_9?keywords=Puma+Liga+Jersey+Youth&amp;qid=1695171188&amp;sr=8-9", "https://www.amazon.com/PUMA-Kids-Cup-Jersey-White/dp/B084ZXCDZ8/ref=sr_1_9?keywords=Puma+Liga+Jersey+Youth&amp;qid=1695171188&amp;sr=8-9")</f>
        <v/>
      </c>
      <c r="F3742" t="inlineStr">
        <is>
          <t>B084ZXCDZ8</t>
        </is>
      </c>
      <c r="G3742">
        <f>_xludf.IMAGE("https://www.soccerplususa.com/prodimages//35271-NAVYWHITE-M.jpg")</f>
        <v/>
      </c>
      <c r="H3742">
        <f>_xludf.IMAGE("https://m.media-amazon.com/images/I/71kUthjI2aL._AC_UL320_.jpg")</f>
        <v/>
      </c>
      <c r="K3742" t="inlineStr">
        <is>
          <t>20.99</t>
        </is>
      </c>
      <c r="L3742" t="n">
        <v>12.95</v>
      </c>
      <c r="M3742" s="1" t="inlineStr">
        <is>
          <t>-38.30%</t>
        </is>
      </c>
      <c r="N3742" s="3" t="n">
        <v>-38.3</v>
      </c>
      <c r="O3742" t="n">
        <v>4.2</v>
      </c>
      <c r="P3742" t="n">
        <v>4</v>
      </c>
      <c r="R3742" t="inlineStr">
        <is>
          <t>InStock</t>
        </is>
      </c>
      <c r="S3742" t="inlineStr">
        <is>
          <t>27.95</t>
        </is>
      </c>
      <c r="T3742" t="inlineStr">
        <is>
          <t>703418-06</t>
        </is>
      </c>
    </row>
    <row r="3743" hidden="1" ht="15.75" customHeight="1">
      <c r="A3743" s="2">
        <f>HYPERLINK("https://www.soccerplususa.com/puma/puma-liga-jersey-youth-37885", "https://www.soccerplususa.com/puma/puma-liga-jersey-youth-37885")</f>
        <v/>
      </c>
      <c r="B3743" t="inlineStr">
        <is>
          <t>undefined</t>
        </is>
      </c>
      <c r="C3743" t="inlineStr">
        <is>
          <t>Puma Liga Jersey Youth</t>
        </is>
      </c>
      <c r="D3743" t="inlineStr">
        <is>
          <t>PUMA Kids' Youth Liga Training Jersey</t>
        </is>
      </c>
      <c r="E3743" s="2">
        <f>HYPERLINK("https://www.amazon.com/PUMA-Training-Jersey-Electric-Lemonade/dp/B07FGTC21T/ref=sr_1_4?keywords=Puma+Liga+Jersey+Youth&amp;qid=1695171154&amp;sr=8-4", "https://www.amazon.com/PUMA-Training-Jersey-Electric-Lemonade/dp/B07FGTC21T/ref=sr_1_4?keywords=Puma+Liga+Jersey+Youth&amp;qid=1695171154&amp;sr=8-4")</f>
        <v/>
      </c>
      <c r="F3743" t="inlineStr">
        <is>
          <t>B07FGTC21T</t>
        </is>
      </c>
      <c r="G3743">
        <f>_xludf.IMAGE("https://www.soccerplususa.com/prodimages//36779-REDWHITE-M.jpg")</f>
        <v/>
      </c>
      <c r="H3743">
        <f>_xludf.IMAGE("https://m.media-amazon.com/images/I/81fB0WeaEbL._AC_UL320_.jpg")</f>
        <v/>
      </c>
      <c r="K3743" t="inlineStr">
        <is>
          <t>20.99</t>
        </is>
      </c>
      <c r="L3743" t="n">
        <v>12.95</v>
      </c>
      <c r="M3743" s="1" t="inlineStr">
        <is>
          <t>-38.30%</t>
        </is>
      </c>
      <c r="N3743" s="3" t="n">
        <v>-38.3</v>
      </c>
      <c r="O3743" t="n">
        <v>3.3</v>
      </c>
      <c r="P3743" t="n">
        <v>42</v>
      </c>
      <c r="R3743" t="inlineStr">
        <is>
          <t>InStock</t>
        </is>
      </c>
      <c r="S3743" t="inlineStr">
        <is>
          <t>27.95</t>
        </is>
      </c>
      <c r="T3743" t="inlineStr">
        <is>
          <t>703418-01</t>
        </is>
      </c>
    </row>
    <row r="3744" hidden="1" ht="15.75" customHeight="1">
      <c r="A3744" s="2">
        <f>HYPERLINK("https://www.soccerplususa.com/puma/puma-liga-jersey-youth-39601", "https://www.soccerplususa.com/puma/puma-liga-jersey-youth-39601")</f>
        <v/>
      </c>
      <c r="B3744" t="inlineStr">
        <is>
          <t>undefined</t>
        </is>
      </c>
      <c r="C3744" t="inlineStr">
        <is>
          <t>Puma Liga Jersey Youth</t>
        </is>
      </c>
      <c r="D3744" t="inlineStr">
        <is>
          <t>PUMA Kids' Youth Liga Training Jersey</t>
        </is>
      </c>
      <c r="E3744" s="2">
        <f>HYPERLINK("https://www.amazon.com/PUMA-Training-Jersey-Electric-Lemonade/dp/B07FGTC21T/ref=sr_1_4?keywords=Puma+Liga+Jersey+Youth&amp;qid=1695171161&amp;sr=8-4", "https://www.amazon.com/PUMA-Training-Jersey-Electric-Lemonade/dp/B07FGTC21T/ref=sr_1_4?keywords=Puma+Liga+Jersey+Youth&amp;qid=1695171161&amp;sr=8-4")</f>
        <v/>
      </c>
      <c r="F3744" t="inlineStr">
        <is>
          <t>B07FGTC21T</t>
        </is>
      </c>
      <c r="G3744">
        <f>_xludf.IMAGE("https://www.soccerplususa.com/prodimages//36796-WHITE-M.jpg")</f>
        <v/>
      </c>
      <c r="H3744">
        <f>_xludf.IMAGE("https://m.media-amazon.com/images/I/81fB0WeaEbL._AC_UL320_.jpg")</f>
        <v/>
      </c>
      <c r="K3744" t="inlineStr">
        <is>
          <t>20.99</t>
        </is>
      </c>
      <c r="L3744" t="n">
        <v>12.95</v>
      </c>
      <c r="M3744" s="1" t="inlineStr">
        <is>
          <t>-38.30%</t>
        </is>
      </c>
      <c r="N3744" s="3" t="n">
        <v>-38.3</v>
      </c>
      <c r="O3744" t="n">
        <v>3.3</v>
      </c>
      <c r="P3744" t="n">
        <v>42</v>
      </c>
      <c r="R3744" t="inlineStr">
        <is>
          <t>InStock</t>
        </is>
      </c>
      <c r="S3744" t="inlineStr">
        <is>
          <t>27.95</t>
        </is>
      </c>
      <c r="T3744" t="inlineStr">
        <is>
          <t>703418-14</t>
        </is>
      </c>
    </row>
    <row r="3745" hidden="1" ht="15.75" customHeight="1">
      <c r="A3745" s="2">
        <f>HYPERLINK("https://www.soccerplususa.com/puma/puma-liga-jersey-youth-39601", "https://www.soccerplususa.com/puma/puma-liga-jersey-youth-39601")</f>
        <v/>
      </c>
      <c r="B3745" t="inlineStr">
        <is>
          <t>undefined</t>
        </is>
      </c>
      <c r="C3745" t="inlineStr">
        <is>
          <t>Puma Liga Jersey Youth</t>
        </is>
      </c>
      <c r="D3745" t="inlineStr">
        <is>
          <t>PUMA Unisex Youth Cup Jersey</t>
        </is>
      </c>
      <c r="E3745" s="2">
        <f>HYPERLINK("https://www.amazon.com/PUMA-Kids-Cup-Jersey-White/dp/B084ZXCDZ8/ref=sr_1_9?keywords=Puma+Liga+Jersey+Youth&amp;qid=1695171161&amp;sr=8-9", "https://www.amazon.com/PUMA-Kids-Cup-Jersey-White/dp/B084ZXCDZ8/ref=sr_1_9?keywords=Puma+Liga+Jersey+Youth&amp;qid=1695171161&amp;sr=8-9")</f>
        <v/>
      </c>
      <c r="F3745" t="inlineStr">
        <is>
          <t>B084ZXCDZ8</t>
        </is>
      </c>
      <c r="G3745">
        <f>_xludf.IMAGE("https://www.soccerplususa.com/prodimages//36796-WHITE-M.jpg")</f>
        <v/>
      </c>
      <c r="H3745">
        <f>_xludf.IMAGE("https://m.media-amazon.com/images/I/71kUthjI2aL._AC_UL320_.jpg")</f>
        <v/>
      </c>
      <c r="K3745" t="inlineStr">
        <is>
          <t>20.99</t>
        </is>
      </c>
      <c r="L3745" t="n">
        <v>12.95</v>
      </c>
      <c r="M3745" s="1" t="inlineStr">
        <is>
          <t>-38.30%</t>
        </is>
      </c>
      <c r="N3745" s="3" t="n">
        <v>-38.3</v>
      </c>
      <c r="O3745" t="n">
        <v>4.2</v>
      </c>
      <c r="P3745" t="n">
        <v>4</v>
      </c>
      <c r="R3745" t="inlineStr">
        <is>
          <t>InStock</t>
        </is>
      </c>
      <c r="S3745" t="inlineStr">
        <is>
          <t>27.95</t>
        </is>
      </c>
      <c r="T3745" t="inlineStr">
        <is>
          <t>703418-14</t>
        </is>
      </c>
    </row>
    <row r="3746" hidden="1" ht="15.75" customHeight="1">
      <c r="A3746" s="2">
        <f>HYPERLINK("https://www.soccerplususa.com/puma/puma-liga-jersey-37884", "https://www.soccerplususa.com/puma/puma-liga-jersey-37884")</f>
        <v/>
      </c>
      <c r="B3746" t="inlineStr">
        <is>
          <t>undefined</t>
        </is>
      </c>
      <c r="C3746" t="inlineStr">
        <is>
          <t>Puma Liga Jersey</t>
        </is>
      </c>
      <c r="D3746" t="inlineStr">
        <is>
          <t>PUMA Men's Liga Jersey</t>
        </is>
      </c>
      <c r="E3746" s="2">
        <f>HYPERLINK("https://www.amazon.com/PUMA-70342613-LIGA-Jersey-W/dp/B075RCMZTV/ref=sr_1_10?keywords=Puma+Liga+Jersey&amp;qid=1695171168&amp;sr=8-10", "https://www.amazon.com/PUMA-70342613-LIGA-Jersey-W/dp/B075RCMZTV/ref=sr_1_10?keywords=Puma+Liga+Jersey&amp;qid=1695171168&amp;sr=8-10")</f>
        <v/>
      </c>
      <c r="F3746" t="inlineStr">
        <is>
          <t>B075RCMZTV</t>
        </is>
      </c>
      <c r="G3746">
        <f>_xludf.IMAGE("https://www.soccerplususa.com/prodimages//35270-NAVYWHITE-M.jpg")</f>
        <v/>
      </c>
      <c r="H3746">
        <f>_xludf.IMAGE("https://m.media-amazon.com/images/I/51ufXLu6e3L._AC_UL320_.jpg")</f>
        <v/>
      </c>
      <c r="K3746" t="inlineStr">
        <is>
          <t>20.99</t>
        </is>
      </c>
      <c r="L3746" t="n">
        <v>12.95</v>
      </c>
      <c r="M3746" s="1" t="inlineStr">
        <is>
          <t>-38.30%</t>
        </is>
      </c>
      <c r="N3746" s="3" t="n">
        <v>-38.3</v>
      </c>
      <c r="O3746" t="n">
        <v>4.4</v>
      </c>
      <c r="P3746" t="n">
        <v>19</v>
      </c>
      <c r="R3746" t="inlineStr">
        <is>
          <t>InStock</t>
        </is>
      </c>
      <c r="S3746" t="inlineStr">
        <is>
          <t>27.95</t>
        </is>
      </c>
      <c r="T3746" t="inlineStr">
        <is>
          <t>703417-06</t>
        </is>
      </c>
    </row>
    <row r="3747" hidden="1" ht="15.75" customHeight="1">
      <c r="A3747" s="2">
        <f>HYPERLINK("https://www.soccerplususa.com/adidas/adidas-tiro-21-track-jacket-41183", "https://www.soccerplususa.com/adidas/adidas-tiro-21-track-jacket-41183")</f>
        <v/>
      </c>
      <c r="B3747" t="inlineStr">
        <is>
          <t>undefined</t>
        </is>
      </c>
      <c r="C3747" t="inlineStr">
        <is>
          <t>adidas Tiro 21 Track Jacket</t>
        </is>
      </c>
      <c r="D3747" t="inlineStr">
        <is>
          <t>adidas Unisex-Child Tiro 21 Track Jacket</t>
        </is>
      </c>
      <c r="E3747" s="2">
        <f>HYPERLINK("https://www.amazon.com/adidas-unisex-child-Track-Jacket-X-Large/dp/B087C7FH79/ref=sr_1_3?keywords=adidas+Tiro+21+Track+Jacket&amp;qid=1695171147&amp;sr=8-3", "https://www.amazon.com/adidas-unisex-child-Track-Jacket-X-Large/dp/B087C7FH79/ref=sr_1_3?keywords=adidas+Tiro+21+Track+Jacket&amp;qid=1695171147&amp;sr=8-3")</f>
        <v/>
      </c>
      <c r="F3747" t="inlineStr">
        <is>
          <t>B087C7FH79</t>
        </is>
      </c>
      <c r="G3747">
        <f>_xludf.IMAGE("https://www.soccerplususa.com/prodimages//36165-BLACKWHITE-M.jpg")</f>
        <v/>
      </c>
      <c r="H3747">
        <f>_xludf.IMAGE("https://m.media-amazon.com/images/I/618W8IypD6L._AC_UL320_.jpg")</f>
        <v/>
      </c>
      <c r="K3747" t="inlineStr">
        <is>
          <t>50.0</t>
        </is>
      </c>
      <c r="L3747" t="n">
        <v>30.84</v>
      </c>
      <c r="M3747" s="1" t="inlineStr">
        <is>
          <t>-38.32%</t>
        </is>
      </c>
      <c r="N3747" s="3" t="n">
        <v>-38.32</v>
      </c>
      <c r="O3747" t="n">
        <v>4.5</v>
      </c>
      <c r="P3747" t="n">
        <v>338</v>
      </c>
      <c r="R3747" t="inlineStr">
        <is>
          <t>InStock</t>
        </is>
      </c>
      <c r="S3747" t="inlineStr">
        <is>
          <t>undefined</t>
        </is>
      </c>
      <c r="T3747" t="inlineStr">
        <is>
          <t>GM7319</t>
        </is>
      </c>
    </row>
    <row r="3748" hidden="1" ht="15.75" customHeight="1">
      <c r="A3748" s="2">
        <f>HYPERLINK("https://www.soccerplususa.com/adidas/adidas-tiro-21-track-jacket-41183", "https://www.soccerplususa.com/adidas/adidas-tiro-21-track-jacket-41183")</f>
        <v/>
      </c>
      <c r="B3748" t="inlineStr">
        <is>
          <t>undefined</t>
        </is>
      </c>
      <c r="C3748" t="inlineStr">
        <is>
          <t>adidas Tiro 21 Track Jacket</t>
        </is>
      </c>
      <c r="D3748" t="inlineStr">
        <is>
          <t>adidas Tiro 21 Track Jacket</t>
        </is>
      </c>
      <c r="E3748" s="2">
        <f>HYPERLINK("https://www.amazon.com/adidas-Womens-Track-Jacket-X-Small/dp/B087C48G52/ref=sr_1_9?keywords=adidas+Tiro+21+Track+Jacket&amp;qid=1695171147&amp;sr=8-9", "https://www.amazon.com/adidas-Womens-Track-Jacket-X-Small/dp/B087C48G52/ref=sr_1_9?keywords=adidas+Tiro+21+Track+Jacket&amp;qid=1695171147&amp;sr=8-9")</f>
        <v/>
      </c>
      <c r="F3748" t="inlineStr">
        <is>
          <t>B087C48G52</t>
        </is>
      </c>
      <c r="G3748">
        <f>_xludf.IMAGE("https://www.soccerplususa.com/prodimages//36165-BLACKWHITE-M.jpg")</f>
        <v/>
      </c>
      <c r="H3748">
        <f>_xludf.IMAGE("https://m.media-amazon.com/images/I/51paqs2H6hL._AC_UL320_.jpg")</f>
        <v/>
      </c>
      <c r="K3748" t="inlineStr">
        <is>
          <t>50.0</t>
        </is>
      </c>
      <c r="L3748" t="n">
        <v>30.77</v>
      </c>
      <c r="M3748" s="1" t="inlineStr">
        <is>
          <t>-38.46%</t>
        </is>
      </c>
      <c r="N3748" s="3" t="n">
        <v>-38.46</v>
      </c>
      <c r="O3748" t="n">
        <v>4.7</v>
      </c>
      <c r="P3748" t="n">
        <v>34</v>
      </c>
      <c r="R3748" t="inlineStr">
        <is>
          <t>InStock</t>
        </is>
      </c>
      <c r="S3748" t="inlineStr">
        <is>
          <t>undefined</t>
        </is>
      </c>
      <c r="T3748" t="inlineStr">
        <is>
          <t>GM7319</t>
        </is>
      </c>
    </row>
    <row r="3749" hidden="1" ht="15.75" customHeight="1">
      <c r="A3749" s="2">
        <f>HYPERLINK("https://www.soccerplususa.com/adidas/adidas-tiro-21-track-jacket-womens-41184", "https://www.soccerplususa.com/adidas/adidas-tiro-21-track-jacket-womens-41184")</f>
        <v/>
      </c>
      <c r="B3749" t="inlineStr">
        <is>
          <t>undefined</t>
        </is>
      </c>
      <c r="C3749" t="inlineStr">
        <is>
          <t>adidas Tiro 21 Track Jacket Women's</t>
        </is>
      </c>
      <c r="D3749" t="inlineStr">
        <is>
          <t>adidas Tiro 21 Track Jacket</t>
        </is>
      </c>
      <c r="E3749" s="2">
        <f>HYPERLINK("https://www.amazon.com/adidas-Womens-Track-Jacket-X-Small/dp/B087C48G52/ref=sr_1_4?keywords=adidas+Tiro+21+Track+Jacket+Women%27s&amp;qid=1695171150&amp;sr=8-4", "https://www.amazon.com/adidas-Womens-Track-Jacket-X-Small/dp/B087C48G52/ref=sr_1_4?keywords=adidas+Tiro+21+Track+Jacket+Women%27s&amp;qid=1695171150&amp;sr=8-4")</f>
        <v/>
      </c>
      <c r="F3749" t="inlineStr">
        <is>
          <t>B087C48G52</t>
        </is>
      </c>
      <c r="G3749">
        <f>_xludf.IMAGE("https://www.soccerplususa.com/prodimages//36136-BLACKWHITE-M.jpg")</f>
        <v/>
      </c>
      <c r="H3749">
        <f>_xludf.IMAGE("https://m.media-amazon.com/images/I/51paqs2H6hL._AC_UL320_.jpg")</f>
        <v/>
      </c>
      <c r="K3749" t="inlineStr">
        <is>
          <t>50.0</t>
        </is>
      </c>
      <c r="L3749" t="n">
        <v>30.77</v>
      </c>
      <c r="M3749" s="1" t="inlineStr">
        <is>
          <t>-38.46%</t>
        </is>
      </c>
      <c r="N3749" s="3" t="n">
        <v>-38.46</v>
      </c>
      <c r="O3749" t="n">
        <v>4.7</v>
      </c>
      <c r="P3749" t="n">
        <v>34</v>
      </c>
      <c r="R3749" t="inlineStr">
        <is>
          <t>InStock</t>
        </is>
      </c>
      <c r="S3749" t="inlineStr">
        <is>
          <t>undefined</t>
        </is>
      </c>
      <c r="T3749" t="inlineStr">
        <is>
          <t>GM7307</t>
        </is>
      </c>
    </row>
    <row r="3750" hidden="1" ht="15.75" customHeight="1">
      <c r="A3750" s="2">
        <f>HYPERLINK("https://www.soccerplususa.com/puma/puma-liga-jersey-37884", "https://www.soccerplususa.com/puma/puma-liga-jersey-37884")</f>
        <v/>
      </c>
      <c r="B3750" t="inlineStr">
        <is>
          <t>undefined</t>
        </is>
      </c>
      <c r="C3750" t="inlineStr">
        <is>
          <t>Puma Liga Jersey</t>
        </is>
      </c>
      <c r="D3750" t="inlineStr">
        <is>
          <t>PUMA Men's Liga Jersey</t>
        </is>
      </c>
      <c r="E3750" s="2">
        <f>HYPERLINK("https://www.amazon.com/PUMA-Jersey-Electric-Lemonade-White/dp/B075RDMXVP/ref=sr_1_2?keywords=Puma+Liga+Jersey&amp;qid=1695171168&amp;sr=8-2", "https://www.amazon.com/PUMA-Jersey-Electric-Lemonade-White/dp/B075RDMXVP/ref=sr_1_2?keywords=Puma+Liga+Jersey&amp;qid=1695171168&amp;sr=8-2")</f>
        <v/>
      </c>
      <c r="F3750" t="inlineStr">
        <is>
          <t>B075RDMXVP</t>
        </is>
      </c>
      <c r="G3750">
        <f>_xludf.IMAGE("https://www.soccerplususa.com/prodimages//35270-NAVYWHITE-M.jpg")</f>
        <v/>
      </c>
      <c r="H3750">
        <f>_xludf.IMAGE("https://m.media-amazon.com/images/I/71IBlyL639L._AC_UL320_.jpg")</f>
        <v/>
      </c>
      <c r="K3750" t="inlineStr">
        <is>
          <t>20.99</t>
        </is>
      </c>
      <c r="L3750" t="n">
        <v>12.91</v>
      </c>
      <c r="M3750" s="1" t="inlineStr">
        <is>
          <t>-38.49%</t>
        </is>
      </c>
      <c r="N3750" s="3" t="n">
        <v>-38.49</v>
      </c>
      <c r="O3750" t="n">
        <v>4.5</v>
      </c>
      <c r="P3750" t="n">
        <v>1119</v>
      </c>
      <c r="R3750" t="inlineStr">
        <is>
          <t>InStock</t>
        </is>
      </c>
      <c r="S3750" t="inlineStr">
        <is>
          <t>27.95</t>
        </is>
      </c>
      <c r="T3750" t="inlineStr">
        <is>
          <t>703417-06</t>
        </is>
      </c>
    </row>
    <row r="3751" hidden="1" ht="15.75" customHeight="1">
      <c r="A3751" s="2">
        <f>HYPERLINK("https://www.soccerplususa.com/adidas/adidas-tiro-19-training-jacket-33866", "https://www.soccerplususa.com/adidas/adidas-tiro-19-training-jacket-33866")</f>
        <v/>
      </c>
      <c r="B3751" t="inlineStr">
        <is>
          <t>undefined</t>
        </is>
      </c>
      <c r="C3751" t="inlineStr">
        <is>
          <t>adidas Tiro 19 Training Jacket</t>
        </is>
      </c>
      <c r="D3751" t="inlineStr">
        <is>
          <t>adidas Tiro 19 Training Jacket DW4795_Grey/White YXS</t>
        </is>
      </c>
      <c r="E3751" s="2">
        <f>HYPERLINK("https://www.amazon.com/adidas-Tiro-Youth-Jacket-White/dp/B07H3VHQMV/ref=sr_1_2?keywords=adidas+Tiro+19+Training+Jacket&amp;qid=1695171181&amp;sr=8-2", "https://www.amazon.com/adidas-Tiro-Youth-Jacket-White/dp/B07H3VHQMV/ref=sr_1_2?keywords=adidas+Tiro+19+Training+Jacket&amp;qid=1695171181&amp;sr=8-2")</f>
        <v/>
      </c>
      <c r="F3751" t="inlineStr">
        <is>
          <t>B07H3VHQMV</t>
        </is>
      </c>
      <c r="G3751">
        <f>_xludf.IMAGE("https://www.soccerplususa.com/prodimages/8017-DEFAULT-l.jpg")</f>
        <v/>
      </c>
      <c r="H3751">
        <f>_xludf.IMAGE("https://m.media-amazon.com/images/I/81i8MyHlXJL._AC_UL320_.jpg")</f>
        <v/>
      </c>
      <c r="K3751" t="inlineStr">
        <is>
          <t>49.0</t>
        </is>
      </c>
      <c r="L3751" t="n">
        <v>29.9</v>
      </c>
      <c r="M3751" s="1" t="inlineStr">
        <is>
          <t>-38.98%</t>
        </is>
      </c>
      <c r="N3751" s="3" t="n">
        <v>-38.98</v>
      </c>
      <c r="O3751" t="n">
        <v>4.1</v>
      </c>
      <c r="P3751" t="n">
        <v>5</v>
      </c>
      <c r="R3751" t="inlineStr">
        <is>
          <t>InStock</t>
        </is>
      </c>
      <c r="S3751" t="inlineStr">
        <is>
          <t>64.95</t>
        </is>
      </c>
      <c r="T3751" t="inlineStr">
        <is>
          <t>D95953</t>
        </is>
      </c>
    </row>
    <row r="3752" hidden="1" ht="15.75" customHeight="1">
      <c r="A3752" s="2">
        <f>HYPERLINK("https://www.soccerplususa.com/adidas/adidas-tiro-19-training-jacket-33919", "https://www.soccerplususa.com/adidas/adidas-tiro-19-training-jacket-33919")</f>
        <v/>
      </c>
      <c r="B3752" t="inlineStr">
        <is>
          <t>undefined</t>
        </is>
      </c>
      <c r="C3752" t="inlineStr">
        <is>
          <t>adidas Tiro 19 Training Jacket</t>
        </is>
      </c>
      <c r="D3752" t="inlineStr">
        <is>
          <t>adidas Tiro 19 Training Jacket DW4795_Grey/White</t>
        </is>
      </c>
      <c r="E3752" s="2">
        <f>HYPERLINK("https://www.amazon.com/adidas-Training-Jacket-DW4795_Grey-White/dp/B07H4842HT/ref=sr_1_5?keywords=adidas+Tiro+19+Training+Jacket&amp;qid=1695171165&amp;sr=8-5", "https://www.amazon.com/adidas-Training-Jacket-DW4795_Grey-White/dp/B07H4842HT/ref=sr_1_5?keywords=adidas+Tiro+19+Training+Jacket&amp;qid=1695171165&amp;sr=8-5")</f>
        <v/>
      </c>
      <c r="F3752" t="inlineStr">
        <is>
          <t>B07H4842HT</t>
        </is>
      </c>
      <c r="G3752">
        <f>_xludf.IMAGE("https://www.soccerplususa.com/prodimages/7895-DEFAULT-l.jpg")</f>
        <v/>
      </c>
      <c r="H3752">
        <f>_xludf.IMAGE("https://m.media-amazon.com/images/I/81i8MyHlXJL._AC_UL320_.jpg")</f>
        <v/>
      </c>
      <c r="K3752" t="inlineStr">
        <is>
          <t>49.0</t>
        </is>
      </c>
      <c r="L3752" t="n">
        <v>29.9</v>
      </c>
      <c r="M3752" s="1" t="inlineStr">
        <is>
          <t>-38.98%</t>
        </is>
      </c>
      <c r="N3752" s="3" t="n">
        <v>-38.98</v>
      </c>
      <c r="O3752" t="n">
        <v>4</v>
      </c>
      <c r="P3752" t="n">
        <v>28</v>
      </c>
      <c r="R3752" t="inlineStr">
        <is>
          <t>InStock</t>
        </is>
      </c>
      <c r="S3752" t="inlineStr">
        <is>
          <t>64.95</t>
        </is>
      </c>
      <c r="T3752" t="inlineStr">
        <is>
          <t>DJ2594</t>
        </is>
      </c>
    </row>
    <row r="3753" hidden="1" ht="15.75" customHeight="1">
      <c r="A3753" s="2">
        <f>HYPERLINK("https://www.soccerplususa.com/adidas/adidas-tiro-19-training-jacket-33866", "https://www.soccerplususa.com/adidas/adidas-tiro-19-training-jacket-33866")</f>
        <v/>
      </c>
      <c r="B3753" t="inlineStr">
        <is>
          <t>undefined</t>
        </is>
      </c>
      <c r="C3753" t="inlineStr">
        <is>
          <t>adidas Tiro 19 Training Jacket</t>
        </is>
      </c>
      <c r="D3753" t="inlineStr">
        <is>
          <t>adidas Tiro 19 Training Jacket DW4795_Grey/White</t>
        </is>
      </c>
      <c r="E3753" s="2">
        <f>HYPERLINK("https://www.amazon.com/adidas-Training-Jacket-DW4795_Grey-White/dp/B07H4842HT/ref=sr_1_4?keywords=adidas+Tiro+19+Training+Jacket&amp;qid=1695171181&amp;sr=8-4", "https://www.amazon.com/adidas-Training-Jacket-DW4795_Grey-White/dp/B07H4842HT/ref=sr_1_4?keywords=adidas+Tiro+19+Training+Jacket&amp;qid=1695171181&amp;sr=8-4")</f>
        <v/>
      </c>
      <c r="F3753" t="inlineStr">
        <is>
          <t>B07H4842HT</t>
        </is>
      </c>
      <c r="G3753">
        <f>_xludf.IMAGE("https://www.soccerplususa.com/prodimages/8017-DEFAULT-l.jpg")</f>
        <v/>
      </c>
      <c r="H3753">
        <f>_xludf.IMAGE("https://m.media-amazon.com/images/I/81i8MyHlXJL._AC_UL320_.jpg")</f>
        <v/>
      </c>
      <c r="K3753" t="inlineStr">
        <is>
          <t>49.0</t>
        </is>
      </c>
      <c r="L3753" t="n">
        <v>29.9</v>
      </c>
      <c r="M3753" s="1" t="inlineStr">
        <is>
          <t>-38.98%</t>
        </is>
      </c>
      <c r="N3753" s="3" t="n">
        <v>-38.98</v>
      </c>
      <c r="O3753" t="n">
        <v>4</v>
      </c>
      <c r="P3753" t="n">
        <v>28</v>
      </c>
      <c r="R3753" t="inlineStr">
        <is>
          <t>InStock</t>
        </is>
      </c>
      <c r="S3753" t="inlineStr">
        <is>
          <t>64.95</t>
        </is>
      </c>
      <c r="T3753" t="inlineStr">
        <is>
          <t>D95953</t>
        </is>
      </c>
    </row>
    <row r="3754" hidden="1" ht="15.75" customHeight="1">
      <c r="A3754" s="2">
        <f>HYPERLINK("https://www.soccerplususa.com/adidas/adidas-tiro-19-training-jacket-33996", "https://www.soccerplususa.com/adidas/adidas-tiro-19-training-jacket-33996")</f>
        <v/>
      </c>
      <c r="B3754" t="inlineStr">
        <is>
          <t>undefined</t>
        </is>
      </c>
      <c r="C3754" t="inlineStr">
        <is>
          <t>adidas Tiro 19 Training Jacket</t>
        </is>
      </c>
      <c r="D3754" t="inlineStr">
        <is>
          <t>adidas Tiro 19 Training Jacket DW4795_Grey/White YXS</t>
        </is>
      </c>
      <c r="E3754" s="2">
        <f>HYPERLINK("https://www.amazon.com/adidas-Tiro-Youth-Jacket-White/dp/B07H3VHQMV/ref=sr_1_2?keywords=adidas+Tiro+19+Training+Jacket&amp;qid=1695171209&amp;sr=8-2", "https://www.amazon.com/adidas-Tiro-Youth-Jacket-White/dp/B07H3VHQMV/ref=sr_1_2?keywords=adidas+Tiro+19+Training+Jacket&amp;qid=1695171209&amp;sr=8-2")</f>
        <v/>
      </c>
      <c r="F3754" t="inlineStr">
        <is>
          <t>B07H3VHQMV</t>
        </is>
      </c>
      <c r="G3754">
        <f>_xludf.IMAGE("https://www.soccerplususa.com/prodimages/8018-DEFAULT-l.jpg")</f>
        <v/>
      </c>
      <c r="H3754">
        <f>_xludf.IMAGE("https://m.media-amazon.com/images/I/81i8MyHlXJL._AC_UL320_.jpg")</f>
        <v/>
      </c>
      <c r="K3754" t="inlineStr">
        <is>
          <t>49.0</t>
        </is>
      </c>
      <c r="L3754" t="n">
        <v>29.9</v>
      </c>
      <c r="M3754" s="1" t="inlineStr">
        <is>
          <t>-38.98%</t>
        </is>
      </c>
      <c r="N3754" s="3" t="n">
        <v>-38.98</v>
      </c>
      <c r="O3754" t="n">
        <v>4.1</v>
      </c>
      <c r="P3754" t="n">
        <v>5</v>
      </c>
      <c r="R3754" t="inlineStr">
        <is>
          <t>InStock</t>
        </is>
      </c>
      <c r="S3754" t="inlineStr">
        <is>
          <t>64.95</t>
        </is>
      </c>
      <c r="T3754" t="inlineStr">
        <is>
          <t>DT5272</t>
        </is>
      </c>
    </row>
    <row r="3755" hidden="1" ht="15.75" customHeight="1">
      <c r="A3755" s="2">
        <f>HYPERLINK("https://www.soccerplususa.com/adidas/adidas-tiro-19-training-jacket-33996", "https://www.soccerplususa.com/adidas/adidas-tiro-19-training-jacket-33996")</f>
        <v/>
      </c>
      <c r="B3755" t="inlineStr">
        <is>
          <t>undefined</t>
        </is>
      </c>
      <c r="C3755" t="inlineStr">
        <is>
          <t>adidas Tiro 19 Training Jacket</t>
        </is>
      </c>
      <c r="D3755" t="inlineStr">
        <is>
          <t>adidas Tiro 19 Training Jacket DW4795_Grey/White</t>
        </is>
      </c>
      <c r="E3755" s="2">
        <f>HYPERLINK("https://www.amazon.com/adidas-Training-Jacket-DW4795_Grey-White/dp/B07H4842HT/ref=sr_1_3?keywords=adidas+Tiro+19+Training+Jacket&amp;qid=1695171209&amp;sr=8-3", "https://www.amazon.com/adidas-Training-Jacket-DW4795_Grey-White/dp/B07H4842HT/ref=sr_1_3?keywords=adidas+Tiro+19+Training+Jacket&amp;qid=1695171209&amp;sr=8-3")</f>
        <v/>
      </c>
      <c r="F3755" t="inlineStr">
        <is>
          <t>B07H4842HT</t>
        </is>
      </c>
      <c r="G3755">
        <f>_xludf.IMAGE("https://www.soccerplususa.com/prodimages/8018-DEFAULT-l.jpg")</f>
        <v/>
      </c>
      <c r="H3755">
        <f>_xludf.IMAGE("https://m.media-amazon.com/images/I/81i8MyHlXJL._AC_UL320_.jpg")</f>
        <v/>
      </c>
      <c r="K3755" t="inlineStr">
        <is>
          <t>49.0</t>
        </is>
      </c>
      <c r="L3755" t="n">
        <v>29.9</v>
      </c>
      <c r="M3755" s="1" t="inlineStr">
        <is>
          <t>-38.98%</t>
        </is>
      </c>
      <c r="N3755" s="3" t="n">
        <v>-38.98</v>
      </c>
      <c r="O3755" t="n">
        <v>4</v>
      </c>
      <c r="P3755" t="n">
        <v>28</v>
      </c>
      <c r="R3755" t="inlineStr">
        <is>
          <t>InStock</t>
        </is>
      </c>
      <c r="S3755" t="inlineStr">
        <is>
          <t>64.95</t>
        </is>
      </c>
      <c r="T3755" t="inlineStr">
        <is>
          <t>DT5272</t>
        </is>
      </c>
    </row>
    <row r="3756" hidden="1" ht="15.75" customHeight="1">
      <c r="A3756" s="2">
        <f>HYPERLINK("https://www.soccerplususa.com/adidas/adidas-tiro-19-training-jacket-33919", "https://www.soccerplususa.com/adidas/adidas-tiro-19-training-jacket-33919")</f>
        <v/>
      </c>
      <c r="B3756" t="inlineStr">
        <is>
          <t>undefined</t>
        </is>
      </c>
      <c r="C3756" t="inlineStr">
        <is>
          <t>adidas Tiro 19 Training Jacket</t>
        </is>
      </c>
      <c r="D3756" t="inlineStr">
        <is>
          <t>adidas Tiro 19 Training Jacket DW4795_Grey/White YXS</t>
        </is>
      </c>
      <c r="E3756" s="2">
        <f>HYPERLINK("https://www.amazon.com/adidas-Tiro-Youth-Jacket-White/dp/B07H3VHQMV/ref=sr_1_2?keywords=adidas+Tiro+19+Training+Jacket&amp;qid=1695171165&amp;sr=8-2", "https://www.amazon.com/adidas-Tiro-Youth-Jacket-White/dp/B07H3VHQMV/ref=sr_1_2?keywords=adidas+Tiro+19+Training+Jacket&amp;qid=1695171165&amp;sr=8-2")</f>
        <v/>
      </c>
      <c r="F3756" t="inlineStr">
        <is>
          <t>B07H3VHQMV</t>
        </is>
      </c>
      <c r="G3756">
        <f>_xludf.IMAGE("https://www.soccerplususa.com/prodimages/7895-DEFAULT-l.jpg")</f>
        <v/>
      </c>
      <c r="H3756">
        <f>_xludf.IMAGE("https://m.media-amazon.com/images/I/81i8MyHlXJL._AC_UL320_.jpg")</f>
        <v/>
      </c>
      <c r="K3756" t="inlineStr">
        <is>
          <t>49.0</t>
        </is>
      </c>
      <c r="L3756" t="n">
        <v>29.9</v>
      </c>
      <c r="M3756" s="1" t="inlineStr">
        <is>
          <t>-38.98%</t>
        </is>
      </c>
      <c r="N3756" s="3" t="n">
        <v>-38.98</v>
      </c>
      <c r="O3756" t="n">
        <v>4.1</v>
      </c>
      <c r="P3756" t="n">
        <v>5</v>
      </c>
      <c r="R3756" t="inlineStr">
        <is>
          <t>InStock</t>
        </is>
      </c>
      <c r="S3756" t="inlineStr">
        <is>
          <t>64.95</t>
        </is>
      </c>
      <c r="T3756" t="inlineStr">
        <is>
          <t>DJ2594</t>
        </is>
      </c>
    </row>
    <row r="3757" hidden="1" ht="15.75" customHeight="1">
      <c r="A3757" s="2">
        <f>HYPERLINK("https://www.soccerplususa.com/puma/puma-liga-jersey-womens-39602", "https://www.soccerplususa.com/puma/puma-liga-jersey-womens-39602")</f>
        <v/>
      </c>
      <c r="B3757" t="inlineStr">
        <is>
          <t>undefined</t>
        </is>
      </c>
      <c r="C3757" t="inlineStr">
        <is>
          <t>Puma Liga Jersey Women's</t>
        </is>
      </c>
      <c r="D3757" t="inlineStr">
        <is>
          <t>PUMA womens Liga Jersey, Pepper Green-white, Large US</t>
        </is>
      </c>
      <c r="E3757" s="2">
        <f>HYPERLINK("https://www.amazon.com/PUMA-Womens-Jersey-Pepper-Greenpuma/dp/B075RDT3RN/ref=sr_1_2?keywords=Puma+Liga+Jersey+Womens&amp;qid=1695171150&amp;sr=8-2", "https://www.amazon.com/PUMA-Womens-Jersey-Pepper-Greenpuma/dp/B075RDT3RN/ref=sr_1_2?keywords=Puma+Liga+Jersey+Womens&amp;qid=1695171150&amp;sr=8-2")</f>
        <v/>
      </c>
      <c r="F3757" t="inlineStr">
        <is>
          <t>B075RDT3RN</t>
        </is>
      </c>
      <c r="G3757">
        <f>_xludf.IMAGE("https://www.soccerplususa.com/prodimages//36786-REDWHITE-M.jpg")</f>
        <v/>
      </c>
      <c r="H3757">
        <f>_xludf.IMAGE("https://m.media-amazon.com/images/I/61wpCRiZqaL._AC_UL320_.jpg")</f>
        <v/>
      </c>
      <c r="K3757" t="inlineStr">
        <is>
          <t>20.99</t>
        </is>
      </c>
      <c r="L3757" t="n">
        <v>12.72</v>
      </c>
      <c r="M3757" s="1" t="inlineStr">
        <is>
          <t>-39.40%</t>
        </is>
      </c>
      <c r="N3757" s="3" t="n">
        <v>-39.4</v>
      </c>
      <c r="O3757" t="n">
        <v>4.1</v>
      </c>
      <c r="P3757" t="n">
        <v>10</v>
      </c>
      <c r="R3757" t="inlineStr">
        <is>
          <t>InStock</t>
        </is>
      </c>
      <c r="S3757" t="inlineStr">
        <is>
          <t>27.95</t>
        </is>
      </c>
      <c r="T3757" t="inlineStr">
        <is>
          <t>703426-01</t>
        </is>
      </c>
    </row>
    <row r="3758" hidden="1" ht="15.75" customHeight="1">
      <c r="A3758" s="2">
        <f>HYPERLINK("https://www.soccerplususa.com/under-armour/under-armour-coldgear-authentics-mock-womens-44305", "https://www.soccerplususa.com/under-armour/under-armour-coldgear-authentics-mock-womens-44305")</f>
        <v/>
      </c>
      <c r="B3758" t="inlineStr">
        <is>
          <t>undefined</t>
        </is>
      </c>
      <c r="C3758" t="inlineStr">
        <is>
          <t>Under Armour ColdGear Authentics Mock Women's</t>
        </is>
      </c>
      <c r="D3758" t="inlineStr">
        <is>
          <t>Under Armour Women's ColdGear Authentics Leggings</t>
        </is>
      </c>
      <c r="E3758" s="2">
        <f>HYPERLINK("https://www.amazon.com/Under-Armour-Womens-Authentics-Leggings/dp/B08LNWXNDM/ref=sr_1_6?keywords=Under+Armour+ColdGear+Authentics+Mock+Womens&amp;qid=1695171151&amp;sr=8-6", "https://www.amazon.com/Under-Armour-Womens-Authentics-Leggings/dp/B08LNWXNDM/ref=sr_1_6?keywords=Under+Armour+ColdGear+Authentics+Mock+Womens&amp;qid=1695171151&amp;sr=8-6")</f>
        <v/>
      </c>
      <c r="F3758" t="inlineStr">
        <is>
          <t>B08LNWXNDM</t>
        </is>
      </c>
      <c r="G3758">
        <f>_xludf.IMAGE("https://www.soccerplususa.com/prodimages//36058-WHITE-M.jpg")</f>
        <v/>
      </c>
      <c r="H3758">
        <f>_xludf.IMAGE("https://m.media-amazon.com/images/I/41DlIziI0+L._AC_UL320_.jpg")</f>
        <v/>
      </c>
      <c r="K3758" t="inlineStr">
        <is>
          <t>54.95</t>
        </is>
      </c>
      <c r="L3758" t="n">
        <v>33.2</v>
      </c>
      <c r="M3758" s="1" t="inlineStr">
        <is>
          <t>-39.58%</t>
        </is>
      </c>
      <c r="N3758" s="3" t="n">
        <v>-39.58</v>
      </c>
      <c r="O3758" t="n">
        <v>4.5</v>
      </c>
      <c r="P3758" t="n">
        <v>625</v>
      </c>
      <c r="R3758" t="inlineStr">
        <is>
          <t>InStock</t>
        </is>
      </c>
      <c r="S3758" t="inlineStr">
        <is>
          <t>undefined</t>
        </is>
      </c>
      <c r="T3758" t="inlineStr">
        <is>
          <t>1368702-100</t>
        </is>
      </c>
    </row>
    <row r="3759" hidden="1" ht="15.75" customHeight="1">
      <c r="A3759" s="2">
        <f>HYPERLINK("https://www.soccerplususa.com/under-armour/under-armour-coldgear-authentics-mock-womens-44304", "https://www.soccerplususa.com/under-armour/under-armour-coldgear-authentics-mock-womens-44304")</f>
        <v/>
      </c>
      <c r="B3759" t="inlineStr">
        <is>
          <t>undefined</t>
        </is>
      </c>
      <c r="C3759" t="inlineStr">
        <is>
          <t>Under Armour ColdGear Authentics Mock Women's</t>
        </is>
      </c>
      <c r="D3759" t="inlineStr">
        <is>
          <t>Under Armour Women's ColdGear Authentics Leggings</t>
        </is>
      </c>
      <c r="E3759" s="2">
        <f>HYPERLINK("https://www.amazon.com/Under-Armour-Womens-Authentics-Leggings/dp/B08LNWXNDM/ref=sr_1_6?keywords=Under+Armour+ColdGear+Authentics+Mock+Womens&amp;qid=1695171145&amp;sr=8-6", "https://www.amazon.com/Under-Armour-Womens-Authentics-Leggings/dp/B08LNWXNDM/ref=sr_1_6?keywords=Under+Armour+ColdGear+Authentics+Mock+Womens&amp;qid=1695171145&amp;sr=8-6")</f>
        <v/>
      </c>
      <c r="F3759" t="inlineStr">
        <is>
          <t>B08LNWXNDM</t>
        </is>
      </c>
      <c r="G3759">
        <f>_xludf.IMAGE("https://www.soccerplususa.com/prodimages//36059-BLACK-M.jpg")</f>
        <v/>
      </c>
      <c r="H3759">
        <f>_xludf.IMAGE("https://m.media-amazon.com/images/I/41DlIziI0+L._AC_UL320_.jpg")</f>
        <v/>
      </c>
      <c r="K3759" t="inlineStr">
        <is>
          <t>54.95</t>
        </is>
      </c>
      <c r="L3759" t="n">
        <v>33.2</v>
      </c>
      <c r="M3759" s="1" t="inlineStr">
        <is>
          <t>-39.58%</t>
        </is>
      </c>
      <c r="N3759" s="3" t="n">
        <v>-39.58</v>
      </c>
      <c r="O3759" t="n">
        <v>4.5</v>
      </c>
      <c r="P3759" t="n">
        <v>625</v>
      </c>
      <c r="R3759" t="inlineStr">
        <is>
          <t>InStock</t>
        </is>
      </c>
      <c r="S3759" t="inlineStr">
        <is>
          <t>undefined</t>
        </is>
      </c>
      <c r="T3759" t="inlineStr">
        <is>
          <t>1368702-001</t>
        </is>
      </c>
    </row>
    <row r="3760" hidden="1" ht="15.75" customHeight="1">
      <c r="A3760" s="2">
        <f>HYPERLINK("https://www.soccerplususa.com/puma/puma-veloce-stadium-jacket-29007", "https://www.soccerplususa.com/puma/puma-veloce-stadium-jacket-29007")</f>
        <v/>
      </c>
      <c r="B3760" t="inlineStr">
        <is>
          <t>undefined</t>
        </is>
      </c>
      <c r="C3760" t="inlineStr">
        <is>
          <t>Puma Veloce Stadium Jacket</t>
        </is>
      </c>
      <c r="D3760" t="inlineStr">
        <is>
          <t>PUMA Kids Boys Veloce Stadium Jacket Coats Jackets Outerwear Full Zip - Blue</t>
        </is>
      </c>
      <c r="E3760" s="2">
        <f>HYPERLINK("https://www.amazon.com/PUMA-Veloce-Stadium-Jacket-Youth/dp/B0185VZXK2/ref=sr_1_2?keywords=Puma+Veloce+Stadium+Jacket&amp;qid=1695171172&amp;sr=8-2", "https://www.amazon.com/PUMA-Veloce-Stadium-Jacket-Youth/dp/B0185VZXK2/ref=sr_1_2?keywords=Puma+Veloce+Stadium+Jacket&amp;qid=1695171172&amp;sr=8-2")</f>
        <v/>
      </c>
      <c r="F3760" t="inlineStr">
        <is>
          <t>B0185VZXK2</t>
        </is>
      </c>
      <c r="G3760">
        <f>_xludf.IMAGE("https://www.soccerplususa.com/prodimages/3892-DEFAULT-l.jpg")</f>
        <v/>
      </c>
      <c r="H3760">
        <f>_xludf.IMAGE("https://m.media-amazon.com/images/I/51V5ajYa4ZS._AC_UL320_.jpg")</f>
        <v/>
      </c>
      <c r="K3760" t="inlineStr">
        <is>
          <t>30.0</t>
        </is>
      </c>
      <c r="L3760" t="n">
        <v>17.95</v>
      </c>
      <c r="M3760" s="1" t="inlineStr">
        <is>
          <t>-40.17%</t>
        </is>
      </c>
      <c r="N3760" s="3" t="n">
        <v>-40.17</v>
      </c>
      <c r="O3760" t="n">
        <v>3.2</v>
      </c>
      <c r="P3760" t="n">
        <v>4</v>
      </c>
      <c r="R3760" t="inlineStr">
        <is>
          <t>InStock</t>
        </is>
      </c>
      <c r="S3760" t="inlineStr">
        <is>
          <t>59.95</t>
        </is>
      </c>
      <c r="T3760" t="inlineStr">
        <is>
          <t>654643-03</t>
        </is>
      </c>
    </row>
    <row r="3761" hidden="1" ht="15.75" customHeight="1">
      <c r="A3761" s="2">
        <f>HYPERLINK("https://www.soccerplususa.com/puma/puma-veloce-stadium-jacket-29007", "https://www.soccerplususa.com/puma/puma-veloce-stadium-jacket-29007")</f>
        <v/>
      </c>
      <c r="B3761" t="inlineStr">
        <is>
          <t>undefined</t>
        </is>
      </c>
      <c r="C3761" t="inlineStr">
        <is>
          <t>Puma Veloce Stadium Jacket</t>
        </is>
      </c>
      <c r="D3761" t="inlineStr">
        <is>
          <t>PUMA Kids Boys Veloce Stadium Jacket Coats Jackets Outerwear Full Zip - Black</t>
        </is>
      </c>
      <c r="E3761" s="2">
        <f>HYPERLINK("https://www.amazon.com/PUMA-Veloce-Stadium-Jacket-Medium/dp/B0185VZFIM/ref=sr_1_1?keywords=Puma+Veloce+Stadium+Jacket&amp;qid=1695171172&amp;sr=8-1", "https://www.amazon.com/PUMA-Veloce-Stadium-Jacket-Medium/dp/B0185VZFIM/ref=sr_1_1?keywords=Puma+Veloce+Stadium+Jacket&amp;qid=1695171172&amp;sr=8-1")</f>
        <v/>
      </c>
      <c r="F3761" t="inlineStr">
        <is>
          <t>B0185VZFIM</t>
        </is>
      </c>
      <c r="G3761">
        <f>_xludf.IMAGE("https://www.soccerplususa.com/prodimages/3892-DEFAULT-l.jpg")</f>
        <v/>
      </c>
      <c r="H3761">
        <f>_xludf.IMAGE("https://m.media-amazon.com/images/I/510ti0xHvjS._AC_UL320_.jpg")</f>
        <v/>
      </c>
      <c r="K3761" t="inlineStr">
        <is>
          <t>30.0</t>
        </is>
      </c>
      <c r="L3761" t="n">
        <v>17.95</v>
      </c>
      <c r="M3761" s="1" t="inlineStr">
        <is>
          <t>-40.17%</t>
        </is>
      </c>
      <c r="N3761" s="3" t="n">
        <v>-40.17</v>
      </c>
      <c r="O3761" t="n">
        <v>3</v>
      </c>
      <c r="P3761" t="n">
        <v>4</v>
      </c>
      <c r="R3761" t="inlineStr">
        <is>
          <t>InStock</t>
        </is>
      </c>
      <c r="S3761" t="inlineStr">
        <is>
          <t>59.95</t>
        </is>
      </c>
      <c r="T3761" t="inlineStr">
        <is>
          <t>654643-03</t>
        </is>
      </c>
    </row>
    <row r="3762" hidden="1" ht="15.75" customHeight="1">
      <c r="A3762" s="2">
        <f>HYPERLINK("https://www.soccerplususa.com/puma/puma-liga-hooped-jersey-youth-35527", "https://www.soccerplususa.com/puma/puma-liga-hooped-jersey-youth-35527")</f>
        <v/>
      </c>
      <c r="B3762" t="inlineStr">
        <is>
          <t>undefined</t>
        </is>
      </c>
      <c r="C3762" t="inlineStr">
        <is>
          <t>Puma Liga Hooped Jersey Youth</t>
        </is>
      </c>
      <c r="D3762" t="inlineStr">
        <is>
          <t>PUMA Youth Liga Jersey Hooped</t>
        </is>
      </c>
      <c r="E3762" s="2">
        <f>HYPERLINK("https://www.amazon.com/PUMA-Jersey-Hooped-Redpuma-White/dp/B07KWZ42JJ/ref=sr_1_1?keywords=Puma+Liga+Hooped+Jersey+Youth&amp;qid=1695171171&amp;sr=8-1", "https://www.amazon.com/PUMA-Jersey-Hooped-Redpuma-White/dp/B07KWZ42JJ/ref=sr_1_1?keywords=Puma+Liga+Hooped+Jersey+Youth&amp;qid=1695171171&amp;sr=8-1")</f>
        <v/>
      </c>
      <c r="F3762" t="inlineStr">
        <is>
          <t>B07KWZ42JJ</t>
        </is>
      </c>
      <c r="G3762">
        <f>_xludf.IMAGE("https://www.soccerplususa.com/prodimages/32670-DEFAULT-l.jpg")</f>
        <v/>
      </c>
      <c r="H3762">
        <f>_xludf.IMAGE("https://m.media-amazon.com/images/I/71U8WfkgiVL._AC_UL320_.jpg")</f>
        <v/>
      </c>
      <c r="K3762" t="inlineStr">
        <is>
          <t>30.0</t>
        </is>
      </c>
      <c r="L3762" t="n">
        <v>17.95</v>
      </c>
      <c r="M3762" s="1" t="inlineStr">
        <is>
          <t>-40.17%</t>
        </is>
      </c>
      <c r="N3762" s="3" t="n">
        <v>-40.17</v>
      </c>
      <c r="O3762" t="n">
        <v>3.3</v>
      </c>
      <c r="P3762" t="n">
        <v>106</v>
      </c>
      <c r="R3762" t="inlineStr">
        <is>
          <t>InStock</t>
        </is>
      </c>
      <c r="S3762" t="inlineStr">
        <is>
          <t>39.95</t>
        </is>
      </c>
      <c r="T3762" t="inlineStr">
        <is>
          <t>703423-02</t>
        </is>
      </c>
    </row>
    <row r="3763" hidden="1" ht="15.75" customHeight="1">
      <c r="A3763" s="2">
        <f>HYPERLINK("https://www.soccerplususa.com/puma/puma-liga-hooped-jersey-35526", "https://www.soccerplususa.com/puma/puma-liga-hooped-jersey-35526")</f>
        <v/>
      </c>
      <c r="B3763" t="inlineStr">
        <is>
          <t>undefined</t>
        </is>
      </c>
      <c r="C3763" t="inlineStr">
        <is>
          <t>Puma Liga Hooped Jersey</t>
        </is>
      </c>
      <c r="D3763" t="inlineStr">
        <is>
          <t>PUMA Youth Liga Jersey Hooped</t>
        </is>
      </c>
      <c r="E3763" s="2">
        <f>HYPERLINK("https://www.amazon.com/PUMA-Jersey-Hooped-Redpuma-White/dp/B07KWZ42JJ/ref=sr_1_1?keywords=Puma+Liga+Hooped+Jersey&amp;qid=1695171162&amp;sr=8-1", "https://www.amazon.com/PUMA-Jersey-Hooped-Redpuma-White/dp/B07KWZ42JJ/ref=sr_1_1?keywords=Puma+Liga+Hooped+Jersey&amp;qid=1695171162&amp;sr=8-1")</f>
        <v/>
      </c>
      <c r="F3763" t="inlineStr">
        <is>
          <t>B07KWZ42JJ</t>
        </is>
      </c>
      <c r="G3763">
        <f>_xludf.IMAGE("https://www.soccerplususa.com/prodimages/32667-DEFAULT-l.jpg")</f>
        <v/>
      </c>
      <c r="H3763">
        <f>_xludf.IMAGE("https://m.media-amazon.com/images/I/71U8WfkgiVL._AC_UL320_.jpg")</f>
        <v/>
      </c>
      <c r="K3763" t="inlineStr">
        <is>
          <t>30.0</t>
        </is>
      </c>
      <c r="L3763" t="n">
        <v>17.95</v>
      </c>
      <c r="M3763" s="1" t="inlineStr">
        <is>
          <t>-40.17%</t>
        </is>
      </c>
      <c r="N3763" s="3" t="n">
        <v>-40.17</v>
      </c>
      <c r="O3763" t="n">
        <v>3.3</v>
      </c>
      <c r="P3763" t="n">
        <v>106</v>
      </c>
      <c r="R3763" t="inlineStr">
        <is>
          <t>InStock</t>
        </is>
      </c>
      <c r="S3763" t="inlineStr">
        <is>
          <t>39.95</t>
        </is>
      </c>
      <c r="T3763" t="inlineStr">
        <is>
          <t>703422-02</t>
        </is>
      </c>
    </row>
    <row r="3764" hidden="1" ht="15.75" customHeight="1">
      <c r="A3764" s="2">
        <f>HYPERLINK("https://www.soccerplususa.com/puma/puma-liga-hooped-jersey-35526", "https://www.soccerplususa.com/puma/puma-liga-hooped-jersey-35526")</f>
        <v/>
      </c>
      <c r="B3764" t="inlineStr">
        <is>
          <t>undefined</t>
        </is>
      </c>
      <c r="C3764" t="inlineStr">
        <is>
          <t>Puma Liga Hooped Jersey</t>
        </is>
      </c>
      <c r="D3764" t="inlineStr">
        <is>
          <t>PUMA Youth Liga Jersey Core</t>
        </is>
      </c>
      <c r="E3764" s="2">
        <f>HYPERLINK("https://www.amazon.com/PUMA-Mens-Jersey-Redpuma-White/dp/B07B8DXZYL/ref=sr_1_5?keywords=Puma+Liga+Hooped+Jersey&amp;qid=1695171162&amp;sr=8-5", "https://www.amazon.com/PUMA-Mens-Jersey-Redpuma-White/dp/B07B8DXZYL/ref=sr_1_5?keywords=Puma+Liga+Hooped+Jersey&amp;qid=1695171162&amp;sr=8-5")</f>
        <v/>
      </c>
      <c r="F3764" t="inlineStr">
        <is>
          <t>B07B8DXZYL</t>
        </is>
      </c>
      <c r="G3764">
        <f>_xludf.IMAGE("https://www.soccerplususa.com/prodimages/32667-DEFAULT-l.jpg")</f>
        <v/>
      </c>
      <c r="H3764">
        <f>_xludf.IMAGE("https://m.media-amazon.com/images/I/71154h+V-SL._AC_UL320_.jpg")</f>
        <v/>
      </c>
      <c r="K3764" t="inlineStr">
        <is>
          <t>30.0</t>
        </is>
      </c>
      <c r="L3764" t="n">
        <v>17.95</v>
      </c>
      <c r="M3764" s="1" t="inlineStr">
        <is>
          <t>-40.17%</t>
        </is>
      </c>
      <c r="N3764" s="3" t="n">
        <v>-40.17</v>
      </c>
      <c r="O3764" t="n">
        <v>3.5</v>
      </c>
      <c r="P3764" t="n">
        <v>320</v>
      </c>
      <c r="R3764" t="inlineStr">
        <is>
          <t>InStock</t>
        </is>
      </c>
      <c r="S3764" t="inlineStr">
        <is>
          <t>39.95</t>
        </is>
      </c>
      <c r="T3764" t="inlineStr">
        <is>
          <t>703422-02</t>
        </is>
      </c>
    </row>
    <row r="3765" hidden="1" ht="15.75" customHeight="1">
      <c r="A3765" s="2">
        <f>HYPERLINK("https://www.soccerplususa.com/puma/puma-liga-hooped-jersey-youth-35527", "https://www.soccerplususa.com/puma/puma-liga-hooped-jersey-youth-35527")</f>
        <v/>
      </c>
      <c r="B3765" t="inlineStr">
        <is>
          <t>undefined</t>
        </is>
      </c>
      <c r="C3765" t="inlineStr">
        <is>
          <t>Puma Liga Hooped Jersey Youth</t>
        </is>
      </c>
      <c r="D3765" t="inlineStr">
        <is>
          <t>PUMA Youth Liga Jersey Core</t>
        </is>
      </c>
      <c r="E3765" s="2">
        <f>HYPERLINK("https://www.amazon.com/PUMA-Jersey-Blackpuma-White-X-Large/dp/B07KWQDSR5/ref=sr_1_4?keywords=Puma+Liga+Hooped+Jersey+Youth&amp;qid=1695171171&amp;sr=8-4", "https://www.amazon.com/PUMA-Jersey-Blackpuma-White-X-Large/dp/B07KWQDSR5/ref=sr_1_4?keywords=Puma+Liga+Hooped+Jersey+Youth&amp;qid=1695171171&amp;sr=8-4")</f>
        <v/>
      </c>
      <c r="F3765" t="inlineStr">
        <is>
          <t>B07KWQDSR5</t>
        </is>
      </c>
      <c r="G3765">
        <f>_xludf.IMAGE("https://www.soccerplususa.com/prodimages/32670-DEFAULT-l.jpg")</f>
        <v/>
      </c>
      <c r="H3765">
        <f>_xludf.IMAGE("https://m.media-amazon.com/images/I/61DkPqdXzAL._AC_UL320_.jpg")</f>
        <v/>
      </c>
      <c r="K3765" t="inlineStr">
        <is>
          <t>30.0</t>
        </is>
      </c>
      <c r="L3765" t="n">
        <v>17.95</v>
      </c>
      <c r="M3765" s="1" t="inlineStr">
        <is>
          <t>-40.17%</t>
        </is>
      </c>
      <c r="N3765" s="3" t="n">
        <v>-40.17</v>
      </c>
      <c r="O3765" t="n">
        <v>3.5</v>
      </c>
      <c r="P3765" t="n">
        <v>320</v>
      </c>
      <c r="R3765" t="inlineStr">
        <is>
          <t>InStock</t>
        </is>
      </c>
      <c r="S3765" t="inlineStr">
        <is>
          <t>39.95</t>
        </is>
      </c>
      <c r="T3765" t="inlineStr">
        <is>
          <t>703423-02</t>
        </is>
      </c>
    </row>
    <row r="3766" hidden="1" ht="15.75" customHeight="1">
      <c r="A3766" s="2">
        <f>HYPERLINK("https://www.soccerplususa.com/new-balance/new-balance-sideline-jacket-41947", "https://www.soccerplususa.com/new-balance/new-balance-sideline-jacket-41947")</f>
        <v/>
      </c>
      <c r="B3766" t="inlineStr">
        <is>
          <t>undefined</t>
        </is>
      </c>
      <c r="C3766" t="inlineStr">
        <is>
          <t>New Balance Sideline Jacket</t>
        </is>
      </c>
      <c r="D3766" t="inlineStr">
        <is>
          <t>New Balance Men's Tenacity Football Training Track Jacket</t>
        </is>
      </c>
      <c r="E3766" s="2">
        <f>HYPERLINK("https://www.amazon.com/New-Balance-Tenacity-Phantom-X-Large/dp/B09HY61V3Q/ref=sr_1_3?keywords=New+Balance+Sideline+Jacket&amp;qid=1695171146&amp;sr=8-3", "https://www.amazon.com/New-Balance-Tenacity-Phantom-X-Large/dp/B09HY61V3Q/ref=sr_1_3?keywords=New+Balance+Sideline+Jacket&amp;qid=1695171146&amp;sr=8-3")</f>
        <v/>
      </c>
      <c r="F3766" t="inlineStr">
        <is>
          <t>B09HY61V3Q</t>
        </is>
      </c>
      <c r="G3766">
        <f>_xludf.IMAGE("https://www.soccerplususa.com/prodimages//37530-BLACK-M.jpg")</f>
        <v/>
      </c>
      <c r="H3766">
        <f>_xludf.IMAGE("https://m.media-amazon.com/images/I/81kYHOqRulL._AC_UL320_.jpg")</f>
        <v/>
      </c>
      <c r="K3766" t="inlineStr">
        <is>
          <t>71.49</t>
        </is>
      </c>
      <c r="L3766" t="n">
        <v>42.65</v>
      </c>
      <c r="M3766" s="1" t="inlineStr">
        <is>
          <t>-40.34%</t>
        </is>
      </c>
      <c r="N3766" s="3" t="n">
        <v>-40.34</v>
      </c>
      <c r="O3766" t="n">
        <v>4.2</v>
      </c>
      <c r="P3766" t="n">
        <v>3</v>
      </c>
      <c r="R3766" t="inlineStr">
        <is>
          <t>InStock</t>
        </is>
      </c>
      <c r="S3766" t="inlineStr">
        <is>
          <t>95.0</t>
        </is>
      </c>
      <c r="T3766" t="inlineStr">
        <is>
          <t>TMMJ718</t>
        </is>
      </c>
    </row>
    <row r="3767" hidden="1" ht="15.75" customHeight="1">
      <c r="A3767" s="2">
        <f>HYPERLINK("https://www.soccerplususa.com/under-armour/under-armour-coldgear-compression-mock-44300", "https://www.soccerplususa.com/under-armour/under-armour-coldgear-compression-mock-44300")</f>
        <v/>
      </c>
      <c r="B3767" t="inlineStr">
        <is>
          <t>undefined</t>
        </is>
      </c>
      <c r="C3767" t="inlineStr">
        <is>
          <t>Under Armour ColdGear Compression Mock</t>
        </is>
      </c>
      <c r="D3767" t="inlineStr">
        <is>
          <t>Under Armour Women's ColdGear Authentics Compression Mock</t>
        </is>
      </c>
      <c r="E3767" s="2">
        <f>HYPERLINK("https://www.amazon.com/Under-Armour-ColdGear-Authentic-Midnight/dp/B005IM0QMC/ref=sr_1_2?keywords=Under+Armour+ColdGear+Compression+Mock&amp;qid=1695171160&amp;sr=8-2", "https://www.amazon.com/Under-Armour-ColdGear-Authentic-Midnight/dp/B005IM0QMC/ref=sr_1_2?keywords=Under+Armour+ColdGear+Compression+Mock&amp;qid=1695171160&amp;sr=8-2")</f>
        <v/>
      </c>
      <c r="F3767" t="inlineStr">
        <is>
          <t>B005IM0QMC</t>
        </is>
      </c>
      <c r="G3767">
        <f>_xludf.IMAGE("https://www.soccerplususa.com/prodimages//36057-BLACK-M.jpg")</f>
        <v/>
      </c>
      <c r="H3767">
        <f>_xludf.IMAGE("https://m.media-amazon.com/images/I/516ZUq9iV2L._AC_UL320_.jpg")</f>
        <v/>
      </c>
      <c r="K3767" t="inlineStr">
        <is>
          <t>54.95</t>
        </is>
      </c>
      <c r="L3767" t="n">
        <v>32.43</v>
      </c>
      <c r="M3767" s="1" t="inlineStr">
        <is>
          <t>-40.98%</t>
        </is>
      </c>
      <c r="N3767" s="3" t="n">
        <v>-40.98</v>
      </c>
      <c r="O3767" t="n">
        <v>4.8</v>
      </c>
      <c r="P3767" t="n">
        <v>7721</v>
      </c>
      <c r="R3767" t="inlineStr">
        <is>
          <t>InStock</t>
        </is>
      </c>
      <c r="S3767" t="inlineStr">
        <is>
          <t>undefined</t>
        </is>
      </c>
      <c r="T3767" t="inlineStr">
        <is>
          <t>1366072-001</t>
        </is>
      </c>
    </row>
    <row r="3768" hidden="1" ht="15.75" customHeight="1">
      <c r="A3768" s="2">
        <f>HYPERLINK("https://www.soccerplususa.com/under-armour/under-armour-coldgear-authentics-mock-womens-44305", "https://www.soccerplususa.com/under-armour/under-armour-coldgear-authentics-mock-womens-44305")</f>
        <v/>
      </c>
      <c r="B3768" t="inlineStr">
        <is>
          <t>undefined</t>
        </is>
      </c>
      <c r="C3768" t="inlineStr">
        <is>
          <t>Under Armour ColdGear Authentics Mock Women's</t>
        </is>
      </c>
      <c r="D3768" t="inlineStr">
        <is>
          <t>Under Armour Women's ColdGear Authentics Compression Mock</t>
        </is>
      </c>
      <c r="E3768" s="2">
        <f>HYPERLINK("https://www.amazon.com/Under-Armour-ColdGear-Authentic-Midnight/dp/B005IM0QMC/ref=sr_1_2?keywords=Under+Armour+ColdGear+Authentics+Mock+Womens&amp;qid=1695171151&amp;sr=8-2", "https://www.amazon.com/Under-Armour-ColdGear-Authentic-Midnight/dp/B005IM0QMC/ref=sr_1_2?keywords=Under+Armour+ColdGear+Authentics+Mock+Womens&amp;qid=1695171151&amp;sr=8-2")</f>
        <v/>
      </c>
      <c r="F3768" t="inlineStr">
        <is>
          <t>B005IM0QMC</t>
        </is>
      </c>
      <c r="G3768">
        <f>_xludf.IMAGE("https://www.soccerplususa.com/prodimages//36058-WHITE-M.jpg")</f>
        <v/>
      </c>
      <c r="H3768">
        <f>_xludf.IMAGE("https://m.media-amazon.com/images/I/516ZUq9iV2L._AC_UL320_.jpg")</f>
        <v/>
      </c>
      <c r="K3768" t="inlineStr">
        <is>
          <t>54.95</t>
        </is>
      </c>
      <c r="L3768" t="n">
        <v>32.43</v>
      </c>
      <c r="M3768" s="1" t="inlineStr">
        <is>
          <t>-40.98%</t>
        </is>
      </c>
      <c r="N3768" s="3" t="n">
        <v>-40.98</v>
      </c>
      <c r="O3768" t="n">
        <v>4.8</v>
      </c>
      <c r="P3768" t="n">
        <v>7721</v>
      </c>
      <c r="R3768" t="inlineStr">
        <is>
          <t>InStock</t>
        </is>
      </c>
      <c r="S3768" t="inlineStr">
        <is>
          <t>undefined</t>
        </is>
      </c>
      <c r="T3768" t="inlineStr">
        <is>
          <t>1368702-100</t>
        </is>
      </c>
    </row>
    <row r="3769" hidden="1" ht="15.75" customHeight="1">
      <c r="A3769" s="2">
        <f>HYPERLINK("https://www.soccerplususa.com/adidas/adidas-regista-16-jersey-4149", "https://www.soccerplususa.com/adidas/adidas-regista-16-jersey-4149")</f>
        <v/>
      </c>
      <c r="B3769" t="inlineStr">
        <is>
          <t>undefined</t>
        </is>
      </c>
      <c r="C3769" t="inlineStr">
        <is>
          <t>adidas Regista 16 Jersey</t>
        </is>
      </c>
      <c r="D3769" t="inlineStr">
        <is>
          <t>adidas Regista 16 Youth Soccer Jersey (X-Small) Dark Blue-White</t>
        </is>
      </c>
      <c r="E3769" s="2">
        <f>HYPERLINK("https://www.amazon.com/Adidas-Regista-Soccer-Jersey-Blue-White/dp/B01DH21W8Q/ref=sr_1_9?keywords=adidas+Regista+16+Jersey&amp;qid=1695171233&amp;sr=8-9", "https://www.amazon.com/Adidas-Regista-Soccer-Jersey-Blue-White/dp/B01DH21W8Q/ref=sr_1_9?keywords=adidas+Regista+16+Jersey&amp;qid=1695171233&amp;sr=8-9")</f>
        <v/>
      </c>
      <c r="F3769" t="inlineStr">
        <is>
          <t>B01DH21W8Q</t>
        </is>
      </c>
      <c r="G3769">
        <f>_xludf.IMAGE("https://www.soccerplususa.com/prodimages/32795-DEFAULT-l.jpg")</f>
        <v/>
      </c>
      <c r="H3769">
        <f>_xludf.IMAGE("https://m.media-amazon.com/images/I/51L5tK6ZvhL._AC_UL320_.jpg")</f>
        <v/>
      </c>
      <c r="K3769" t="inlineStr">
        <is>
          <t>17.0</t>
        </is>
      </c>
      <c r="L3769" t="n">
        <v>9.99</v>
      </c>
      <c r="M3769" s="1" t="inlineStr">
        <is>
          <t>-41.24%</t>
        </is>
      </c>
      <c r="N3769" s="3" t="n">
        <v>-41.24</v>
      </c>
      <c r="O3769" t="n">
        <v>5</v>
      </c>
      <c r="P3769" t="n">
        <v>1</v>
      </c>
      <c r="R3769" t="inlineStr">
        <is>
          <t>InStock</t>
        </is>
      </c>
      <c r="S3769" t="inlineStr">
        <is>
          <t>34.95</t>
        </is>
      </c>
      <c r="T3769" t="inlineStr">
        <is>
          <t>AP0535</t>
        </is>
      </c>
    </row>
    <row r="3770" hidden="1" ht="15.75" customHeight="1">
      <c r="A3770" s="2">
        <f>HYPERLINK("https://www.soccerplususa.com/under-armour/under-armour-cold-gear-armour-mock-youth-33311", "https://www.soccerplususa.com/under-armour/under-armour-cold-gear-armour-mock-youth-33311")</f>
        <v/>
      </c>
      <c r="B3770" t="inlineStr">
        <is>
          <t>undefined</t>
        </is>
      </c>
      <c r="C3770" t="inlineStr">
        <is>
          <t>Under Armour Cold Gear Armour Mock Youth</t>
        </is>
      </c>
      <c r="D3770" t="inlineStr">
        <is>
          <t>BALEAF Youth Boys Compression Thermal Shirt Fleece Baselayer Long Sleeve Cold Gear Mock Top Baseball Football Undershirt</t>
        </is>
      </c>
      <c r="E3770" s="2" t="n"/>
      <c r="F3770" t="inlineStr">
        <is>
          <t>B0774KM1X6</t>
        </is>
      </c>
      <c r="G3770">
        <f>_xludf.IMAGE("https://www.soccerplususa.com/prodimages/5585-DEFAULT-l.jpg")</f>
        <v/>
      </c>
      <c r="H3770">
        <f>_xludf.IMAGE("https://m.media-amazon.com/images/I/61n6eitq8VL._AC_UL320_.jpg")</f>
        <v/>
      </c>
      <c r="K3770" t="inlineStr">
        <is>
          <t>39.95</t>
        </is>
      </c>
      <c r="L3770" t="n">
        <v>22.99</v>
      </c>
      <c r="M3770" s="1" t="inlineStr">
        <is>
          <t>-42.45%</t>
        </is>
      </c>
      <c r="N3770" s="3" t="n">
        <v>-42.45</v>
      </c>
      <c r="O3770" t="n">
        <v>4.5</v>
      </c>
      <c r="P3770" t="n">
        <v>1631</v>
      </c>
      <c r="R3770" t="inlineStr">
        <is>
          <t>InStock</t>
        </is>
      </c>
      <c r="S3770" t="inlineStr">
        <is>
          <t>undefined</t>
        </is>
      </c>
      <c r="T3770" t="inlineStr">
        <is>
          <t>1288343-100</t>
        </is>
      </c>
    </row>
    <row r="3771" hidden="1" ht="15.75" customHeight="1">
      <c r="A3771" s="2">
        <f>HYPERLINK("https://www.soccerplususa.com/adidas/adidas-regista-16-jersey-4147", "https://www.soccerplususa.com/adidas/adidas-regista-16-jersey-4147")</f>
        <v/>
      </c>
      <c r="B3771" t="inlineStr">
        <is>
          <t>undefined</t>
        </is>
      </c>
      <c r="C3771" t="inlineStr">
        <is>
          <t>adidas Regista 16 Jersey</t>
        </is>
      </c>
      <c r="D3771" t="inlineStr">
        <is>
          <t>adidas Regista 16 Youth Soccer Jersey (X-Small) Dark Blue-White</t>
        </is>
      </c>
      <c r="E3771" s="2">
        <f>HYPERLINK("https://www.amazon.com/Adidas-Regista-Soccer-Jersey-Blue-White/dp/B01DH21W8Q/ref=sr_1_9?keywords=adidas+Regista+16+Jersey&amp;qid=1695171233&amp;sr=8-9", "https://www.amazon.com/Adidas-Regista-Soccer-Jersey-Blue-White/dp/B01DH21W8Q/ref=sr_1_9?keywords=adidas+Regista+16+Jersey&amp;qid=1695171233&amp;sr=8-9")</f>
        <v/>
      </c>
      <c r="F3771" t="inlineStr">
        <is>
          <t>B01DH21W8Q</t>
        </is>
      </c>
      <c r="G3771">
        <f>_xludf.IMAGE("https://www.soccerplususa.com/prodimages/7616-DEFAULT-l.jpg")</f>
        <v/>
      </c>
      <c r="H3771">
        <f>_xludf.IMAGE("https://m.media-amazon.com/images/I/51L5tK6ZvhL._AC_UL320_.jpg")</f>
        <v/>
      </c>
      <c r="K3771" t="inlineStr">
        <is>
          <t>17.5</t>
        </is>
      </c>
      <c r="L3771" t="n">
        <v>9.99</v>
      </c>
      <c r="M3771" s="1" t="inlineStr">
        <is>
          <t>-42.91%</t>
        </is>
      </c>
      <c r="N3771" s="3" t="n">
        <v>-42.91</v>
      </c>
      <c r="O3771" t="n">
        <v>5</v>
      </c>
      <c r="P3771" t="n">
        <v>1</v>
      </c>
      <c r="R3771" t="inlineStr">
        <is>
          <t>InStock</t>
        </is>
      </c>
      <c r="S3771" t="inlineStr">
        <is>
          <t>34.95</t>
        </is>
      </c>
      <c r="T3771" t="inlineStr">
        <is>
          <t>AP0529</t>
        </is>
      </c>
    </row>
    <row r="3772" hidden="1" ht="15.75" customHeight="1">
      <c r="A3772" s="2">
        <f>HYPERLINK("https://www.soccerplususa.com/adidas/adidas-tiro-17-jersey-4868", "https://www.soccerplususa.com/adidas/adidas-tiro-17-jersey-4868")</f>
        <v/>
      </c>
      <c r="B3772" t="inlineStr">
        <is>
          <t>undefined</t>
        </is>
      </c>
      <c r="C3772" t="inlineStr">
        <is>
          <t>adidas Tiro 17 Jersey</t>
        </is>
      </c>
      <c r="D3772" t="inlineStr">
        <is>
          <t>adidas Tiro 17 Mens Soccer Training Jersey</t>
        </is>
      </c>
      <c r="E3772" s="2">
        <f>HYPERLINK("https://www.amazon.com/adidas-Training-Jersey-White-Black/dp/B01M29BN8D/ref=sr_1_4?keywords=adidas+Tiro+17+Jersey&amp;qid=1695171228&amp;sr=8-4", "https://www.amazon.com/adidas-Training-Jersey-White-Black/dp/B01M29BN8D/ref=sr_1_4?keywords=adidas+Tiro+17+Jersey&amp;qid=1695171228&amp;sr=8-4")</f>
        <v/>
      </c>
      <c r="F3772" t="inlineStr">
        <is>
          <t>B01M29BN8D</t>
        </is>
      </c>
      <c r="G3772">
        <f>_xludf.IMAGE("https://www.soccerplususa.com/prodimages/32792-DEFAULT-l.jpg")</f>
        <v/>
      </c>
      <c r="H3772">
        <f>_xludf.IMAGE("https://m.media-amazon.com/images/I/51KCXIG2tsL._AC_UL320_.jpg")</f>
        <v/>
      </c>
      <c r="K3772" t="inlineStr">
        <is>
          <t>29.99</t>
        </is>
      </c>
      <c r="L3772" t="n">
        <v>16.99</v>
      </c>
      <c r="M3772" s="1" t="inlineStr">
        <is>
          <t>-43.35%</t>
        </is>
      </c>
      <c r="N3772" s="3" t="n">
        <v>-43.35</v>
      </c>
      <c r="O3772" t="n">
        <v>4.2</v>
      </c>
      <c r="P3772" t="n">
        <v>51</v>
      </c>
      <c r="R3772" t="inlineStr">
        <is>
          <t>InStock</t>
        </is>
      </c>
      <c r="S3772" t="inlineStr">
        <is>
          <t>39.95</t>
        </is>
      </c>
      <c r="T3772" t="inlineStr">
        <is>
          <t>BK5435</t>
        </is>
      </c>
    </row>
    <row r="3773" hidden="1" ht="15.75" customHeight="1">
      <c r="A3773" s="2">
        <f>HYPERLINK("https://www.soccerplususa.com/puma/puma-liga-jersey-womens-39602", "https://www.soccerplususa.com/puma/puma-liga-jersey-womens-39602")</f>
        <v/>
      </c>
      <c r="B3773" t="inlineStr">
        <is>
          <t>undefined</t>
        </is>
      </c>
      <c r="C3773" t="inlineStr">
        <is>
          <t>Puma Liga Jersey Women's</t>
        </is>
      </c>
      <c r="D3773" t="inlineStr">
        <is>
          <t>PUMA Women's Liga Jersey, Cyber Yellow-Black, S</t>
        </is>
      </c>
      <c r="E3773" s="2">
        <f>HYPERLINK("https://www.amazon.com/PUMA-Womens-Jersey-Cyber-Yellowpuma/dp/B07FBJ6M3D/ref=sr_1_4?keywords=Puma+Liga+Jersey+Womens&amp;qid=1695171150&amp;sr=8-4", "https://www.amazon.com/PUMA-Womens-Jersey-Cyber-Yellowpuma/dp/B07FBJ6M3D/ref=sr_1_4?keywords=Puma+Liga+Jersey+Womens&amp;qid=1695171150&amp;sr=8-4")</f>
        <v/>
      </c>
      <c r="F3773" t="inlineStr">
        <is>
          <t>B07FBJ6M3D</t>
        </is>
      </c>
      <c r="G3773">
        <f>_xludf.IMAGE("https://www.soccerplususa.com/prodimages//36786-REDWHITE-M.jpg")</f>
        <v/>
      </c>
      <c r="H3773">
        <f>_xludf.IMAGE("https://m.media-amazon.com/images/I/71TBNPkRR5L._AC_UL320_.jpg")</f>
        <v/>
      </c>
      <c r="K3773" t="inlineStr">
        <is>
          <t>20.99</t>
        </is>
      </c>
      <c r="L3773" t="n">
        <v>11.88</v>
      </c>
      <c r="M3773" s="1" t="inlineStr">
        <is>
          <t>-43.40%</t>
        </is>
      </c>
      <c r="N3773" s="3" t="n">
        <v>-43.4</v>
      </c>
      <c r="O3773" t="n">
        <v>4.1</v>
      </c>
      <c r="P3773" t="n">
        <v>7</v>
      </c>
      <c r="R3773" t="inlineStr">
        <is>
          <t>InStock</t>
        </is>
      </c>
      <c r="S3773" t="inlineStr">
        <is>
          <t>27.95</t>
        </is>
      </c>
      <c r="T3773" t="inlineStr">
        <is>
          <t>703426-01</t>
        </is>
      </c>
    </row>
    <row r="3774" hidden="1" ht="15.75" customHeight="1">
      <c r="A3774" s="2">
        <f>HYPERLINK("https://www.soccerplususa.com/puma/puma-teamgoal-23-training-jacket-38703", "https://www.soccerplususa.com/puma/puma-teamgoal-23-training-jacket-38703")</f>
        <v/>
      </c>
      <c r="B3774" t="inlineStr">
        <is>
          <t>undefined</t>
        </is>
      </c>
      <c r="C3774" t="inlineStr">
        <is>
          <t>Puma Teamgoal 23 Training Jacket</t>
        </is>
      </c>
      <c r="D3774" t="inlineStr">
        <is>
          <t>PUMA Womens Teamgoal 23 Training Jacket W</t>
        </is>
      </c>
      <c r="E3774" s="2">
        <f>HYPERLINK("https://www.amazon.com/PUMA-Womens-Teamgoal-Training-Asphalt/dp/B086MYKX9Q/ref=sr_1_2?keywords=Puma+Teamgoal+23+Training+Jacket&amp;qid=1695171154&amp;sr=8-2", "https://www.amazon.com/PUMA-Womens-Teamgoal-Training-Asphalt/dp/B086MYKX9Q/ref=sr_1_2?keywords=Puma+Teamgoal+23+Training+Jacket&amp;qid=1695171154&amp;sr=8-2")</f>
        <v/>
      </c>
      <c r="F3774" t="inlineStr">
        <is>
          <t>B086MYKX9Q</t>
        </is>
      </c>
      <c r="G3774">
        <f>_xludf.IMAGE("https://www.soccerplususa.com/prodimages//35608-Electric_Blue-M.jpg")</f>
        <v/>
      </c>
      <c r="H3774">
        <f>_xludf.IMAGE("https://m.media-amazon.com/images/I/51XVOq8rdHL._AC_UL320_.jpg")</f>
        <v/>
      </c>
      <c r="K3774" t="inlineStr">
        <is>
          <t>44.99</t>
        </is>
      </c>
      <c r="L3774" t="n">
        <v>24.95</v>
      </c>
      <c r="M3774" s="1" t="inlineStr">
        <is>
          <t>-44.54%</t>
        </is>
      </c>
      <c r="N3774" s="3" t="n">
        <v>-44.54</v>
      </c>
      <c r="O3774" t="n">
        <v>5</v>
      </c>
      <c r="P3774" t="n">
        <v>7</v>
      </c>
      <c r="R3774" t="inlineStr">
        <is>
          <t>InStock</t>
        </is>
      </c>
      <c r="S3774" t="inlineStr">
        <is>
          <t>59.95</t>
        </is>
      </c>
      <c r="T3774" t="inlineStr">
        <is>
          <t>656561-02</t>
        </is>
      </c>
    </row>
    <row r="3775" hidden="1" ht="15.75" customHeight="1">
      <c r="A3775" s="2">
        <f>HYPERLINK("https://www.soccerplususa.com/puma/puma-liga-training-jacket-youth-35521", "https://www.soccerplususa.com/puma/puma-liga-training-jacket-youth-35521")</f>
        <v/>
      </c>
      <c r="B3775" t="inlineStr">
        <is>
          <t>undefined</t>
        </is>
      </c>
      <c r="C3775" t="inlineStr">
        <is>
          <t>Puma Liga Training Jacket Youth</t>
        </is>
      </c>
      <c r="D3775" t="inlineStr">
        <is>
          <t>PUMA Men's Liga Training Jacket</t>
        </is>
      </c>
      <c r="E3775" s="2">
        <f>HYPERLINK("https://www.amazon.com/PUMA-Training-Jacket-Electric-Lemonade/dp/B07C7FSBF9/ref=sr_1_7?keywords=Puma+Liga+Training+Jacket+Youth&amp;qid=1695171158&amp;sr=8-7", "https://www.amazon.com/PUMA-Training-Jacket-Electric-Lemonade/dp/B07C7FSBF9/ref=sr_1_7?keywords=Puma+Liga+Training+Jacket+Youth&amp;qid=1695171158&amp;sr=8-7")</f>
        <v/>
      </c>
      <c r="F3775" t="inlineStr">
        <is>
          <t>B07C7FSBF9</t>
        </is>
      </c>
      <c r="G3775">
        <f>_xludf.IMAGE("https://www.soccerplususa.com/prodimages/32219-DEFAULT-l.jpg")</f>
        <v/>
      </c>
      <c r="H3775">
        <f>_xludf.IMAGE("https://m.media-amazon.com/images/I/71QPncQEh8L._AC_UL320_.jpg")</f>
        <v/>
      </c>
      <c r="K3775" t="inlineStr">
        <is>
          <t>45.0</t>
        </is>
      </c>
      <c r="L3775" t="n">
        <v>24.95</v>
      </c>
      <c r="M3775" s="1" t="inlineStr">
        <is>
          <t>-44.56%</t>
        </is>
      </c>
      <c r="N3775" s="3" t="n">
        <v>-44.56</v>
      </c>
      <c r="O3775" t="n">
        <v>4.5</v>
      </c>
      <c r="P3775" t="n">
        <v>586</v>
      </c>
      <c r="R3775" t="inlineStr">
        <is>
          <t>InStock</t>
        </is>
      </c>
      <c r="S3775" t="inlineStr">
        <is>
          <t>59.95</t>
        </is>
      </c>
      <c r="T3775" t="inlineStr">
        <is>
          <t>655688-02</t>
        </is>
      </c>
    </row>
    <row r="3776" hidden="1" ht="15.75" customHeight="1">
      <c r="A3776" s="2">
        <f>HYPERLINK("https://www.soccerplususa.com/puma/puma-liga-training-jacket-35519", "https://www.soccerplususa.com/puma/puma-liga-training-jacket-35519")</f>
        <v/>
      </c>
      <c r="B3776" t="inlineStr">
        <is>
          <t>undefined</t>
        </is>
      </c>
      <c r="C3776" t="inlineStr">
        <is>
          <t>Puma Liga Training Jacket</t>
        </is>
      </c>
      <c r="D3776" t="inlineStr">
        <is>
          <t>PUMA Men's Liga Training Jacket</t>
        </is>
      </c>
      <c r="E3776" s="2">
        <f>HYPERLINK("https://www.amazon.com/PUMA-Training-Jacket-Electric-Lemonade/dp/B07C7FSBF9/ref=sr_1_5?keywords=Puma+Liga+Training+Jacket&amp;qid=1695171164&amp;sr=8-5", "https://www.amazon.com/PUMA-Training-Jacket-Electric-Lemonade/dp/B07C7FSBF9/ref=sr_1_5?keywords=Puma+Liga+Training+Jacket&amp;qid=1695171164&amp;sr=8-5")</f>
        <v/>
      </c>
      <c r="F3776" t="inlineStr">
        <is>
          <t>B07C7FSBF9</t>
        </is>
      </c>
      <c r="G3776">
        <f>_xludf.IMAGE("https://www.soccerplususa.com/prodimages/32207-DEFAULT-l.jpg")</f>
        <v/>
      </c>
      <c r="H3776">
        <f>_xludf.IMAGE("https://m.media-amazon.com/images/I/71QPncQEh8L._AC_UL320_.jpg")</f>
        <v/>
      </c>
      <c r="K3776" t="inlineStr">
        <is>
          <t>45.0</t>
        </is>
      </c>
      <c r="L3776" t="n">
        <v>24.95</v>
      </c>
      <c r="M3776" s="1" t="inlineStr">
        <is>
          <t>-44.56%</t>
        </is>
      </c>
      <c r="N3776" s="3" t="n">
        <v>-44.56</v>
      </c>
      <c r="O3776" t="n">
        <v>4.5</v>
      </c>
      <c r="P3776" t="n">
        <v>586</v>
      </c>
      <c r="R3776" t="inlineStr">
        <is>
          <t>InStock</t>
        </is>
      </c>
      <c r="S3776" t="inlineStr">
        <is>
          <t>59.95</t>
        </is>
      </c>
      <c r="T3776" t="inlineStr">
        <is>
          <t>655687-02</t>
        </is>
      </c>
    </row>
    <row r="3777" hidden="1" ht="15.75" customHeight="1">
      <c r="A3777" s="2">
        <f>HYPERLINK("https://www.soccerplususa.com/under-armour/under-armour-coldgear-mock-womens-33129", "https://www.soccerplususa.com/under-armour/under-armour-coldgear-mock-womens-33129")</f>
        <v/>
      </c>
      <c r="B3777" t="inlineStr">
        <is>
          <t>undefined</t>
        </is>
      </c>
      <c r="C3777" t="inlineStr">
        <is>
          <t>Under Armour Coldgear Mock Women's</t>
        </is>
      </c>
      <c r="D3777" t="inlineStr">
        <is>
          <t>Under Armour Women's ColdGear Authentics Mock Neck</t>
        </is>
      </c>
      <c r="E3777" s="2">
        <f>HYPERLINK("https://www.amazon.com/Under-Armour-Womens-Authentics-T-Shirt/dp/B08LMLJPD6/ref=sr_1_1?keywords=Under+Armour+Coldgear+Mock+Women%27s&amp;qid=1695171175&amp;sr=8-1", "https://www.amazon.com/Under-Armour-Womens-Authentics-T-Shirt/dp/B08LMLJPD6/ref=sr_1_1?keywords=Under+Armour+Coldgear+Mock+Women%27s&amp;qid=1695171175&amp;sr=8-1")</f>
        <v/>
      </c>
      <c r="F3777" t="inlineStr">
        <is>
          <t>B08LMLJPD6</t>
        </is>
      </c>
      <c r="G3777">
        <f>_xludf.IMAGE("https://www.soccerplususa.com/prodimages/2365-DEFAULT-l.jpg")</f>
        <v/>
      </c>
      <c r="H3777">
        <f>_xludf.IMAGE("https://m.media-amazon.com/images/I/41JwylDx+rL._AC_UL320_.jpg")</f>
        <v/>
      </c>
      <c r="K3777" t="inlineStr">
        <is>
          <t>49.95</t>
        </is>
      </c>
      <c r="L3777" t="n">
        <v>27.45</v>
      </c>
      <c r="M3777" s="1" t="inlineStr">
        <is>
          <t>-45.05%</t>
        </is>
      </c>
      <c r="N3777" s="3" t="n">
        <v>-45.05</v>
      </c>
      <c r="O3777" t="n">
        <v>4.7</v>
      </c>
      <c r="P3777" t="n">
        <v>869</v>
      </c>
      <c r="R3777" t="inlineStr">
        <is>
          <t>InStock</t>
        </is>
      </c>
      <c r="S3777" t="inlineStr">
        <is>
          <t>undefined</t>
        </is>
      </c>
      <c r="T3777" t="inlineStr">
        <is>
          <t>1215968-100</t>
        </is>
      </c>
    </row>
    <row r="3778" hidden="1" ht="15.75" customHeight="1">
      <c r="A3778" s="2">
        <f>HYPERLINK("https://www.soccerplususa.com/puma/puma-liga-casual-padded-jacket-37830", "https://www.soccerplususa.com/puma/puma-liga-casual-padded-jacket-37830")</f>
        <v/>
      </c>
      <c r="B3778" t="inlineStr">
        <is>
          <t>undefined</t>
        </is>
      </c>
      <c r="C3778" t="inlineStr">
        <is>
          <t>Puma Liga Casual Padded Jacket</t>
        </is>
      </c>
      <c r="D3778" t="inlineStr">
        <is>
          <t>PUMA Men's Liga Casuals Padded Jacket</t>
        </is>
      </c>
      <c r="E3778" s="2">
        <f>HYPERLINK("https://www.amazon.com/PUMA-Casuals-Padded-Jacket-Black/dp/B07DYB13T3/ref=sr_1_1?keywords=Puma+Liga+Casual+Padded+Jacket&amp;qid=1695171170&amp;sr=8-1", "https://www.amazon.com/PUMA-Casuals-Padded-Jacket-Black/dp/B07DYB13T3/ref=sr_1_1?keywords=Puma+Liga+Casual+Padded+Jacket&amp;qid=1695171170&amp;sr=8-1")</f>
        <v/>
      </c>
      <c r="F3778" t="inlineStr">
        <is>
          <t>B07DYB13T3</t>
        </is>
      </c>
      <c r="G3778">
        <f>_xludf.IMAGE("https://www.soccerplususa.com/prodimages/32203-DEFAULT-l.jpg")</f>
        <v/>
      </c>
      <c r="H3778">
        <f>_xludf.IMAGE("https://m.media-amazon.com/images/I/71aT8wurugL._AC_UL320_.jpg")</f>
        <v/>
      </c>
      <c r="K3778" t="inlineStr">
        <is>
          <t>82.49</t>
        </is>
      </c>
      <c r="L3778" t="n">
        <v>44.95</v>
      </c>
      <c r="M3778" s="1" t="inlineStr">
        <is>
          <t>-45.51%</t>
        </is>
      </c>
      <c r="N3778" s="3" t="n">
        <v>-45.51</v>
      </c>
      <c r="O3778" t="n">
        <v>4.4</v>
      </c>
      <c r="P3778" t="n">
        <v>109</v>
      </c>
      <c r="R3778" t="inlineStr">
        <is>
          <t>InStock</t>
        </is>
      </c>
      <c r="S3778" t="inlineStr">
        <is>
          <t>109.95</t>
        </is>
      </c>
      <c r="T3778" t="inlineStr">
        <is>
          <t>655301-01</t>
        </is>
      </c>
    </row>
    <row r="3779" hidden="1" ht="15.75" customHeight="1">
      <c r="A3779" s="2">
        <f>HYPERLINK("https://www.soccerplususa.com/puma/puma-liga-jersey-womens-39602", "https://www.soccerplususa.com/puma/puma-liga-jersey-womens-39602")</f>
        <v/>
      </c>
      <c r="B3779" t="inlineStr">
        <is>
          <t>undefined</t>
        </is>
      </c>
      <c r="C3779" t="inlineStr">
        <is>
          <t>Puma Liga Jersey Women's</t>
        </is>
      </c>
      <c r="D3779" t="inlineStr">
        <is>
          <t>PUMA Women's Liga Jersey, Pepper Green-White, M</t>
        </is>
      </c>
      <c r="E3779" s="2">
        <f>HYPERLINK("https://www.amazon.com/PUMA-Womens-Jersey-Pepper-Greenpuma/dp/B075RFJFVT/ref=sr_1_3?keywords=Puma+Liga+Jersey+Womens&amp;qid=1695171150&amp;sr=8-3", "https://www.amazon.com/PUMA-Womens-Jersey-Pepper-Greenpuma/dp/B075RFJFVT/ref=sr_1_3?keywords=Puma+Liga+Jersey+Womens&amp;qid=1695171150&amp;sr=8-3")</f>
        <v/>
      </c>
      <c r="F3779" t="inlineStr">
        <is>
          <t>B075RFJFVT</t>
        </is>
      </c>
      <c r="G3779">
        <f>_xludf.IMAGE("https://www.soccerplususa.com/prodimages//36786-REDWHITE-M.jpg")</f>
        <v/>
      </c>
      <c r="H3779">
        <f>_xludf.IMAGE("https://m.media-amazon.com/images/I/61wpCRiZqaL._AC_UL320_.jpg")</f>
        <v/>
      </c>
      <c r="K3779" t="inlineStr">
        <is>
          <t>20.99</t>
        </is>
      </c>
      <c r="L3779" t="n">
        <v>11.41</v>
      </c>
      <c r="M3779" s="1" t="inlineStr">
        <is>
          <t>-45.64%</t>
        </is>
      </c>
      <c r="N3779" s="3" t="n">
        <v>-45.64</v>
      </c>
      <c r="O3779" t="n">
        <v>4.8</v>
      </c>
      <c r="P3779" t="n">
        <v>13</v>
      </c>
      <c r="R3779" t="inlineStr">
        <is>
          <t>InStock</t>
        </is>
      </c>
      <c r="S3779" t="inlineStr">
        <is>
          <t>27.95</t>
        </is>
      </c>
      <c r="T3779" t="inlineStr">
        <is>
          <t>703426-01</t>
        </is>
      </c>
    </row>
    <row r="3780" hidden="1" ht="15.75" customHeight="1">
      <c r="A3780" s="2">
        <f>HYPERLINK("https://www.soccerplususa.com/adidas/adidas-essentials-hoodie-41596", "https://www.soccerplususa.com/adidas/adidas-essentials-hoodie-41596")</f>
        <v/>
      </c>
      <c r="B3780" t="inlineStr">
        <is>
          <t>undefined</t>
        </is>
      </c>
      <c r="C3780" t="inlineStr">
        <is>
          <t>adidas Essentials Hoodie</t>
        </is>
      </c>
      <c r="D3780" t="inlineStr">
        <is>
          <t>adidas Men's Essentials 3-Stripes French Terry Hoodie</t>
        </is>
      </c>
      <c r="E3780" s="2">
        <f>HYPERLINK("https://www.amazon.com/adidas-3-Stripes-French-Terry-Hoodie/dp/B087C3ZKS8/ref=sr_1_8?keywords=adidas+Essentials+Hoodie&amp;qid=1695171148&amp;sr=8-8", "https://www.amazon.com/adidas-3-Stripes-French-Terry-Hoodie/dp/B087C3ZKS8/ref=sr_1_8?keywords=adidas+Essentials+Hoodie&amp;qid=1695171148&amp;sr=8-8")</f>
        <v/>
      </c>
      <c r="F3780" t="inlineStr">
        <is>
          <t>B087C3ZKS8</t>
        </is>
      </c>
      <c r="G3780">
        <f>_xludf.IMAGE("https://www.soccerplususa.com/prodimages//35143-BLACKWHITE-M.jpg")</f>
        <v/>
      </c>
      <c r="H3780">
        <f>_xludf.IMAGE("https://m.media-amazon.com/images/I/61RGVXxAE9L._AC_UL320_.jpg")</f>
        <v/>
      </c>
      <c r="K3780" t="inlineStr">
        <is>
          <t>44.99</t>
        </is>
      </c>
      <c r="L3780" t="n">
        <v>24</v>
      </c>
      <c r="M3780" s="1" t="inlineStr">
        <is>
          <t>-46.65%</t>
        </is>
      </c>
      <c r="N3780" s="3" t="n">
        <v>-46.65</v>
      </c>
      <c r="O3780" t="n">
        <v>4.6</v>
      </c>
      <c r="P3780" t="n">
        <v>832</v>
      </c>
      <c r="R3780" t="inlineStr">
        <is>
          <t>InStock</t>
        </is>
      </c>
      <c r="S3780" t="inlineStr">
        <is>
          <t>59.95</t>
        </is>
      </c>
      <c r="T3780" t="inlineStr">
        <is>
          <t>GK9062</t>
        </is>
      </c>
    </row>
    <row r="3781" hidden="1" ht="15.75" customHeight="1">
      <c r="A3781" s="2">
        <f>HYPERLINK("https://www.soccerplususa.com/adidas/adidas-tiro-17-jersey-womens-4818", "https://www.soccerplususa.com/adidas/adidas-tiro-17-jersey-womens-4818")</f>
        <v/>
      </c>
      <c r="B3781" t="inlineStr">
        <is>
          <t>undefined</t>
        </is>
      </c>
      <c r="C3781" t="inlineStr">
        <is>
          <t>adidas Tiro 17 Jersey Women's</t>
        </is>
      </c>
      <c r="D3781" t="inlineStr">
        <is>
          <t>adidas Tiro 17 Womens Soccer Jersey Rave Green-White</t>
        </is>
      </c>
      <c r="E3781" s="2">
        <f>HYPERLINK("https://www.amazon.com/adidas-Womens-Soccer-Jersey-Green-White/dp/B01MRQME91/ref=sr_1_5?keywords=adidas+Tiro+17+Jersey+Women%27s&amp;qid=1695171228&amp;sr=8-5", "https://www.amazon.com/adidas-Womens-Soccer-Jersey-Green-White/dp/B01MRQME91/ref=sr_1_5?keywords=adidas+Tiro+17+Jersey+Women%27s&amp;qid=1695171228&amp;sr=8-5")</f>
        <v/>
      </c>
      <c r="F3781" t="inlineStr">
        <is>
          <t>B01MRQME91</t>
        </is>
      </c>
      <c r="G3781">
        <f>_xludf.IMAGE("https://www.soccerplususa.com/prodimages/33189-DEFAULT-l.jpg")</f>
        <v/>
      </c>
      <c r="H3781">
        <f>_xludf.IMAGE("https://m.media-amazon.com/images/I/612I3NWEYPL._AC_UL320_.jpg")</f>
        <v/>
      </c>
      <c r="K3781" t="inlineStr">
        <is>
          <t>30.0</t>
        </is>
      </c>
      <c r="L3781" t="n">
        <v>15.99</v>
      </c>
      <c r="M3781" s="1" t="inlineStr">
        <is>
          <t>-46.70%</t>
        </is>
      </c>
      <c r="N3781" s="3" t="n">
        <v>-46.7</v>
      </c>
      <c r="O3781" t="n">
        <v>1</v>
      </c>
      <c r="P3781" t="n">
        <v>1</v>
      </c>
      <c r="R3781" t="inlineStr">
        <is>
          <t>InStock</t>
        </is>
      </c>
      <c r="S3781" t="inlineStr">
        <is>
          <t>39.95</t>
        </is>
      </c>
      <c r="T3781" t="inlineStr">
        <is>
          <t>BJ9095</t>
        </is>
      </c>
    </row>
    <row r="3782" hidden="1" ht="15.75" customHeight="1">
      <c r="A3782" s="2">
        <f>HYPERLINK("https://www.soccerplususa.com/puma/puma-liga-jersey-womens-39602", "https://www.soccerplususa.com/puma/puma-liga-jersey-womens-39602")</f>
        <v/>
      </c>
      <c r="B3782" t="inlineStr">
        <is>
          <t>undefined</t>
        </is>
      </c>
      <c r="C3782" t="inlineStr">
        <is>
          <t>Puma Liga Jersey Women's</t>
        </is>
      </c>
      <c r="D3782" t="inlineStr">
        <is>
          <t>PUMA Women's Liga Jersey, Pepper Green-White, S</t>
        </is>
      </c>
      <c r="E3782" s="2">
        <f>HYPERLINK("https://www.amazon.com/PUMA-Womens-Jersey-Pepper-Greenpuma/dp/B075RFMB39/ref=sr_1_6?keywords=Puma+Liga+Jersey+Womens&amp;qid=1695171150&amp;sr=8-6", "https://www.amazon.com/PUMA-Womens-Jersey-Pepper-Greenpuma/dp/B075RFMB39/ref=sr_1_6?keywords=Puma+Liga+Jersey+Womens&amp;qid=1695171150&amp;sr=8-6")</f>
        <v/>
      </c>
      <c r="F3782" t="inlineStr">
        <is>
          <t>B075RFMB39</t>
        </is>
      </c>
      <c r="G3782">
        <f>_xludf.IMAGE("https://www.soccerplususa.com/prodimages//36786-REDWHITE-M.jpg")</f>
        <v/>
      </c>
      <c r="H3782">
        <f>_xludf.IMAGE("https://m.media-amazon.com/images/I/61wpCRiZqaL._AC_UL320_.jpg")</f>
        <v/>
      </c>
      <c r="K3782" t="inlineStr">
        <is>
          <t>20.99</t>
        </is>
      </c>
      <c r="L3782" t="n">
        <v>11.03</v>
      </c>
      <c r="M3782" s="1" t="inlineStr">
        <is>
          <t>-47.45%</t>
        </is>
      </c>
      <c r="N3782" s="3" t="n">
        <v>-47.45</v>
      </c>
      <c r="O3782" t="n">
        <v>4.2</v>
      </c>
      <c r="P3782" t="n">
        <v>4</v>
      </c>
      <c r="R3782" t="inlineStr">
        <is>
          <t>InStock</t>
        </is>
      </c>
      <c r="S3782" t="inlineStr">
        <is>
          <t>27.95</t>
        </is>
      </c>
      <c r="T3782" t="inlineStr">
        <is>
          <t>703426-01</t>
        </is>
      </c>
    </row>
    <row r="3783" hidden="1" ht="15.75" customHeight="1">
      <c r="A3783" s="2">
        <f>HYPERLINK("https://www.soccerplususa.com/puma/puma-liga-training-1-4-zip-top-youth-35517", "https://www.soccerplususa.com/puma/puma-liga-training-1-4-zip-top-youth-35517")</f>
        <v/>
      </c>
      <c r="B3783" t="inlineStr">
        <is>
          <t>undefined</t>
        </is>
      </c>
      <c r="C3783" t="inlineStr">
        <is>
          <t>Puma Liga Training 1/4 Zip Top Youth</t>
        </is>
      </c>
      <c r="D3783" t="inlineStr">
        <is>
          <t>PUMA Men's Youth Liga Training 1/4 Zip Top</t>
        </is>
      </c>
      <c r="E3783" s="2">
        <f>HYPERLINK("https://www.amazon.com/PUMA-Mens-Training-Black-White/dp/B07DXXG34F/ref=sr_1_1?keywords=Puma+Liga+Training+1%2F4+Zip+Top+Youth&amp;qid=1695171162&amp;sr=8-1", "https://www.amazon.com/PUMA-Mens-Training-Black-White/dp/B07DXXG34F/ref=sr_1_1?keywords=Puma+Liga+Training+1%2F4+Zip+Top+Youth&amp;qid=1695171162&amp;sr=8-1")</f>
        <v/>
      </c>
      <c r="F3783" t="inlineStr">
        <is>
          <t>B07DXXG34F</t>
        </is>
      </c>
      <c r="G3783">
        <f>_xludf.IMAGE("https://www.soccerplususa.com/prodimages/7782-DEFAULT-l.jpg")</f>
        <v/>
      </c>
      <c r="H3783">
        <f>_xludf.IMAGE("https://m.media-amazon.com/images/I/71O85FZxibL._AC_UL320_.jpg")</f>
        <v/>
      </c>
      <c r="K3783" t="inlineStr">
        <is>
          <t>38.0</t>
        </is>
      </c>
      <c r="L3783" t="n">
        <v>19.95</v>
      </c>
      <c r="M3783" s="1" t="inlineStr">
        <is>
          <t>-47.50%</t>
        </is>
      </c>
      <c r="N3783" s="3" t="n">
        <v>-47.5</v>
      </c>
      <c r="O3783" t="n">
        <v>3.2</v>
      </c>
      <c r="P3783" t="n">
        <v>21</v>
      </c>
      <c r="R3783" t="inlineStr">
        <is>
          <t>InStock</t>
        </is>
      </c>
      <c r="S3783" t="inlineStr">
        <is>
          <t>50.0</t>
        </is>
      </c>
      <c r="T3783" t="inlineStr">
        <is>
          <t>655646-06</t>
        </is>
      </c>
    </row>
    <row r="3784" hidden="1" ht="15.75" customHeight="1">
      <c r="A3784" s="2">
        <f>HYPERLINK("https://www.soccerplususa.com/puma/puma-liga-training-1-4-zip-top-youth-35517", "https://www.soccerplususa.com/puma/puma-liga-training-1-4-zip-top-youth-35517")</f>
        <v/>
      </c>
      <c r="B3784" t="inlineStr">
        <is>
          <t>undefined</t>
        </is>
      </c>
      <c r="C3784" t="inlineStr">
        <is>
          <t>Puma Liga Training 1/4 Zip Top Youth</t>
        </is>
      </c>
      <c r="D3784" t="inlineStr">
        <is>
          <t>PUMA Youth Liga Training 1/4 Zip Top</t>
        </is>
      </c>
      <c r="E3784" s="2">
        <f>HYPERLINK("https://www.amazon.com/PUMA-Mens-Training-Peacoat-White/dp/B07DXZ497N/ref=sr_1_2?keywords=Puma+Liga+Training+1%2F4+Zip+Top+Youth&amp;qid=1695171162&amp;sr=8-2", "https://www.amazon.com/PUMA-Mens-Training-Peacoat-White/dp/B07DXZ497N/ref=sr_1_2?keywords=Puma+Liga+Training+1%2F4+Zip+Top+Youth&amp;qid=1695171162&amp;sr=8-2")</f>
        <v/>
      </c>
      <c r="F3784" t="inlineStr">
        <is>
          <t>B07DXZ497N</t>
        </is>
      </c>
      <c r="G3784">
        <f>_xludf.IMAGE("https://www.soccerplususa.com/prodimages/7782-DEFAULT-l.jpg")</f>
        <v/>
      </c>
      <c r="H3784">
        <f>_xludf.IMAGE("https://m.media-amazon.com/images/I/71XQyUOUcTL._AC_UL320_.jpg")</f>
        <v/>
      </c>
      <c r="K3784" t="inlineStr">
        <is>
          <t>38.0</t>
        </is>
      </c>
      <c r="L3784" t="n">
        <v>19.95</v>
      </c>
      <c r="M3784" s="1" t="inlineStr">
        <is>
          <t>-47.50%</t>
        </is>
      </c>
      <c r="N3784" s="3" t="n">
        <v>-47.5</v>
      </c>
      <c r="O3784" t="n">
        <v>3.2</v>
      </c>
      <c r="P3784" t="n">
        <v>22</v>
      </c>
      <c r="R3784" t="inlineStr">
        <is>
          <t>InStock</t>
        </is>
      </c>
      <c r="S3784" t="inlineStr">
        <is>
          <t>50.0</t>
        </is>
      </c>
      <c r="T3784" t="inlineStr">
        <is>
          <t>655646-06</t>
        </is>
      </c>
    </row>
    <row r="3785" hidden="1" ht="15.75" customHeight="1">
      <c r="A3785" s="2">
        <f>HYPERLINK("https://www.soccerplususa.com/puma/puma-liga-training-1-4-zip-jacket-29028", "https://www.soccerplususa.com/puma/puma-liga-training-1-4-zip-jacket-29028")</f>
        <v/>
      </c>
      <c r="B3785" t="inlineStr">
        <is>
          <t>undefined</t>
        </is>
      </c>
      <c r="C3785" t="inlineStr">
        <is>
          <t>Puma Liga Training 1/4 Zip Jacket</t>
        </is>
      </c>
      <c r="D3785" t="inlineStr">
        <is>
          <t>PUMA Men's Youth Liga Training 1/4 Zip Top</t>
        </is>
      </c>
      <c r="E3785" s="2">
        <f>HYPERLINK("https://www.amazon.com/PUMA-Mens-Training-Black-White/dp/B07DXXG34F/ref=sr_1_2?keywords=Puma+Liga+Training+1%2F4+Zip+Jacket&amp;qid=1695171178&amp;sr=8-2", "https://www.amazon.com/PUMA-Mens-Training-Black-White/dp/B07DXXG34F/ref=sr_1_2?keywords=Puma+Liga+Training+1%2F4+Zip+Jacket&amp;qid=1695171178&amp;sr=8-2")</f>
        <v/>
      </c>
      <c r="F3785" t="inlineStr">
        <is>
          <t>B07DXXG34F</t>
        </is>
      </c>
      <c r="G3785">
        <f>_xludf.IMAGE("https://www.soccerplususa.com/prodimages/6871-DEFAULT-l.jpg")</f>
        <v/>
      </c>
      <c r="H3785">
        <f>_xludf.IMAGE("https://m.media-amazon.com/images/I/71O85FZxibL._AC_UL320_.jpg")</f>
        <v/>
      </c>
      <c r="K3785" t="inlineStr">
        <is>
          <t>38.0</t>
        </is>
      </c>
      <c r="L3785" t="n">
        <v>19.95</v>
      </c>
      <c r="M3785" s="1" t="inlineStr">
        <is>
          <t>-47.50%</t>
        </is>
      </c>
      <c r="N3785" s="3" t="n">
        <v>-47.5</v>
      </c>
      <c r="O3785" t="n">
        <v>3.2</v>
      </c>
      <c r="P3785" t="n">
        <v>21</v>
      </c>
      <c r="R3785" t="inlineStr">
        <is>
          <t>InStock</t>
        </is>
      </c>
      <c r="S3785" t="inlineStr">
        <is>
          <t>50.0</t>
        </is>
      </c>
      <c r="T3785" t="inlineStr">
        <is>
          <t>655606-06</t>
        </is>
      </c>
    </row>
    <row r="3786" hidden="1" ht="15.75" customHeight="1">
      <c r="A3786" s="2">
        <f>HYPERLINK("https://www.soccerplususa.com/adidas/adidas-tabela-18-jersey-33808", "https://www.soccerplususa.com/adidas/adidas-tabela-18-jersey-33808")</f>
        <v/>
      </c>
      <c r="B3786" t="inlineStr">
        <is>
          <t>undefined</t>
        </is>
      </c>
      <c r="C3786" t="inlineStr">
        <is>
          <t>adidas Tabela 18 Jersey</t>
        </is>
      </c>
      <c r="D3786" t="inlineStr">
        <is>
          <t>adidas Boy's Entrada 18 Jersey</t>
        </is>
      </c>
      <c r="E3786" s="2">
        <f>HYPERLINK("https://www.amazon.com/adidas-Entrada-Jersey-Light-White/dp/B072RCFXFL/ref=sr_1_4?keywords=adidas+Tabela+18+Jersey&amp;qid=1695171170&amp;sr=8-4", "https://www.amazon.com/adidas-Entrada-Jersey-Light-White/dp/B072RCFXFL/ref=sr_1_4?keywords=adidas+Tabela+18+Jersey&amp;qid=1695171170&amp;sr=8-4")</f>
        <v/>
      </c>
      <c r="F3786" t="inlineStr">
        <is>
          <t>B072RCFXFL</t>
        </is>
      </c>
      <c r="G3786">
        <f>_xludf.IMAGE("https://www.soccerplususa.com/prodimages//35356-REDWHITE-M.jpg")</f>
        <v/>
      </c>
      <c r="H3786">
        <f>_xludf.IMAGE("https://m.media-amazon.com/images/I/41q-X3hB3fL._AC_UL320_.jpg")</f>
        <v/>
      </c>
      <c r="K3786" t="inlineStr">
        <is>
          <t>21.99</t>
        </is>
      </c>
      <c r="L3786" t="n">
        <v>11.33</v>
      </c>
      <c r="M3786" s="1" t="inlineStr">
        <is>
          <t>-48.48%</t>
        </is>
      </c>
      <c r="N3786" s="3" t="n">
        <v>-48.48</v>
      </c>
      <c r="O3786" t="n">
        <v>4.5</v>
      </c>
      <c r="P3786" t="n">
        <v>4493</v>
      </c>
      <c r="R3786" t="inlineStr">
        <is>
          <t>InStock</t>
        </is>
      </c>
      <c r="S3786" t="inlineStr">
        <is>
          <t>29.95</t>
        </is>
      </c>
      <c r="T3786" t="inlineStr">
        <is>
          <t>CE8935</t>
        </is>
      </c>
    </row>
    <row r="3787" hidden="1" ht="15.75" customHeight="1">
      <c r="A3787" s="2">
        <f>HYPERLINK("https://www.soccerplususa.com/adidas/adidas-tabela-18-jersey-5116", "https://www.soccerplususa.com/adidas/adidas-tabela-18-jersey-5116")</f>
        <v/>
      </c>
      <c r="B3787" t="inlineStr">
        <is>
          <t>undefined</t>
        </is>
      </c>
      <c r="C3787" t="inlineStr">
        <is>
          <t>adidas Tabela 18 Jersey</t>
        </is>
      </c>
      <c r="D3787" t="inlineStr">
        <is>
          <t>adidas Boy's Entrada 18 Jersey</t>
        </is>
      </c>
      <c r="E3787" s="2">
        <f>HYPERLINK("https://www.amazon.com/adidas-Entrada-Jersey-Light-White/dp/B072RCFXFL/ref=sr_1_4?keywords=adidas+Tabela+18+Jersey&amp;qid=1695171247&amp;sr=8-4", "https://www.amazon.com/adidas-Entrada-Jersey-Light-White/dp/B072RCFXFL/ref=sr_1_4?keywords=adidas+Tabela+18+Jersey&amp;qid=1695171247&amp;sr=8-4")</f>
        <v/>
      </c>
      <c r="F3787" t="inlineStr">
        <is>
          <t>B072RCFXFL</t>
        </is>
      </c>
      <c r="G3787">
        <f>_xludf.IMAGE("https://www.soccerplususa.com/prodimages//31725-YELLOW-M.jpg")</f>
        <v/>
      </c>
      <c r="H3787">
        <f>_xludf.IMAGE("https://m.media-amazon.com/images/I/41q-X3hB3fL._AC_UL320_.jpg")</f>
        <v/>
      </c>
      <c r="K3787" t="inlineStr">
        <is>
          <t>21.99</t>
        </is>
      </c>
      <c r="L3787" t="n">
        <v>11.33</v>
      </c>
      <c r="M3787" s="1" t="inlineStr">
        <is>
          <t>-48.48%</t>
        </is>
      </c>
      <c r="N3787" s="3" t="n">
        <v>-48.48</v>
      </c>
      <c r="O3787" t="n">
        <v>4.5</v>
      </c>
      <c r="P3787" t="n">
        <v>4493</v>
      </c>
      <c r="R3787" t="inlineStr">
        <is>
          <t>InStock</t>
        </is>
      </c>
      <c r="S3787" t="inlineStr">
        <is>
          <t>29.95</t>
        </is>
      </c>
      <c r="T3787" t="inlineStr">
        <is>
          <t>CE8941</t>
        </is>
      </c>
    </row>
    <row r="3788" hidden="1" ht="15.75" customHeight="1">
      <c r="A3788" s="2">
        <f>HYPERLINK("https://www.soccerplususa.com/adidas/adidas-tabela-18-jersey-5115", "https://www.soccerplususa.com/adidas/adidas-tabela-18-jersey-5115")</f>
        <v/>
      </c>
      <c r="B3788" t="inlineStr">
        <is>
          <t>undefined</t>
        </is>
      </c>
      <c r="C3788" t="inlineStr">
        <is>
          <t>adidas Tabela 18 Jersey</t>
        </is>
      </c>
      <c r="D3788" t="inlineStr">
        <is>
          <t>adidas Boy's Entrada 18 Jersey</t>
        </is>
      </c>
      <c r="E3788" s="2">
        <f>HYPERLINK("https://www.amazon.com/adidas-Entrada-Jersey-Light-White/dp/B072RCFXFL/ref=sr_1_4?keywords=adidas+Tabela+18+Jersey&amp;qid=1695171223&amp;sr=8-4", "https://www.amazon.com/adidas-Entrada-Jersey-Light-White/dp/B072RCFXFL/ref=sr_1_4?keywords=adidas+Tabela+18+Jersey&amp;qid=1695171223&amp;sr=8-4")</f>
        <v/>
      </c>
      <c r="F3788" t="inlineStr">
        <is>
          <t>B072RCFXFL</t>
        </is>
      </c>
      <c r="G3788">
        <f>_xludf.IMAGE("https://www.soccerplususa.com/prodimages//31724-GRAY-M.jpg")</f>
        <v/>
      </c>
      <c r="H3788">
        <f>_xludf.IMAGE("https://m.media-amazon.com/images/I/41q-X3hB3fL._AC_UL320_.jpg")</f>
        <v/>
      </c>
      <c r="K3788" t="inlineStr">
        <is>
          <t>21.99</t>
        </is>
      </c>
      <c r="L3788" t="n">
        <v>11.33</v>
      </c>
      <c r="M3788" s="1" t="inlineStr">
        <is>
          <t>-48.48%</t>
        </is>
      </c>
      <c r="N3788" s="3" t="n">
        <v>-48.48</v>
      </c>
      <c r="O3788" t="n">
        <v>4.5</v>
      </c>
      <c r="P3788" t="n">
        <v>4493</v>
      </c>
      <c r="R3788" t="inlineStr">
        <is>
          <t>InStock</t>
        </is>
      </c>
      <c r="S3788" t="inlineStr">
        <is>
          <t>29.95</t>
        </is>
      </c>
      <c r="T3788" t="inlineStr">
        <is>
          <t>CE8940</t>
        </is>
      </c>
    </row>
    <row r="3789" hidden="1" ht="15.75" customHeight="1">
      <c r="A3789" s="2">
        <f>HYPERLINK("https://www.soccerplususa.com/puma/puma-liga-training-jacket-youth-35521", "https://www.soccerplususa.com/puma/puma-liga-training-jacket-youth-35521")</f>
        <v/>
      </c>
      <c r="B3789" t="inlineStr">
        <is>
          <t>undefined</t>
        </is>
      </c>
      <c r="C3789" t="inlineStr">
        <is>
          <t>Puma Liga Training Jacket Youth</t>
        </is>
      </c>
      <c r="D3789" t="inlineStr">
        <is>
          <t>PUMA Youth Liga Training Jacket</t>
        </is>
      </c>
      <c r="E3789" s="2">
        <f>HYPERLINK("https://www.amazon.com/PUMA-Training-Jacket-Pepper-X-Large/dp/B07DXZ1H4T/ref=sr_1_1?keywords=Puma+Liga+Training+Jacket+Youth&amp;qid=1695171158&amp;sr=8-1", "https://www.amazon.com/PUMA-Training-Jacket-Pepper-X-Large/dp/B07DXZ1H4T/ref=sr_1_1?keywords=Puma+Liga+Training+Jacket+Youth&amp;qid=1695171158&amp;sr=8-1")</f>
        <v/>
      </c>
      <c r="F3789" t="inlineStr">
        <is>
          <t>B07DXZ1H4T</t>
        </is>
      </c>
      <c r="G3789">
        <f>_xludf.IMAGE("https://www.soccerplususa.com/prodimages/32219-DEFAULT-l.jpg")</f>
        <v/>
      </c>
      <c r="H3789">
        <f>_xludf.IMAGE("https://m.media-amazon.com/images/I/81x7JBtnFDL._AC_UL320_.jpg")</f>
        <v/>
      </c>
      <c r="K3789" t="inlineStr">
        <is>
          <t>45.0</t>
        </is>
      </c>
      <c r="L3789" t="n">
        <v>22.95</v>
      </c>
      <c r="M3789" s="1" t="inlineStr">
        <is>
          <t>-49.00%</t>
        </is>
      </c>
      <c r="N3789" s="3" t="n">
        <v>-49</v>
      </c>
      <c r="O3789" t="n">
        <v>3.5</v>
      </c>
      <c r="P3789" t="n">
        <v>80</v>
      </c>
      <c r="R3789" t="inlineStr">
        <is>
          <t>InStock</t>
        </is>
      </c>
      <c r="S3789" t="inlineStr">
        <is>
          <t>59.95</t>
        </is>
      </c>
      <c r="T3789" t="inlineStr">
        <is>
          <t>655688-02</t>
        </is>
      </c>
    </row>
    <row r="3790" hidden="1" ht="15.75" customHeight="1">
      <c r="A3790" s="2">
        <f>HYPERLINK("https://www.soccerplususa.com/adidas/adidas-campeon-15-jersey-7827", "https://www.soccerplususa.com/adidas/adidas-campeon-15-jersey-7827")</f>
        <v/>
      </c>
      <c r="B3790" t="inlineStr">
        <is>
          <t>undefined</t>
        </is>
      </c>
      <c r="C3790" t="inlineStr">
        <is>
          <t>adidas Campeon 15 Jersey</t>
        </is>
      </c>
      <c r="D3790" t="inlineStr">
        <is>
          <t>adidas Campeon 19 Jersey - Women's Soccer</t>
        </is>
      </c>
      <c r="E3790" s="2">
        <f>HYPERLINK("https://www.amazon.com/adidas-Campeon-19-Jersey-Womens/dp/B07K2NC2C5/ref=sr_1_5?keywords=adidas+Campeon+15+Jersey&amp;qid=1695171209&amp;sr=8-5", "https://www.amazon.com/adidas-Campeon-19-Jersey-Womens/dp/B07K2NC2C5/ref=sr_1_5?keywords=adidas+Campeon+15+Jersey&amp;qid=1695171209&amp;sr=8-5")</f>
        <v/>
      </c>
      <c r="F3790" t="inlineStr">
        <is>
          <t>B07K2NC2C5</t>
        </is>
      </c>
      <c r="G3790">
        <f>_xludf.IMAGE("https://www.soccerplususa.com/prodimages/4487-DEFAULT-l.jpg")</f>
        <v/>
      </c>
      <c r="H3790">
        <f>_xludf.IMAGE("https://m.media-amazon.com/images/I/51xsL2cQ+9L._AC_UL320_.jpg")</f>
        <v/>
      </c>
      <c r="K3790" t="inlineStr">
        <is>
          <t>30.0</t>
        </is>
      </c>
      <c r="L3790" t="n">
        <v>14.99</v>
      </c>
      <c r="M3790" s="1" t="inlineStr">
        <is>
          <t>-50.03%</t>
        </is>
      </c>
      <c r="N3790" s="3" t="n">
        <v>-50.03</v>
      </c>
      <c r="O3790" t="n">
        <v>4.6</v>
      </c>
      <c r="P3790" t="n">
        <v>47</v>
      </c>
      <c r="R3790" t="inlineStr">
        <is>
          <t>InStock</t>
        </is>
      </c>
      <c r="S3790" t="inlineStr">
        <is>
          <t>59.95</t>
        </is>
      </c>
      <c r="T3790" t="inlineStr">
        <is>
          <t>S15899</t>
        </is>
      </c>
    </row>
    <row r="3791" hidden="1" ht="15.75" customHeight="1">
      <c r="A3791" s="2">
        <f>HYPERLINK("https://www.soccerplususa.com/puma/puma-liga-training-rain-jacket-youth-35518", "https://www.soccerplususa.com/puma/puma-liga-training-rain-jacket-youth-35518")</f>
        <v/>
      </c>
      <c r="B3791" t="inlineStr">
        <is>
          <t>undefined</t>
        </is>
      </c>
      <c r="C3791" t="inlineStr">
        <is>
          <t>Puma Liga Training Rain Jacket Youth</t>
        </is>
      </c>
      <c r="D3791" t="inlineStr">
        <is>
          <t>PUMA Youth Liga Training Jacket</t>
        </is>
      </c>
      <c r="E3791" s="2">
        <f>HYPERLINK("https://www.amazon.com/PUMA-Training-Jacket-Blackpuma-White/dp/B07KWQF1RF/ref=sr_1_2?keywords=Puma+Liga+Training+Rain+Jacket+Youth&amp;qid=1695171159&amp;sr=8-2", "https://www.amazon.com/PUMA-Training-Jacket-Blackpuma-White/dp/B07KWQF1RF/ref=sr_1_2?keywords=Puma+Liga+Training+Rain+Jacket+Youth&amp;qid=1695171159&amp;sr=8-2")</f>
        <v/>
      </c>
      <c r="F3791" t="inlineStr">
        <is>
          <t>B07KWQF1RF</t>
        </is>
      </c>
      <c r="G3791">
        <f>_xludf.IMAGE("https://www.soccerplususa.com/prodimages/13113-DEFAULT-l.jpg")</f>
        <v/>
      </c>
      <c r="H3791">
        <f>_xludf.IMAGE("https://m.media-amazon.com/images/I/71b2+Cj8o-L._AC_UL320_.jpg")</f>
        <v/>
      </c>
      <c r="K3791" t="inlineStr">
        <is>
          <t>59.95</t>
        </is>
      </c>
      <c r="L3791" t="n">
        <v>29.95</v>
      </c>
      <c r="M3791" s="1" t="inlineStr">
        <is>
          <t>-50.04%</t>
        </is>
      </c>
      <c r="N3791" s="3" t="n">
        <v>-50.04</v>
      </c>
      <c r="O3791" t="n">
        <v>3.5</v>
      </c>
      <c r="P3791" t="n">
        <v>80</v>
      </c>
      <c r="R3791" t="inlineStr">
        <is>
          <t>InStock</t>
        </is>
      </c>
      <c r="S3791" t="inlineStr">
        <is>
          <t>undefined</t>
        </is>
      </c>
      <c r="T3791" t="inlineStr">
        <is>
          <t>655660-03</t>
        </is>
      </c>
    </row>
    <row r="3792" hidden="1" ht="15.75" customHeight="1">
      <c r="A3792" s="2">
        <f>HYPERLINK("https://www.soccerplususa.com/under-armour/under-armour-coldgear-authentics-mock-womens-44305", "https://www.soccerplususa.com/under-armour/under-armour-coldgear-authentics-mock-womens-44305")</f>
        <v/>
      </c>
      <c r="B3792" t="inlineStr">
        <is>
          <t>undefined</t>
        </is>
      </c>
      <c r="C3792" t="inlineStr">
        <is>
          <t>Under Armour ColdGear Authentics Mock Women's</t>
        </is>
      </c>
      <c r="D3792" t="inlineStr">
        <is>
          <t>Under Armour Women's ColdGear Authentics Mock Neck</t>
        </is>
      </c>
      <c r="E3792" s="2">
        <f>HYPERLINK("https://www.amazon.com/Under-Armour-Womens-Authentics-T-Shirt/dp/B08LMLJPD6/ref=sr_1_1?keywords=Under+Armour+ColdGear+Authentics+Mock+Womens&amp;qid=1695171151&amp;sr=8-1", "https://www.amazon.com/Under-Armour-Womens-Authentics-T-Shirt/dp/B08LMLJPD6/ref=sr_1_1?keywords=Under+Armour+ColdGear+Authentics+Mock+Womens&amp;qid=1695171151&amp;sr=8-1")</f>
        <v/>
      </c>
      <c r="F3792" t="inlineStr">
        <is>
          <t>B08LMLJPD6</t>
        </is>
      </c>
      <c r="G3792">
        <f>_xludf.IMAGE("https://www.soccerplususa.com/prodimages//36058-WHITE-M.jpg")</f>
        <v/>
      </c>
      <c r="H3792">
        <f>_xludf.IMAGE("https://m.media-amazon.com/images/I/41JwylDx+rL._AC_UL320_.jpg")</f>
        <v/>
      </c>
      <c r="K3792" t="inlineStr">
        <is>
          <t>54.95</t>
        </is>
      </c>
      <c r="L3792" t="n">
        <v>27.45</v>
      </c>
      <c r="M3792" s="1" t="inlineStr">
        <is>
          <t>-50.05%</t>
        </is>
      </c>
      <c r="N3792" s="3" t="n">
        <v>-50.05</v>
      </c>
      <c r="O3792" t="n">
        <v>4.7</v>
      </c>
      <c r="P3792" t="n">
        <v>869</v>
      </c>
      <c r="R3792" t="inlineStr">
        <is>
          <t>InStock</t>
        </is>
      </c>
      <c r="S3792" t="inlineStr">
        <is>
          <t>undefined</t>
        </is>
      </c>
      <c r="T3792" t="inlineStr">
        <is>
          <t>1368702-100</t>
        </is>
      </c>
    </row>
    <row r="3793" hidden="1" ht="15.75" customHeight="1">
      <c r="A3793" s="2">
        <f>HYPERLINK("https://www.soccerplususa.com/under-armour/under-armour-coldgear-authentics-mock-womens-44304", "https://www.soccerplususa.com/under-armour/under-armour-coldgear-authentics-mock-womens-44304")</f>
        <v/>
      </c>
      <c r="B3793" t="inlineStr">
        <is>
          <t>undefined</t>
        </is>
      </c>
      <c r="C3793" t="inlineStr">
        <is>
          <t>Under Armour ColdGear Authentics Mock Women's</t>
        </is>
      </c>
      <c r="D3793" t="inlineStr">
        <is>
          <t>Under Armour Women's ColdGear Authentics Mock Neck</t>
        </is>
      </c>
      <c r="E3793" s="2">
        <f>HYPERLINK("https://www.amazon.com/Under-Armour-Womens-Authentics-T-Shirt/dp/B08LMLJPD6/ref=sr_1_1?keywords=Under+Armour+ColdGear+Authentics+Mock+Womens&amp;qid=1695171145&amp;sr=8-1", "https://www.amazon.com/Under-Armour-Womens-Authentics-T-Shirt/dp/B08LMLJPD6/ref=sr_1_1?keywords=Under+Armour+ColdGear+Authentics+Mock+Womens&amp;qid=1695171145&amp;sr=8-1")</f>
        <v/>
      </c>
      <c r="F3793" t="inlineStr">
        <is>
          <t>B08LMLJPD6</t>
        </is>
      </c>
      <c r="G3793">
        <f>_xludf.IMAGE("https://www.soccerplususa.com/prodimages//36059-BLACK-M.jpg")</f>
        <v/>
      </c>
      <c r="H3793">
        <f>_xludf.IMAGE("https://m.media-amazon.com/images/I/41JwylDx+rL._AC_UL320_.jpg")</f>
        <v/>
      </c>
      <c r="K3793" t="inlineStr">
        <is>
          <t>54.95</t>
        </is>
      </c>
      <c r="L3793" t="n">
        <v>27.45</v>
      </c>
      <c r="M3793" s="1" t="inlineStr">
        <is>
          <t>-50.05%</t>
        </is>
      </c>
      <c r="N3793" s="3" t="n">
        <v>-50.05</v>
      </c>
      <c r="O3793" t="n">
        <v>4.7</v>
      </c>
      <c r="P3793" t="n">
        <v>869</v>
      </c>
      <c r="R3793" t="inlineStr">
        <is>
          <t>InStock</t>
        </is>
      </c>
      <c r="S3793" t="inlineStr">
        <is>
          <t>undefined</t>
        </is>
      </c>
      <c r="T3793" t="inlineStr">
        <is>
          <t>1368702-001</t>
        </is>
      </c>
    </row>
    <row r="3794" hidden="1" ht="15.75" customHeight="1">
      <c r="A3794" s="2">
        <f>HYPERLINK("https://www.soccerplususa.com/puma/puma-liga-casuals-hoody-37833", "https://www.soccerplususa.com/puma/puma-liga-casuals-hoody-37833")</f>
        <v/>
      </c>
      <c r="B3794" t="inlineStr">
        <is>
          <t>undefined</t>
        </is>
      </c>
      <c r="C3794" t="inlineStr">
        <is>
          <t>Puma Liga Casuals Hoody</t>
        </is>
      </c>
      <c r="D3794" t="inlineStr">
        <is>
          <t>PUMA Men's Liga Casuals Hoody</t>
        </is>
      </c>
      <c r="E3794" s="2">
        <f>HYPERLINK("https://www.amazon.com/PUMA-Casuals-Hoody-Electric-Lemonadepuma/dp/B07KX41ZBS/ref=sr_1_2?keywords=Puma+Liga+Casuals+Hoody&amp;qid=1695171187&amp;sr=8-2", "https://www.amazon.com/PUMA-Casuals-Hoody-Electric-Lemonadepuma/dp/B07KX41ZBS/ref=sr_1_2?keywords=Puma+Liga+Casuals+Hoody&amp;qid=1695171187&amp;sr=8-2")</f>
        <v/>
      </c>
      <c r="F3794" t="inlineStr">
        <is>
          <t>B07KX41ZBS</t>
        </is>
      </c>
      <c r="G3794">
        <f>_xludf.IMAGE("https://www.soccerplususa.com/prodimages/32679-DEFAULT-l.jpg")</f>
        <v/>
      </c>
      <c r="H3794">
        <f>_xludf.IMAGE("https://m.media-amazon.com/images/I/71e92g9XvUL._AC_UL320_.jpg")</f>
        <v/>
      </c>
      <c r="K3794" t="inlineStr">
        <is>
          <t>49.95</t>
        </is>
      </c>
      <c r="L3794" t="n">
        <v>24.95</v>
      </c>
      <c r="M3794" s="1" t="inlineStr">
        <is>
          <t>-50.05%</t>
        </is>
      </c>
      <c r="N3794" s="3" t="n">
        <v>-50.05</v>
      </c>
      <c r="O3794" t="n">
        <v>4.6</v>
      </c>
      <c r="P3794" t="n">
        <v>148</v>
      </c>
      <c r="R3794" t="inlineStr">
        <is>
          <t>InStock</t>
        </is>
      </c>
      <c r="S3794" t="inlineStr">
        <is>
          <t>undefined</t>
        </is>
      </c>
      <c r="T3794" t="inlineStr">
        <is>
          <t>655307-01</t>
        </is>
      </c>
    </row>
    <row r="3795" hidden="1" ht="15.75" customHeight="1">
      <c r="A3795" s="2">
        <f>HYPERLINK("https://www.soccerplususa.com/puma/puma-liga-casuals-hoody-37834", "https://www.soccerplususa.com/puma/puma-liga-casuals-hoody-37834")</f>
        <v/>
      </c>
      <c r="B3795" t="inlineStr">
        <is>
          <t>undefined</t>
        </is>
      </c>
      <c r="C3795" t="inlineStr">
        <is>
          <t>Puma Liga Casuals Hoody</t>
        </is>
      </c>
      <c r="D3795" t="inlineStr">
        <is>
          <t>PUMA Men's Liga Casuals Hoody</t>
        </is>
      </c>
      <c r="E3795" s="2">
        <f>HYPERLINK("https://www.amazon.com/PUMA-Casuals-Hoody-Electric-Lemonadepuma/dp/B07KX41ZBS/ref=sr_1_2?keywords=Puma+Liga+Casuals+Hoody&amp;qid=1695171157&amp;sr=8-2", "https://www.amazon.com/PUMA-Casuals-Hoody-Electric-Lemonadepuma/dp/B07KX41ZBS/ref=sr_1_2?keywords=Puma+Liga+Casuals+Hoody&amp;qid=1695171157&amp;sr=8-2")</f>
        <v/>
      </c>
      <c r="F3795" t="inlineStr">
        <is>
          <t>B07KX41ZBS</t>
        </is>
      </c>
      <c r="G3795">
        <f>_xludf.IMAGE("https://www.soccerplususa.com/prodimages/32680-DEFAULT-l.jpg")</f>
        <v/>
      </c>
      <c r="H3795">
        <f>_xludf.IMAGE("https://m.media-amazon.com/images/I/71e92g9XvUL._AC_UL320_.jpg")</f>
        <v/>
      </c>
      <c r="K3795" t="inlineStr">
        <is>
          <t>49.95</t>
        </is>
      </c>
      <c r="L3795" t="n">
        <v>24.95</v>
      </c>
      <c r="M3795" s="1" t="inlineStr">
        <is>
          <t>-50.05%</t>
        </is>
      </c>
      <c r="N3795" s="3" t="n">
        <v>-50.05</v>
      </c>
      <c r="O3795" t="n">
        <v>4.6</v>
      </c>
      <c r="P3795" t="n">
        <v>148</v>
      </c>
      <c r="R3795" t="inlineStr">
        <is>
          <t>InStock</t>
        </is>
      </c>
      <c r="S3795" t="inlineStr">
        <is>
          <t>undefined</t>
        </is>
      </c>
      <c r="T3795" t="inlineStr">
        <is>
          <t>655307-33</t>
        </is>
      </c>
    </row>
    <row r="3796" hidden="1" ht="15.75" customHeight="1">
      <c r="A3796" s="2">
        <f>HYPERLINK("https://www.soccerplususa.com/puma/puma-teamglory-jersey-youth-42486", "https://www.soccerplususa.com/puma/puma-teamglory-jersey-youth-42486")</f>
        <v/>
      </c>
      <c r="B3796" t="inlineStr">
        <is>
          <t>undefined</t>
        </is>
      </c>
      <c r="C3796" t="inlineStr">
        <is>
          <t>Puma TeamGlory Jersey Youth</t>
        </is>
      </c>
      <c r="D3796" t="inlineStr">
        <is>
          <t>PUMA Unisex Youth Teamfinal 21 Graphic Jersey</t>
        </is>
      </c>
      <c r="E3796" s="2">
        <f>HYPERLINK("https://www.amazon.com/PUMA-TEAMFINAL-Graphic-Jersey-White/dp/B084ZX4SJM/ref=sr_1_1?keywords=Puma+TeamGlory+Jersey+Youth&amp;qid=1695171174&amp;sr=8-1", "https://www.amazon.com/PUMA-TEAMFINAL-Graphic-Jersey-White/dp/B084ZX4SJM/ref=sr_1_1?keywords=Puma+TeamGlory+Jersey+Youth&amp;qid=1695171174&amp;sr=8-1")</f>
        <v/>
      </c>
      <c r="F3796" t="inlineStr">
        <is>
          <t>B084ZX4SJM</t>
        </is>
      </c>
      <c r="G3796">
        <f>_xludf.IMAGE("https://www.soccerplususa.com/prodimages//35565-Fizzy_Lime-M.jpg")</f>
        <v/>
      </c>
      <c r="H3796">
        <f>_xludf.IMAGE("https://m.media-amazon.com/images/I/716CDoYx6+L._AC_UL320_.jpg")</f>
        <v/>
      </c>
      <c r="K3796" t="inlineStr">
        <is>
          <t>39.95</t>
        </is>
      </c>
      <c r="L3796" t="n">
        <v>19.92</v>
      </c>
      <c r="M3796" s="1" t="inlineStr">
        <is>
          <t>-50.14%</t>
        </is>
      </c>
      <c r="N3796" s="3" t="n">
        <v>-50.14</v>
      </c>
      <c r="O3796" t="n">
        <v>4.3</v>
      </c>
      <c r="P3796" t="n">
        <v>35</v>
      </c>
      <c r="R3796" t="inlineStr">
        <is>
          <t>InStock</t>
        </is>
      </c>
      <c r="S3796" t="inlineStr">
        <is>
          <t>undefined</t>
        </is>
      </c>
      <c r="T3796" t="inlineStr">
        <is>
          <t>705309-20</t>
        </is>
      </c>
    </row>
    <row r="3797" hidden="1" ht="15.75" customHeight="1">
      <c r="A3797" s="2">
        <f>HYPERLINK("https://www.soccerplususa.com/puma/puma-liga-hooped-jersey-youth-35527", "https://www.soccerplususa.com/puma/puma-liga-hooped-jersey-youth-35527")</f>
        <v/>
      </c>
      <c r="B3797" t="inlineStr">
        <is>
          <t>undefined</t>
        </is>
      </c>
      <c r="C3797" t="inlineStr">
        <is>
          <t>Puma Liga Hooped Jersey Youth</t>
        </is>
      </c>
      <c r="D3797" t="inlineStr">
        <is>
          <t>PUMA Unisex Youth Liga Jersey</t>
        </is>
      </c>
      <c r="E3797" s="2">
        <f>HYPERLINK("https://www.amazon.com/PUMA-Mens-Jersey-Black-White/dp/B07DXZ35GC/ref=sr_1_3?keywords=Puma+Liga+Hooped+Jersey+Youth&amp;qid=1695171171&amp;sr=8-3", "https://www.amazon.com/PUMA-Mens-Jersey-Black-White/dp/B07DXZ35GC/ref=sr_1_3?keywords=Puma+Liga+Hooped+Jersey+Youth&amp;qid=1695171171&amp;sr=8-3")</f>
        <v/>
      </c>
      <c r="F3797" t="inlineStr">
        <is>
          <t>B07DXZ35GC</t>
        </is>
      </c>
      <c r="G3797">
        <f>_xludf.IMAGE("https://www.soccerplususa.com/prodimages/32670-DEFAULT-l.jpg")</f>
        <v/>
      </c>
      <c r="H3797">
        <f>_xludf.IMAGE("https://m.media-amazon.com/images/I/71f+GPiGtdL._AC_UL320_.jpg")</f>
        <v/>
      </c>
      <c r="K3797" t="inlineStr">
        <is>
          <t>30.0</t>
        </is>
      </c>
      <c r="L3797" t="n">
        <v>14.95</v>
      </c>
      <c r="M3797" s="1" t="inlineStr">
        <is>
          <t>-50.17%</t>
        </is>
      </c>
      <c r="N3797" s="3" t="n">
        <v>-50.17</v>
      </c>
      <c r="O3797" t="n">
        <v>4</v>
      </c>
      <c r="P3797" t="n">
        <v>37</v>
      </c>
      <c r="R3797" t="inlineStr">
        <is>
          <t>InStock</t>
        </is>
      </c>
      <c r="S3797" t="inlineStr">
        <is>
          <t>39.95</t>
        </is>
      </c>
      <c r="T3797" t="inlineStr">
        <is>
          <t>703423-02</t>
        </is>
      </c>
    </row>
    <row r="3798" hidden="1" ht="15.75" customHeight="1">
      <c r="A3798" s="2">
        <f>HYPERLINK("https://www.soccerplususa.com/puma/puma-liga-hooped-jersey-35526", "https://www.soccerplususa.com/puma/puma-liga-hooped-jersey-35526")</f>
        <v/>
      </c>
      <c r="B3798" t="inlineStr">
        <is>
          <t>undefined</t>
        </is>
      </c>
      <c r="C3798" t="inlineStr">
        <is>
          <t>Puma Liga Hooped Jersey</t>
        </is>
      </c>
      <c r="D3798" t="inlineStr">
        <is>
          <t>PUMA Unisex Youth Liga Jersey</t>
        </is>
      </c>
      <c r="E3798" s="2">
        <f>HYPERLINK("https://www.amazon.com/PUMA-Jersey-Cyber-Yellowpuma-X-Large/dp/B07KWYGMG7/ref=sr_1_6?keywords=Puma+Liga+Hooped+Jersey&amp;qid=1695171162&amp;sr=8-6", "https://www.amazon.com/PUMA-Jersey-Cyber-Yellowpuma-X-Large/dp/B07KWYGMG7/ref=sr_1_6?keywords=Puma+Liga+Hooped+Jersey&amp;qid=1695171162&amp;sr=8-6")</f>
        <v/>
      </c>
      <c r="F3798" t="inlineStr">
        <is>
          <t>B07KWYGMG7</t>
        </is>
      </c>
      <c r="G3798">
        <f>_xludf.IMAGE("https://www.soccerplususa.com/prodimages/32667-DEFAULT-l.jpg")</f>
        <v/>
      </c>
      <c r="H3798">
        <f>_xludf.IMAGE("https://m.media-amazon.com/images/I/61NmJE8EwpL._AC_UL320_.jpg")</f>
        <v/>
      </c>
      <c r="K3798" t="inlineStr">
        <is>
          <t>30.0</t>
        </is>
      </c>
      <c r="L3798" t="n">
        <v>14.95</v>
      </c>
      <c r="M3798" s="1" t="inlineStr">
        <is>
          <t>-50.17%</t>
        </is>
      </c>
      <c r="N3798" s="3" t="n">
        <v>-50.17</v>
      </c>
      <c r="O3798" t="n">
        <v>4.1</v>
      </c>
      <c r="P3798" t="n">
        <v>81</v>
      </c>
      <c r="R3798" t="inlineStr">
        <is>
          <t>InStock</t>
        </is>
      </c>
      <c r="S3798" t="inlineStr">
        <is>
          <t>39.95</t>
        </is>
      </c>
      <c r="T3798" t="inlineStr">
        <is>
          <t>703422-02</t>
        </is>
      </c>
    </row>
    <row r="3799" hidden="1" ht="15.75" customHeight="1">
      <c r="A3799" s="2">
        <f>HYPERLINK("https://www.soccerplususa.com/puma/puma-liga-hooped-jersey-35526", "https://www.soccerplususa.com/puma/puma-liga-hooped-jersey-35526")</f>
        <v/>
      </c>
      <c r="B3799" t="inlineStr">
        <is>
          <t>undefined</t>
        </is>
      </c>
      <c r="C3799" t="inlineStr">
        <is>
          <t>Puma Liga Hooped Jersey</t>
        </is>
      </c>
      <c r="D3799" t="inlineStr">
        <is>
          <t>PUMA Womens Liga Jersey Athletic Casual Tops Jersey Moisture Wicking - Green</t>
        </is>
      </c>
      <c r="E3799" s="2">
        <f>HYPERLINK("https://www.amazon.com/PUMA-Womens-Training-Jersey-Green-Puma/dp/B07B8DCRSJ/ref=sr_1_4?keywords=Puma+Liga+Hooped+Jersey&amp;qid=1695171162&amp;sr=8-4", "https://www.amazon.com/PUMA-Womens-Training-Jersey-Green-Puma/dp/B07B8DCRSJ/ref=sr_1_4?keywords=Puma+Liga+Hooped+Jersey&amp;qid=1695171162&amp;sr=8-4")</f>
        <v/>
      </c>
      <c r="F3799" t="inlineStr">
        <is>
          <t>B07B8DCRSJ</t>
        </is>
      </c>
      <c r="G3799">
        <f>_xludf.IMAGE("https://www.soccerplususa.com/prodimages/32667-DEFAULT-l.jpg")</f>
        <v/>
      </c>
      <c r="H3799">
        <f>_xludf.IMAGE("https://m.media-amazon.com/images/I/61oGqxv3G9L._AC_UL320_.jpg")</f>
        <v/>
      </c>
      <c r="K3799" t="inlineStr">
        <is>
          <t>30.0</t>
        </is>
      </c>
      <c r="L3799" t="n">
        <v>14.95</v>
      </c>
      <c r="M3799" s="1" t="inlineStr">
        <is>
          <t>-50.17%</t>
        </is>
      </c>
      <c r="N3799" s="3" t="n">
        <v>-50.17</v>
      </c>
      <c r="O3799" t="n">
        <v>4.4</v>
      </c>
      <c r="P3799" t="n">
        <v>10</v>
      </c>
      <c r="R3799" t="inlineStr">
        <is>
          <t>InStock</t>
        </is>
      </c>
      <c r="S3799" t="inlineStr">
        <is>
          <t>39.95</t>
        </is>
      </c>
      <c r="T3799" t="inlineStr">
        <is>
          <t>703422-02</t>
        </is>
      </c>
    </row>
    <row r="3800" hidden="1" ht="15.75" customHeight="1">
      <c r="A3800" s="2">
        <f>HYPERLINK("https://www.soccerplususa.com/puma/puma-liga-hooped-jersey-youth-35527", "https://www.soccerplususa.com/puma/puma-liga-hooped-jersey-youth-35527")</f>
        <v/>
      </c>
      <c r="B3800" t="inlineStr">
        <is>
          <t>undefined</t>
        </is>
      </c>
      <c r="C3800" t="inlineStr">
        <is>
          <t>Puma Liga Hooped Jersey Youth</t>
        </is>
      </c>
      <c r="D3800" t="inlineStr">
        <is>
          <t>PUMA Unisex Youth Liga Jersey</t>
        </is>
      </c>
      <c r="E3800" s="2">
        <f>HYPERLINK("https://www.amazon.com/PUMA-Jersey-Cyber-Yellowpuma-X-Large/dp/B07KWYGMG7/ref=sr_1_5?keywords=Puma+Liga+Hooped+Jersey+Youth&amp;qid=1695171171&amp;sr=8-5", "https://www.amazon.com/PUMA-Jersey-Cyber-Yellowpuma-X-Large/dp/B07KWYGMG7/ref=sr_1_5?keywords=Puma+Liga+Hooped+Jersey+Youth&amp;qid=1695171171&amp;sr=8-5")</f>
        <v/>
      </c>
      <c r="F3800" t="inlineStr">
        <is>
          <t>B07KWYGMG7</t>
        </is>
      </c>
      <c r="G3800">
        <f>_xludf.IMAGE("https://www.soccerplususa.com/prodimages/32670-DEFAULT-l.jpg")</f>
        <v/>
      </c>
      <c r="H3800">
        <f>_xludf.IMAGE("https://m.media-amazon.com/images/I/61NmJE8EwpL._AC_UL320_.jpg")</f>
        <v/>
      </c>
      <c r="K3800" t="inlineStr">
        <is>
          <t>30.0</t>
        </is>
      </c>
      <c r="L3800" t="n">
        <v>14.95</v>
      </c>
      <c r="M3800" s="1" t="inlineStr">
        <is>
          <t>-50.17%</t>
        </is>
      </c>
      <c r="N3800" s="3" t="n">
        <v>-50.17</v>
      </c>
      <c r="O3800" t="n">
        <v>4.1</v>
      </c>
      <c r="P3800" t="n">
        <v>81</v>
      </c>
      <c r="R3800" t="inlineStr">
        <is>
          <t>InStock</t>
        </is>
      </c>
      <c r="S3800" t="inlineStr">
        <is>
          <t>39.95</t>
        </is>
      </c>
      <c r="T3800" t="inlineStr">
        <is>
          <t>703423-02</t>
        </is>
      </c>
    </row>
    <row r="3801" hidden="1" ht="15.75" customHeight="1">
      <c r="A3801" s="2">
        <f>HYPERLINK("https://www.soccerplususa.com/puma/puma-teamgoal-23-training-jacket-youth-38702", "https://www.soccerplususa.com/puma/puma-teamgoal-23-training-jacket-youth-38702")</f>
        <v/>
      </c>
      <c r="B3801" t="inlineStr">
        <is>
          <t>undefined</t>
        </is>
      </c>
      <c r="C3801" t="inlineStr">
        <is>
          <t>Puma Teamgoal 23 Training Jacket Youth</t>
        </is>
      </c>
      <c r="D3801" t="inlineStr">
        <is>
          <t>PUMA Unisex Youth Teamgoal 23 Training 1/4 Zip Top</t>
        </is>
      </c>
      <c r="E3801" s="2">
        <f>HYPERLINK("https://www.amazon.com/PUMA-Kids-TEAMGOAL-Training-White/dp/B084ZXD41C/ref=sr_1_1?keywords=Puma+Teamgoal+23+Training+Jacket+Youth&amp;qid=1695171151&amp;sr=8-1", "https://www.amazon.com/PUMA-Kids-TEAMGOAL-Training-White/dp/B084ZXD41C/ref=sr_1_1?keywords=Puma+Teamgoal+23+Training+Jacket+Youth&amp;qid=1695171151&amp;sr=8-1")</f>
        <v/>
      </c>
      <c r="F3801" t="inlineStr">
        <is>
          <t>B084ZXD41C</t>
        </is>
      </c>
      <c r="G3801">
        <f>_xludf.IMAGE("https://www.soccerplususa.com/prodimages//35609-Electric_Blue-M.jpg")</f>
        <v/>
      </c>
      <c r="H3801">
        <f>_xludf.IMAGE("https://m.media-amazon.com/images/I/61n896XAmOL._AC_UL320_.jpg")</f>
        <v/>
      </c>
      <c r="K3801" t="inlineStr">
        <is>
          <t>44.99</t>
        </is>
      </c>
      <c r="L3801" t="n">
        <v>22.39</v>
      </c>
      <c r="M3801" s="1" t="inlineStr">
        <is>
          <t>-50.23%</t>
        </is>
      </c>
      <c r="N3801" s="3" t="n">
        <v>-50.23</v>
      </c>
      <c r="O3801" t="n">
        <v>4.2</v>
      </c>
      <c r="P3801" t="n">
        <v>3</v>
      </c>
      <c r="R3801" t="inlineStr">
        <is>
          <t>InStock</t>
        </is>
      </c>
      <c r="S3801" t="inlineStr">
        <is>
          <t>59.95</t>
        </is>
      </c>
      <c r="T3801" t="inlineStr">
        <is>
          <t>656570-02</t>
        </is>
      </c>
    </row>
    <row r="3802" hidden="1" ht="15.75" customHeight="1">
      <c r="A3802" s="2">
        <f>HYPERLINK("https://www.soccerplususa.com/adidas/adidas-tiro-17-jersey-4868", "https://www.soccerplususa.com/adidas/adidas-tiro-17-jersey-4868")</f>
        <v/>
      </c>
      <c r="B3802" t="inlineStr">
        <is>
          <t>undefined</t>
        </is>
      </c>
      <c r="C3802" t="inlineStr">
        <is>
          <t>adidas Tiro 17 Jersey</t>
        </is>
      </c>
      <c r="D3802" t="inlineStr">
        <is>
          <t>adidas Tiro 17 Womens Soccer Jersey 2XS Power Red-White</t>
        </is>
      </c>
      <c r="E3802" s="2">
        <f>HYPERLINK("https://www.amazon.com/adidas-Womens-Soccer-Jersey-Red-White/dp/B01N76Z1OB/ref=sr_1_9?keywords=adidas+Tiro+17+Jersey&amp;qid=1695171228&amp;sr=8-9", "https://www.amazon.com/adidas-Womens-Soccer-Jersey-Red-White/dp/B01N76Z1OB/ref=sr_1_9?keywords=adidas+Tiro+17+Jersey&amp;qid=1695171228&amp;sr=8-9")</f>
        <v/>
      </c>
      <c r="F3802" t="inlineStr">
        <is>
          <t>B01N76Z1OB</t>
        </is>
      </c>
      <c r="G3802">
        <f>_xludf.IMAGE("https://www.soccerplususa.com/prodimages/32792-DEFAULT-l.jpg")</f>
        <v/>
      </c>
      <c r="H3802">
        <f>_xludf.IMAGE("https://m.media-amazon.com/images/I/51gJIbK-kFL._AC_UL320_.jpg")</f>
        <v/>
      </c>
      <c r="K3802" t="inlineStr">
        <is>
          <t>29.99</t>
        </is>
      </c>
      <c r="L3802" t="n">
        <v>14.89</v>
      </c>
      <c r="M3802" s="1" t="inlineStr">
        <is>
          <t>-50.35%</t>
        </is>
      </c>
      <c r="N3802" s="3" t="n">
        <v>-50.35</v>
      </c>
      <c r="O3802" t="n">
        <v>5</v>
      </c>
      <c r="P3802" t="n">
        <v>1</v>
      </c>
      <c r="R3802" t="inlineStr">
        <is>
          <t>InStock</t>
        </is>
      </c>
      <c r="S3802" t="inlineStr">
        <is>
          <t>39.95</t>
        </is>
      </c>
      <c r="T3802" t="inlineStr">
        <is>
          <t>BK5435</t>
        </is>
      </c>
    </row>
    <row r="3803" hidden="1" ht="15.75" customHeight="1">
      <c r="A3803" s="2">
        <f>HYPERLINK("https://www.soccerplususa.com/adidas/adidas-tiro-17-jersey-womens-4818", "https://www.soccerplususa.com/adidas/adidas-tiro-17-jersey-womens-4818")</f>
        <v/>
      </c>
      <c r="B3803" t="inlineStr">
        <is>
          <t>undefined</t>
        </is>
      </c>
      <c r="C3803" t="inlineStr">
        <is>
          <t>adidas Tiro 17 Jersey Women's</t>
        </is>
      </c>
      <c r="D3803" t="inlineStr">
        <is>
          <t>adidas Tiro 17 Womens Soccer Jersey 2XS Power Red-White</t>
        </is>
      </c>
      <c r="E3803" s="2">
        <f>HYPERLINK("https://www.amazon.com/adidas-Womens-Soccer-Jersey-Red-White/dp/B01N76Z1OB/ref=sr_1_4?keywords=adidas+Tiro+17+Jersey+Women%27s&amp;qid=1695171228&amp;sr=8-4", "https://www.amazon.com/adidas-Womens-Soccer-Jersey-Red-White/dp/B01N76Z1OB/ref=sr_1_4?keywords=adidas+Tiro+17+Jersey+Women%27s&amp;qid=1695171228&amp;sr=8-4")</f>
        <v/>
      </c>
      <c r="F3803" t="inlineStr">
        <is>
          <t>B01N76Z1OB</t>
        </is>
      </c>
      <c r="G3803">
        <f>_xludf.IMAGE("https://www.soccerplususa.com/prodimages/33189-DEFAULT-l.jpg")</f>
        <v/>
      </c>
      <c r="H3803">
        <f>_xludf.IMAGE("https://m.media-amazon.com/images/I/51gJIbK-kFL._AC_UL320_.jpg")</f>
        <v/>
      </c>
      <c r="K3803" t="inlineStr">
        <is>
          <t>30.0</t>
        </is>
      </c>
      <c r="L3803" t="n">
        <v>14.89</v>
      </c>
      <c r="M3803" s="1" t="inlineStr">
        <is>
          <t>-50.37%</t>
        </is>
      </c>
      <c r="N3803" s="3" t="n">
        <v>-50.37</v>
      </c>
      <c r="O3803" t="n">
        <v>5</v>
      </c>
      <c r="P3803" t="n">
        <v>1</v>
      </c>
      <c r="R3803" t="inlineStr">
        <is>
          <t>InStock</t>
        </is>
      </c>
      <c r="S3803" t="inlineStr">
        <is>
          <t>39.95</t>
        </is>
      </c>
      <c r="T3803" t="inlineStr">
        <is>
          <t>BJ9095</t>
        </is>
      </c>
    </row>
    <row r="3804" hidden="1" ht="15.75" customHeight="1">
      <c r="A3804" s="2">
        <f>HYPERLINK("https://www.soccerplususa.com/adidas/adidas-condivo-18-storm-jacket-4941", "https://www.soccerplususa.com/adidas/adidas-condivo-18-storm-jacket-4941")</f>
        <v/>
      </c>
      <c r="B3804" t="inlineStr">
        <is>
          <t>undefined</t>
        </is>
      </c>
      <c r="C3804" t="inlineStr">
        <is>
          <t>adidas Condivo 18 Storm Jacket</t>
        </is>
      </c>
      <c r="D3804" t="inlineStr">
        <is>
          <t>adidas Men's Condivo 18 Polyester Jacket</t>
        </is>
      </c>
      <c r="E3804" s="2">
        <f>HYPERLINK("https://www.amazon.com/adidas-Condivo-Jacket-Soccer-Blue-White/dp/B07BHKMJ6P/ref=sr_1_2?keywords=adidas+Condivo+18+Storm+Jacket&amp;qid=1695171222&amp;sr=8-2", "https://www.amazon.com/adidas-Condivo-Jacket-Soccer-Blue-White/dp/B07BHKMJ6P/ref=sr_1_2?keywords=adidas+Condivo+18+Storm+Jacket&amp;qid=1695171222&amp;sr=8-2")</f>
        <v/>
      </c>
      <c r="F3804" t="inlineStr">
        <is>
          <t>B07BHKMJ6P</t>
        </is>
      </c>
      <c r="G3804">
        <f>_xludf.IMAGE("https://www.soccerplususa.com/prodimages/5712-DEFAULT-l.jpg")</f>
        <v/>
      </c>
      <c r="H3804">
        <f>_xludf.IMAGE("https://m.media-amazon.com/images/I/71NXSEVNkdL._AC_UL320_.jpg")</f>
        <v/>
      </c>
      <c r="K3804" t="inlineStr">
        <is>
          <t>89.99</t>
        </is>
      </c>
      <c r="L3804" t="n">
        <v>44.45</v>
      </c>
      <c r="M3804" s="1" t="inlineStr">
        <is>
          <t>-50.61%</t>
        </is>
      </c>
      <c r="N3804" s="3" t="n">
        <v>-50.61</v>
      </c>
      <c r="O3804" t="n">
        <v>4.4</v>
      </c>
      <c r="P3804" t="n">
        <v>147</v>
      </c>
      <c r="R3804" t="inlineStr">
        <is>
          <t>InStock</t>
        </is>
      </c>
      <c r="S3804" t="inlineStr">
        <is>
          <t>119.95</t>
        </is>
      </c>
      <c r="T3804" t="inlineStr">
        <is>
          <t>BQ6548</t>
        </is>
      </c>
    </row>
    <row r="3805" hidden="1" ht="15.75" customHeight="1">
      <c r="A3805" s="2">
        <f>HYPERLINK("https://www.soccerplususa.com/nike/nike-dry-academy-18-football-jacket-youth-34589", "https://www.soccerplususa.com/nike/nike-dry-academy-18-football-jacket-youth-34589")</f>
        <v/>
      </c>
      <c r="B3805" t="inlineStr">
        <is>
          <t>undefined</t>
        </is>
      </c>
      <c r="C3805" t="inlineStr">
        <is>
          <t>Nike Dry Academy 18 Football Jacket Youth</t>
        </is>
      </c>
      <c r="D3805" t="inlineStr">
        <is>
          <t>Nike Youth Dry Academy 18 Track Jacket (Black) Size Youth</t>
        </is>
      </c>
      <c r="E3805" s="2">
        <f>HYPERLINK("https://www.amazon.com/NIKE-Youth-Academy-Jacket-Medium/dp/B079JZMVMP/ref=sr_1_2?keywords=Nike+Dry+Academy+18+Football+Jacket+Youth&amp;qid=1695171163&amp;sr=8-2", "https://www.amazon.com/NIKE-Youth-Academy-Jacket-Medium/dp/B079JZMVMP/ref=sr_1_2?keywords=Nike+Dry+Academy+18+Football+Jacket+Youth&amp;qid=1695171163&amp;sr=8-2")</f>
        <v/>
      </c>
      <c r="F3805" t="inlineStr">
        <is>
          <t>B079JZMVMP</t>
        </is>
      </c>
      <c r="G3805">
        <f>_xludf.IMAGE("https://www.soccerplususa.com/prodimages/7468-DEFAULT-l.jpg")</f>
        <v/>
      </c>
      <c r="H3805">
        <f>_xludf.IMAGE("https://m.media-amazon.com/images/I/91AsQuYQnIL._AC_UL320_.jpg")</f>
        <v/>
      </c>
      <c r="K3805" t="inlineStr">
        <is>
          <t>111.99</t>
        </is>
      </c>
      <c r="L3805" t="n">
        <v>55</v>
      </c>
      <c r="M3805" s="1" t="inlineStr">
        <is>
          <t>-50.89%</t>
        </is>
      </c>
      <c r="N3805" s="3" t="n">
        <v>-50.89</v>
      </c>
      <c r="O3805" t="n">
        <v>3.5</v>
      </c>
      <c r="P3805" t="n">
        <v>36</v>
      </c>
      <c r="R3805" t="inlineStr">
        <is>
          <t>InStock</t>
        </is>
      </c>
      <c r="S3805" t="inlineStr">
        <is>
          <t>149.95</t>
        </is>
      </c>
      <c r="T3805" t="inlineStr">
        <is>
          <t>893827-010</t>
        </is>
      </c>
    </row>
    <row r="3806" hidden="1" ht="15.75" customHeight="1">
      <c r="A3806" s="2">
        <f>HYPERLINK("https://www.soccerplususa.com/nike/nike-dry-academy-18-football-jacket-youth-34589", "https://www.soccerplususa.com/nike/nike-dry-academy-18-football-jacket-youth-34589")</f>
        <v/>
      </c>
      <c r="B3806" t="inlineStr">
        <is>
          <t>undefined</t>
        </is>
      </c>
      <c r="C3806" t="inlineStr">
        <is>
          <t>Nike Dry Academy 18 Football Jacket Youth</t>
        </is>
      </c>
      <c r="D3806" t="inlineStr">
        <is>
          <t>Nike Youth Dry Academy 18 Track Jacket (Black) Size Youth</t>
        </is>
      </c>
      <c r="E3806" s="2">
        <f>HYPERLINK("https://www.amazon.com/NIKE-Youth-Academy-Track-Jacket/dp/B079JYTT6W/ref=sr_1_1?keywords=Nike+Dry+Academy+18+Football+Jacket+Youth&amp;qid=1695171163&amp;sr=8-1", "https://www.amazon.com/NIKE-Youth-Academy-Track-Jacket/dp/B079JYTT6W/ref=sr_1_1?keywords=Nike+Dry+Academy+18+Football+Jacket+Youth&amp;qid=1695171163&amp;sr=8-1")</f>
        <v/>
      </c>
      <c r="F3806" t="inlineStr">
        <is>
          <t>B079JYTT6W</t>
        </is>
      </c>
      <c r="G3806">
        <f>_xludf.IMAGE("https://www.soccerplususa.com/prodimages/7468-DEFAULT-l.jpg")</f>
        <v/>
      </c>
      <c r="H3806">
        <f>_xludf.IMAGE("https://m.media-amazon.com/images/I/91AsQuYQnIL._AC_UL320_.jpg")</f>
        <v/>
      </c>
      <c r="K3806" t="inlineStr">
        <is>
          <t>111.99</t>
        </is>
      </c>
      <c r="L3806" t="n">
        <v>55</v>
      </c>
      <c r="M3806" s="1" t="inlineStr">
        <is>
          <t>-50.89%</t>
        </is>
      </c>
      <c r="N3806" s="3" t="n">
        <v>-50.89</v>
      </c>
      <c r="O3806" t="n">
        <v>4</v>
      </c>
      <c r="P3806" t="n">
        <v>34</v>
      </c>
      <c r="R3806" t="inlineStr">
        <is>
          <t>InStock</t>
        </is>
      </c>
      <c r="S3806" t="inlineStr">
        <is>
          <t>149.95</t>
        </is>
      </c>
      <c r="T3806" t="inlineStr">
        <is>
          <t>893827-010</t>
        </is>
      </c>
    </row>
    <row r="3807" hidden="1" ht="15.75" customHeight="1">
      <c r="A3807" s="2">
        <f>HYPERLINK("https://www.soccerplususa.com/puma/puma-liga-jersey-youth-39601", "https://www.soccerplususa.com/puma/puma-liga-jersey-youth-39601")</f>
        <v/>
      </c>
      <c r="B3807" t="inlineStr">
        <is>
          <t>undefined</t>
        </is>
      </c>
      <c r="C3807" t="inlineStr">
        <is>
          <t>Puma Liga Jersey Youth</t>
        </is>
      </c>
      <c r="D3807" t="inlineStr">
        <is>
          <t>PUMA Kids Boys Liga Logo Crew Neck Short Sleeve Jersey Soccer Cleats Breathable - Blue</t>
        </is>
      </c>
      <c r="E3807" s="2">
        <f>HYPERLINK("https://www.amazon.com/PUMA-Jersey-Electric-Lemonade-White/dp/B07B89YGFP/ref=sr_1_6?keywords=Puma+Liga+Jersey+Youth&amp;qid=1695171161&amp;sr=8-6", "https://www.amazon.com/PUMA-Jersey-Electric-Lemonade-White/dp/B07B89YGFP/ref=sr_1_6?keywords=Puma+Liga+Jersey+Youth&amp;qid=1695171161&amp;sr=8-6")</f>
        <v/>
      </c>
      <c r="F3807" t="inlineStr">
        <is>
          <t>B07B89YGFP</t>
        </is>
      </c>
      <c r="G3807">
        <f>_xludf.IMAGE("https://www.soccerplususa.com/prodimages//36796-WHITE-M.jpg")</f>
        <v/>
      </c>
      <c r="H3807">
        <f>_xludf.IMAGE("https://m.media-amazon.com/images/I/81toviovn6L._AC_UL320_.jpg")</f>
        <v/>
      </c>
      <c r="K3807" t="inlineStr">
        <is>
          <t>20.99</t>
        </is>
      </c>
      <c r="L3807" t="n">
        <v>9.949999999999999</v>
      </c>
      <c r="M3807" s="1" t="inlineStr">
        <is>
          <t>-52.60%</t>
        </is>
      </c>
      <c r="N3807" s="3" t="n">
        <v>-52.6</v>
      </c>
      <c r="O3807" t="n">
        <v>4.2</v>
      </c>
      <c r="P3807" t="n">
        <v>19</v>
      </c>
      <c r="R3807" t="inlineStr">
        <is>
          <t>InStock</t>
        </is>
      </c>
      <c r="S3807" t="inlineStr">
        <is>
          <t>27.95</t>
        </is>
      </c>
      <c r="T3807" t="inlineStr">
        <is>
          <t>703418-14</t>
        </is>
      </c>
    </row>
    <row r="3808" hidden="1" ht="15.75" customHeight="1">
      <c r="A3808" s="2">
        <f>HYPERLINK("https://www.soccerplususa.com/puma/puma-liga-jersey-youth-37886", "https://www.soccerplususa.com/puma/puma-liga-jersey-youth-37886")</f>
        <v/>
      </c>
      <c r="B3808" t="inlineStr">
        <is>
          <t>undefined</t>
        </is>
      </c>
      <c r="C3808" t="inlineStr">
        <is>
          <t>Puma Liga Jersey Youth</t>
        </is>
      </c>
      <c r="D3808" t="inlineStr">
        <is>
          <t>PUMA Kids Boys Liga Logo Crew Neck Short Sleeve Jersey Soccer Cleats Breathable - Blue</t>
        </is>
      </c>
      <c r="E3808" s="2">
        <f>HYPERLINK("https://www.amazon.com/PUMA-Jersey-Electric-Lemonade-White/dp/B07B89YGFP/ref=sr_1_6?keywords=Puma+Liga+Jersey+Youth&amp;qid=1695171188&amp;sr=8-6", "https://www.amazon.com/PUMA-Jersey-Electric-Lemonade-White/dp/B07B89YGFP/ref=sr_1_6?keywords=Puma+Liga+Jersey+Youth&amp;qid=1695171188&amp;sr=8-6")</f>
        <v/>
      </c>
      <c r="F3808" t="inlineStr">
        <is>
          <t>B07B89YGFP</t>
        </is>
      </c>
      <c r="G3808">
        <f>_xludf.IMAGE("https://www.soccerplususa.com/prodimages//35271-NAVYWHITE-M.jpg")</f>
        <v/>
      </c>
      <c r="H3808">
        <f>_xludf.IMAGE("https://m.media-amazon.com/images/I/81toviovn6L._AC_UL320_.jpg")</f>
        <v/>
      </c>
      <c r="K3808" t="inlineStr">
        <is>
          <t>20.99</t>
        </is>
      </c>
      <c r="L3808" t="n">
        <v>9.949999999999999</v>
      </c>
      <c r="M3808" s="1" t="inlineStr">
        <is>
          <t>-52.60%</t>
        </is>
      </c>
      <c r="N3808" s="3" t="n">
        <v>-52.6</v>
      </c>
      <c r="O3808" t="n">
        <v>4.2</v>
      </c>
      <c r="P3808" t="n">
        <v>19</v>
      </c>
      <c r="R3808" t="inlineStr">
        <is>
          <t>InStock</t>
        </is>
      </c>
      <c r="S3808" t="inlineStr">
        <is>
          <t>27.95</t>
        </is>
      </c>
      <c r="T3808" t="inlineStr">
        <is>
          <t>703418-06</t>
        </is>
      </c>
    </row>
    <row r="3809" hidden="1" ht="15.75" customHeight="1">
      <c r="A3809" s="2">
        <f>HYPERLINK("https://www.soccerplususa.com/puma/puma-liga-jersey-37884", "https://www.soccerplususa.com/puma/puma-liga-jersey-37884")</f>
        <v/>
      </c>
      <c r="B3809" t="inlineStr">
        <is>
          <t>undefined</t>
        </is>
      </c>
      <c r="C3809" t="inlineStr">
        <is>
          <t>Puma Liga Jersey</t>
        </is>
      </c>
      <c r="D3809" t="inlineStr">
        <is>
          <t>PUMA Unisex Youth Liga Long Sleeve Jersey</t>
        </is>
      </c>
      <c r="E3809" s="2">
        <f>HYPERLINK("https://www.amazon.com/PUMA-Jersey-Sleeve-Redpuma-White/dp/B07B8PSND1/ref=sr_1_4?keywords=Puma+Liga+Jersey&amp;qid=1695171168&amp;sr=8-4", "https://www.amazon.com/PUMA-Jersey-Sleeve-Redpuma-White/dp/B07B8PSND1/ref=sr_1_4?keywords=Puma+Liga+Jersey&amp;qid=1695171168&amp;sr=8-4")</f>
        <v/>
      </c>
      <c r="F3809" t="inlineStr">
        <is>
          <t>B07B8PSND1</t>
        </is>
      </c>
      <c r="G3809">
        <f>_xludf.IMAGE("https://www.soccerplususa.com/prodimages//35270-NAVYWHITE-M.jpg")</f>
        <v/>
      </c>
      <c r="H3809">
        <f>_xludf.IMAGE("https://m.media-amazon.com/images/I/71DubH-WcgL._AC_UL320_.jpg")</f>
        <v/>
      </c>
      <c r="K3809" t="inlineStr">
        <is>
          <t>20.99</t>
        </is>
      </c>
      <c r="L3809" t="n">
        <v>9.949999999999999</v>
      </c>
      <c r="M3809" s="1" t="inlineStr">
        <is>
          <t>-52.60%</t>
        </is>
      </c>
      <c r="N3809" s="3" t="n">
        <v>-52.6</v>
      </c>
      <c r="O3809" t="n">
        <v>3.4</v>
      </c>
      <c r="P3809" t="n">
        <v>92</v>
      </c>
      <c r="R3809" t="inlineStr">
        <is>
          <t>InStock</t>
        </is>
      </c>
      <c r="S3809" t="inlineStr">
        <is>
          <t>27.95</t>
        </is>
      </c>
      <c r="T3809" t="inlineStr">
        <is>
          <t>703417-06</t>
        </is>
      </c>
    </row>
    <row r="3810" hidden="1" ht="15.75" customHeight="1">
      <c r="A3810" s="2">
        <f>HYPERLINK("https://www.soccerplususa.com/puma/puma-liga-jersey-youth-37885", "https://www.soccerplususa.com/puma/puma-liga-jersey-youth-37885")</f>
        <v/>
      </c>
      <c r="B3810" t="inlineStr">
        <is>
          <t>undefined</t>
        </is>
      </c>
      <c r="C3810" t="inlineStr">
        <is>
          <t>Puma Liga Jersey Youth</t>
        </is>
      </c>
      <c r="D3810" t="inlineStr">
        <is>
          <t>PUMA Kids Boys Liga Logo Crew Neck Short Sleeve Jersey Soccer Cleats Breathable - Blue</t>
        </is>
      </c>
      <c r="E3810" s="2">
        <f>HYPERLINK("https://www.amazon.com/PUMA-Jersey-Electric-Lemonade-White/dp/B07B89YGFP/ref=sr_1_6?keywords=Puma+Liga+Jersey+Youth&amp;qid=1695171154&amp;sr=8-6", "https://www.amazon.com/PUMA-Jersey-Electric-Lemonade-White/dp/B07B89YGFP/ref=sr_1_6?keywords=Puma+Liga+Jersey+Youth&amp;qid=1695171154&amp;sr=8-6")</f>
        <v/>
      </c>
      <c r="F3810" t="inlineStr">
        <is>
          <t>B07B89YGFP</t>
        </is>
      </c>
      <c r="G3810">
        <f>_xludf.IMAGE("https://www.soccerplususa.com/prodimages//36779-REDWHITE-M.jpg")</f>
        <v/>
      </c>
      <c r="H3810">
        <f>_xludf.IMAGE("https://m.media-amazon.com/images/I/81toviovn6L._AC_UL320_.jpg")</f>
        <v/>
      </c>
      <c r="K3810" t="inlineStr">
        <is>
          <t>20.99</t>
        </is>
      </c>
      <c r="L3810" t="n">
        <v>9.949999999999999</v>
      </c>
      <c r="M3810" s="1" t="inlineStr">
        <is>
          <t>-52.60%</t>
        </is>
      </c>
      <c r="N3810" s="3" t="n">
        <v>-52.6</v>
      </c>
      <c r="O3810" t="n">
        <v>4.2</v>
      </c>
      <c r="P3810" t="n">
        <v>19</v>
      </c>
      <c r="R3810" t="inlineStr">
        <is>
          <t>InStock</t>
        </is>
      </c>
      <c r="S3810" t="inlineStr">
        <is>
          <t>27.95</t>
        </is>
      </c>
      <c r="T3810" t="inlineStr">
        <is>
          <t>703418-01</t>
        </is>
      </c>
    </row>
    <row r="3811" hidden="1" ht="15.75" customHeight="1">
      <c r="A3811" s="2">
        <f>HYPERLINK("https://www.soccerplususa.com/puma/puma-liga-jersey-37883", "https://www.soccerplususa.com/puma/puma-liga-jersey-37883")</f>
        <v/>
      </c>
      <c r="B3811" t="inlineStr">
        <is>
          <t>undefined</t>
        </is>
      </c>
      <c r="C3811" t="inlineStr">
        <is>
          <t>Puma Liga Jersey</t>
        </is>
      </c>
      <c r="D3811" t="inlineStr">
        <is>
          <t>PUMA Men's Liga Jersey</t>
        </is>
      </c>
      <c r="E3811" s="2">
        <f>HYPERLINK("https://www.amazon.com/PUMA-70342613-LIGA-Jersey-W/dp/B075RCMZTV/ref=sr_1_9?keywords=Puma+Liga+Jersey&amp;qid=1695171159&amp;sr=8-9", "https://www.amazon.com/PUMA-70342613-LIGA-Jersey-W/dp/B075RCMZTV/ref=sr_1_9?keywords=Puma+Liga+Jersey&amp;qid=1695171159&amp;sr=8-9")</f>
        <v/>
      </c>
      <c r="F3811" t="inlineStr">
        <is>
          <t>B075RCMZTV</t>
        </is>
      </c>
      <c r="G3811">
        <f>_xludf.IMAGE("https://www.soccerplususa.com/prodimages//36780-REDWHITE-M.jpg")</f>
        <v/>
      </c>
      <c r="H3811">
        <f>_xludf.IMAGE("https://m.media-amazon.com/images/I/51ufXLu6e3L._AC_UL320_.jpg")</f>
        <v/>
      </c>
      <c r="K3811" t="inlineStr">
        <is>
          <t>27.95</t>
        </is>
      </c>
      <c r="L3811" t="n">
        <v>12.95</v>
      </c>
      <c r="M3811" s="1" t="inlineStr">
        <is>
          <t>-53.67%</t>
        </is>
      </c>
      <c r="N3811" s="3" t="n">
        <v>-53.67</v>
      </c>
      <c r="O3811" t="n">
        <v>4.4</v>
      </c>
      <c r="P3811" t="n">
        <v>19</v>
      </c>
      <c r="R3811" t="inlineStr">
        <is>
          <t>InStock</t>
        </is>
      </c>
      <c r="S3811" t="inlineStr">
        <is>
          <t>undefined</t>
        </is>
      </c>
      <c r="T3811" t="inlineStr">
        <is>
          <t>703417-01</t>
        </is>
      </c>
    </row>
    <row r="3812" hidden="1" ht="15.75" customHeight="1">
      <c r="A3812" s="2">
        <f>HYPERLINK("https://www.soccerplususa.com/puma/puma-liga-jersey-37883", "https://www.soccerplususa.com/puma/puma-liga-jersey-37883")</f>
        <v/>
      </c>
      <c r="B3812" t="inlineStr">
        <is>
          <t>undefined</t>
        </is>
      </c>
      <c r="C3812" t="inlineStr">
        <is>
          <t>Puma Liga Jersey</t>
        </is>
      </c>
      <c r="D3812" t="inlineStr">
        <is>
          <t>PUMA Men's Liga Jersey</t>
        </is>
      </c>
      <c r="E3812" s="2">
        <f>HYPERLINK("https://www.amazon.com/PUMA-Jersey-Electric-Lemonade-White/dp/B075RDMXVP/ref=sr_1_2?keywords=Puma+Liga+Jersey&amp;qid=1695171159&amp;sr=8-2", "https://www.amazon.com/PUMA-Jersey-Electric-Lemonade-White/dp/B075RDMXVP/ref=sr_1_2?keywords=Puma+Liga+Jersey&amp;qid=1695171159&amp;sr=8-2")</f>
        <v/>
      </c>
      <c r="F3812" t="inlineStr">
        <is>
          <t>B075RDMXVP</t>
        </is>
      </c>
      <c r="G3812">
        <f>_xludf.IMAGE("https://www.soccerplususa.com/prodimages//36780-REDWHITE-M.jpg")</f>
        <v/>
      </c>
      <c r="H3812">
        <f>_xludf.IMAGE("https://m.media-amazon.com/images/I/71IBlyL639L._AC_UL320_.jpg")</f>
        <v/>
      </c>
      <c r="K3812" t="inlineStr">
        <is>
          <t>27.95</t>
        </is>
      </c>
      <c r="L3812" t="n">
        <v>12.91</v>
      </c>
      <c r="M3812" s="1" t="inlineStr">
        <is>
          <t>-53.81%</t>
        </is>
      </c>
      <c r="N3812" s="3" t="n">
        <v>-53.81</v>
      </c>
      <c r="O3812" t="n">
        <v>4.5</v>
      </c>
      <c r="P3812" t="n">
        <v>1119</v>
      </c>
      <c r="R3812" t="inlineStr">
        <is>
          <t>InStock</t>
        </is>
      </c>
      <c r="S3812" t="inlineStr">
        <is>
          <t>undefined</t>
        </is>
      </c>
      <c r="T3812" t="inlineStr">
        <is>
          <t>703417-01</t>
        </is>
      </c>
    </row>
    <row r="3813" hidden="1" ht="15.75" customHeight="1">
      <c r="A3813" s="2">
        <f>HYPERLINK("https://www.soccerplususa.com/puma/puma-liga-casuals-padded-jacket-35508", "https://www.soccerplususa.com/puma/puma-liga-casuals-padded-jacket-35508")</f>
        <v/>
      </c>
      <c r="B3813" t="inlineStr">
        <is>
          <t>undefined</t>
        </is>
      </c>
      <c r="C3813" t="inlineStr">
        <is>
          <t>Puma Liga Casuals Padded Jacket</t>
        </is>
      </c>
      <c r="D3813" t="inlineStr">
        <is>
          <t>PUMA Unisex Youth Liga Casuals Padded Jacket</t>
        </is>
      </c>
      <c r="E3813" s="2">
        <f>HYPERLINK("https://www.amazon.com/PUMA-Casuals-Padded-Jacket-Black/dp/B07KX4MLPT/ref=sr_1_1?keywords=Puma+Liga+Casuals+Padded+Jacket&amp;qid=1695171160&amp;sr=8-1", "https://www.amazon.com/PUMA-Casuals-Padded-Jacket-Black/dp/B07KX4MLPT/ref=sr_1_1?keywords=Puma+Liga+Casuals+Padded+Jacket&amp;qid=1695171160&amp;sr=8-1")</f>
        <v/>
      </c>
      <c r="F3813" t="inlineStr">
        <is>
          <t>B07KX4MLPT</t>
        </is>
      </c>
      <c r="G3813">
        <f>_xludf.IMAGE("https://www.soccerplususa.com/prodimages/32204-DEFAULT-l.jpg")</f>
        <v/>
      </c>
      <c r="H3813">
        <f>_xludf.IMAGE("https://m.media-amazon.com/images/I/71Dx+qIrgzL._AC_UL320_.jpg")</f>
        <v/>
      </c>
      <c r="K3813" t="inlineStr">
        <is>
          <t>109.95</t>
        </is>
      </c>
      <c r="L3813" t="n">
        <v>49.95</v>
      </c>
      <c r="M3813" s="1" t="inlineStr">
        <is>
          <t>-54.57%</t>
        </is>
      </c>
      <c r="N3813" s="3" t="n">
        <v>-54.57</v>
      </c>
      <c r="O3813" t="n">
        <v>3.9</v>
      </c>
      <c r="P3813" t="n">
        <v>31</v>
      </c>
      <c r="R3813" t="inlineStr">
        <is>
          <t>InStock</t>
        </is>
      </c>
      <c r="S3813" t="inlineStr">
        <is>
          <t>undefined</t>
        </is>
      </c>
      <c r="T3813" t="inlineStr">
        <is>
          <t>655301-02</t>
        </is>
      </c>
    </row>
    <row r="3814" hidden="1" ht="15.75" customHeight="1">
      <c r="A3814" s="2">
        <f>HYPERLINK("https://www.soccerplususa.com/puma/puma-teamglory-jersey-youth-42486", "https://www.soccerplususa.com/puma/puma-teamglory-jersey-youth-42486")</f>
        <v/>
      </c>
      <c r="B3814" t="inlineStr">
        <is>
          <t>undefined</t>
        </is>
      </c>
      <c r="C3814" t="inlineStr">
        <is>
          <t>Puma TeamGlory Jersey Youth</t>
        </is>
      </c>
      <c r="D3814" t="inlineStr">
        <is>
          <t>PUMA Youth Liga Jersey Core</t>
        </is>
      </c>
      <c r="E3814" s="2">
        <f>HYPERLINK("https://www.amazon.com/PUMA-Jersey-Blackpuma-White-X-Large/dp/B07KWQDSR5/ref=sr_1_2?keywords=Puma+TeamGlory+Jersey+Youth&amp;qid=1695171174&amp;sr=8-2", "https://www.amazon.com/PUMA-Jersey-Blackpuma-White-X-Large/dp/B07KWQDSR5/ref=sr_1_2?keywords=Puma+TeamGlory+Jersey+Youth&amp;qid=1695171174&amp;sr=8-2")</f>
        <v/>
      </c>
      <c r="F3814" t="inlineStr">
        <is>
          <t>B07KWQDSR5</t>
        </is>
      </c>
      <c r="G3814">
        <f>_xludf.IMAGE("https://www.soccerplususa.com/prodimages//35565-Fizzy_Lime-M.jpg")</f>
        <v/>
      </c>
      <c r="H3814">
        <f>_xludf.IMAGE("https://m.media-amazon.com/images/I/61DkPqdXzAL._AC_UL320_.jpg")</f>
        <v/>
      </c>
      <c r="K3814" t="inlineStr">
        <is>
          <t>39.95</t>
        </is>
      </c>
      <c r="L3814" t="n">
        <v>17.95</v>
      </c>
      <c r="M3814" s="1" t="inlineStr">
        <is>
          <t>-55.07%</t>
        </is>
      </c>
      <c r="N3814" s="3" t="n">
        <v>-55.07</v>
      </c>
      <c r="O3814" t="n">
        <v>3.5</v>
      </c>
      <c r="P3814" t="n">
        <v>320</v>
      </c>
      <c r="R3814" t="inlineStr">
        <is>
          <t>InStock</t>
        </is>
      </c>
      <c r="S3814" t="inlineStr">
        <is>
          <t>undefined</t>
        </is>
      </c>
      <c r="T3814" t="inlineStr">
        <is>
          <t>705309-20</t>
        </is>
      </c>
    </row>
    <row r="3815" hidden="1" ht="15.75" customHeight="1">
      <c r="A3815" s="2">
        <f>HYPERLINK("https://www.soccerplususa.com/puma/puma-liga-casuals-hoody-youth-37838", "https://www.soccerplususa.com/puma/puma-liga-casuals-hoody-youth-37838")</f>
        <v/>
      </c>
      <c r="B3815" t="inlineStr">
        <is>
          <t>undefined</t>
        </is>
      </c>
      <c r="C3815" t="inlineStr">
        <is>
          <t>Puma Liga Casuals Hoody Youth</t>
        </is>
      </c>
      <c r="D3815" t="inlineStr">
        <is>
          <t>PUMA Youth Liga Casuals Hoody</t>
        </is>
      </c>
      <c r="E3815" s="2">
        <f>HYPERLINK("https://www.amazon.com/PUMA-Casuals-Hoody-Blackpuma-X-Large/dp/B07KX58BTQ/ref=sr_1_1?keywords=puma+liga+casuals+hoodie+youth&amp;qid=1695171158&amp;sr=8-1", "https://www.amazon.com/PUMA-Casuals-Hoody-Blackpuma-X-Large/dp/B07KX58BTQ/ref=sr_1_1?keywords=puma+liga+casuals+hoodie+youth&amp;qid=1695171158&amp;sr=8-1")</f>
        <v/>
      </c>
      <c r="F3815" t="inlineStr">
        <is>
          <t>B07KX58BTQ</t>
        </is>
      </c>
      <c r="G3815">
        <f>_xludf.IMAGE("https://www.soccerplususa.com/prodimages/32677-DEFAULT-l.jpg")</f>
        <v/>
      </c>
      <c r="H3815">
        <f>_xludf.IMAGE("https://m.media-amazon.com/images/I/61TAHYAyvrL._AC_UL320_.jpg")</f>
        <v/>
      </c>
      <c r="K3815" t="inlineStr">
        <is>
          <t>44.95</t>
        </is>
      </c>
      <c r="L3815" t="n">
        <v>19.95</v>
      </c>
      <c r="M3815" s="1" t="inlineStr">
        <is>
          <t>-55.62%</t>
        </is>
      </c>
      <c r="N3815" s="3" t="n">
        <v>-55.62</v>
      </c>
      <c r="O3815" t="n">
        <v>3.8</v>
      </c>
      <c r="P3815" t="n">
        <v>113</v>
      </c>
      <c r="R3815" t="inlineStr">
        <is>
          <t>InStock</t>
        </is>
      </c>
      <c r="S3815" t="inlineStr">
        <is>
          <t>undefined</t>
        </is>
      </c>
      <c r="T3815" t="inlineStr">
        <is>
          <t>655636-01</t>
        </is>
      </c>
    </row>
    <row r="3816" hidden="1" ht="15.75" customHeight="1">
      <c r="A3816" s="2">
        <f>HYPERLINK("https://www.soccerplususa.com/puma/puma-liga-casuals-hoody-youth-37839", "https://www.soccerplususa.com/puma/puma-liga-casuals-hoody-youth-37839")</f>
        <v/>
      </c>
      <c r="B3816" t="inlineStr">
        <is>
          <t>undefined</t>
        </is>
      </c>
      <c r="C3816" t="inlineStr">
        <is>
          <t>Puma Liga Casuals Hoody Youth</t>
        </is>
      </c>
      <c r="D3816" t="inlineStr">
        <is>
          <t>PUMA Youth Liga Casuals Hoody</t>
        </is>
      </c>
      <c r="E3816" s="2">
        <f>HYPERLINK("https://www.amazon.com/PUMA-Casuals-Hoody-Blackpuma-X-Large/dp/B07KX58BTQ/ref=sr_1_1?keywords=puma+liga+casuals+hoodie+youth&amp;qid=1695171158&amp;sr=8-1", "https://www.amazon.com/PUMA-Casuals-Hoody-Blackpuma-X-Large/dp/B07KX58BTQ/ref=sr_1_1?keywords=puma+liga+casuals+hoodie+youth&amp;qid=1695171158&amp;sr=8-1")</f>
        <v/>
      </c>
      <c r="F3816" t="inlineStr">
        <is>
          <t>B07KX58BTQ</t>
        </is>
      </c>
      <c r="G3816">
        <f>_xludf.IMAGE("https://www.soccerplususa.com/prodimages/32678-DEFAULT-l.jpg")</f>
        <v/>
      </c>
      <c r="H3816">
        <f>_xludf.IMAGE("https://m.media-amazon.com/images/I/61TAHYAyvrL._AC_UL320_.jpg")</f>
        <v/>
      </c>
      <c r="K3816" t="inlineStr">
        <is>
          <t>44.95</t>
        </is>
      </c>
      <c r="L3816" t="n">
        <v>19.95</v>
      </c>
      <c r="M3816" s="1" t="inlineStr">
        <is>
          <t>-55.62%</t>
        </is>
      </c>
      <c r="N3816" s="3" t="n">
        <v>-55.62</v>
      </c>
      <c r="O3816" t="n">
        <v>3.8</v>
      </c>
      <c r="P3816" t="n">
        <v>113</v>
      </c>
      <c r="R3816" t="inlineStr">
        <is>
          <t>InStock</t>
        </is>
      </c>
      <c r="S3816" t="inlineStr">
        <is>
          <t>undefined</t>
        </is>
      </c>
      <c r="T3816" t="inlineStr">
        <is>
          <t>655636-33</t>
        </is>
      </c>
    </row>
    <row r="3817" hidden="1" ht="15.75" customHeight="1">
      <c r="A3817" s="2">
        <f>HYPERLINK("https://www.soccerplususa.com/puma/puma-liga-training-jacket-youth-35521", "https://www.soccerplususa.com/puma/puma-liga-training-jacket-youth-35521")</f>
        <v/>
      </c>
      <c r="B3817" t="inlineStr">
        <is>
          <t>undefined</t>
        </is>
      </c>
      <c r="C3817" t="inlineStr">
        <is>
          <t>Puma Liga Training Jacket Youth</t>
        </is>
      </c>
      <c r="D3817" t="inlineStr">
        <is>
          <t>PUMA Youth Liga Training 1/4 Zip Top</t>
        </is>
      </c>
      <c r="E3817" s="2">
        <f>HYPERLINK("https://www.amazon.com/PUMA-Mens-LIGA-Training-White/dp/B07DYB6FQ2/ref=sr_1_2?keywords=Puma+Liga+Training+Jacket+Youth&amp;qid=1695171158&amp;sr=8-2", "https://www.amazon.com/PUMA-Mens-LIGA-Training-White/dp/B07DYB6FQ2/ref=sr_1_2?keywords=Puma+Liga+Training+Jacket+Youth&amp;qid=1695171158&amp;sr=8-2")</f>
        <v/>
      </c>
      <c r="F3817" t="inlineStr">
        <is>
          <t>B07DYB6FQ2</t>
        </is>
      </c>
      <c r="G3817">
        <f>_xludf.IMAGE("https://www.soccerplususa.com/prodimages/32219-DEFAULT-l.jpg")</f>
        <v/>
      </c>
      <c r="H3817">
        <f>_xludf.IMAGE("https://m.media-amazon.com/images/I/81Kn+Cm6pCL._AC_UL320_.jpg")</f>
        <v/>
      </c>
      <c r="K3817" t="inlineStr">
        <is>
          <t>45.0</t>
        </is>
      </c>
      <c r="L3817" t="n">
        <v>19.95</v>
      </c>
      <c r="M3817" s="1" t="inlineStr">
        <is>
          <t>-55.67%</t>
        </is>
      </c>
      <c r="N3817" s="3" t="n">
        <v>-55.67</v>
      </c>
      <c r="O3817" t="n">
        <v>3.2</v>
      </c>
      <c r="P3817" t="n">
        <v>22</v>
      </c>
      <c r="R3817" t="inlineStr">
        <is>
          <t>InStock</t>
        </is>
      </c>
      <c r="S3817" t="inlineStr">
        <is>
          <t>59.95</t>
        </is>
      </c>
      <c r="T3817" t="inlineStr">
        <is>
          <t>655688-02</t>
        </is>
      </c>
    </row>
    <row r="3818" hidden="1" ht="15.75" customHeight="1">
      <c r="A3818" s="2">
        <f>HYPERLINK("https://www.soccerplususa.com/puma/puma-liga-hooped-jersey-youth-35527", "https://www.soccerplususa.com/puma/puma-liga-hooped-jersey-youth-35527")</f>
        <v/>
      </c>
      <c r="B3818" t="inlineStr">
        <is>
          <t>undefined</t>
        </is>
      </c>
      <c r="C3818" t="inlineStr">
        <is>
          <t>Puma Liga Hooped Jersey Youth</t>
        </is>
      </c>
      <c r="D3818" t="inlineStr">
        <is>
          <t>PUMA Kids' Youth Liga Training Jersey</t>
        </is>
      </c>
      <c r="E3818" s="2">
        <f>HYPERLINK("https://www.amazon.com/PUMA-Training-Jersey-Electric-Lemonade/dp/B07FGTC21T/ref=sr_1_2?keywords=Puma+Liga+Hooped+Jersey+Youth&amp;qid=1695171171&amp;sr=8-2", "https://www.amazon.com/PUMA-Training-Jersey-Electric-Lemonade/dp/B07FGTC21T/ref=sr_1_2?keywords=Puma+Liga+Hooped+Jersey+Youth&amp;qid=1695171171&amp;sr=8-2")</f>
        <v/>
      </c>
      <c r="F3818" t="inlineStr">
        <is>
          <t>B07FGTC21T</t>
        </is>
      </c>
      <c r="G3818">
        <f>_xludf.IMAGE("https://www.soccerplususa.com/prodimages/32670-DEFAULT-l.jpg")</f>
        <v/>
      </c>
      <c r="H3818">
        <f>_xludf.IMAGE("https://m.media-amazon.com/images/I/81fB0WeaEbL._AC_UL320_.jpg")</f>
        <v/>
      </c>
      <c r="K3818" t="inlineStr">
        <is>
          <t>30.0</t>
        </is>
      </c>
      <c r="L3818" t="n">
        <v>12.95</v>
      </c>
      <c r="M3818" s="1" t="inlineStr">
        <is>
          <t>-56.83%</t>
        </is>
      </c>
      <c r="N3818" s="3" t="n">
        <v>-56.83</v>
      </c>
      <c r="O3818" t="n">
        <v>3.3</v>
      </c>
      <c r="P3818" t="n">
        <v>42</v>
      </c>
      <c r="R3818" t="inlineStr">
        <is>
          <t>InStock</t>
        </is>
      </c>
      <c r="S3818" t="inlineStr">
        <is>
          <t>39.95</t>
        </is>
      </c>
      <c r="T3818" t="inlineStr">
        <is>
          <t>703423-02</t>
        </is>
      </c>
    </row>
    <row r="3819" hidden="1" ht="15.75" customHeight="1">
      <c r="A3819" s="2">
        <f>HYPERLINK("https://www.soccerplususa.com/puma/puma-liga-jersey-37883", "https://www.soccerplususa.com/puma/puma-liga-jersey-37883")</f>
        <v/>
      </c>
      <c r="B3819" t="inlineStr">
        <is>
          <t>undefined</t>
        </is>
      </c>
      <c r="C3819" t="inlineStr">
        <is>
          <t>Puma Liga Jersey</t>
        </is>
      </c>
      <c r="D3819" t="inlineStr">
        <is>
          <t>PUMA Women's Liga Jersey, Cyber Yellow-Black, S</t>
        </is>
      </c>
      <c r="E3819" s="2">
        <f>HYPERLINK("https://www.amazon.com/PUMA-Womens-Jersey-Cyber-Yellowpuma/dp/B07FBJ6M3D/ref=sr_1_10?keywords=Puma+Liga+Jersey&amp;qid=1695171159&amp;sr=8-10", "https://www.amazon.com/PUMA-Womens-Jersey-Cyber-Yellowpuma/dp/B07FBJ6M3D/ref=sr_1_10?keywords=Puma+Liga+Jersey&amp;qid=1695171159&amp;sr=8-10")</f>
        <v/>
      </c>
      <c r="F3819" t="inlineStr">
        <is>
          <t>B07FBJ6M3D</t>
        </is>
      </c>
      <c r="G3819">
        <f>_xludf.IMAGE("https://www.soccerplususa.com/prodimages//36780-REDWHITE-M.jpg")</f>
        <v/>
      </c>
      <c r="H3819">
        <f>_xludf.IMAGE("https://m.media-amazon.com/images/I/71TBNPkRR5L._AC_UL320_.jpg")</f>
        <v/>
      </c>
      <c r="K3819" t="inlineStr">
        <is>
          <t>27.95</t>
        </is>
      </c>
      <c r="L3819" t="n">
        <v>11.88</v>
      </c>
      <c r="M3819" s="1" t="inlineStr">
        <is>
          <t>-57.50%</t>
        </is>
      </c>
      <c r="N3819" s="3" t="n">
        <v>-57.5</v>
      </c>
      <c r="O3819" t="n">
        <v>4.1</v>
      </c>
      <c r="P3819" t="n">
        <v>7</v>
      </c>
      <c r="R3819" t="inlineStr">
        <is>
          <t>InStock</t>
        </is>
      </c>
      <c r="S3819" t="inlineStr">
        <is>
          <t>undefined</t>
        </is>
      </c>
      <c r="T3819" t="inlineStr">
        <is>
          <t>703417-01</t>
        </is>
      </c>
    </row>
    <row r="3820" hidden="1" ht="15.75" customHeight="1">
      <c r="A3820" s="2">
        <f>HYPERLINK("https://www.soccerplususa.com/puma/puma-liga-jersey-womens-39602", "https://www.soccerplususa.com/puma/puma-liga-jersey-womens-39602")</f>
        <v/>
      </c>
      <c r="B3820" t="inlineStr">
        <is>
          <t>undefined</t>
        </is>
      </c>
      <c r="C3820" t="inlineStr">
        <is>
          <t>Puma Liga Jersey Women's</t>
        </is>
      </c>
      <c r="D3820" t="inlineStr">
        <is>
          <t>PUMA Women's Liga Jersey</t>
        </is>
      </c>
      <c r="E3820" s="2">
        <f>HYPERLINK("https://www.amazon.com/PUMA-Womens-Jersey-Blackpuma-X-Small/dp/B075RFGYHK/ref=sr_1_1?keywords=Puma+Liga+Jersey+Womens&amp;qid=1695171150&amp;sr=8-1", "https://www.amazon.com/PUMA-Womens-Jersey-Blackpuma-X-Small/dp/B075RFGYHK/ref=sr_1_1?keywords=Puma+Liga+Jersey+Womens&amp;qid=1695171150&amp;sr=8-1")</f>
        <v/>
      </c>
      <c r="F3820" t="inlineStr">
        <is>
          <t>B075RFGYHK</t>
        </is>
      </c>
      <c r="G3820">
        <f>_xludf.IMAGE("https://www.soccerplususa.com/prodimages//36786-REDWHITE-M.jpg")</f>
        <v/>
      </c>
      <c r="H3820">
        <f>_xludf.IMAGE("https://m.media-amazon.com/images/I/818EdyScpLL._AC_UL320_.jpg")</f>
        <v/>
      </c>
      <c r="K3820" t="inlineStr">
        <is>
          <t>20.99</t>
        </is>
      </c>
      <c r="L3820" t="n">
        <v>8.880000000000001</v>
      </c>
      <c r="M3820" s="1" t="inlineStr">
        <is>
          <t>-57.69%</t>
        </is>
      </c>
      <c r="N3820" s="3" t="n">
        <v>-57.69</v>
      </c>
      <c r="O3820" t="n">
        <v>4.5</v>
      </c>
      <c r="P3820" t="n">
        <v>375</v>
      </c>
      <c r="R3820" t="inlineStr">
        <is>
          <t>InStock</t>
        </is>
      </c>
      <c r="S3820" t="inlineStr">
        <is>
          <t>27.95</t>
        </is>
      </c>
      <c r="T3820" t="inlineStr">
        <is>
          <t>703426-01</t>
        </is>
      </c>
    </row>
    <row r="3821" hidden="1" ht="15.75" customHeight="1">
      <c r="A3821" s="2">
        <f>HYPERLINK("https://www.soccerplususa.com/puma/puma-liga-training-rain-jacket-youth-35518", "https://www.soccerplususa.com/puma/puma-liga-training-rain-jacket-youth-35518")</f>
        <v/>
      </c>
      <c r="B3821" t="inlineStr">
        <is>
          <t>undefined</t>
        </is>
      </c>
      <c r="C3821" t="inlineStr">
        <is>
          <t>Puma Liga Training Rain Jacket Youth</t>
        </is>
      </c>
      <c r="D3821" t="inlineStr">
        <is>
          <t>PUMA Men's Liga Training Jacket</t>
        </is>
      </c>
      <c r="E3821" s="2">
        <f>HYPERLINK("https://www.amazon.com/PUMA-Training-Jacket-Electric-Lemonade/dp/B07C7FSBF9/ref=sr_1_6?keywords=Puma+Liga+Training+Rain+Jacket+Youth&amp;qid=1695171159&amp;sr=8-6", "https://www.amazon.com/PUMA-Training-Jacket-Electric-Lemonade/dp/B07C7FSBF9/ref=sr_1_6?keywords=Puma+Liga+Training+Rain+Jacket+Youth&amp;qid=1695171159&amp;sr=8-6")</f>
        <v/>
      </c>
      <c r="F3821" t="inlineStr">
        <is>
          <t>B07C7FSBF9</t>
        </is>
      </c>
      <c r="G3821">
        <f>_xludf.IMAGE("https://www.soccerplususa.com/prodimages/13113-DEFAULT-l.jpg")</f>
        <v/>
      </c>
      <c r="H3821">
        <f>_xludf.IMAGE("https://m.media-amazon.com/images/I/71QPncQEh8L._AC_UL320_.jpg")</f>
        <v/>
      </c>
      <c r="K3821" t="inlineStr">
        <is>
          <t>59.95</t>
        </is>
      </c>
      <c r="L3821" t="n">
        <v>24.95</v>
      </c>
      <c r="M3821" s="1" t="inlineStr">
        <is>
          <t>-58.38%</t>
        </is>
      </c>
      <c r="N3821" s="3" t="n">
        <v>-58.38</v>
      </c>
      <c r="O3821" t="n">
        <v>4.5</v>
      </c>
      <c r="P3821" t="n">
        <v>586</v>
      </c>
      <c r="R3821" t="inlineStr">
        <is>
          <t>InStock</t>
        </is>
      </c>
      <c r="S3821" t="inlineStr">
        <is>
          <t>undefined</t>
        </is>
      </c>
      <c r="T3821" t="inlineStr">
        <is>
          <t>655660-03</t>
        </is>
      </c>
    </row>
    <row r="3822" hidden="1" ht="15.75" customHeight="1">
      <c r="A3822" s="2">
        <f>HYPERLINK("https://www.soccerplususa.com/puma/puma-liga-casuals-padded-jacket-35508", "https://www.soccerplususa.com/puma/puma-liga-casuals-padded-jacket-35508")</f>
        <v/>
      </c>
      <c r="B3822" t="inlineStr">
        <is>
          <t>undefined</t>
        </is>
      </c>
      <c r="C3822" t="inlineStr">
        <is>
          <t>Puma Liga Casuals Padded Jacket</t>
        </is>
      </c>
      <c r="D3822" t="inlineStr">
        <is>
          <t>PUMA Men's Liga Casuals Padded Jacket</t>
        </is>
      </c>
      <c r="E3822" s="2">
        <f>HYPERLINK("https://www.amazon.com/PUMA-Casuals-Padded-Jacket-Black/dp/B07DYB13T3/ref=sr_1_2?keywords=Puma+Liga+Casuals+Padded+Jacket&amp;qid=1695171160&amp;sr=8-2", "https://www.amazon.com/PUMA-Casuals-Padded-Jacket-Black/dp/B07DYB13T3/ref=sr_1_2?keywords=Puma+Liga+Casuals+Padded+Jacket&amp;qid=1695171160&amp;sr=8-2")</f>
        <v/>
      </c>
      <c r="F3822" t="inlineStr">
        <is>
          <t>B07DYB13T3</t>
        </is>
      </c>
      <c r="G3822">
        <f>_xludf.IMAGE("https://www.soccerplususa.com/prodimages/32204-DEFAULT-l.jpg")</f>
        <v/>
      </c>
      <c r="H3822">
        <f>_xludf.IMAGE("https://m.media-amazon.com/images/I/71aT8wurugL._AC_UL320_.jpg")</f>
        <v/>
      </c>
      <c r="K3822" t="inlineStr">
        <is>
          <t>109.95</t>
        </is>
      </c>
      <c r="L3822" t="n">
        <v>44.95</v>
      </c>
      <c r="M3822" s="1" t="inlineStr">
        <is>
          <t>-59.12%</t>
        </is>
      </c>
      <c r="N3822" s="3" t="n">
        <v>-59.12</v>
      </c>
      <c r="O3822" t="n">
        <v>4.4</v>
      </c>
      <c r="P3822" t="n">
        <v>109</v>
      </c>
      <c r="R3822" t="inlineStr">
        <is>
          <t>InStock</t>
        </is>
      </c>
      <c r="S3822" t="inlineStr">
        <is>
          <t>undefined</t>
        </is>
      </c>
      <c r="T3822" t="inlineStr">
        <is>
          <t>655301-02</t>
        </is>
      </c>
    </row>
    <row r="3823" hidden="1" ht="15.75" customHeight="1">
      <c r="A3823" s="2">
        <f>HYPERLINK("https://www.soccerplususa.com/puma/puma-liga-jersey-37884", "https://www.soccerplususa.com/puma/puma-liga-jersey-37884")</f>
        <v/>
      </c>
      <c r="B3823" t="inlineStr">
        <is>
          <t>undefined</t>
        </is>
      </c>
      <c r="C3823" t="inlineStr">
        <is>
          <t>Puma Liga Jersey</t>
        </is>
      </c>
      <c r="D3823" t="inlineStr">
        <is>
          <t>PUMA Women's Liga Jersey</t>
        </is>
      </c>
      <c r="E3823" s="2">
        <f>HYPERLINK("https://www.amazon.com/PUMA-Womens-Jersey-Electric-Lemonadewhite/dp/B075RDMXV5/ref=sr_1_3?keywords=Puma+Liga+Jersey&amp;qid=1695171168&amp;sr=8-3", "https://www.amazon.com/PUMA-Womens-Jersey-Electric-Lemonadewhite/dp/B075RDMXV5/ref=sr_1_3?keywords=Puma+Liga+Jersey&amp;qid=1695171168&amp;sr=8-3")</f>
        <v/>
      </c>
      <c r="F3823" t="inlineStr">
        <is>
          <t>B075RDMXV5</t>
        </is>
      </c>
      <c r="G3823">
        <f>_xludf.IMAGE("https://www.soccerplususa.com/prodimages//35270-NAVYWHITE-M.jpg")</f>
        <v/>
      </c>
      <c r="H3823">
        <f>_xludf.IMAGE("https://m.media-amazon.com/images/I/81NfBERrjRL._AC_UL320_.jpg")</f>
        <v/>
      </c>
      <c r="K3823" t="inlineStr">
        <is>
          <t>20.99</t>
        </is>
      </c>
      <c r="L3823" t="n">
        <v>8.4</v>
      </c>
      <c r="M3823" s="1" t="inlineStr">
        <is>
          <t>-59.98%</t>
        </is>
      </c>
      <c r="N3823" s="3" t="n">
        <v>-59.98</v>
      </c>
      <c r="O3823" t="n">
        <v>4.5</v>
      </c>
      <c r="P3823" t="n">
        <v>375</v>
      </c>
      <c r="R3823" t="inlineStr">
        <is>
          <t>InStock</t>
        </is>
      </c>
      <c r="S3823" t="inlineStr">
        <is>
          <t>27.95</t>
        </is>
      </c>
      <c r="T3823" t="inlineStr">
        <is>
          <t>703417-06</t>
        </is>
      </c>
    </row>
    <row r="3824" hidden="1" ht="15.75" customHeight="1">
      <c r="A3824" s="2">
        <f>HYPERLINK("https://www.soccerplususa.com/adidas/adidas-core-18-training-top-womens-33855", "https://www.soccerplususa.com/adidas/adidas-core-18-training-top-womens-33855")</f>
        <v/>
      </c>
      <c r="B3824" t="inlineStr">
        <is>
          <t>undefined</t>
        </is>
      </c>
      <c r="C3824" t="inlineStr">
        <is>
          <t>adidas Core 18 Training Top Women's</t>
        </is>
      </c>
      <c r="D3824" t="inlineStr">
        <is>
          <t>adidas Women's Core 18 Training Jersey</t>
        </is>
      </c>
      <c r="E3824" s="2">
        <f>HYPERLINK("https://www.amazon.com/adidas-Womens-Core18-Jersey-Stone/dp/B073H9Z3LX/ref=sr_1_1?keywords=adidas+Core+18+Training+Top+Women%27s&amp;qid=1695171165&amp;sr=8-1", "https://www.amazon.com/adidas-Womens-Core18-Jersey-Stone/dp/B073H9Z3LX/ref=sr_1_1?keywords=adidas+Core+18+Training+Top+Women%27s&amp;qid=1695171165&amp;sr=8-1")</f>
        <v/>
      </c>
      <c r="F3824" t="inlineStr">
        <is>
          <t>B073H9Z3LX</t>
        </is>
      </c>
      <c r="G3824">
        <f>_xludf.IMAGE("https://www.soccerplususa.com/prodimages/35139-DEFAULT-l.jpg")</f>
        <v/>
      </c>
      <c r="H3824">
        <f>_xludf.IMAGE("https://m.media-amazon.com/images/I/41mtfMqtPIL._AC_UL320_.jpg")</f>
        <v/>
      </c>
      <c r="K3824" t="inlineStr">
        <is>
          <t>29.99</t>
        </is>
      </c>
      <c r="L3824" t="n">
        <v>11.95</v>
      </c>
      <c r="M3824" s="1" t="inlineStr">
        <is>
          <t>-60.15%</t>
        </is>
      </c>
      <c r="N3824" s="3" t="n">
        <v>-60.15</v>
      </c>
      <c r="O3824" t="n">
        <v>4.5</v>
      </c>
      <c r="P3824" t="n">
        <v>2334</v>
      </c>
      <c r="R3824" t="inlineStr">
        <is>
          <t>InStock</t>
        </is>
      </c>
      <c r="S3824" t="inlineStr">
        <is>
          <t>39.95</t>
        </is>
      </c>
      <c r="T3824" t="inlineStr">
        <is>
          <t>CY8264</t>
        </is>
      </c>
    </row>
    <row r="3825" hidden="1" ht="15.75" customHeight="1">
      <c r="A3825" s="2">
        <f>HYPERLINK("https://www.soccerplususa.com/adidas/adidas-condivo-18-storm-jacket-4941", "https://www.soccerplususa.com/adidas/adidas-condivo-18-storm-jacket-4941")</f>
        <v/>
      </c>
      <c r="B3825" t="inlineStr">
        <is>
          <t>undefined</t>
        </is>
      </c>
      <c r="C3825" t="inlineStr">
        <is>
          <t>adidas Condivo 18 Storm Jacket</t>
        </is>
      </c>
      <c r="D3825" t="inlineStr">
        <is>
          <t>adidas Men's Condivo 18 Polyester Jacket</t>
        </is>
      </c>
      <c r="E3825" s="2">
        <f>HYPERLINK("https://www.amazon.com/adidas-Condivo-Training-Jacket-Black/dp/B078WHPGXF/ref=sr_1_4?keywords=adidas+Condivo+18+Storm+Jacket&amp;qid=1695171222&amp;sr=8-4", "https://www.amazon.com/adidas-Condivo-Training-Jacket-Black/dp/B078WHPGXF/ref=sr_1_4?keywords=adidas+Condivo+18+Storm+Jacket&amp;qid=1695171222&amp;sr=8-4")</f>
        <v/>
      </c>
      <c r="F3825" t="inlineStr">
        <is>
          <t>B078WHPGXF</t>
        </is>
      </c>
      <c r="G3825">
        <f>_xludf.IMAGE("https://www.soccerplususa.com/prodimages/5712-DEFAULT-l.jpg")</f>
        <v/>
      </c>
      <c r="H3825">
        <f>_xludf.IMAGE("https://m.media-amazon.com/images/I/61KcOyoVpCL._AC_UL320_.jpg")</f>
        <v/>
      </c>
      <c r="K3825" t="inlineStr">
        <is>
          <t>89.99</t>
        </is>
      </c>
      <c r="L3825" t="n">
        <v>34.74</v>
      </c>
      <c r="M3825" s="1" t="inlineStr">
        <is>
          <t>-61.40%</t>
        </is>
      </c>
      <c r="N3825" s="3" t="n">
        <v>-61.4</v>
      </c>
      <c r="O3825" t="n">
        <v>4.5</v>
      </c>
      <c r="P3825" t="n">
        <v>162</v>
      </c>
      <c r="R3825" t="inlineStr">
        <is>
          <t>InStock</t>
        </is>
      </c>
      <c r="S3825" t="inlineStr">
        <is>
          <t>119.95</t>
        </is>
      </c>
      <c r="T3825" t="inlineStr">
        <is>
          <t>BQ6548</t>
        </is>
      </c>
    </row>
    <row r="3826" hidden="1" ht="15.75" customHeight="1">
      <c r="A3826" s="2">
        <f>HYPERLINK("https://www.soccerplususa.com/puma/puma-teamglory-jersey-youth-42486", "https://www.soccerplususa.com/puma/puma-teamglory-jersey-youth-42486")</f>
        <v/>
      </c>
      <c r="B3826" t="inlineStr">
        <is>
          <t>undefined</t>
        </is>
      </c>
      <c r="C3826" t="inlineStr">
        <is>
          <t>Puma TeamGlory Jersey Youth</t>
        </is>
      </c>
      <c r="D3826" t="inlineStr">
        <is>
          <t>PUMA Unisex Youth Liga Jersey</t>
        </is>
      </c>
      <c r="E3826" s="2">
        <f>HYPERLINK("https://www.amazon.com/PUMA-Jersey-Cyber-Yellowpuma-X-Large/dp/B07KWYGMG7/ref=sr_1_6?keywords=Puma+TeamGlory+Jersey+Youth&amp;qid=1695171174&amp;sr=8-6", "https://www.amazon.com/PUMA-Jersey-Cyber-Yellowpuma-X-Large/dp/B07KWYGMG7/ref=sr_1_6?keywords=Puma+TeamGlory+Jersey+Youth&amp;qid=1695171174&amp;sr=8-6")</f>
        <v/>
      </c>
      <c r="F3826" t="inlineStr">
        <is>
          <t>B07KWYGMG7</t>
        </is>
      </c>
      <c r="G3826">
        <f>_xludf.IMAGE("https://www.soccerplususa.com/prodimages//35565-Fizzy_Lime-M.jpg")</f>
        <v/>
      </c>
      <c r="H3826">
        <f>_xludf.IMAGE("https://m.media-amazon.com/images/I/61NmJE8EwpL._AC_UL320_.jpg")</f>
        <v/>
      </c>
      <c r="K3826" t="inlineStr">
        <is>
          <t>39.95</t>
        </is>
      </c>
      <c r="L3826" t="n">
        <v>14.95</v>
      </c>
      <c r="M3826" s="1" t="inlineStr">
        <is>
          <t>-62.58%</t>
        </is>
      </c>
      <c r="N3826" s="3" t="n">
        <v>-62.58</v>
      </c>
      <c r="O3826" t="n">
        <v>4.1</v>
      </c>
      <c r="P3826" t="n">
        <v>81</v>
      </c>
      <c r="R3826" t="inlineStr">
        <is>
          <t>InStock</t>
        </is>
      </c>
      <c r="S3826" t="inlineStr">
        <is>
          <t>undefined</t>
        </is>
      </c>
      <c r="T3826" t="inlineStr">
        <is>
          <t>705309-20</t>
        </is>
      </c>
    </row>
    <row r="3827" hidden="1" ht="15.75" customHeight="1">
      <c r="A3827" s="2">
        <f>HYPERLINK("https://www.soccerplususa.com/puma/puma-teamglory-jersey-youth-42486", "https://www.soccerplususa.com/puma/puma-teamglory-jersey-youth-42486")</f>
        <v/>
      </c>
      <c r="B3827" t="inlineStr">
        <is>
          <t>undefined</t>
        </is>
      </c>
      <c r="C3827" t="inlineStr">
        <is>
          <t>Puma TeamGlory Jersey Youth</t>
        </is>
      </c>
      <c r="D3827" t="inlineStr">
        <is>
          <t>PUMA Unisex Youth Liga Jersey</t>
        </is>
      </c>
      <c r="E3827" s="2">
        <f>HYPERLINK("https://www.amazon.com/PUMA-Mens-Jersey-Black-White/dp/B07DXZ35GC/ref=sr_1_3?keywords=Puma+TeamGlory+Jersey+Youth&amp;qid=1695171174&amp;sr=8-3", "https://www.amazon.com/PUMA-Mens-Jersey-Black-White/dp/B07DXZ35GC/ref=sr_1_3?keywords=Puma+TeamGlory+Jersey+Youth&amp;qid=1695171174&amp;sr=8-3")</f>
        <v/>
      </c>
      <c r="F3827" t="inlineStr">
        <is>
          <t>B07DXZ35GC</t>
        </is>
      </c>
      <c r="G3827">
        <f>_xludf.IMAGE("https://www.soccerplususa.com/prodimages//35565-Fizzy_Lime-M.jpg")</f>
        <v/>
      </c>
      <c r="H3827">
        <f>_xludf.IMAGE("https://m.media-amazon.com/images/I/71f+GPiGtdL._AC_UL320_.jpg")</f>
        <v/>
      </c>
      <c r="K3827" t="inlineStr">
        <is>
          <t>39.95</t>
        </is>
      </c>
      <c r="L3827" t="n">
        <v>14.95</v>
      </c>
      <c r="M3827" s="1" t="inlineStr">
        <is>
          <t>-62.58%</t>
        </is>
      </c>
      <c r="N3827" s="3" t="n">
        <v>-62.58</v>
      </c>
      <c r="O3827" t="n">
        <v>4</v>
      </c>
      <c r="P3827" t="n">
        <v>37</v>
      </c>
      <c r="R3827" t="inlineStr">
        <is>
          <t>InStock</t>
        </is>
      </c>
      <c r="S3827" t="inlineStr">
        <is>
          <t>undefined</t>
        </is>
      </c>
      <c r="T3827" t="inlineStr">
        <is>
          <t>705309-20</t>
        </is>
      </c>
    </row>
    <row r="3828" hidden="1" ht="15.75" customHeight="1">
      <c r="A3828" s="2">
        <f>HYPERLINK("https://www.soccerplususa.com/puma/puma-liga-hooped-jersey-35526", "https://www.soccerplususa.com/puma/puma-liga-hooped-jersey-35526")</f>
        <v/>
      </c>
      <c r="B3828" t="inlineStr">
        <is>
          <t>undefined</t>
        </is>
      </c>
      <c r="C3828" t="inlineStr">
        <is>
          <t>Puma Liga Hooped Jersey</t>
        </is>
      </c>
      <c r="D3828" t="inlineStr">
        <is>
          <t>PUMA Women's Liga Jersey</t>
        </is>
      </c>
      <c r="E3828" s="2">
        <f>HYPERLINK("https://www.amazon.com/PUMA-70342613-LIGA-Jersey-W/dp/B075RDSSTV/ref=sr_1_2?keywords=Puma+Liga+Hooped+Jersey&amp;qid=1695171162&amp;sr=8-2", "https://www.amazon.com/PUMA-70342613-LIGA-Jersey-W/dp/B075RDSSTV/ref=sr_1_2?keywords=Puma+Liga+Hooped+Jersey&amp;qid=1695171162&amp;sr=8-2")</f>
        <v/>
      </c>
      <c r="F3828" t="inlineStr">
        <is>
          <t>B075RDSSTV</t>
        </is>
      </c>
      <c r="G3828">
        <f>_xludf.IMAGE("https://www.soccerplususa.com/prodimages/32667-DEFAULT-l.jpg")</f>
        <v/>
      </c>
      <c r="H3828">
        <f>_xludf.IMAGE("https://m.media-amazon.com/images/I/51ufXLu6e3L._AC_UL320_.jpg")</f>
        <v/>
      </c>
      <c r="K3828" t="inlineStr">
        <is>
          <t>30.0</t>
        </is>
      </c>
      <c r="L3828" t="n">
        <v>11</v>
      </c>
      <c r="M3828" s="1" t="inlineStr">
        <is>
          <t>-63.33%</t>
        </is>
      </c>
      <c r="N3828" s="3" t="n">
        <v>-63.33</v>
      </c>
      <c r="O3828" t="n">
        <v>5</v>
      </c>
      <c r="P3828" t="n">
        <v>6</v>
      </c>
      <c r="R3828" t="inlineStr">
        <is>
          <t>InStock</t>
        </is>
      </c>
      <c r="S3828" t="inlineStr">
        <is>
          <t>39.95</t>
        </is>
      </c>
      <c r="T3828" t="inlineStr">
        <is>
          <t>703422-02</t>
        </is>
      </c>
    </row>
    <row r="3829" hidden="1" ht="15.75" customHeight="1">
      <c r="A3829" s="2">
        <f>HYPERLINK("https://www.soccerplususa.com/puma/puma-veloce-stadium-jacket-29005", "https://www.soccerplususa.com/puma/puma-veloce-stadium-jacket-29005")</f>
        <v/>
      </c>
      <c r="B3829" t="inlineStr">
        <is>
          <t>undefined</t>
        </is>
      </c>
      <c r="C3829" t="inlineStr">
        <is>
          <t>Puma Veloce Stadium Jacket</t>
        </is>
      </c>
      <c r="D3829" t="inlineStr">
        <is>
          <t>PUMA Kids Boys Veloce Stadium Jacket Coats Jackets Outerwear Full Zip - Black</t>
        </is>
      </c>
      <c r="E3829" s="2">
        <f>HYPERLINK("https://www.amazon.com/PUMA-Veloce-Stadium-Jacket-Medium/dp/B0185VZFIM/ref=sr_1_1?keywords=Puma+Veloce+Stadium+Jacket&amp;qid=1695171170&amp;sr=8-1", "https://www.amazon.com/PUMA-Veloce-Stadium-Jacket-Medium/dp/B0185VZFIM/ref=sr_1_1?keywords=Puma+Veloce+Stadium+Jacket&amp;qid=1695171170&amp;sr=8-1")</f>
        <v/>
      </c>
      <c r="F3829" t="inlineStr">
        <is>
          <t>B0185VZFIM</t>
        </is>
      </c>
      <c r="G3829">
        <f>_xludf.IMAGE("https://www.soccerplususa.com/prodimages/3905-DEFAULT-l.jpg")</f>
        <v/>
      </c>
      <c r="H3829">
        <f>_xludf.IMAGE("https://m.media-amazon.com/images/I/510ti0xHvjS._AC_UL320_.jpg")</f>
        <v/>
      </c>
      <c r="K3829" t="inlineStr">
        <is>
          <t>50.0</t>
        </is>
      </c>
      <c r="L3829" t="n">
        <v>17.95</v>
      </c>
      <c r="M3829" s="1" t="inlineStr">
        <is>
          <t>-64.10%</t>
        </is>
      </c>
      <c r="N3829" s="3" t="n">
        <v>-64.09999999999999</v>
      </c>
      <c r="O3829" t="n">
        <v>3</v>
      </c>
      <c r="P3829" t="n">
        <v>4</v>
      </c>
      <c r="R3829" t="inlineStr">
        <is>
          <t>InStock</t>
        </is>
      </c>
      <c r="S3829" t="inlineStr">
        <is>
          <t>59.95</t>
        </is>
      </c>
      <c r="T3829" t="inlineStr">
        <is>
          <t>654643-01</t>
        </is>
      </c>
    </row>
    <row r="3830" hidden="1" ht="15.75" customHeight="1">
      <c r="A3830" s="2">
        <f>HYPERLINK("https://www.soccerplususa.com/puma/puma-veloce-stadium-jacket-29005", "https://www.soccerplususa.com/puma/puma-veloce-stadium-jacket-29005")</f>
        <v/>
      </c>
      <c r="B3830" t="inlineStr">
        <is>
          <t>undefined</t>
        </is>
      </c>
      <c r="C3830" t="inlineStr">
        <is>
          <t>Puma Veloce Stadium Jacket</t>
        </is>
      </c>
      <c r="D3830" t="inlineStr">
        <is>
          <t>PUMA Kids Boys Veloce Stadium Jacket Coats Jackets Outerwear Full Zip - Blue</t>
        </is>
      </c>
      <c r="E3830" s="2">
        <f>HYPERLINK("https://www.amazon.com/PUMA-Veloce-Stadium-Jacket-Youth/dp/B0185VZXK2/ref=sr_1_2?keywords=Puma+Veloce+Stadium+Jacket&amp;qid=1695171170&amp;sr=8-2", "https://www.amazon.com/PUMA-Veloce-Stadium-Jacket-Youth/dp/B0185VZXK2/ref=sr_1_2?keywords=Puma+Veloce+Stadium+Jacket&amp;qid=1695171170&amp;sr=8-2")</f>
        <v/>
      </c>
      <c r="F3830" t="inlineStr">
        <is>
          <t>B0185VZXK2</t>
        </is>
      </c>
      <c r="G3830">
        <f>_xludf.IMAGE("https://www.soccerplususa.com/prodimages/3905-DEFAULT-l.jpg")</f>
        <v/>
      </c>
      <c r="H3830">
        <f>_xludf.IMAGE("https://m.media-amazon.com/images/I/51V5ajYa4ZS._AC_UL320_.jpg")</f>
        <v/>
      </c>
      <c r="K3830" t="inlineStr">
        <is>
          <t>50.0</t>
        </is>
      </c>
      <c r="L3830" t="n">
        <v>17.95</v>
      </c>
      <c r="M3830" s="1" t="inlineStr">
        <is>
          <t>-64.10%</t>
        </is>
      </c>
      <c r="N3830" s="3" t="n">
        <v>-64.09999999999999</v>
      </c>
      <c r="O3830" t="n">
        <v>3.2</v>
      </c>
      <c r="P3830" t="n">
        <v>4</v>
      </c>
      <c r="R3830" t="inlineStr">
        <is>
          <t>InStock</t>
        </is>
      </c>
      <c r="S3830" t="inlineStr">
        <is>
          <t>59.95</t>
        </is>
      </c>
      <c r="T3830" t="inlineStr">
        <is>
          <t>654643-01</t>
        </is>
      </c>
    </row>
    <row r="3831" hidden="1" ht="15.75" customHeight="1">
      <c r="A3831" s="2">
        <f>HYPERLINK("https://www.soccerplususa.com/puma/puma-liga-jersey-37883", "https://www.soccerplususa.com/puma/puma-liga-jersey-37883")</f>
        <v/>
      </c>
      <c r="B3831" t="inlineStr">
        <is>
          <t>undefined</t>
        </is>
      </c>
      <c r="C3831" t="inlineStr">
        <is>
          <t>Puma Liga Jersey</t>
        </is>
      </c>
      <c r="D3831" t="inlineStr">
        <is>
          <t>PUMA Unisex Youth Liga Long Sleeve Jersey</t>
        </is>
      </c>
      <c r="E3831" s="2">
        <f>HYPERLINK("https://www.amazon.com/PUMA-Jersey-Sleeve-Redpuma-White/dp/B07B8PSND1/ref=sr_1_4?keywords=Puma+Liga+Jersey&amp;qid=1695171159&amp;sr=8-4", "https://www.amazon.com/PUMA-Jersey-Sleeve-Redpuma-White/dp/B07B8PSND1/ref=sr_1_4?keywords=Puma+Liga+Jersey&amp;qid=1695171159&amp;sr=8-4")</f>
        <v/>
      </c>
      <c r="F3831" t="inlineStr">
        <is>
          <t>B07B8PSND1</t>
        </is>
      </c>
      <c r="G3831">
        <f>_xludf.IMAGE("https://www.soccerplususa.com/prodimages//36780-REDWHITE-M.jpg")</f>
        <v/>
      </c>
      <c r="H3831">
        <f>_xludf.IMAGE("https://m.media-amazon.com/images/I/71DubH-WcgL._AC_UL320_.jpg")</f>
        <v/>
      </c>
      <c r="K3831" t="inlineStr">
        <is>
          <t>27.95</t>
        </is>
      </c>
      <c r="L3831" t="n">
        <v>9.949999999999999</v>
      </c>
      <c r="M3831" s="1" t="inlineStr">
        <is>
          <t>-64.40%</t>
        </is>
      </c>
      <c r="N3831" s="3" t="n">
        <v>-64.40000000000001</v>
      </c>
      <c r="O3831" t="n">
        <v>3.4</v>
      </c>
      <c r="P3831" t="n">
        <v>92</v>
      </c>
      <c r="R3831" t="inlineStr">
        <is>
          <t>InStock</t>
        </is>
      </c>
      <c r="S3831" t="inlineStr">
        <is>
          <t>undefined</t>
        </is>
      </c>
      <c r="T3831" t="inlineStr">
        <is>
          <t>703417-01</t>
        </is>
      </c>
    </row>
    <row r="3832" hidden="1" ht="15.75" customHeight="1">
      <c r="A3832" s="2">
        <f>HYPERLINK("https://www.soccerplususa.com/puma/puma-liga-training-jacket-youth-35521", "https://www.soccerplususa.com/puma/puma-liga-training-jacket-youth-35521")</f>
        <v/>
      </c>
      <c r="B3832" t="inlineStr">
        <is>
          <t>undefined</t>
        </is>
      </c>
      <c r="C3832" t="inlineStr">
        <is>
          <t>Puma Liga Training Jacket Youth</t>
        </is>
      </c>
      <c r="D3832" t="inlineStr">
        <is>
          <t>PUMA Youth Liga Training Pants</t>
        </is>
      </c>
      <c r="E3832" s="2">
        <f>HYPERLINK("https://www.amazon.com/PUMA-Training-Pants-Black-White/dp/B077TLZ4WY/ref=sr_1_5?keywords=Puma+Liga+Training+Jacket+Youth&amp;qid=1695171158&amp;sr=8-5", "https://www.amazon.com/PUMA-Training-Pants-Black-White/dp/B077TLZ4WY/ref=sr_1_5?keywords=Puma+Liga+Training+Jacket+Youth&amp;qid=1695171158&amp;sr=8-5")</f>
        <v/>
      </c>
      <c r="F3832" t="inlineStr">
        <is>
          <t>B077TLZ4WY</t>
        </is>
      </c>
      <c r="G3832">
        <f>_xludf.IMAGE("https://www.soccerplususa.com/prodimages/32219-DEFAULT-l.jpg")</f>
        <v/>
      </c>
      <c r="H3832">
        <f>_xludf.IMAGE("https://m.media-amazon.com/images/I/61UAnokel2L._AC_UL320_.jpg")</f>
        <v/>
      </c>
      <c r="K3832" t="inlineStr">
        <is>
          <t>45.0</t>
        </is>
      </c>
      <c r="L3832" t="n">
        <v>14.95</v>
      </c>
      <c r="M3832" s="1" t="inlineStr">
        <is>
          <t>-66.78%</t>
        </is>
      </c>
      <c r="N3832" s="3" t="n">
        <v>-66.78</v>
      </c>
      <c r="O3832" t="n">
        <v>3.6</v>
      </c>
      <c r="P3832" t="n">
        <v>43</v>
      </c>
      <c r="R3832" t="inlineStr">
        <is>
          <t>InStock</t>
        </is>
      </c>
      <c r="S3832" t="inlineStr">
        <is>
          <t>59.95</t>
        </is>
      </c>
      <c r="T3832" t="inlineStr">
        <is>
          <t>655688-02</t>
        </is>
      </c>
    </row>
    <row r="3833" hidden="1" ht="15.75" customHeight="1">
      <c r="A3833" s="2">
        <f>HYPERLINK("https://www.soccerplususa.com/puma/puma-teamglory-jersey-youth-42486", "https://www.soccerplususa.com/puma/puma-teamglory-jersey-youth-42486")</f>
        <v/>
      </c>
      <c r="B3833" t="inlineStr">
        <is>
          <t>undefined</t>
        </is>
      </c>
      <c r="C3833" t="inlineStr">
        <is>
          <t>Puma TeamGlory Jersey Youth</t>
        </is>
      </c>
      <c r="D3833" t="inlineStr">
        <is>
          <t>PUMA Unisex Youth Cup Jersey</t>
        </is>
      </c>
      <c r="E3833" s="2">
        <f>HYPERLINK("https://www.amazon.com/PUMA-Kids-Cup-Jersey-White/dp/B084ZXCDZ8/ref=sr_1_8?keywords=Puma+TeamGlory+Jersey+Youth&amp;qid=1695171174&amp;sr=8-8", "https://www.amazon.com/PUMA-Kids-Cup-Jersey-White/dp/B084ZXCDZ8/ref=sr_1_8?keywords=Puma+TeamGlory+Jersey+Youth&amp;qid=1695171174&amp;sr=8-8")</f>
        <v/>
      </c>
      <c r="F3833" t="inlineStr">
        <is>
          <t>B084ZXCDZ8</t>
        </is>
      </c>
      <c r="G3833">
        <f>_xludf.IMAGE("https://www.soccerplususa.com/prodimages//35565-Fizzy_Lime-M.jpg")</f>
        <v/>
      </c>
      <c r="H3833">
        <f>_xludf.IMAGE("https://m.media-amazon.com/images/I/71kUthjI2aL._AC_UL320_.jpg")</f>
        <v/>
      </c>
      <c r="K3833" t="inlineStr">
        <is>
          <t>39.95</t>
        </is>
      </c>
      <c r="L3833" t="n">
        <v>12.95</v>
      </c>
      <c r="M3833" s="1" t="inlineStr">
        <is>
          <t>-67.58%</t>
        </is>
      </c>
      <c r="N3833" s="3" t="n">
        <v>-67.58</v>
      </c>
      <c r="O3833" t="n">
        <v>4.2</v>
      </c>
      <c r="P3833" t="n">
        <v>4</v>
      </c>
      <c r="R3833" t="inlineStr">
        <is>
          <t>InStock</t>
        </is>
      </c>
      <c r="S3833" t="inlineStr">
        <is>
          <t>undefined</t>
        </is>
      </c>
      <c r="T3833" t="inlineStr">
        <is>
          <t>705309-20</t>
        </is>
      </c>
    </row>
    <row r="3834" hidden="1" ht="15.75" customHeight="1">
      <c r="A3834" s="2">
        <f>HYPERLINK("https://www.soccerplususa.com/puma/puma-teamglory-jersey-youth-42486", "https://www.soccerplususa.com/puma/puma-teamglory-jersey-youth-42486")</f>
        <v/>
      </c>
      <c r="B3834" t="inlineStr">
        <is>
          <t>undefined</t>
        </is>
      </c>
      <c r="C3834" t="inlineStr">
        <is>
          <t>Puma TeamGlory Jersey Youth</t>
        </is>
      </c>
      <c r="D3834" t="inlineStr">
        <is>
          <t>PUMA Kids' Youth Liga Training Jersey</t>
        </is>
      </c>
      <c r="E3834" s="2">
        <f>HYPERLINK("https://www.amazon.com/PUMA-Training-Jersey-Electric-Lemonade/dp/B07FGTC21T/ref=sr_1_7?keywords=Puma+TeamGlory+Jersey+Youth&amp;qid=1695171174&amp;sr=8-7", "https://www.amazon.com/PUMA-Training-Jersey-Electric-Lemonade/dp/B07FGTC21T/ref=sr_1_7?keywords=Puma+TeamGlory+Jersey+Youth&amp;qid=1695171174&amp;sr=8-7")</f>
        <v/>
      </c>
      <c r="F3834" t="inlineStr">
        <is>
          <t>B07FGTC21T</t>
        </is>
      </c>
      <c r="G3834">
        <f>_xludf.IMAGE("https://www.soccerplususa.com/prodimages//35565-Fizzy_Lime-M.jpg")</f>
        <v/>
      </c>
      <c r="H3834">
        <f>_xludf.IMAGE("https://m.media-amazon.com/images/I/81fB0WeaEbL._AC_UL320_.jpg")</f>
        <v/>
      </c>
      <c r="K3834" t="inlineStr">
        <is>
          <t>39.95</t>
        </is>
      </c>
      <c r="L3834" t="n">
        <v>12.95</v>
      </c>
      <c r="M3834" s="1" t="inlineStr">
        <is>
          <t>-67.58%</t>
        </is>
      </c>
      <c r="N3834" s="3" t="n">
        <v>-67.58</v>
      </c>
      <c r="O3834" t="n">
        <v>3.3</v>
      </c>
      <c r="P3834" t="n">
        <v>42</v>
      </c>
      <c r="R3834" t="inlineStr">
        <is>
          <t>InStock</t>
        </is>
      </c>
      <c r="S3834" t="inlineStr">
        <is>
          <t>undefined</t>
        </is>
      </c>
      <c r="T3834" t="inlineStr">
        <is>
          <t>705309-20</t>
        </is>
      </c>
    </row>
    <row r="3835" hidden="1" ht="15.75" customHeight="1">
      <c r="A3835" s="2">
        <f>HYPERLINK("https://www.soccerplususa.com/puma/puma-liga-jersey-37883", "https://www.soccerplususa.com/puma/puma-liga-jersey-37883")</f>
        <v/>
      </c>
      <c r="B3835" t="inlineStr">
        <is>
          <t>undefined</t>
        </is>
      </c>
      <c r="C3835" t="inlineStr">
        <is>
          <t>Puma Liga Jersey</t>
        </is>
      </c>
      <c r="D3835" t="inlineStr">
        <is>
          <t>PUMA Women's Liga Jersey</t>
        </is>
      </c>
      <c r="E3835" s="2">
        <f>HYPERLINK("https://www.amazon.com/PUMA-Womens-Jersey-Electric-Lemonadewhite/dp/B075RDMXV5/ref=sr_1_3?keywords=Puma+Liga+Jersey&amp;qid=1695171159&amp;sr=8-3", "https://www.amazon.com/PUMA-Womens-Jersey-Electric-Lemonadewhite/dp/B075RDMXV5/ref=sr_1_3?keywords=Puma+Liga+Jersey&amp;qid=1695171159&amp;sr=8-3")</f>
        <v/>
      </c>
      <c r="F3835" t="inlineStr">
        <is>
          <t>B075RDMXV5</t>
        </is>
      </c>
      <c r="G3835">
        <f>_xludf.IMAGE("https://www.soccerplususa.com/prodimages//36780-REDWHITE-M.jpg")</f>
        <v/>
      </c>
      <c r="H3835">
        <f>_xludf.IMAGE("https://m.media-amazon.com/images/I/81NfBERrjRL._AC_UL320_.jpg")</f>
        <v/>
      </c>
      <c r="K3835" t="inlineStr">
        <is>
          <t>27.95</t>
        </is>
      </c>
      <c r="L3835" t="n">
        <v>8.4</v>
      </c>
      <c r="M3835" s="1" t="inlineStr">
        <is>
          <t>-69.95%</t>
        </is>
      </c>
      <c r="N3835" s="3" t="n">
        <v>-69.95</v>
      </c>
      <c r="O3835" t="n">
        <v>4.5</v>
      </c>
      <c r="P3835" t="n">
        <v>375</v>
      </c>
      <c r="R3835" t="inlineStr">
        <is>
          <t>InStock</t>
        </is>
      </c>
      <c r="S3835" t="inlineStr">
        <is>
          <t>undefined</t>
        </is>
      </c>
      <c r="T3835" t="inlineStr">
        <is>
          <t>703417-01</t>
        </is>
      </c>
    </row>
    <row r="3836" ht="75" customHeight="1">
      <c r="A3836" s="2">
        <f>HYPERLINK("https://www.soccerplususa.com/adidas/adidas-squadra-17-jersey-youth-4844", "https://www.soccerplususa.com/adidas/adidas-squadra-17-jersey-youth-4844")</f>
        <v/>
      </c>
      <c r="B3836" t="inlineStr">
        <is>
          <t>undefined</t>
        </is>
      </c>
      <c r="C3836" t="inlineStr">
        <is>
          <t>adidas Squadra 17 Jersey Youth</t>
        </is>
      </c>
      <c r="D3836" t="inlineStr">
        <is>
          <t>adidas Squadra 21 Youth Goalkeeper Jersey Navy-Bold Blue YL</t>
        </is>
      </c>
      <c r="E3836" s="2">
        <f>HYPERLINK("https://www.amazon.com/adidas-Squadra-Goalkeeper-Jersey-Navy-Bold/dp/B089K81CSF/ref=sr_1_9?keywords=adidas+Squadra+17+Jersey+Youth&amp;qid=1695171227&amp;sr=8-9", "https://www.amazon.com/adidas-Squadra-Goalkeeper-Jersey-Navy-Bold/dp/B089K81CSF/ref=sr_1_9?keywords=adidas+Squadra+17+Jersey+Youth&amp;qid=1695171227&amp;sr=8-9")</f>
        <v/>
      </c>
      <c r="F3836" t="inlineStr">
        <is>
          <t>B089K81CSF</t>
        </is>
      </c>
      <c r="G3836">
        <f>_xlfn.IMAGE("https://www.soccerplususa.com/prodimages//37069-WHITE-M.jpg")</f>
        <v/>
      </c>
      <c r="H3836">
        <f>_xlfn.IMAGE("https://m.media-amazon.com/images/I/71lYKWGwI0L._AC_UL320_.jpg")</f>
        <v/>
      </c>
      <c r="K3836" t="inlineStr">
        <is>
          <t>22.49</t>
        </is>
      </c>
      <c r="L3836" t="n">
        <v>46.48</v>
      </c>
      <c r="M3836" s="1" t="inlineStr">
        <is>
          <t>106.67%</t>
        </is>
      </c>
      <c r="N3836" s="3" t="n">
        <v>106.67</v>
      </c>
      <c r="O3836" t="n">
        <v>4</v>
      </c>
      <c r="P3836" t="n">
        <v>1</v>
      </c>
      <c r="R3836" t="inlineStr">
        <is>
          <t>InStock</t>
        </is>
      </c>
      <c r="S3836" t="inlineStr">
        <is>
          <t>29.95</t>
        </is>
      </c>
      <c r="T3836" t="inlineStr">
        <is>
          <t>BJ9197</t>
        </is>
      </c>
    </row>
    <row r="3837" hidden="1" ht="15.75" customHeight="1">
      <c r="A3837" s="2">
        <f>HYPERLINK("https://www.soccerplususa.com/adidas/adidas-tiro-15-jersey-youth-7892", "https://www.soccerplususa.com/adidas/adidas-tiro-15-jersey-youth-7892")</f>
        <v/>
      </c>
      <c r="B3837" t="inlineStr">
        <is>
          <t>undefined</t>
        </is>
      </c>
      <c r="C3837" t="inlineStr">
        <is>
          <t>adidas Tiro 15 Jersey Youth</t>
        </is>
      </c>
      <c r="D3837" t="inlineStr">
        <is>
          <t>adidas Performance Youth Tiro 15 Three-Quarter Pant</t>
        </is>
      </c>
      <c r="E3837" s="2">
        <f>HYPERLINK("https://www.amazon.com/adidas-Performance-Youth-Three-Quarter-Medium/dp/B00LU8JOT4/ref=sr_1_1?keywords=adidas+Tiro+15+Jersey+Youth&amp;qid=1695171200&amp;sr=8-1", "https://www.amazon.com/adidas-Performance-Youth-Three-Quarter-Medium/dp/B00LU8JOT4/ref=sr_1_1?keywords=adidas+Tiro+15+Jersey+Youth&amp;qid=1695171200&amp;sr=8-1")</f>
        <v/>
      </c>
      <c r="F3837" t="inlineStr">
        <is>
          <t>B00LU8JOT4</t>
        </is>
      </c>
      <c r="G3837">
        <f>_xludf.IMAGE("https://www.soccerplususa.com/prodimages/5431-DEFAULT-l.jpg")</f>
        <v/>
      </c>
      <c r="H3837">
        <f>_xludf.IMAGE("https://m.media-amazon.com/images/I/81GyYh0GiZL._AC_UL320_.jpg")</f>
        <v/>
      </c>
      <c r="K3837" t="inlineStr">
        <is>
          <t>17.5</t>
        </is>
      </c>
      <c r="L3837" t="n">
        <v>35.75</v>
      </c>
      <c r="M3837" s="1" t="inlineStr">
        <is>
          <t>104.29%</t>
        </is>
      </c>
      <c r="N3837" s="3" t="n">
        <v>104.29</v>
      </c>
      <c r="O3837" t="n">
        <v>3.7</v>
      </c>
      <c r="P3837" t="n">
        <v>34</v>
      </c>
      <c r="R3837" t="inlineStr">
        <is>
          <t>InStock</t>
        </is>
      </c>
      <c r="S3837" t="inlineStr">
        <is>
          <t>34.95</t>
        </is>
      </c>
      <c r="T3837" t="inlineStr">
        <is>
          <t>S22375</t>
        </is>
      </c>
    </row>
    <row r="3838" ht="75" customHeight="1">
      <c r="A3838" s="2">
        <f>HYPERLINK("https://www.soccerplususa.com/adidas/adidas-regista-14-jersey-youth-6072", "https://www.soccerplususa.com/adidas/adidas-regista-14-jersey-youth-6072")</f>
        <v/>
      </c>
      <c r="B3838" t="inlineStr">
        <is>
          <t>undefined</t>
        </is>
      </c>
      <c r="C3838" t="inlineStr">
        <is>
          <t>adidas Regista 14 Jersey Youth</t>
        </is>
      </c>
      <c r="D3838" t="inlineStr">
        <is>
          <t>adidas Big Boys Climacool Regista 14 Soccer Jersey</t>
        </is>
      </c>
      <c r="E3838" s="2">
        <f>HYPERLINK("https://www.amazon.com/Adidas-Climacool-Regista-Soccer-Jersey/dp/B00I0BFX6M/ref=sr_1_3?keywords=adidas+Regista+14+Jersey+Youth&amp;qid=1695171215&amp;sr=8-3", "https://www.amazon.com/Adidas-Climacool-Regista-Soccer-Jersey/dp/B00I0BFX6M/ref=sr_1_3?keywords=adidas+Regista+14+Jersey+Youth&amp;qid=1695171215&amp;sr=8-3")</f>
        <v/>
      </c>
      <c r="F3838" t="inlineStr">
        <is>
          <t>B00I0BFX6M</t>
        </is>
      </c>
      <c r="G3838">
        <f>_xlfn.IMAGE("https://www.soccerplususa.com/prodimages/31720-DEFAULT-l.jpg")</f>
        <v/>
      </c>
      <c r="H3838">
        <f>_xlfn.IMAGE("https://m.media-amazon.com/images/I/61n8tfK52kL._AC_UL320_.jpg")</f>
        <v/>
      </c>
      <c r="K3838" t="inlineStr">
        <is>
          <t>20.0</t>
        </is>
      </c>
      <c r="L3838" t="n">
        <v>40</v>
      </c>
      <c r="M3838" s="1" t="inlineStr">
        <is>
          <t>100.00%</t>
        </is>
      </c>
      <c r="N3838" s="3" t="n">
        <v>100</v>
      </c>
      <c r="O3838" t="n">
        <v>4</v>
      </c>
      <c r="P3838" t="n">
        <v>1</v>
      </c>
      <c r="R3838" t="inlineStr">
        <is>
          <t>InStock</t>
        </is>
      </c>
      <c r="S3838" t="inlineStr">
        <is>
          <t>39.95</t>
        </is>
      </c>
      <c r="T3838" t="inlineStr">
        <is>
          <t>F50034</t>
        </is>
      </c>
    </row>
    <row r="3839" ht="75" customHeight="1">
      <c r="A3839" s="2">
        <f>HYPERLINK("https://www.soccerplususa.com/adidas/adidas-regista-14-jersey-youth-6677", "https://www.soccerplususa.com/adidas/adidas-regista-14-jersey-youth-6677")</f>
        <v/>
      </c>
      <c r="B3839" t="inlineStr">
        <is>
          <t>undefined</t>
        </is>
      </c>
      <c r="C3839" t="inlineStr">
        <is>
          <t>adidas Regista 14 Jersey Youth</t>
        </is>
      </c>
      <c r="D3839" t="inlineStr">
        <is>
          <t>adidas Big Boys Climacool Regista 14 Soccer Jersey</t>
        </is>
      </c>
      <c r="E3839" s="2">
        <f>HYPERLINK("https://www.amazon.com/Adidas-Climacool-Regista-Soccer-Jersey/dp/B00I0BFX6M/ref=sr_1_3?keywords=adidas+Regista+14+Jersey+Youth&amp;qid=1695171214&amp;sr=8-3", "https://www.amazon.com/Adidas-Climacool-Regista-Soccer-Jersey/dp/B00I0BFX6M/ref=sr_1_3?keywords=adidas+Regista+14+Jersey+Youth&amp;qid=1695171214&amp;sr=8-3")</f>
        <v/>
      </c>
      <c r="F3839" t="inlineStr">
        <is>
          <t>B00I0BFX6M</t>
        </is>
      </c>
      <c r="G3839">
        <f>_xlfn.IMAGE("https://www.soccerplususa.com/prodimages/32791-DEFAULT-l.jpg")</f>
        <v/>
      </c>
      <c r="H3839">
        <f>_xlfn.IMAGE("https://m.media-amazon.com/images/I/61n8tfK52kL._AC_UL320_.jpg")</f>
        <v/>
      </c>
      <c r="K3839" t="inlineStr">
        <is>
          <t>20.0</t>
        </is>
      </c>
      <c r="L3839" t="n">
        <v>40</v>
      </c>
      <c r="M3839" s="1" t="inlineStr">
        <is>
          <t>100.00%</t>
        </is>
      </c>
      <c r="N3839" s="3" t="n">
        <v>100</v>
      </c>
      <c r="O3839" t="n">
        <v>4</v>
      </c>
      <c r="P3839" t="n">
        <v>1</v>
      </c>
      <c r="R3839" t="inlineStr">
        <is>
          <t>InStock</t>
        </is>
      </c>
      <c r="S3839" t="inlineStr">
        <is>
          <t>39.95</t>
        </is>
      </c>
      <c r="T3839" t="inlineStr">
        <is>
          <t>G70837</t>
        </is>
      </c>
    </row>
    <row r="3840" ht="75" customHeight="1">
      <c r="A3840" s="2">
        <f>HYPERLINK("https://www.soccerplususa.com/adidas/adidas-regista-14-jersey-youth-6073", "https://www.soccerplususa.com/adidas/adidas-regista-14-jersey-youth-6073")</f>
        <v/>
      </c>
      <c r="B3840" t="inlineStr">
        <is>
          <t>undefined</t>
        </is>
      </c>
      <c r="C3840" t="inlineStr">
        <is>
          <t>adidas Regista 14 Jersey Youth</t>
        </is>
      </c>
      <c r="D3840" t="inlineStr">
        <is>
          <t>adidas Big Boys Climacool Regista 14 Soccer Jersey</t>
        </is>
      </c>
      <c r="E3840" s="2">
        <f>HYPERLINK("https://www.amazon.com/Adidas-Climacool-Regista-Soccer-Jersey/dp/B00I0BFX6M/ref=sr_1_3?keywords=adidas+Regista+14+Jersey+Youth&amp;qid=1695171211&amp;sr=8-3", "https://www.amazon.com/Adidas-Climacool-Regista-Soccer-Jersey/dp/B00I0BFX6M/ref=sr_1_3?keywords=adidas+Regista+14+Jersey+Youth&amp;qid=1695171211&amp;sr=8-3")</f>
        <v/>
      </c>
      <c r="F3840" t="inlineStr">
        <is>
          <t>B00I0BFX6M</t>
        </is>
      </c>
      <c r="G3840">
        <f>_xlfn.IMAGE("https://www.soccerplususa.com/prodimages/32794-DEFAULT-l.jpg")</f>
        <v/>
      </c>
      <c r="H3840">
        <f>_xlfn.IMAGE("https://m.media-amazon.com/images/I/61n8tfK52kL._AC_UL320_.jpg")</f>
        <v/>
      </c>
      <c r="K3840" t="inlineStr">
        <is>
          <t>20.0</t>
        </is>
      </c>
      <c r="L3840" t="n">
        <v>40</v>
      </c>
      <c r="M3840" s="1" t="inlineStr">
        <is>
          <t>100.00%</t>
        </is>
      </c>
      <c r="N3840" s="3" t="n">
        <v>100</v>
      </c>
      <c r="O3840" t="n">
        <v>4</v>
      </c>
      <c r="P3840" t="n">
        <v>1</v>
      </c>
      <c r="R3840" t="inlineStr">
        <is>
          <t>InStock</t>
        </is>
      </c>
      <c r="S3840" t="inlineStr">
        <is>
          <t>39.95</t>
        </is>
      </c>
      <c r="T3840" t="inlineStr">
        <is>
          <t>F50035</t>
        </is>
      </c>
    </row>
    <row r="3841" ht="75" customHeight="1">
      <c r="A3841" s="2">
        <f>HYPERLINK("https://www.soccerplususa.com/adidas/adidas-tiro-17-training-top-youth-4923", "https://www.soccerplususa.com/adidas/adidas-tiro-17-training-top-youth-4923")</f>
        <v/>
      </c>
      <c r="B3841" t="inlineStr">
        <is>
          <t>undefined</t>
        </is>
      </c>
      <c r="C3841" t="inlineStr">
        <is>
          <t>adidas Tiro 17 Training Top Youth</t>
        </is>
      </c>
      <c r="D3841" t="inlineStr">
        <is>
          <t>adidas Youth Soccer Tiro 17 Warm Up Top (Large) Black</t>
        </is>
      </c>
      <c r="E3841" s="2">
        <f>HYPERLINK("https://www.amazon.com/Adidas-Youth-Tiro-Soccer-Grey-Black-White/dp/B01N65Y3UR/ref=sr_1_1?keywords=adidas+Tiro+17+Training+Top+Youth&amp;qid=1695171246&amp;sr=8-1", "https://www.amazon.com/Adidas-Youth-Tiro-Soccer-Grey-Black-White/dp/B01N65Y3UR/ref=sr_1_1?keywords=adidas+Tiro+17+Training+Top+Youth&amp;qid=1695171246&amp;sr=8-1")</f>
        <v/>
      </c>
      <c r="F3841" t="inlineStr">
        <is>
          <t>B01N65Y3UR</t>
        </is>
      </c>
      <c r="G3841">
        <f>_xlfn.IMAGE("https://www.soccerplususa.com/prodimages/6930-DEFAULT-l.jpg")</f>
        <v/>
      </c>
      <c r="H3841">
        <f>_xlfn.IMAGE("https://m.media-amazon.com/images/I/715VzyN2KwL._AC_UL320_.jpg")</f>
        <v/>
      </c>
      <c r="K3841" t="inlineStr">
        <is>
          <t>25.0</t>
        </is>
      </c>
      <c r="L3841" t="n">
        <v>49.99</v>
      </c>
      <c r="M3841" s="1" t="inlineStr">
        <is>
          <t>99.96%</t>
        </is>
      </c>
      <c r="N3841" s="3" t="n">
        <v>99.95999999999999</v>
      </c>
      <c r="O3841" t="n">
        <v>5</v>
      </c>
      <c r="P3841" t="n">
        <v>1</v>
      </c>
      <c r="R3841" t="inlineStr">
        <is>
          <t>InStock</t>
        </is>
      </c>
      <c r="S3841" t="inlineStr">
        <is>
          <t>54.95</t>
        </is>
      </c>
      <c r="T3841" t="inlineStr">
        <is>
          <t>BQ2763</t>
        </is>
      </c>
    </row>
    <row r="3842" ht="75" customHeight="1">
      <c r="A3842" s="2">
        <f>HYPERLINK("https://www.soccerplususa.com/nike/nike-challenge-jersey-youth-34517", "https://www.soccerplususa.com/nike/nike-challenge-jersey-youth-34517")</f>
        <v/>
      </c>
      <c r="B3842" t="inlineStr">
        <is>
          <t>undefined</t>
        </is>
      </c>
      <c r="C3842" t="inlineStr">
        <is>
          <t>Nike Challenge Jersey Youth</t>
        </is>
      </c>
      <c r="D3842" t="inlineStr">
        <is>
          <t>Nike Challenge Youth Soccer Training Jersey</t>
        </is>
      </c>
      <c r="E3842" s="2">
        <f>HYPERLINK("https://www.amazon.com/Challenge-Short-Sleeve-Jersey-BLACK-FOOTBALL/dp/B00SLRI14Q/ref=sr_1_1?keywords=Nike+Challenge+Jersey+Youth&amp;qid=1695171163&amp;sr=8-1", "https://www.amazon.com/Challenge-Short-Sleeve-Jersey-BLACK-FOOTBALL/dp/B00SLRI14Q/ref=sr_1_1?keywords=Nike+Challenge+Jersey+Youth&amp;qid=1695171163&amp;sr=8-1")</f>
        <v/>
      </c>
      <c r="F3842" t="inlineStr">
        <is>
          <t>B00SLRI14Q</t>
        </is>
      </c>
      <c r="G3842">
        <f>_xlfn.IMAGE("https://www.soccerplususa.com/prodimages/7623-DEFAULT-l.jpg")</f>
        <v/>
      </c>
      <c r="H3842">
        <f>_xlfn.IMAGE("https://m.media-amazon.com/images/I/51kFfarZ0HL._AC_UL320_.jpg")</f>
        <v/>
      </c>
      <c r="K3842" t="inlineStr">
        <is>
          <t>15.0</t>
        </is>
      </c>
      <c r="L3842" t="n">
        <v>29.99</v>
      </c>
      <c r="M3842" s="1" t="inlineStr">
        <is>
          <t>99.93%</t>
        </is>
      </c>
      <c r="N3842" s="3" t="n">
        <v>99.93000000000001</v>
      </c>
      <c r="O3842" t="n">
        <v>5</v>
      </c>
      <c r="P3842" t="n">
        <v>3</v>
      </c>
      <c r="R3842" t="inlineStr">
        <is>
          <t>InStock</t>
        </is>
      </c>
      <c r="S3842" t="inlineStr">
        <is>
          <t>29.95</t>
        </is>
      </c>
      <c r="T3842" t="inlineStr">
        <is>
          <t>645921-156</t>
        </is>
      </c>
    </row>
    <row r="3843" ht="75" customHeight="1">
      <c r="A3843" s="2">
        <f>HYPERLINK("https://www.soccerplususa.com/nike/nike-challenge-jersey-youth-22840", "https://www.soccerplususa.com/nike/nike-challenge-jersey-youth-22840")</f>
        <v/>
      </c>
      <c r="B3843" t="inlineStr">
        <is>
          <t>undefined</t>
        </is>
      </c>
      <c r="C3843" t="inlineStr">
        <is>
          <t>Nike Challenge Jersey Youth</t>
        </is>
      </c>
      <c r="D3843" t="inlineStr">
        <is>
          <t>Nike Challenge Youth Soccer Training Jersey</t>
        </is>
      </c>
      <c r="E3843" s="2">
        <f>HYPERLINK("https://www.amazon.com/Challenge-Short-Sleeve-Jersey-BLACK-FOOTBALL/dp/B00SLRI14Q/ref=sr_1_2?keywords=Nike+Challenge+Jersey+Youth&amp;qid=1695171191&amp;sr=8-2", "https://www.amazon.com/Challenge-Short-Sleeve-Jersey-BLACK-FOOTBALL/dp/B00SLRI14Q/ref=sr_1_2?keywords=Nike+Challenge+Jersey+Youth&amp;qid=1695171191&amp;sr=8-2")</f>
        <v/>
      </c>
      <c r="F3843" t="inlineStr">
        <is>
          <t>B00SLRI14Q</t>
        </is>
      </c>
      <c r="G3843">
        <f>_xlfn.IMAGE("https://www.soccerplususa.com/prodimages/7622-DEFAULT-l.jpg")</f>
        <v/>
      </c>
      <c r="H3843">
        <f>_xlfn.IMAGE("https://m.media-amazon.com/images/I/51kFfarZ0HL._AC_UL320_.jpg")</f>
        <v/>
      </c>
      <c r="K3843" t="inlineStr">
        <is>
          <t>15.0</t>
        </is>
      </c>
      <c r="L3843" t="n">
        <v>29.99</v>
      </c>
      <c r="M3843" s="1" t="inlineStr">
        <is>
          <t>99.93%</t>
        </is>
      </c>
      <c r="N3843" s="3" t="n">
        <v>99.93000000000001</v>
      </c>
      <c r="O3843" t="n">
        <v>5</v>
      </c>
      <c r="P3843" t="n">
        <v>3</v>
      </c>
      <c r="R3843" t="inlineStr">
        <is>
          <t>InStock</t>
        </is>
      </c>
      <c r="S3843" t="inlineStr">
        <is>
          <t>29.95</t>
        </is>
      </c>
      <c r="T3843" t="inlineStr">
        <is>
          <t>645921-010</t>
        </is>
      </c>
    </row>
    <row r="3844" ht="75" customHeight="1">
      <c r="A3844" s="2">
        <f>HYPERLINK("https://www.soccerplususa.com/nike/nike-striker-iii-jersey-youth-21295", "https://www.soccerplususa.com/nike/nike-striker-iii-jersey-youth-21295")</f>
        <v/>
      </c>
      <c r="B3844" t="inlineStr">
        <is>
          <t>undefined</t>
        </is>
      </c>
      <c r="C3844" t="inlineStr">
        <is>
          <t>Nike Striker III Jersey Youth</t>
        </is>
      </c>
      <c r="D3844" t="inlineStr">
        <is>
          <t>Nike Short-Sleeve Striker III Us Jersey [White/White/Black]</t>
        </is>
      </c>
      <c r="E3844" s="2">
        <f>HYPERLINK("https://www.amazon.com/Short-Sleeve-Striker-Jersey-WHITE-BLACK/dp/B00AX6IGZ2/ref=sr_1_3?keywords=Nike+Striker+III+Jersey+Youth&amp;qid=1695171190&amp;sr=8-3", "https://www.amazon.com/Short-Sleeve-Striker-Jersey-WHITE-BLACK/dp/B00AX6IGZ2/ref=sr_1_3?keywords=Nike+Striker+III+Jersey+Youth&amp;qid=1695171190&amp;sr=8-3")</f>
        <v/>
      </c>
      <c r="F3844" t="inlineStr">
        <is>
          <t>B00AX6IGZ2</t>
        </is>
      </c>
      <c r="G3844">
        <f>_xlfn.IMAGE("https://www.soccerplususa.com/prodimages/7626-DEFAULT-l.jpg")</f>
        <v/>
      </c>
      <c r="H3844">
        <f>_xlfn.IMAGE("https://m.media-amazon.com/images/I/31BgPqXbPbL._AC_UL320_.jpg")</f>
        <v/>
      </c>
      <c r="K3844" t="inlineStr">
        <is>
          <t>12.5</t>
        </is>
      </c>
      <c r="L3844" t="n">
        <v>24.99</v>
      </c>
      <c r="M3844" s="1" t="inlineStr">
        <is>
          <t>99.92%</t>
        </is>
      </c>
      <c r="N3844" s="3" t="n">
        <v>99.92</v>
      </c>
      <c r="O3844" t="n">
        <v>5</v>
      </c>
      <c r="P3844" t="n">
        <v>1</v>
      </c>
      <c r="R3844" t="inlineStr">
        <is>
          <t>InStock</t>
        </is>
      </c>
      <c r="S3844" t="inlineStr">
        <is>
          <t>24.95</t>
        </is>
      </c>
      <c r="T3844" t="inlineStr">
        <is>
          <t>520590-493</t>
        </is>
      </c>
    </row>
    <row r="3845" ht="75" customHeight="1">
      <c r="A3845" s="2">
        <f>HYPERLINK("https://www.soccerplususa.com/adidas/adidas-tabella-11-jersey-youth-7247", "https://www.soccerplususa.com/adidas/adidas-tabella-11-jersey-youth-7247")</f>
        <v/>
      </c>
      <c r="B3845" t="inlineStr">
        <is>
          <t>undefined</t>
        </is>
      </c>
      <c r="C3845" t="inlineStr">
        <is>
          <t>adidas Tabella 11 Jersey Youth</t>
        </is>
      </c>
      <c r="D3845" t="inlineStr">
        <is>
          <t>adidas Big Boys' Youth Tabela 11 Jersey</t>
        </is>
      </c>
      <c r="E3845" s="2">
        <f>HYPERLINK("https://www.amazon.com/adidas-Youth-Tabela-Jersey-Silver/dp/B007K39HPY/ref=sr_1_1?keywords=adidas+tabela+11+jersey+youth&amp;qid=1695171214&amp;sr=8-1", "https://www.amazon.com/adidas-Youth-Tabela-Jersey-Silver/dp/B007K39HPY/ref=sr_1_1?keywords=adidas+tabela+11+jersey+youth&amp;qid=1695171214&amp;sr=8-1")</f>
        <v/>
      </c>
      <c r="F3845" t="inlineStr">
        <is>
          <t>B007K39HPY</t>
        </is>
      </c>
      <c r="G3845">
        <f>_xlfn.IMAGE("https://www.soccerplususa.com/prodimages/32498-DEFAULT-l.jpg")</f>
        <v/>
      </c>
      <c r="H3845">
        <f>_xlfn.IMAGE("https://m.media-amazon.com/images/I/81x-ZWOocBL._AC_UL320_.jpg")</f>
        <v/>
      </c>
      <c r="K3845" t="inlineStr">
        <is>
          <t>11.5</t>
        </is>
      </c>
      <c r="L3845" t="n">
        <v>22.99</v>
      </c>
      <c r="M3845" s="1" t="inlineStr">
        <is>
          <t>99.91%</t>
        </is>
      </c>
      <c r="N3845" s="3" t="n">
        <v>99.91</v>
      </c>
      <c r="O3845" t="n">
        <v>4.7</v>
      </c>
      <c r="P3845" t="n">
        <v>5</v>
      </c>
      <c r="R3845" t="inlineStr">
        <is>
          <t>InStock</t>
        </is>
      </c>
      <c r="S3845" t="inlineStr">
        <is>
          <t>22.95</t>
        </is>
      </c>
      <c r="T3845" t="inlineStr">
        <is>
          <t>O07580</t>
        </is>
      </c>
    </row>
    <row r="3846" ht="75" customHeight="1">
      <c r="A3846" s="2">
        <f>HYPERLINK("https://www.soccerplususa.com/adidas/adidas-regista-16-jersey-youth-4152", "https://www.soccerplususa.com/adidas/adidas-regista-16-jersey-youth-4152")</f>
        <v/>
      </c>
      <c r="B3846" t="inlineStr">
        <is>
          <t>undefined</t>
        </is>
      </c>
      <c r="C3846" t="inlineStr">
        <is>
          <t>adidas Regista 16 Jersey Youth</t>
        </is>
      </c>
      <c r="D3846" t="inlineStr">
        <is>
          <t>adidas Womens Regista 16 Jersey (Royal Blue/White, L)</t>
        </is>
      </c>
      <c r="E3846" s="2">
        <f>HYPERLINK("https://www.amazon.com/Adidas-Regista-Womens-Soccer-Blue-White/dp/B01866BWCY/ref=sr_1_4?keywords=adidas+Regista+16+Jersey+Youth&amp;qid=1695171229&amp;sr=8-4", "https://www.amazon.com/Adidas-Regista-Womens-Soccer-Blue-White/dp/B01866BWCY/ref=sr_1_4?keywords=adidas+Regista+16+Jersey+Youth&amp;qid=1695171229&amp;sr=8-4")</f>
        <v/>
      </c>
      <c r="F3846" t="inlineStr">
        <is>
          <t>B01866BWCY</t>
        </is>
      </c>
      <c r="G3846">
        <f>_xlfn.IMAGE("https://www.soccerplususa.com/prodimages/7617-DEFAULT-l.jpg")</f>
        <v/>
      </c>
      <c r="H3846">
        <f>_xlfn.IMAGE("https://m.media-amazon.com/images/I/816eD-1k6ZL._AC_UL320_.jpg")</f>
        <v/>
      </c>
      <c r="K3846" t="inlineStr">
        <is>
          <t>15.0</t>
        </is>
      </c>
      <c r="L3846" t="n">
        <v>29.87</v>
      </c>
      <c r="M3846" s="1" t="inlineStr">
        <is>
          <t>99.13%</t>
        </is>
      </c>
      <c r="N3846" s="3" t="n">
        <v>99.13</v>
      </c>
      <c r="O3846" t="n">
        <v>5</v>
      </c>
      <c r="P3846" t="n">
        <v>1</v>
      </c>
      <c r="R3846" t="inlineStr">
        <is>
          <t>InStock</t>
        </is>
      </c>
      <c r="S3846" t="inlineStr">
        <is>
          <t>29.95</t>
        </is>
      </c>
      <c r="T3846" t="inlineStr">
        <is>
          <t>AP0543</t>
        </is>
      </c>
    </row>
    <row r="3847" ht="75" customHeight="1">
      <c r="A3847" s="2">
        <f>HYPERLINK("https://www.soccerplususa.com/adidas/adidas-regista-16-jersey-youth-4195", "https://www.soccerplususa.com/adidas/adidas-regista-16-jersey-youth-4195")</f>
        <v/>
      </c>
      <c r="B3847" t="inlineStr">
        <is>
          <t>undefined</t>
        </is>
      </c>
      <c r="C3847" t="inlineStr">
        <is>
          <t>adidas Regista 16 Jersey Youth</t>
        </is>
      </c>
      <c r="D3847" t="inlineStr">
        <is>
          <t>adidas Womens Regista 16 Jersey (Royal Blue/White, L)</t>
        </is>
      </c>
      <c r="E3847" s="2">
        <f>HYPERLINK("https://www.amazon.com/Adidas-Regista-Womens-Soccer-Blue-White/dp/B01866BWCY/ref=sr_1_4?keywords=adidas+Regista+16+Jersey+Youth&amp;qid=1695171236&amp;sr=8-4", "https://www.amazon.com/Adidas-Regista-Womens-Soccer-Blue-White/dp/B01866BWCY/ref=sr_1_4?keywords=adidas+Regista+16+Jersey+Youth&amp;qid=1695171236&amp;sr=8-4")</f>
        <v/>
      </c>
      <c r="F3847" t="inlineStr">
        <is>
          <t>B01866BWCY</t>
        </is>
      </c>
      <c r="G3847">
        <f>_xlfn.IMAGE("https://www.soccerplususa.com/prodimages/9533-DEFAULT-l.jpg")</f>
        <v/>
      </c>
      <c r="H3847">
        <f>_xlfn.IMAGE("https://m.media-amazon.com/images/I/816eD-1k6ZL._AC_UL320_.jpg")</f>
        <v/>
      </c>
      <c r="K3847" t="inlineStr">
        <is>
          <t>15.0</t>
        </is>
      </c>
      <c r="L3847" t="n">
        <v>29.87</v>
      </c>
      <c r="M3847" s="1" t="inlineStr">
        <is>
          <t>99.13%</t>
        </is>
      </c>
      <c r="N3847" s="3" t="n">
        <v>99.13</v>
      </c>
      <c r="O3847" t="n">
        <v>5</v>
      </c>
      <c r="P3847" t="n">
        <v>1</v>
      </c>
      <c r="R3847" t="inlineStr">
        <is>
          <t>InStock</t>
        </is>
      </c>
      <c r="S3847" t="inlineStr">
        <is>
          <t>30.0</t>
        </is>
      </c>
      <c r="T3847" t="inlineStr">
        <is>
          <t>AP1863</t>
        </is>
      </c>
    </row>
    <row r="3848" ht="75" customHeight="1">
      <c r="A3848" s="2">
        <f>HYPERLINK("https://www.soccerplususa.com/adidas/adidas-tabela-14-jersey-6078", "https://www.soccerplususa.com/adidas/adidas-tabela-14-jersey-6078")</f>
        <v/>
      </c>
      <c r="B3848" t="inlineStr">
        <is>
          <t>undefined</t>
        </is>
      </c>
      <c r="C3848" t="inlineStr">
        <is>
          <t>adidas Tabela 14 Jersey</t>
        </is>
      </c>
      <c r="D3848" t="inlineStr">
        <is>
          <t>adidas Performance Boys Youth Tabela 14 Short Sleeve Jersey</t>
        </is>
      </c>
      <c r="E3848" s="2">
        <f>HYPERLINK("https://www.amazon.com/adidas-Performance-Tabela-Jersey-X-Large/dp/B00J2GYF1I/ref=sr_1_3?keywords=adidas+Tabela+14+Jersey&amp;qid=1695171215&amp;sr=8-3", "https://www.amazon.com/adidas-Performance-Tabela-Jersey-X-Large/dp/B00J2GYF1I/ref=sr_1_3?keywords=adidas+Tabela+14+Jersey&amp;qid=1695171215&amp;sr=8-3")</f>
        <v/>
      </c>
      <c r="F3848" t="inlineStr">
        <is>
          <t>B00J2GYF1I</t>
        </is>
      </c>
      <c r="G3848">
        <f>_xlfn.IMAGE("https://www.soccerplususa.com/prodimages/4489-DEFAULT-l.jpg")</f>
        <v/>
      </c>
      <c r="H3848">
        <f>_xlfn.IMAGE("https://m.media-amazon.com/images/I/91YNKoolA4L._AC_UL320_.jpg")</f>
        <v/>
      </c>
      <c r="K3848" t="inlineStr">
        <is>
          <t>17.5</t>
        </is>
      </c>
      <c r="L3848" t="n">
        <v>34</v>
      </c>
      <c r="M3848" s="1" t="inlineStr">
        <is>
          <t>94.29%</t>
        </is>
      </c>
      <c r="N3848" s="3" t="n">
        <v>94.29000000000001</v>
      </c>
      <c r="O3848" t="n">
        <v>4.5</v>
      </c>
      <c r="P3848" t="n">
        <v>22</v>
      </c>
      <c r="R3848" t="inlineStr">
        <is>
          <t>InStock</t>
        </is>
      </c>
      <c r="S3848" t="inlineStr">
        <is>
          <t>34.95</t>
        </is>
      </c>
      <c r="T3848" t="inlineStr">
        <is>
          <t>F50269</t>
        </is>
      </c>
    </row>
    <row r="3849" ht="75" customHeight="1">
      <c r="A3849" s="2">
        <f>HYPERLINK("https://www.soccerplususa.com/adidas/adidas-tabela-14-jersey-6152", "https://www.soccerplususa.com/adidas/adidas-tabela-14-jersey-6152")</f>
        <v/>
      </c>
      <c r="B3849" t="inlineStr">
        <is>
          <t>undefined</t>
        </is>
      </c>
      <c r="C3849" t="inlineStr">
        <is>
          <t>adidas Tabela 14 Jersey</t>
        </is>
      </c>
      <c r="D3849" t="inlineStr">
        <is>
          <t>adidas Performance Boys Youth Tabela 14 Short Sleeve Jersey</t>
        </is>
      </c>
      <c r="E3849" s="2">
        <f>HYPERLINK("https://www.amazon.com/adidas-Performance-Tabela-Jersey-X-Large/dp/B00J2GYF1I/ref=sr_1_3?keywords=adidas+Tabela+14+Jersey&amp;qid=1695171217&amp;sr=8-3", "https://www.amazon.com/adidas-Performance-Tabela-Jersey-X-Large/dp/B00J2GYF1I/ref=sr_1_3?keywords=adidas+Tabela+14+Jersey&amp;qid=1695171217&amp;sr=8-3")</f>
        <v/>
      </c>
      <c r="F3849" t="inlineStr">
        <is>
          <t>B00J2GYF1I</t>
        </is>
      </c>
      <c r="G3849">
        <f>_xlfn.IMAGE("https://www.soccerplususa.com/prodimages/4589-DEFAULT-l.jpg")</f>
        <v/>
      </c>
      <c r="H3849">
        <f>_xlfn.IMAGE("https://m.media-amazon.com/images/I/91YNKoolA4L._AC_UL320_.jpg")</f>
        <v/>
      </c>
      <c r="K3849" t="inlineStr">
        <is>
          <t>17.5</t>
        </is>
      </c>
      <c r="L3849" t="n">
        <v>34</v>
      </c>
      <c r="M3849" s="1" t="inlineStr">
        <is>
          <t>94.29%</t>
        </is>
      </c>
      <c r="N3849" s="3" t="n">
        <v>94.29000000000001</v>
      </c>
      <c r="O3849" t="n">
        <v>4.5</v>
      </c>
      <c r="P3849" t="n">
        <v>22</v>
      </c>
      <c r="R3849" t="inlineStr">
        <is>
          <t>InStock</t>
        </is>
      </c>
      <c r="S3849" t="inlineStr">
        <is>
          <t>34.95</t>
        </is>
      </c>
      <c r="T3849" t="inlineStr">
        <is>
          <t>F84836</t>
        </is>
      </c>
    </row>
    <row r="3850" ht="75" customHeight="1">
      <c r="A3850" s="2">
        <f>HYPERLINK("https://www.soccerplususa.com/adidas/adidas-tabela-14-jersey-6151", "https://www.soccerplususa.com/adidas/adidas-tabela-14-jersey-6151")</f>
        <v/>
      </c>
      <c r="B3850" t="inlineStr">
        <is>
          <t>undefined</t>
        </is>
      </c>
      <c r="C3850" t="inlineStr">
        <is>
          <t>adidas Tabela 14 Jersey</t>
        </is>
      </c>
      <c r="D3850" t="inlineStr">
        <is>
          <t>adidas Performance Boys Youth Tabela 14 Short Sleeve Jersey</t>
        </is>
      </c>
      <c r="E3850" s="2">
        <f>HYPERLINK("https://www.amazon.com/adidas-Performance-Tabela-Jersey-X-Large/dp/B00J2GYF1I/ref=sr_1_3?keywords=adidas+Tabela+14+Jersey&amp;qid=1695171220&amp;sr=8-3", "https://www.amazon.com/adidas-Performance-Tabela-Jersey-X-Large/dp/B00J2GYF1I/ref=sr_1_3?keywords=adidas+Tabela+14+Jersey&amp;qid=1695171220&amp;sr=8-3")</f>
        <v/>
      </c>
      <c r="F3850" t="inlineStr">
        <is>
          <t>B00J2GYF1I</t>
        </is>
      </c>
      <c r="G3850">
        <f>_xlfn.IMAGE("https://www.soccerplususa.com/prodimages/4588-DEFAULT-l.jpg")</f>
        <v/>
      </c>
      <c r="H3850">
        <f>_xlfn.IMAGE("https://m.media-amazon.com/images/I/91YNKoolA4L._AC_UL320_.jpg")</f>
        <v/>
      </c>
      <c r="K3850" t="inlineStr">
        <is>
          <t>17.5</t>
        </is>
      </c>
      <c r="L3850" t="n">
        <v>34</v>
      </c>
      <c r="M3850" s="1" t="inlineStr">
        <is>
          <t>94.29%</t>
        </is>
      </c>
      <c r="N3850" s="3" t="n">
        <v>94.29000000000001</v>
      </c>
      <c r="O3850" t="n">
        <v>4.5</v>
      </c>
      <c r="P3850" t="n">
        <v>22</v>
      </c>
      <c r="R3850" t="inlineStr">
        <is>
          <t>InStock</t>
        </is>
      </c>
      <c r="S3850" t="inlineStr">
        <is>
          <t>34.95</t>
        </is>
      </c>
      <c r="T3850" t="inlineStr">
        <is>
          <t>F84835</t>
        </is>
      </c>
    </row>
    <row r="3851" ht="75" customHeight="1">
      <c r="A3851" s="2">
        <f>HYPERLINK("https://www.soccerplususa.com/adidas/adidas-tabela-14-jersey-6082", "https://www.soccerplususa.com/adidas/adidas-tabela-14-jersey-6082")</f>
        <v/>
      </c>
      <c r="B3851" t="inlineStr">
        <is>
          <t>undefined</t>
        </is>
      </c>
      <c r="C3851" t="inlineStr">
        <is>
          <t>adidas Tabela 14 Jersey</t>
        </is>
      </c>
      <c r="D3851" t="inlineStr">
        <is>
          <t>adidas Performance Boys Youth Tabela 14 Short Sleeve Jersey</t>
        </is>
      </c>
      <c r="E3851" s="2">
        <f>HYPERLINK("https://www.amazon.com/adidas-Performance-Tabela-Jersey-X-Large/dp/B00J2GYF1I/ref=sr_1_4?keywords=adidas+Tabela+14+Jersey&amp;qid=1695171211&amp;sr=8-4", "https://www.amazon.com/adidas-Performance-Tabela-Jersey-X-Large/dp/B00J2GYF1I/ref=sr_1_4?keywords=adidas+Tabela+14+Jersey&amp;qid=1695171211&amp;sr=8-4")</f>
        <v/>
      </c>
      <c r="F3851" t="inlineStr">
        <is>
          <t>B00J2GYF1I</t>
        </is>
      </c>
      <c r="G3851">
        <f>_xlfn.IMAGE("https://www.soccerplususa.com/prodimages/2638-DEFAULT-l.jpg")</f>
        <v/>
      </c>
      <c r="H3851">
        <f>_xlfn.IMAGE("https://m.media-amazon.com/images/I/91YNKoolA4L._AC_UL320_.jpg")</f>
        <v/>
      </c>
      <c r="K3851" t="inlineStr">
        <is>
          <t>17.5</t>
        </is>
      </c>
      <c r="L3851" t="n">
        <v>34</v>
      </c>
      <c r="M3851" s="1" t="inlineStr">
        <is>
          <t>94.29%</t>
        </is>
      </c>
      <c r="N3851" s="3" t="n">
        <v>94.29000000000001</v>
      </c>
      <c r="O3851" t="n">
        <v>4.5</v>
      </c>
      <c r="P3851" t="n">
        <v>22</v>
      </c>
      <c r="R3851" t="inlineStr">
        <is>
          <t>InStock</t>
        </is>
      </c>
      <c r="S3851" t="inlineStr">
        <is>
          <t>34.95</t>
        </is>
      </c>
      <c r="T3851" t="inlineStr">
        <is>
          <t>F50284</t>
        </is>
      </c>
    </row>
    <row r="3852" ht="75" customHeight="1">
      <c r="A3852" s="2">
        <f>HYPERLINK("https://www.soccerplususa.com/adidas/adidas-tabela-14-jersey-youth-6084", "https://www.soccerplususa.com/adidas/adidas-tabela-14-jersey-youth-6084")</f>
        <v/>
      </c>
      <c r="B3852" t="inlineStr">
        <is>
          <t>undefined</t>
        </is>
      </c>
      <c r="C3852" t="inlineStr">
        <is>
          <t>adidas Tabela 14 Jersey Youth</t>
        </is>
      </c>
      <c r="D3852" t="inlineStr">
        <is>
          <t>adidas Performance Boys Youth Tabela 14 Short Sleeve Jersey</t>
        </is>
      </c>
      <c r="E3852" s="2">
        <f>HYPERLINK("https://www.amazon.com/adidas-Performance-Tabela-Jersey-X-Large/dp/B00J2GYF1I/ref=sr_1_1?keywords=adidas+Tabela+14+Jersey+Youth&amp;qid=1695171219&amp;sr=8-1", "https://www.amazon.com/adidas-Performance-Tabela-Jersey-X-Large/dp/B00J2GYF1I/ref=sr_1_1?keywords=adidas+Tabela+14+Jersey+Youth&amp;qid=1695171219&amp;sr=8-1")</f>
        <v/>
      </c>
      <c r="F3852" t="inlineStr">
        <is>
          <t>B00J2GYF1I</t>
        </is>
      </c>
      <c r="G3852">
        <f>_xlfn.IMAGE("https://www.soccerplususa.com/prodimages/10331-DEFAULT-l.jpg")</f>
        <v/>
      </c>
      <c r="H3852">
        <f>_xlfn.IMAGE("https://m.media-amazon.com/images/I/91YNKoolA4L._AC_UL320_.jpg")</f>
        <v/>
      </c>
      <c r="K3852" t="inlineStr">
        <is>
          <t>17.5</t>
        </is>
      </c>
      <c r="L3852" t="n">
        <v>34</v>
      </c>
      <c r="M3852" s="1" t="inlineStr">
        <is>
          <t>94.29%</t>
        </is>
      </c>
      <c r="N3852" s="3" t="n">
        <v>94.29000000000001</v>
      </c>
      <c r="O3852" t="n">
        <v>4.5</v>
      </c>
      <c r="P3852" t="n">
        <v>22</v>
      </c>
      <c r="R3852" t="inlineStr">
        <is>
          <t>InStock</t>
        </is>
      </c>
      <c r="S3852" t="inlineStr">
        <is>
          <t>34.95</t>
        </is>
      </c>
      <c r="T3852" t="inlineStr">
        <is>
          <t>F50452</t>
        </is>
      </c>
    </row>
    <row r="3853" ht="75" customHeight="1">
      <c r="A3853" s="2">
        <f>HYPERLINK("https://www.soccerplususa.com/adidas/adidas-tiro-17-training-jacket-womens-4954", "https://www.soccerplususa.com/adidas/adidas-tiro-17-training-jacket-womens-4954")</f>
        <v/>
      </c>
      <c r="B3853" t="inlineStr">
        <is>
          <t>undefined</t>
        </is>
      </c>
      <c r="C3853" t="inlineStr">
        <is>
          <t>adidas Tiro 17 Training Jacket Women's</t>
        </is>
      </c>
      <c r="D3853" t="inlineStr">
        <is>
          <t>adidas Womens Tiro 17 Training Jacket</t>
        </is>
      </c>
      <c r="E3853" s="2">
        <f>HYPERLINK("https://www.amazon.com/adidas-Womens-Training-Jacket-Black/dp/B01N41JXC9/ref=sr_1_1?keywords=adidas+Tiro+17+Training+Jacket+Womens&amp;qid=1695171243&amp;sr=8-1", "https://www.amazon.com/adidas-Womens-Training-Jacket-Black/dp/B01N41JXC9/ref=sr_1_1?keywords=adidas+Tiro+17+Training+Jacket+Womens&amp;qid=1695171243&amp;sr=8-1")</f>
        <v/>
      </c>
      <c r="F3853" t="inlineStr">
        <is>
          <t>B01N41JXC9</t>
        </is>
      </c>
      <c r="G3853">
        <f>_xlfn.IMAGE("https://www.soccerplususa.com/prodimages/4534-DEFAULT-l.jpg")</f>
        <v/>
      </c>
      <c r="H3853">
        <f>_xlfn.IMAGE("https://m.media-amazon.com/images/I/71nZvYsJu-L._AC_UL320_.jpg")</f>
        <v/>
      </c>
      <c r="K3853" t="inlineStr">
        <is>
          <t>34.0</t>
        </is>
      </c>
      <c r="L3853" t="n">
        <v>65.93000000000001</v>
      </c>
      <c r="M3853" s="1" t="inlineStr">
        <is>
          <t>93.91%</t>
        </is>
      </c>
      <c r="N3853" s="3" t="n">
        <v>93.91</v>
      </c>
      <c r="O3853" t="n">
        <v>4.4</v>
      </c>
      <c r="P3853" t="n">
        <v>23</v>
      </c>
      <c r="R3853" t="inlineStr">
        <is>
          <t>InStock</t>
        </is>
      </c>
      <c r="S3853" t="inlineStr">
        <is>
          <t>64.95</t>
        </is>
      </c>
      <c r="T3853" t="inlineStr">
        <is>
          <t>BQ8248</t>
        </is>
      </c>
    </row>
    <row r="3854" ht="75" customHeight="1">
      <c r="A3854" s="2">
        <f>HYPERLINK("https://www.soccerplususa.com/adidas/adidas-tiro-17-training-jacket-womens-4952", "https://www.soccerplususa.com/adidas/adidas-tiro-17-training-jacket-womens-4952")</f>
        <v/>
      </c>
      <c r="B3854" t="inlineStr">
        <is>
          <t>undefined</t>
        </is>
      </c>
      <c r="C3854" t="inlineStr">
        <is>
          <t>adidas Tiro 17 Training Jacket Women's</t>
        </is>
      </c>
      <c r="D3854" t="inlineStr">
        <is>
          <t>adidas Womens Tiro 17 Training Jacket</t>
        </is>
      </c>
      <c r="E3854" s="2">
        <f>HYPERLINK("https://www.amazon.com/adidas-Womens-Training-Jacket-Black/dp/B01N41JXC9/ref=sr_1_1?keywords=adidas+Tiro+17+Training+Jacket+Women%27s&amp;qid=1695171231&amp;sr=8-1", "https://www.amazon.com/adidas-Womens-Training-Jacket-Black/dp/B01N41JXC9/ref=sr_1_1?keywords=adidas+Tiro+17+Training+Jacket+Women%27s&amp;qid=1695171231&amp;sr=8-1")</f>
        <v/>
      </c>
      <c r="F3854" t="inlineStr">
        <is>
          <t>B01N41JXC9</t>
        </is>
      </c>
      <c r="G3854">
        <f>_xlfn.IMAGE("https://www.soccerplususa.com/prodimages/4532-DEFAULT-l.jpg")</f>
        <v/>
      </c>
      <c r="H3854">
        <f>_xlfn.IMAGE("https://m.media-amazon.com/images/I/71nZvYsJu-L._AC_UL320_.jpg")</f>
        <v/>
      </c>
      <c r="K3854" t="inlineStr">
        <is>
          <t>34.0</t>
        </is>
      </c>
      <c r="L3854" t="n">
        <v>65.93000000000001</v>
      </c>
      <c r="M3854" s="1" t="inlineStr">
        <is>
          <t>93.91%</t>
        </is>
      </c>
      <c r="N3854" s="3" t="n">
        <v>93.91</v>
      </c>
      <c r="O3854" t="n">
        <v>4.4</v>
      </c>
      <c r="P3854" t="n">
        <v>23</v>
      </c>
      <c r="R3854" t="inlineStr">
        <is>
          <t>InStock</t>
        </is>
      </c>
      <c r="S3854" t="inlineStr">
        <is>
          <t>64.95</t>
        </is>
      </c>
      <c r="T3854" t="inlineStr">
        <is>
          <t>BQ8243</t>
        </is>
      </c>
    </row>
    <row r="3855" ht="75" customHeight="1">
      <c r="A3855" s="2">
        <f>HYPERLINK("https://www.soccerplususa.com/adidas/adidas-tabela-11-jersey-7260", "https://www.soccerplususa.com/adidas/adidas-tabela-11-jersey-7260")</f>
        <v/>
      </c>
      <c r="B3855" t="inlineStr">
        <is>
          <t>undefined</t>
        </is>
      </c>
      <c r="C3855" t="inlineStr">
        <is>
          <t>adidas Tabela 11 Jersey</t>
        </is>
      </c>
      <c r="D3855" t="inlineStr">
        <is>
          <t>adidas Big Boys' Youth Tabela 11 Jersey</t>
        </is>
      </c>
      <c r="E3855" s="2">
        <f>HYPERLINK("https://www.amazon.com/adidas-Youth-Tabela-Jersey-Silver/dp/B007K39HPY/ref=sr_1_1?keywords=adidas+Tabela+11+Jersey&amp;qid=1695171198&amp;sr=8-1", "https://www.amazon.com/adidas-Youth-Tabela-Jersey-Silver/dp/B007K39HPY/ref=sr_1_1?keywords=adidas+Tabela+11+Jersey&amp;qid=1695171198&amp;sr=8-1")</f>
        <v/>
      </c>
      <c r="F3855" t="inlineStr">
        <is>
          <t>B007K39HPY</t>
        </is>
      </c>
      <c r="G3855">
        <f>_xlfn.IMAGE("https://www.soccerplususa.com/prodimages/3223-DEFAULT-l.jpg")</f>
        <v/>
      </c>
      <c r="H3855">
        <f>_xlfn.IMAGE("https://m.media-amazon.com/images/I/81x-ZWOocBL._AC_UL320_.jpg")</f>
        <v/>
      </c>
      <c r="K3855" t="inlineStr">
        <is>
          <t>12.0</t>
        </is>
      </c>
      <c r="L3855" t="n">
        <v>22.99</v>
      </c>
      <c r="M3855" s="1" t="inlineStr">
        <is>
          <t>91.58%</t>
        </is>
      </c>
      <c r="N3855" s="3" t="n">
        <v>91.58</v>
      </c>
      <c r="O3855" t="n">
        <v>4.7</v>
      </c>
      <c r="P3855" t="n">
        <v>5</v>
      </c>
      <c r="R3855" t="inlineStr">
        <is>
          <t>InStock</t>
        </is>
      </c>
      <c r="S3855" t="inlineStr">
        <is>
          <t>24.95</t>
        </is>
      </c>
      <c r="T3855" t="inlineStr">
        <is>
          <t>O07611</t>
        </is>
      </c>
    </row>
    <row r="3856" ht="75" customHeight="1">
      <c r="A3856" s="2">
        <f>HYPERLINK("https://www.soccerplususa.com/adidas/adidas-tabela-11-jersey-7257", "https://www.soccerplususa.com/adidas/adidas-tabela-11-jersey-7257")</f>
        <v/>
      </c>
      <c r="B3856" t="inlineStr">
        <is>
          <t>undefined</t>
        </is>
      </c>
      <c r="C3856" t="inlineStr">
        <is>
          <t>adidas Tabela 11 Jersey</t>
        </is>
      </c>
      <c r="D3856" t="inlineStr">
        <is>
          <t>adidas Big Boys' Youth Tabela 11 Jersey</t>
        </is>
      </c>
      <c r="E3856" s="2">
        <f>HYPERLINK("https://www.amazon.com/adidas-Youth-Tabela-Jersey-Silver/dp/B007K39HPY/ref=sr_1_1?keywords=adidas+Tabela+11+Jersey&amp;qid=1695171216&amp;sr=8-1", "https://www.amazon.com/adidas-Youth-Tabela-Jersey-Silver/dp/B007K39HPY/ref=sr_1_1?keywords=adidas+Tabela+11+Jersey&amp;qid=1695171216&amp;sr=8-1")</f>
        <v/>
      </c>
      <c r="F3856" t="inlineStr">
        <is>
          <t>B007K39HPY</t>
        </is>
      </c>
      <c r="G3856">
        <f>_xlfn.IMAGE("https://www.soccerplususa.com/prodimages/3212-DEFAULT-l.jpg")</f>
        <v/>
      </c>
      <c r="H3856">
        <f>_xlfn.IMAGE("https://m.media-amazon.com/images/I/81x-ZWOocBL._AC_UL320_.jpg")</f>
        <v/>
      </c>
      <c r="K3856" t="inlineStr">
        <is>
          <t>12.0</t>
        </is>
      </c>
      <c r="L3856" t="n">
        <v>22.99</v>
      </c>
      <c r="M3856" s="1" t="inlineStr">
        <is>
          <t>91.58%</t>
        </is>
      </c>
      <c r="N3856" s="3" t="n">
        <v>91.58</v>
      </c>
      <c r="O3856" t="n">
        <v>4.7</v>
      </c>
      <c r="P3856" t="n">
        <v>5</v>
      </c>
      <c r="R3856" t="inlineStr">
        <is>
          <t>InStock</t>
        </is>
      </c>
      <c r="S3856" t="inlineStr">
        <is>
          <t>24.95</t>
        </is>
      </c>
      <c r="T3856" t="inlineStr">
        <is>
          <t>O07609</t>
        </is>
      </c>
    </row>
    <row r="3857" ht="75" customHeight="1">
      <c r="A3857" s="2">
        <f>HYPERLINK("https://www.soccerplususa.com/adidas/adidas-tiro-17-training-jacket-womens-4954", "https://www.soccerplususa.com/adidas/adidas-tiro-17-training-jacket-womens-4954")</f>
        <v/>
      </c>
      <c r="B3857" t="inlineStr">
        <is>
          <t>undefined</t>
        </is>
      </c>
      <c r="C3857" t="inlineStr">
        <is>
          <t>adidas Tiro 17 Training Jacket Women's</t>
        </is>
      </c>
      <c r="D3857" t="inlineStr">
        <is>
          <t>adidas Women's Soccer Tiro 15 Training Jacket</t>
        </is>
      </c>
      <c r="E3857" s="2">
        <f>HYPERLINK("https://www.amazon.com/adidas-S1506GHTT004W-Womens-Soccer-Training/dp/B00QKRJ3B4/ref=sr_1_8?keywords=adidas+Tiro+17+Training+Jacket+Womens&amp;qid=1695171243&amp;sr=8-8", "https://www.amazon.com/adidas-S1506GHTT004W-Womens-Soccer-Training/dp/B00QKRJ3B4/ref=sr_1_8?keywords=adidas+Tiro+17+Training+Jacket+Womens&amp;qid=1695171243&amp;sr=8-8")</f>
        <v/>
      </c>
      <c r="F3857" t="inlineStr">
        <is>
          <t>B00QKRJ3B4</t>
        </is>
      </c>
      <c r="G3857">
        <f>_xlfn.IMAGE("https://www.soccerplususa.com/prodimages/4534-DEFAULT-l.jpg")</f>
        <v/>
      </c>
      <c r="H3857">
        <f>_xlfn.IMAGE("https://m.media-amazon.com/images/I/61IAizuSsOL._AC_UL320_.jpg")</f>
        <v/>
      </c>
      <c r="K3857" t="inlineStr">
        <is>
          <t>34.0</t>
        </is>
      </c>
      <c r="L3857" t="n">
        <v>64.98999999999999</v>
      </c>
      <c r="M3857" s="1" t="inlineStr">
        <is>
          <t>91.15%</t>
        </is>
      </c>
      <c r="N3857" s="3" t="n">
        <v>91.15000000000001</v>
      </c>
      <c r="O3857" t="n">
        <v>4.6</v>
      </c>
      <c r="P3857" t="n">
        <v>317</v>
      </c>
      <c r="R3857" t="inlineStr">
        <is>
          <t>InStock</t>
        </is>
      </c>
      <c r="S3857" t="inlineStr">
        <is>
          <t>64.95</t>
        </is>
      </c>
      <c r="T3857" t="inlineStr">
        <is>
          <t>BQ8248</t>
        </is>
      </c>
    </row>
    <row r="3858" ht="75" customHeight="1">
      <c r="A3858" s="2">
        <f>HYPERLINK("https://www.soccerplususa.com/adidas/adidas-tiro-17-training-jacket-womens-4952", "https://www.soccerplususa.com/adidas/adidas-tiro-17-training-jacket-womens-4952")</f>
        <v/>
      </c>
      <c r="B3858" t="inlineStr">
        <is>
          <t>undefined</t>
        </is>
      </c>
      <c r="C3858" t="inlineStr">
        <is>
          <t>adidas Tiro 17 Training Jacket Women's</t>
        </is>
      </c>
      <c r="D3858" t="inlineStr">
        <is>
          <t>adidas Women's Soccer Tiro 15 Training Jacket</t>
        </is>
      </c>
      <c r="E3858" s="2">
        <f>HYPERLINK("https://www.amazon.com/adidas-S1506GHTT004W-Womens-Soccer-Training/dp/B00QKRJ3B4/ref=sr_1_8?keywords=adidas+Tiro+17+Training+Jacket+Women%27s&amp;qid=1695171231&amp;sr=8-8", "https://www.amazon.com/adidas-S1506GHTT004W-Womens-Soccer-Training/dp/B00QKRJ3B4/ref=sr_1_8?keywords=adidas+Tiro+17+Training+Jacket+Women%27s&amp;qid=1695171231&amp;sr=8-8")</f>
        <v/>
      </c>
      <c r="F3858" t="inlineStr">
        <is>
          <t>B00QKRJ3B4</t>
        </is>
      </c>
      <c r="G3858">
        <f>_xlfn.IMAGE("https://www.soccerplususa.com/prodimages/4532-DEFAULT-l.jpg")</f>
        <v/>
      </c>
      <c r="H3858">
        <f>_xlfn.IMAGE("https://m.media-amazon.com/images/I/61IAizuSsOL._AC_UL320_.jpg")</f>
        <v/>
      </c>
      <c r="K3858" t="inlineStr">
        <is>
          <t>34.0</t>
        </is>
      </c>
      <c r="L3858" t="n">
        <v>64.98999999999999</v>
      </c>
      <c r="M3858" s="1" t="inlineStr">
        <is>
          <t>91.15%</t>
        </is>
      </c>
      <c r="N3858" s="3" t="n">
        <v>91.15000000000001</v>
      </c>
      <c r="O3858" t="n">
        <v>4.6</v>
      </c>
      <c r="P3858" t="n">
        <v>317</v>
      </c>
      <c r="R3858" t="inlineStr">
        <is>
          <t>InStock</t>
        </is>
      </c>
      <c r="S3858" t="inlineStr">
        <is>
          <t>64.95</t>
        </is>
      </c>
      <c r="T3858" t="inlineStr">
        <is>
          <t>BQ8243</t>
        </is>
      </c>
    </row>
    <row r="3859" ht="75" customHeight="1">
      <c r="A3859" s="2">
        <f>HYPERLINK("https://www.soccerplususa.com/adidas/adidas-tiro-17-jersey-youth-8176", "https://www.soccerplususa.com/adidas/adidas-tiro-17-jersey-youth-8176")</f>
        <v/>
      </c>
      <c r="B3859" t="inlineStr">
        <is>
          <t>undefined</t>
        </is>
      </c>
      <c r="C3859" t="inlineStr">
        <is>
          <t>adidas Tiro 17 Jersey Youth</t>
        </is>
      </c>
      <c r="D3859" t="inlineStr">
        <is>
          <t>adidas Womens Tiro 17 Jersey</t>
        </is>
      </c>
      <c r="E3859" s="2">
        <f>HYPERLINK("https://www.amazon.com/adidas-Womens-Soccer-Jersey-Blue-White/dp/B06Y66G458/ref=sr_1_3?keywords=adidas+Tiro+17+Jersey+Youth&amp;qid=1695171210&amp;sr=8-3", "https://www.amazon.com/adidas-Womens-Soccer-Jersey-Blue-White/dp/B06Y66G458/ref=sr_1_3?keywords=adidas+Tiro+17+Jersey+Youth&amp;qid=1695171210&amp;sr=8-3")</f>
        <v/>
      </c>
      <c r="F3859" t="inlineStr">
        <is>
          <t>B06Y66G458</t>
        </is>
      </c>
      <c r="G3859">
        <f>_xlfn.IMAGE("https://www.soccerplususa.com/prodimages/7857-DEFAULT-l.jpg")</f>
        <v/>
      </c>
      <c r="H3859">
        <f>_xlfn.IMAGE("https://m.media-amazon.com/images/I/612YdXtQm3L._AC_UL320_.jpg")</f>
        <v/>
      </c>
      <c r="K3859" t="inlineStr">
        <is>
          <t>20.97</t>
        </is>
      </c>
      <c r="L3859" t="n">
        <v>39.99</v>
      </c>
      <c r="M3859" s="1" t="inlineStr">
        <is>
          <t>90.70%</t>
        </is>
      </c>
      <c r="N3859" s="3" t="n">
        <v>90.7</v>
      </c>
      <c r="O3859" t="n">
        <v>5</v>
      </c>
      <c r="P3859" t="n">
        <v>3</v>
      </c>
      <c r="R3859" t="inlineStr">
        <is>
          <t>InStock</t>
        </is>
      </c>
      <c r="S3859" t="inlineStr">
        <is>
          <t>34.95</t>
        </is>
      </c>
      <c r="T3859" t="inlineStr">
        <is>
          <t>S99148</t>
        </is>
      </c>
    </row>
    <row r="3860" ht="75" customHeight="1">
      <c r="A3860" s="2">
        <f>HYPERLINK("https://www.soccerplususa.com/adidas/adidas-condivo-14-training-top-36188", "https://www.soccerplususa.com/adidas/adidas-condivo-14-training-top-36188")</f>
        <v/>
      </c>
      <c r="B3860" t="inlineStr">
        <is>
          <t>undefined</t>
        </is>
      </c>
      <c r="C3860" t="inlineStr">
        <is>
          <t>adidas Condivo 14 Training Top</t>
        </is>
      </c>
      <c r="D3860" t="inlineStr">
        <is>
          <t>adidas Men's Condivo 22 Training Top</t>
        </is>
      </c>
      <c r="E3860" s="2">
        <f>HYPERLINK("https://www.amazon.com/adidas-Standard-Condivo-Training-Medium/dp/B09HJB6MR6/ref=sr_1_3?keywords=adidas+Condivo+14+Training+Top&amp;qid=1695171163&amp;sr=8-3", "https://www.amazon.com/adidas-Standard-Condivo-Training-Medium/dp/B09HJB6MR6/ref=sr_1_3?keywords=adidas+Condivo+14+Training+Top&amp;qid=1695171163&amp;sr=8-3")</f>
        <v/>
      </c>
      <c r="F3860" t="inlineStr">
        <is>
          <t>B09HJB6MR6</t>
        </is>
      </c>
      <c r="G3860">
        <f>_xlfn.IMAGE("https://www.soccerplususa.com/prodimages/10436-DEFAULT-l.jpg")</f>
        <v/>
      </c>
      <c r="H3860">
        <f>_xlfn.IMAGE("https://m.media-amazon.com/images/I/51Y3kBjKu5L._AC_UL320_.jpg")</f>
        <v/>
      </c>
      <c r="K3860" t="inlineStr">
        <is>
          <t>30.0</t>
        </is>
      </c>
      <c r="L3860" t="n">
        <v>56.94</v>
      </c>
      <c r="M3860" s="1" t="inlineStr">
        <is>
          <t>89.80%</t>
        </is>
      </c>
      <c r="N3860" s="3" t="n">
        <v>89.8</v>
      </c>
      <c r="O3860" t="n">
        <v>5</v>
      </c>
      <c r="P3860" t="n">
        <v>5</v>
      </c>
      <c r="R3860" t="inlineStr">
        <is>
          <t>InStock</t>
        </is>
      </c>
      <c r="S3860" t="inlineStr">
        <is>
          <t>59.95</t>
        </is>
      </c>
      <c r="T3860" t="inlineStr">
        <is>
          <t>G80802</t>
        </is>
      </c>
    </row>
    <row r="3861" ht="75" customHeight="1">
      <c r="A3861" s="2">
        <f>HYPERLINK("https://www.soccerplususa.com/adidas/adidas-core-18-training-jersey-33847", "https://www.soccerplususa.com/adidas/adidas-core-18-training-jersey-33847")</f>
        <v/>
      </c>
      <c r="B3861" t="inlineStr">
        <is>
          <t>undefined</t>
        </is>
      </c>
      <c r="C3861" t="inlineStr">
        <is>
          <t>adidas Core 18 Training Jersey</t>
        </is>
      </c>
      <c r="D3861" t="inlineStr">
        <is>
          <t>adidas Women's Core 18 Training Top</t>
        </is>
      </c>
      <c r="E3861" s="2">
        <f>HYPERLINK("https://www.amazon.com/adidas-Womens-Soccer-Training-Power/dp/B073H7KW5X/ref=sr_1_2?keywords=adidas+Core+18+Training+Jersey&amp;qid=1695171175&amp;sr=8-2", "https://www.amazon.com/adidas-Womens-Soccer-Training-Power/dp/B073H7KW5X/ref=sr_1_2?keywords=adidas+Core+18+Training+Jersey&amp;qid=1695171175&amp;sr=8-2")</f>
        <v/>
      </c>
      <c r="F3861" t="inlineStr">
        <is>
          <t>B073H7KW5X</t>
        </is>
      </c>
      <c r="G3861">
        <f>_xlfn.IMAGE("https://www.soccerplususa.com/prodimages/32787-DEFAULT-l.jpg")</f>
        <v/>
      </c>
      <c r="H3861">
        <f>_xlfn.IMAGE("https://m.media-amazon.com/images/I/413h3bK5GeL._AC_UL320_.jpg")</f>
        <v/>
      </c>
      <c r="K3861" t="inlineStr">
        <is>
          <t>14.99</t>
        </is>
      </c>
      <c r="L3861" t="n">
        <v>28.02</v>
      </c>
      <c r="M3861" s="1" t="inlineStr">
        <is>
          <t>86.92%</t>
        </is>
      </c>
      <c r="N3861" s="3" t="n">
        <v>86.92</v>
      </c>
      <c r="O3861" t="n">
        <v>4.5</v>
      </c>
      <c r="P3861" t="n">
        <v>323</v>
      </c>
      <c r="R3861" t="inlineStr">
        <is>
          <t>InStock</t>
        </is>
      </c>
      <c r="S3861" t="inlineStr">
        <is>
          <t>19.95</t>
        </is>
      </c>
      <c r="T3861" t="inlineStr">
        <is>
          <t>CV3452</t>
        </is>
      </c>
    </row>
    <row r="3862" ht="75" customHeight="1">
      <c r="A3862" s="2">
        <f>HYPERLINK("https://www.soccerplususa.com/nike/nike-park-vi-jersey-39538", "https://www.soccerplususa.com/nike/nike-park-vi-jersey-39538")</f>
        <v/>
      </c>
      <c r="B3862" t="inlineStr">
        <is>
          <t>undefined</t>
        </is>
      </c>
      <c r="C3862" t="inlineStr">
        <is>
          <t>Nike Park VI Jersey</t>
        </is>
      </c>
      <c r="D3862" t="inlineStr">
        <is>
          <t>Nike Youth Park VII Short Sleeve Jersey, BV6742-010</t>
        </is>
      </c>
      <c r="E3862" s="2">
        <f>HYPERLINK("https://www.amazon.com/Nike-Youth-Jersey-Turquoise-Medium/dp/B09Y94CJWS/ref=sr_1_10?keywords=Nike+Park+VI+Jersey&amp;qid=1695171168&amp;sr=8-10", "https://www.amazon.com/Nike-Youth-Jersey-Turquoise-Medium/dp/B09Y94CJWS/ref=sr_1_10?keywords=Nike+Park+VI+Jersey&amp;qid=1695171168&amp;sr=8-10")</f>
        <v/>
      </c>
      <c r="F3862" t="inlineStr">
        <is>
          <t>B09Y94CJWS</t>
        </is>
      </c>
      <c r="G3862">
        <f>_xlfn.IMAGE("https://www.soccerplususa.com/prodimages/32891-DEFAULT-l.jpg")</f>
        <v/>
      </c>
      <c r="H3862">
        <f>_xlfn.IMAGE("https://m.media-amazon.com/images/I/51QV5Uq5l-L._AC_UL320_.jpg")</f>
        <v/>
      </c>
      <c r="K3862" t="inlineStr">
        <is>
          <t>14.99</t>
        </is>
      </c>
      <c r="L3862" t="n">
        <v>27.99</v>
      </c>
      <c r="M3862" s="1" t="inlineStr">
        <is>
          <t>86.72%</t>
        </is>
      </c>
      <c r="N3862" s="3" t="n">
        <v>86.72</v>
      </c>
      <c r="O3862" t="n">
        <v>4.4</v>
      </c>
      <c r="P3862" t="n">
        <v>7</v>
      </c>
      <c r="R3862" t="inlineStr">
        <is>
          <t>InStock</t>
        </is>
      </c>
      <c r="S3862" t="inlineStr">
        <is>
          <t>19.95</t>
        </is>
      </c>
      <c r="T3862" t="inlineStr">
        <is>
          <t>899915-100</t>
        </is>
      </c>
    </row>
    <row r="3863" ht="75" customHeight="1">
      <c r="A3863" s="2">
        <f>HYPERLINK("https://www.soccerplususa.com/adidas/adidas-condivo-16-jersey-youth-4210", "https://www.soccerplususa.com/adidas/adidas-condivo-16-jersey-youth-4210")</f>
        <v/>
      </c>
      <c r="B3863" t="inlineStr">
        <is>
          <t>undefined</t>
        </is>
      </c>
      <c r="C3863" t="inlineStr">
        <is>
          <t>adidas Condivo 16 Jersey Youth</t>
        </is>
      </c>
      <c r="D3863" t="inlineStr">
        <is>
          <t>adidas Condivo 16 Mens Soccer Jersey XL White</t>
        </is>
      </c>
      <c r="E3863" s="2">
        <f>HYPERLINK("https://www.amazon.com/Adidas-Condivo-Soccer-Jersey-White/dp/B018663OV6/ref=sr_1_4?keywords=adidas+Condivo+16+Jersey+Youth&amp;qid=1695171233&amp;sr=8-4", "https://www.amazon.com/Adidas-Condivo-Soccer-Jersey-White/dp/B018663OV6/ref=sr_1_4?keywords=adidas+Condivo+16+Jersey+Youth&amp;qid=1695171233&amp;sr=8-4")</f>
        <v/>
      </c>
      <c r="F3863" t="inlineStr">
        <is>
          <t>B018663OV6</t>
        </is>
      </c>
      <c r="G3863">
        <f>_xlfn.IMAGE("https://www.soccerplususa.com/prodimages/7805-DEFAULT-l.jpg")</f>
        <v/>
      </c>
      <c r="H3863">
        <f>_xlfn.IMAGE("https://m.media-amazon.com/images/I/61xsIztW9yL._AC_UL320_.jpg")</f>
        <v/>
      </c>
      <c r="K3863" t="inlineStr">
        <is>
          <t>22.48</t>
        </is>
      </c>
      <c r="L3863" t="n">
        <v>41.91</v>
      </c>
      <c r="M3863" s="1" t="inlineStr">
        <is>
          <t>86.43%</t>
        </is>
      </c>
      <c r="N3863" s="3" t="n">
        <v>86.43000000000001</v>
      </c>
      <c r="O3863" t="n">
        <v>4.6</v>
      </c>
      <c r="P3863" t="n">
        <v>2</v>
      </c>
      <c r="R3863" t="inlineStr">
        <is>
          <t>InStock</t>
        </is>
      </c>
      <c r="S3863" t="inlineStr">
        <is>
          <t>44.95</t>
        </is>
      </c>
      <c r="T3863" t="inlineStr">
        <is>
          <t>AP4366</t>
        </is>
      </c>
    </row>
    <row r="3864" ht="75" customHeight="1">
      <c r="A3864" s="2">
        <f>HYPERLINK("https://www.soccerplususa.com/adidas/adidas-condivo-16-jersey-youth-4211", "https://www.soccerplususa.com/adidas/adidas-condivo-16-jersey-youth-4211")</f>
        <v/>
      </c>
      <c r="B3864" t="inlineStr">
        <is>
          <t>undefined</t>
        </is>
      </c>
      <c r="C3864" t="inlineStr">
        <is>
          <t>adidas Condivo 16 Jersey Youth</t>
        </is>
      </c>
      <c r="D3864" t="inlineStr">
        <is>
          <t>adidas Condivo 16 Mens Soccer Jersey XL White</t>
        </is>
      </c>
      <c r="E3864" s="2">
        <f>HYPERLINK("https://www.amazon.com/Adidas-Condivo-Soccer-Jersey-White/dp/B018663OV6/ref=sr_1_4?keywords=adidas+Condivo+16+Jersey+Youth&amp;qid=1695171230&amp;sr=8-4", "https://www.amazon.com/Adidas-Condivo-Soccer-Jersey-White/dp/B018663OV6/ref=sr_1_4?keywords=adidas+Condivo+16+Jersey+Youth&amp;qid=1695171230&amp;sr=8-4")</f>
        <v/>
      </c>
      <c r="F3864" t="inlineStr">
        <is>
          <t>B018663OV6</t>
        </is>
      </c>
      <c r="G3864">
        <f>_xlfn.IMAGE("https://www.soccerplususa.com/prodimages/6944-DEFAULT-l.jpg")</f>
        <v/>
      </c>
      <c r="H3864">
        <f>_xlfn.IMAGE("https://m.media-amazon.com/images/I/61xsIztW9yL._AC_UL320_.jpg")</f>
        <v/>
      </c>
      <c r="K3864" t="inlineStr">
        <is>
          <t>22.5</t>
        </is>
      </c>
      <c r="L3864" t="n">
        <v>41.91</v>
      </c>
      <c r="M3864" s="1" t="inlineStr">
        <is>
          <t>86.27%</t>
        </is>
      </c>
      <c r="N3864" s="3" t="n">
        <v>86.27</v>
      </c>
      <c r="O3864" t="n">
        <v>4.6</v>
      </c>
      <c r="P3864" t="n">
        <v>2</v>
      </c>
      <c r="R3864" t="inlineStr">
        <is>
          <t>InStock</t>
        </is>
      </c>
      <c r="S3864" t="inlineStr">
        <is>
          <t>44.95</t>
        </is>
      </c>
      <c r="T3864" t="inlineStr">
        <is>
          <t>AP4367</t>
        </is>
      </c>
    </row>
    <row r="3865" hidden="1" ht="15.75" customHeight="1">
      <c r="A3865" s="2">
        <f>HYPERLINK("https://www.soccerplususa.com/adidas/adidas-regista-16-jersey-4149", "https://www.soccerplususa.com/adidas/adidas-regista-16-jersey-4149")</f>
        <v/>
      </c>
      <c r="B3865" t="inlineStr">
        <is>
          <t>undefined</t>
        </is>
      </c>
      <c r="C3865" t="inlineStr">
        <is>
          <t>adidas Regista 16 Jersey</t>
        </is>
      </c>
      <c r="D3865" t="inlineStr">
        <is>
          <t>adidas Mens Regista 16 Soccer Jersey</t>
        </is>
      </c>
      <c r="E3865" s="2">
        <f>HYPERLINK("https://www.amazon.com/adidas-Regista-Soccer-Jersey-Black-White/dp/B018666YJ0/ref=sr_1_2?keywords=adidas+Regista+16+Jersey&amp;qid=1695171233&amp;sr=8-2", "https://www.amazon.com/adidas-Regista-Soccer-Jersey-Black-White/dp/B018666YJ0/ref=sr_1_2?keywords=adidas+Regista+16+Jersey&amp;qid=1695171233&amp;sr=8-2")</f>
        <v/>
      </c>
      <c r="F3865" t="inlineStr">
        <is>
          <t>B018666YJ0</t>
        </is>
      </c>
      <c r="G3865">
        <f>_xludf.IMAGE("https://www.soccerplususa.com/prodimages/32795-DEFAULT-l.jpg")</f>
        <v/>
      </c>
      <c r="H3865">
        <f>_xludf.IMAGE("https://m.media-amazon.com/images/I/71nBc5U8ysL._AC_UL320_.jpg")</f>
        <v/>
      </c>
      <c r="K3865" t="inlineStr">
        <is>
          <t>17.0</t>
        </is>
      </c>
      <c r="L3865" t="n">
        <v>31.42</v>
      </c>
      <c r="M3865" s="1" t="inlineStr">
        <is>
          <t>84.82%</t>
        </is>
      </c>
      <c r="N3865" s="3" t="n">
        <v>84.81999999999999</v>
      </c>
      <c r="O3865" t="n">
        <v>3.5</v>
      </c>
      <c r="P3865" t="n">
        <v>9</v>
      </c>
      <c r="R3865" t="inlineStr">
        <is>
          <t>InStock</t>
        </is>
      </c>
      <c r="S3865" t="inlineStr">
        <is>
          <t>34.95</t>
        </is>
      </c>
      <c r="T3865" t="inlineStr">
        <is>
          <t>AP0535</t>
        </is>
      </c>
    </row>
    <row r="3866" hidden="1" ht="15.75" customHeight="1">
      <c r="A3866" s="2">
        <f>HYPERLINK("https://www.soccerplususa.com/adidas/adidas-tiro-15-training-jacket-youth-7875", "https://www.soccerplususa.com/adidas/adidas-tiro-15-training-jacket-youth-7875")</f>
        <v/>
      </c>
      <c r="B3866" t="inlineStr">
        <is>
          <t>undefined</t>
        </is>
      </c>
      <c r="C3866" t="inlineStr">
        <is>
          <t>adidas Tiro 15 Training Jacket Youth</t>
        </is>
      </c>
      <c r="D3866" t="inlineStr">
        <is>
          <t>adidas mens Youth Tiro 17 Soccer Training Jacket</t>
        </is>
      </c>
      <c r="E3866" s="2">
        <f>HYPERLINK("https://www.amazon.com/Adidas-Soccer-Training-Jacket-Red-Black-White/dp/B01MG8Q0PJ/ref=sr_1_5?keywords=adidas+Tiro+15+Training+Jacket+Youth&amp;qid=1695171217&amp;sr=8-5", "https://www.amazon.com/Adidas-Soccer-Training-Jacket-Red-Black-White/dp/B01MG8Q0PJ/ref=sr_1_5?keywords=adidas+Tiro+15+Training+Jacket+Youth&amp;qid=1695171217&amp;sr=8-5")</f>
        <v/>
      </c>
      <c r="F3866" t="inlineStr">
        <is>
          <t>B01MG8Q0PJ</t>
        </is>
      </c>
      <c r="G3866">
        <f>_xludf.IMAGE("https://www.soccerplususa.com/prodimages/1954-DEFAULT-l.jpg")</f>
        <v/>
      </c>
      <c r="H3866">
        <f>_xludf.IMAGE("https://m.media-amazon.com/images/I/71vhAIEa4+L._AC_UL320_.jpg")</f>
        <v/>
      </c>
      <c r="K3866" t="inlineStr">
        <is>
          <t>30.0</t>
        </is>
      </c>
      <c r="L3866" t="n">
        <v>54.95</v>
      </c>
      <c r="M3866" s="1" t="inlineStr">
        <is>
          <t>83.17%</t>
        </is>
      </c>
      <c r="N3866" s="3" t="n">
        <v>83.17</v>
      </c>
      <c r="O3866" t="n">
        <v>3.6</v>
      </c>
      <c r="P3866" t="n">
        <v>37</v>
      </c>
      <c r="R3866" t="inlineStr">
        <is>
          <t>InStock</t>
        </is>
      </c>
      <c r="S3866" t="inlineStr">
        <is>
          <t>59.95</t>
        </is>
      </c>
      <c r="T3866" t="inlineStr">
        <is>
          <t>S22328</t>
        </is>
      </c>
    </row>
    <row r="3867" hidden="1" ht="15.75" customHeight="1">
      <c r="A3867" s="2">
        <f>HYPERLINK("https://www.soccerplususa.com/adidas/adidas-tiro-15-training-jacket-youth-7110", "https://www.soccerplususa.com/adidas/adidas-tiro-15-training-jacket-youth-7110")</f>
        <v/>
      </c>
      <c r="B3867" t="inlineStr">
        <is>
          <t>undefined</t>
        </is>
      </c>
      <c r="C3867" t="inlineStr">
        <is>
          <t>adidas Tiro 15 Training Jacket Youth</t>
        </is>
      </c>
      <c r="D3867" t="inlineStr">
        <is>
          <t>adidas mens Youth Tiro 17 Soccer Training Jacket</t>
        </is>
      </c>
      <c r="E3867" s="2">
        <f>HYPERLINK("https://www.amazon.com/Adidas-Soccer-Training-Jacket-Red-Black-White/dp/B01MG8Q0PJ/ref=sr_1_2?keywords=adidas+Tiro+15+Training+Jacket+Youth&amp;qid=1695171218&amp;sr=8-2", "https://www.amazon.com/Adidas-Soccer-Training-Jacket-Red-Black-White/dp/B01MG8Q0PJ/ref=sr_1_2?keywords=adidas+Tiro+15+Training+Jacket+Youth&amp;qid=1695171218&amp;sr=8-2")</f>
        <v/>
      </c>
      <c r="F3867" t="inlineStr">
        <is>
          <t>B01MG8Q0PJ</t>
        </is>
      </c>
      <c r="G3867">
        <f>_xludf.IMAGE("https://www.soccerplususa.com/prodimages/2008-DEFAULT-l.jpg")</f>
        <v/>
      </c>
      <c r="H3867">
        <f>_xludf.IMAGE("https://m.media-amazon.com/images/I/71vhAIEa4+L._AC_UL320_.jpg")</f>
        <v/>
      </c>
      <c r="K3867" t="inlineStr">
        <is>
          <t>30.0</t>
        </is>
      </c>
      <c r="L3867" t="n">
        <v>54.95</v>
      </c>
      <c r="M3867" s="1" t="inlineStr">
        <is>
          <t>83.17%</t>
        </is>
      </c>
      <c r="N3867" s="3" t="n">
        <v>83.17</v>
      </c>
      <c r="O3867" t="n">
        <v>3.6</v>
      </c>
      <c r="P3867" t="n">
        <v>37</v>
      </c>
      <c r="R3867" t="inlineStr">
        <is>
          <t>InStock</t>
        </is>
      </c>
      <c r="S3867" t="inlineStr">
        <is>
          <t>59.95</t>
        </is>
      </c>
      <c r="T3867" t="inlineStr">
        <is>
          <t>M64059</t>
        </is>
      </c>
    </row>
    <row r="3868" ht="75" customHeight="1">
      <c r="A3868" s="2">
        <f>HYPERLINK("https://www.soccerplususa.com/puma/puma-liga-training-jacket-35519", "https://www.soccerplususa.com/puma/puma-liga-training-jacket-35519")</f>
        <v/>
      </c>
      <c r="B3868" t="inlineStr">
        <is>
          <t>undefined</t>
        </is>
      </c>
      <c r="C3868" t="inlineStr">
        <is>
          <t>Puma Liga Training Jacket</t>
        </is>
      </c>
      <c r="D3868" t="inlineStr">
        <is>
          <t>PUMA Men's Liga Casuals Padded Jacket</t>
        </is>
      </c>
      <c r="E3868" s="2">
        <f>HYPERLINK("https://www.amazon.com/PUMA-Casuals-Padded-Electric-Lemonade/dp/B07DXXKLZG/ref=sr_1_10?keywords=Puma+Liga+Training+Jacket&amp;qid=1695171164&amp;sr=8-10", "https://www.amazon.com/PUMA-Casuals-Padded-Electric-Lemonade/dp/B07DXXKLZG/ref=sr_1_10?keywords=Puma+Liga+Training+Jacket&amp;qid=1695171164&amp;sr=8-10")</f>
        <v/>
      </c>
      <c r="F3868" t="inlineStr">
        <is>
          <t>B07DXXKLZG</t>
        </is>
      </c>
      <c r="G3868">
        <f>_xlfn.IMAGE("https://www.soccerplususa.com/prodimages/32207-DEFAULT-l.jpg")</f>
        <v/>
      </c>
      <c r="H3868">
        <f>_xlfn.IMAGE("https://m.media-amazon.com/images/I/61s8A+ujqCL._AC_UL320_.jpg")</f>
        <v/>
      </c>
      <c r="K3868" t="inlineStr">
        <is>
          <t>45.0</t>
        </is>
      </c>
      <c r="L3868" t="n">
        <v>81.01000000000001</v>
      </c>
      <c r="M3868" s="1" t="inlineStr">
        <is>
          <t>80.02%</t>
        </is>
      </c>
      <c r="N3868" s="3" t="n">
        <v>80.02</v>
      </c>
      <c r="O3868" t="n">
        <v>4.4</v>
      </c>
      <c r="P3868" t="n">
        <v>109</v>
      </c>
      <c r="R3868" t="inlineStr">
        <is>
          <t>InStock</t>
        </is>
      </c>
      <c r="S3868" t="inlineStr">
        <is>
          <t>59.95</t>
        </is>
      </c>
      <c r="T3868" t="inlineStr">
        <is>
          <t>655687-02</t>
        </is>
      </c>
    </row>
    <row r="3869" hidden="1" ht="15.75" customHeight="1">
      <c r="A3869" s="2">
        <f>HYPERLINK("https://www.soccerplususa.com/adidas/adidas-regista-16-jersey-4147", "https://www.soccerplususa.com/adidas/adidas-regista-16-jersey-4147")</f>
        <v/>
      </c>
      <c r="B3869" t="inlineStr">
        <is>
          <t>undefined</t>
        </is>
      </c>
      <c r="C3869" t="inlineStr">
        <is>
          <t>adidas Regista 16 Jersey</t>
        </is>
      </c>
      <c r="D3869" t="inlineStr">
        <is>
          <t>adidas Mens Regista 16 Soccer Jersey</t>
        </is>
      </c>
      <c r="E3869" s="2">
        <f>HYPERLINK("https://www.amazon.com/adidas-Regista-Soccer-Jersey-Black-White/dp/B018666YJ0/ref=sr_1_2?keywords=adidas+Regista+16+Jersey&amp;qid=1695171233&amp;sr=8-2", "https://www.amazon.com/adidas-Regista-Soccer-Jersey-Black-White/dp/B018666YJ0/ref=sr_1_2?keywords=adidas+Regista+16+Jersey&amp;qid=1695171233&amp;sr=8-2")</f>
        <v/>
      </c>
      <c r="F3869" t="inlineStr">
        <is>
          <t>B018666YJ0</t>
        </is>
      </c>
      <c r="G3869">
        <f>_xludf.IMAGE("https://www.soccerplususa.com/prodimages/7616-DEFAULT-l.jpg")</f>
        <v/>
      </c>
      <c r="H3869">
        <f>_xludf.IMAGE("https://m.media-amazon.com/images/I/71nBc5U8ysL._AC_UL320_.jpg")</f>
        <v/>
      </c>
      <c r="K3869" t="inlineStr">
        <is>
          <t>17.5</t>
        </is>
      </c>
      <c r="L3869" t="n">
        <v>31.42</v>
      </c>
      <c r="M3869" s="1" t="inlineStr">
        <is>
          <t>79.54%</t>
        </is>
      </c>
      <c r="N3869" s="3" t="n">
        <v>79.54000000000001</v>
      </c>
      <c r="O3869" t="n">
        <v>3.5</v>
      </c>
      <c r="P3869" t="n">
        <v>9</v>
      </c>
      <c r="R3869" t="inlineStr">
        <is>
          <t>InStock</t>
        </is>
      </c>
      <c r="S3869" t="inlineStr">
        <is>
          <t>34.95</t>
        </is>
      </c>
      <c r="T3869" t="inlineStr">
        <is>
          <t>AP0529</t>
        </is>
      </c>
    </row>
    <row r="3870" ht="75" customHeight="1">
      <c r="A3870" s="2">
        <f>HYPERLINK("https://www.soccerplususa.com/nike/nike-park-vi-jersey-39538", "https://www.soccerplususa.com/nike/nike-park-vi-jersey-39538")</f>
        <v/>
      </c>
      <c r="B3870" t="inlineStr">
        <is>
          <t>undefined</t>
        </is>
      </c>
      <c r="C3870" t="inlineStr">
        <is>
          <t>Nike Park VI Jersey</t>
        </is>
      </c>
      <c r="D3870" t="inlineStr">
        <is>
          <t>Nike Mens Park VII Soccer Jersey</t>
        </is>
      </c>
      <c r="E3870" s="2">
        <f>HYPERLINK("https://www.amazon.com/Nike-Mens-Park-Jersey-X-Large/dp/B08NY2B7VY/ref=sr_1_9?keywords=Nike+Park+VI+Jersey&amp;qid=1695171168&amp;sr=8-9", "https://www.amazon.com/Nike-Mens-Park-Jersey-X-Large/dp/B08NY2B7VY/ref=sr_1_9?keywords=Nike+Park+VI+Jersey&amp;qid=1695171168&amp;sr=8-9")</f>
        <v/>
      </c>
      <c r="F3870" t="inlineStr">
        <is>
          <t>B08NY2B7VY</t>
        </is>
      </c>
      <c r="G3870">
        <f>_xlfn.IMAGE("https://www.soccerplususa.com/prodimages/32891-DEFAULT-l.jpg")</f>
        <v/>
      </c>
      <c r="H3870">
        <f>_xlfn.IMAGE("https://m.media-amazon.com/images/I/51sxf+1TT+L._AC_UL320_.jpg")</f>
        <v/>
      </c>
      <c r="K3870" t="inlineStr">
        <is>
          <t>14.99</t>
        </is>
      </c>
      <c r="L3870" t="n">
        <v>26.89</v>
      </c>
      <c r="M3870" s="1" t="inlineStr">
        <is>
          <t>79.39%</t>
        </is>
      </c>
      <c r="N3870" s="3" t="n">
        <v>79.39</v>
      </c>
      <c r="O3870" t="n">
        <v>4.4</v>
      </c>
      <c r="P3870" t="n">
        <v>2268</v>
      </c>
      <c r="R3870" t="inlineStr">
        <is>
          <t>InStock</t>
        </is>
      </c>
      <c r="S3870" t="inlineStr">
        <is>
          <t>19.95</t>
        </is>
      </c>
      <c r="T3870" t="inlineStr">
        <is>
          <t>899915-100</t>
        </is>
      </c>
    </row>
    <row r="3871" ht="75" customHeight="1">
      <c r="A3871" s="2">
        <f>HYPERLINK("https://www.soccerplususa.com/adidas/adidas-tabela-18-jersey-youth-5111", "https://www.soccerplususa.com/adidas/adidas-tabela-18-jersey-youth-5111")</f>
        <v/>
      </c>
      <c r="B3871" t="inlineStr">
        <is>
          <t>undefined</t>
        </is>
      </c>
      <c r="C3871" t="inlineStr">
        <is>
          <t>adidas Tabela 18 Jersey Youth</t>
        </is>
      </c>
      <c r="D3871" t="inlineStr">
        <is>
          <t>adidas Performance Boys Youth Tabela 14 Short Sleeve Jersey</t>
        </is>
      </c>
      <c r="E3871" s="2">
        <f>HYPERLINK("https://www.amazon.com/adidas-Performance-Tabela-Jersey-X-Large/dp/B00J2GYF1I/ref=sr_1_4?keywords=adidas+Tabela+18+Jersey+Youth&amp;qid=1695171222&amp;sr=8-4", "https://www.amazon.com/adidas-Performance-Tabela-Jersey-X-Large/dp/B00J2GYF1I/ref=sr_1_4?keywords=adidas+Tabela+18+Jersey+Youth&amp;qid=1695171222&amp;sr=8-4")</f>
        <v/>
      </c>
      <c r="F3871" t="inlineStr">
        <is>
          <t>B00J2GYF1I</t>
        </is>
      </c>
      <c r="G3871">
        <f>_xlfn.IMAGE("https://www.soccerplususa.com/prodimages//31714-YELLOW-M.jpg")</f>
        <v/>
      </c>
      <c r="H3871">
        <f>_xlfn.IMAGE("https://m.media-amazon.com/images/I/91YNKoolA4L._AC_UL320_.jpg")</f>
        <v/>
      </c>
      <c r="K3871" t="inlineStr">
        <is>
          <t>18.99</t>
        </is>
      </c>
      <c r="L3871" t="n">
        <v>34</v>
      </c>
      <c r="M3871" s="1" t="inlineStr">
        <is>
          <t>79.04%</t>
        </is>
      </c>
      <c r="N3871" s="3" t="n">
        <v>79.04000000000001</v>
      </c>
      <c r="O3871" t="n">
        <v>4.5</v>
      </c>
      <c r="P3871" t="n">
        <v>22</v>
      </c>
      <c r="R3871" t="inlineStr">
        <is>
          <t>InStock</t>
        </is>
      </c>
      <c r="S3871" t="inlineStr">
        <is>
          <t>24.95</t>
        </is>
      </c>
      <c r="T3871" t="inlineStr">
        <is>
          <t>CE8921</t>
        </is>
      </c>
    </row>
    <row r="3872" ht="75" customHeight="1">
      <c r="A3872" s="2">
        <f>HYPERLINK("https://www.soccerplususa.com/adidas/adidas-tabela-18-jersey-youth-33803", "https://www.soccerplususa.com/adidas/adidas-tabela-18-jersey-youth-33803")</f>
        <v/>
      </c>
      <c r="B3872" t="inlineStr">
        <is>
          <t>undefined</t>
        </is>
      </c>
      <c r="C3872" t="inlineStr">
        <is>
          <t>adidas Tabela 18 Jersey Youth</t>
        </is>
      </c>
      <c r="D3872" t="inlineStr">
        <is>
          <t>adidas Performance Boys Youth Tabela 14 Short Sleeve Jersey</t>
        </is>
      </c>
      <c r="E3872" s="2">
        <f>HYPERLINK("https://www.amazon.com/adidas-Performance-Tabela-Jersey-X-Large/dp/B00J2GYF1I/ref=sr_1_4?keywords=adidas+Tabela+18+Jersey+Youth&amp;qid=1695171168&amp;sr=8-4", "https://www.amazon.com/adidas-Performance-Tabela-Jersey-X-Large/dp/B00J2GYF1I/ref=sr_1_4?keywords=adidas+Tabela+18+Jersey+Youth&amp;qid=1695171168&amp;sr=8-4")</f>
        <v/>
      </c>
      <c r="F3872" t="inlineStr">
        <is>
          <t>B00J2GYF1I</t>
        </is>
      </c>
      <c r="G3872">
        <f>_xlfn.IMAGE("https://www.soccerplususa.com/prodimages//35354-WHITE-M.jpg")</f>
        <v/>
      </c>
      <c r="H3872">
        <f>_xlfn.IMAGE("https://m.media-amazon.com/images/I/91YNKoolA4L._AC_UL320_.jpg")</f>
        <v/>
      </c>
      <c r="K3872" t="inlineStr">
        <is>
          <t>18.99</t>
        </is>
      </c>
      <c r="L3872" t="n">
        <v>34</v>
      </c>
      <c r="M3872" s="1" t="inlineStr">
        <is>
          <t>79.04%</t>
        </is>
      </c>
      <c r="N3872" s="3" t="n">
        <v>79.04000000000001</v>
      </c>
      <c r="O3872" t="n">
        <v>4.5</v>
      </c>
      <c r="P3872" t="n">
        <v>22</v>
      </c>
      <c r="R3872" t="inlineStr">
        <is>
          <t>InStock</t>
        </is>
      </c>
      <c r="S3872" t="inlineStr">
        <is>
          <t>24.95</t>
        </is>
      </c>
      <c r="T3872" t="inlineStr">
        <is>
          <t>CE8919</t>
        </is>
      </c>
    </row>
    <row r="3873" ht="75" customHeight="1">
      <c r="A3873" s="2">
        <f>HYPERLINK("https://www.soccerplususa.com/adidas/adidas-tabela-18-jersey-youth-5109", "https://www.soccerplususa.com/adidas/adidas-tabela-18-jersey-youth-5109")</f>
        <v/>
      </c>
      <c r="B3873" t="inlineStr">
        <is>
          <t>undefined</t>
        </is>
      </c>
      <c r="C3873" t="inlineStr">
        <is>
          <t>adidas Tabela 18 Jersey Youth</t>
        </is>
      </c>
      <c r="D3873" t="inlineStr">
        <is>
          <t>adidas Performance Boys Youth Tabela 14 Short Sleeve Jersey</t>
        </is>
      </c>
      <c r="E3873" s="2">
        <f>HYPERLINK("https://www.amazon.com/adidas-Performance-Tabela-Jersey-X-Large/dp/B00J2GYF1I/ref=sr_1_6?keywords=adidas+Tabela+18+Jersey+Youth&amp;qid=1695171237&amp;sr=8-6", "https://www.amazon.com/adidas-Performance-Tabela-Jersey-X-Large/dp/B00J2GYF1I/ref=sr_1_6?keywords=adidas+Tabela+18+Jersey+Youth&amp;qid=1695171237&amp;sr=8-6")</f>
        <v/>
      </c>
      <c r="F3873" t="inlineStr">
        <is>
          <t>B00J2GYF1I</t>
        </is>
      </c>
      <c r="G3873">
        <f>_xlfn.IMAGE("https://www.soccerplususa.com/prodimages//31738-BLACK-M.jpg")</f>
        <v/>
      </c>
      <c r="H3873">
        <f>_xlfn.IMAGE("https://m.media-amazon.com/images/I/91YNKoolA4L._AC_UL320_.jpg")</f>
        <v/>
      </c>
      <c r="K3873" t="inlineStr">
        <is>
          <t>18.99</t>
        </is>
      </c>
      <c r="L3873" t="n">
        <v>34</v>
      </c>
      <c r="M3873" s="1" t="inlineStr">
        <is>
          <t>79.04%</t>
        </is>
      </c>
      <c r="N3873" s="3" t="n">
        <v>79.04000000000001</v>
      </c>
      <c r="O3873" t="n">
        <v>4.5</v>
      </c>
      <c r="P3873" t="n">
        <v>22</v>
      </c>
      <c r="R3873" t="inlineStr">
        <is>
          <t>InStock</t>
        </is>
      </c>
      <c r="S3873" t="inlineStr">
        <is>
          <t>24.95</t>
        </is>
      </c>
      <c r="T3873" t="inlineStr">
        <is>
          <t>CE8918</t>
        </is>
      </c>
    </row>
    <row r="3874" ht="75" customHeight="1">
      <c r="A3874" s="2">
        <f>HYPERLINK("https://www.soccerplususa.com/adidas/adidas-tabela-18-jersey-youth-33801", "https://www.soccerplususa.com/adidas/adidas-tabela-18-jersey-youth-33801")</f>
        <v/>
      </c>
      <c r="B3874" t="inlineStr">
        <is>
          <t>undefined</t>
        </is>
      </c>
      <c r="C3874" t="inlineStr">
        <is>
          <t>adidas Tabela 18 Jersey Youth</t>
        </is>
      </c>
      <c r="D3874" t="inlineStr">
        <is>
          <t>adidas Performance Boys Youth Tabela 14 Short Sleeve Jersey</t>
        </is>
      </c>
      <c r="E3874" s="2">
        <f>HYPERLINK("https://www.amazon.com/adidas-Performance-Tabela-Jersey-X-Large/dp/B00J2GYF1I/ref=sr_1_4?keywords=adidas+Tabela+18+Jersey+Youth&amp;qid=1695171174&amp;sr=8-4", "https://www.amazon.com/adidas-Performance-Tabela-Jersey-X-Large/dp/B00J2GYF1I/ref=sr_1_4?keywords=adidas+Tabela+18+Jersey+Youth&amp;qid=1695171174&amp;sr=8-4")</f>
        <v/>
      </c>
      <c r="F3874" t="inlineStr">
        <is>
          <t>B00J2GYF1I</t>
        </is>
      </c>
      <c r="G3874">
        <f>_xlfn.IMAGE("https://www.soccerplususa.com/prodimages//35352-REDWHITE-M.jpg")</f>
        <v/>
      </c>
      <c r="H3874">
        <f>_xlfn.IMAGE("https://m.media-amazon.com/images/I/91YNKoolA4L._AC_UL320_.jpg")</f>
        <v/>
      </c>
      <c r="K3874" t="inlineStr">
        <is>
          <t>18.99</t>
        </is>
      </c>
      <c r="L3874" t="n">
        <v>34</v>
      </c>
      <c r="M3874" s="1" t="inlineStr">
        <is>
          <t>79.04%</t>
        </is>
      </c>
      <c r="N3874" s="3" t="n">
        <v>79.04000000000001</v>
      </c>
      <c r="O3874" t="n">
        <v>4.5</v>
      </c>
      <c r="P3874" t="n">
        <v>22</v>
      </c>
      <c r="R3874" t="inlineStr">
        <is>
          <t>InStock</t>
        </is>
      </c>
      <c r="S3874" t="inlineStr">
        <is>
          <t>24.95</t>
        </is>
      </c>
      <c r="T3874" t="inlineStr">
        <is>
          <t>CE8914</t>
        </is>
      </c>
    </row>
    <row r="3875" ht="75" customHeight="1">
      <c r="A3875" s="2">
        <f>HYPERLINK("https://www.soccerplususa.com/adidas/adidas-tabela-18-jersey-youth-5110", "https://www.soccerplususa.com/adidas/adidas-tabela-18-jersey-youth-5110")</f>
        <v/>
      </c>
      <c r="B3875" t="inlineStr">
        <is>
          <t>undefined</t>
        </is>
      </c>
      <c r="C3875" t="inlineStr">
        <is>
          <t>adidas Tabela 18 Jersey Youth</t>
        </is>
      </c>
      <c r="D3875" t="inlineStr">
        <is>
          <t>adidas Performance Boys Youth Tabela 14 Short Sleeve Jersey</t>
        </is>
      </c>
      <c r="E3875" s="2">
        <f>HYPERLINK("https://www.amazon.com/adidas-Performance-Tabela-Jersey-X-Large/dp/B00J2GYF1I/ref=sr_1_6?keywords=adidas+Tabela+18+Jersey+Youth&amp;qid=1695171223&amp;sr=8-6", "https://www.amazon.com/adidas-Performance-Tabela-Jersey-X-Large/dp/B00J2GYF1I/ref=sr_1_6?keywords=adidas+Tabela+18+Jersey+Youth&amp;qid=1695171223&amp;sr=8-6")</f>
        <v/>
      </c>
      <c r="F3875" t="inlineStr">
        <is>
          <t>B00J2GYF1I</t>
        </is>
      </c>
      <c r="G3875">
        <f>_xlfn.IMAGE("https://www.soccerplususa.com/prodimages//31722-GRAY-M.jpg")</f>
        <v/>
      </c>
      <c r="H3875">
        <f>_xlfn.IMAGE("https://m.media-amazon.com/images/I/91YNKoolA4L._AC_UL320_.jpg")</f>
        <v/>
      </c>
      <c r="K3875" t="inlineStr">
        <is>
          <t>18.99</t>
        </is>
      </c>
      <c r="L3875" t="n">
        <v>34</v>
      </c>
      <c r="M3875" s="1" t="inlineStr">
        <is>
          <t>79.04%</t>
        </is>
      </c>
      <c r="N3875" s="3" t="n">
        <v>79.04000000000001</v>
      </c>
      <c r="O3875" t="n">
        <v>4.5</v>
      </c>
      <c r="P3875" t="n">
        <v>22</v>
      </c>
      <c r="R3875" t="inlineStr">
        <is>
          <t>InStock</t>
        </is>
      </c>
      <c r="S3875" t="inlineStr">
        <is>
          <t>24.95</t>
        </is>
      </c>
      <c r="T3875" t="inlineStr">
        <is>
          <t>CE8920</t>
        </is>
      </c>
    </row>
    <row r="3876" ht="75" customHeight="1">
      <c r="A3876" s="2">
        <f>HYPERLINK("https://www.soccerplususa.com/nike/nike-epic-training-jacket-youth-24431", "https://www.soccerplususa.com/nike/nike-epic-training-jacket-youth-24431")</f>
        <v/>
      </c>
      <c r="B3876" t="inlineStr">
        <is>
          <t>undefined</t>
        </is>
      </c>
      <c r="C3876" t="inlineStr">
        <is>
          <t>Nike Epic Training Jacket Youth</t>
        </is>
      </c>
      <c r="D3876" t="inlineStr">
        <is>
          <t>Nike Dri-FIT Epic Men's Full-Zip Knit Training Jacket</t>
        </is>
      </c>
      <c r="E3876" s="2">
        <f>HYPERLINK("https://www.amazon.com/Nike-Dri-FIT-Full-Zip-Training-Jacket/dp/B0B7CRZWK9/ref=sr_1_7?keywords=Nike+Epic+Training+Jacket+Youth&amp;qid=1695171179&amp;sr=8-7", "https://www.amazon.com/Nike-Dri-FIT-Full-Zip-Training-Jacket/dp/B0B7CRZWK9/ref=sr_1_7?keywords=Nike+Epic+Training+Jacket+Youth&amp;qid=1695171179&amp;sr=8-7")</f>
        <v/>
      </c>
      <c r="F3876" t="inlineStr">
        <is>
          <t>B0B7CRZWK9</t>
        </is>
      </c>
      <c r="G3876">
        <f>_xlfn.IMAGE("https://www.soccerplususa.com/prodimages/6288-DEFAULT-l.jpg")</f>
        <v/>
      </c>
      <c r="H3876">
        <f>_xlfn.IMAGE("https://m.media-amazon.com/images/I/51VlXS8UzhL._AC_UL320_.jpg")</f>
        <v/>
      </c>
      <c r="K3876" t="inlineStr">
        <is>
          <t>36.99</t>
        </is>
      </c>
      <c r="L3876" t="n">
        <v>66</v>
      </c>
      <c r="M3876" s="1" t="inlineStr">
        <is>
          <t>78.43%</t>
        </is>
      </c>
      <c r="N3876" s="3" t="n">
        <v>78.43000000000001</v>
      </c>
      <c r="O3876" t="n">
        <v>4.8</v>
      </c>
      <c r="P3876" t="n">
        <v>17</v>
      </c>
      <c r="R3876" t="inlineStr">
        <is>
          <t>InStock</t>
        </is>
      </c>
      <c r="S3876" t="inlineStr">
        <is>
          <t>49.95</t>
        </is>
      </c>
      <c r="T3876" t="inlineStr">
        <is>
          <t>836306-494</t>
        </is>
      </c>
    </row>
    <row r="3877" ht="75" customHeight="1">
      <c r="A3877" s="2">
        <f>HYPERLINK("https://www.soccerplususa.com/adidas/adidas-tiro-17-jersey-4871", "https://www.soccerplususa.com/adidas/adidas-tiro-17-jersey-4871")</f>
        <v/>
      </c>
      <c r="B3877" t="inlineStr">
        <is>
          <t>undefined</t>
        </is>
      </c>
      <c r="C3877" t="inlineStr">
        <is>
          <t>adidas Tiro 17 Jersey</t>
        </is>
      </c>
      <c r="D3877" t="inlineStr">
        <is>
          <t>adidas Men's Tiro 23 Jersey</t>
        </is>
      </c>
      <c r="E3877" s="2">
        <f>HYPERLINK("https://www.amazon.com/adidas-Jersey-Shirt-Black-X-Small/dp/B09YG5GTJB/ref=sr_1_2?keywords=adidas+Tiro+17+Jersey&amp;qid=1695171224&amp;sr=8-2", "https://www.amazon.com/adidas-Jersey-Shirt-Black-X-Small/dp/B09YG5GTJB/ref=sr_1_2?keywords=adidas+Tiro+17+Jersey&amp;qid=1695171224&amp;sr=8-2")</f>
        <v/>
      </c>
      <c r="F3877" t="inlineStr">
        <is>
          <t>B09YG5GTJB</t>
        </is>
      </c>
      <c r="G3877">
        <f>_xlfn.IMAGE("https://www.soccerplususa.com/prodimages/31717-DEFAULT-l.jpg")</f>
        <v/>
      </c>
      <c r="H3877">
        <f>_xlfn.IMAGE("https://m.media-amazon.com/images/I/410bSxr-tiL._AC_UL320_.jpg")</f>
        <v/>
      </c>
      <c r="K3877" t="inlineStr">
        <is>
          <t>20.0</t>
        </is>
      </c>
      <c r="L3877" t="n">
        <v>35</v>
      </c>
      <c r="M3877" s="1" t="inlineStr">
        <is>
          <t>75.00%</t>
        </is>
      </c>
      <c r="N3877" s="3" t="n">
        <v>75</v>
      </c>
      <c r="O3877" t="n">
        <v>4.6</v>
      </c>
      <c r="P3877" t="n">
        <v>46</v>
      </c>
      <c r="R3877" t="inlineStr">
        <is>
          <t>InStock</t>
        </is>
      </c>
      <c r="S3877" t="inlineStr">
        <is>
          <t>39.95</t>
        </is>
      </c>
      <c r="T3877" t="inlineStr">
        <is>
          <t>BK5439</t>
        </is>
      </c>
    </row>
    <row r="3878" ht="75" customHeight="1">
      <c r="A3878" s="2">
        <f>HYPERLINK("https://www.soccerplususa.com/adidas/adidas-tiro-13-jersey-8642", "https://www.soccerplususa.com/adidas/adidas-tiro-13-jersey-8642")</f>
        <v/>
      </c>
      <c r="B3878" t="inlineStr">
        <is>
          <t>undefined</t>
        </is>
      </c>
      <c r="C3878" t="inlineStr">
        <is>
          <t>adidas Tiro 13 Jersey</t>
        </is>
      </c>
      <c r="D3878" t="inlineStr">
        <is>
          <t>adidas Men's Tiro 13 Training Jacket</t>
        </is>
      </c>
      <c r="E3878" s="2">
        <f>HYPERLINK("https://www.amazon.com/adidas-Training-Jacket-White-Medium/dp/B00CEFSM0Y/ref=sr_1_1?keywords=adidas+Tiro+13+Jersey&amp;qid=1695171197&amp;sr=8-1", "https://www.amazon.com/adidas-Training-Jacket-White-Medium/dp/B00CEFSM0Y/ref=sr_1_1?keywords=adidas+Tiro+13+Jersey&amp;qid=1695171197&amp;sr=8-1")</f>
        <v/>
      </c>
      <c r="F3878" t="inlineStr">
        <is>
          <t>B00CEFSM0Y</t>
        </is>
      </c>
      <c r="G3878">
        <f>_xlfn.IMAGE("https://www.soccerplususa.com/prodimages/3217-DEFAULT-l.jpg")</f>
        <v/>
      </c>
      <c r="H3878">
        <f>_xlfn.IMAGE("https://m.media-amazon.com/images/I/71n8r8VqWZL._AC_UL320_.jpg")</f>
        <v/>
      </c>
      <c r="K3878" t="inlineStr">
        <is>
          <t>20.0</t>
        </is>
      </c>
      <c r="L3878" t="n">
        <v>35</v>
      </c>
      <c r="M3878" s="1" t="inlineStr">
        <is>
          <t>75.00%</t>
        </is>
      </c>
      <c r="N3878" s="3" t="n">
        <v>75</v>
      </c>
      <c r="O3878" t="n">
        <v>4.5</v>
      </c>
      <c r="P3878" t="n">
        <v>15</v>
      </c>
      <c r="R3878" t="inlineStr">
        <is>
          <t>InStock</t>
        </is>
      </c>
      <c r="S3878" t="inlineStr">
        <is>
          <t>39.95</t>
        </is>
      </c>
      <c r="T3878" t="inlineStr">
        <is>
          <t>W53887</t>
        </is>
      </c>
    </row>
    <row r="3879" ht="75" customHeight="1">
      <c r="A3879" s="2">
        <f>HYPERLINK("https://www.soccerplususa.com/adidas/adidas-tiro-13-jersey-9163", "https://www.soccerplususa.com/adidas/adidas-tiro-13-jersey-9163")</f>
        <v/>
      </c>
      <c r="B3879" t="inlineStr">
        <is>
          <t>undefined</t>
        </is>
      </c>
      <c r="C3879" t="inlineStr">
        <is>
          <t>adidas Tiro 13 Jersey</t>
        </is>
      </c>
      <c r="D3879" t="inlineStr">
        <is>
          <t>adidas Men's Tiro 13 Training Jacket</t>
        </is>
      </c>
      <c r="E3879" s="2">
        <f>HYPERLINK("https://www.amazon.com/adidas-Training-Jacket-White-Medium/dp/B00CEFSM0Y/ref=sr_1_1?keywords=adidas+Tiro+13+Jersey&amp;qid=1695171187&amp;sr=8-1", "https://www.amazon.com/adidas-Training-Jacket-White-Medium/dp/B00CEFSM0Y/ref=sr_1_1?keywords=adidas+Tiro+13+Jersey&amp;qid=1695171187&amp;sr=8-1")</f>
        <v/>
      </c>
      <c r="F3879" t="inlineStr">
        <is>
          <t>B00CEFSM0Y</t>
        </is>
      </c>
      <c r="G3879">
        <f>_xlfn.IMAGE("https://www.soccerplususa.com/prodimages/3224-DEFAULT-l.jpg")</f>
        <v/>
      </c>
      <c r="H3879">
        <f>_xlfn.IMAGE("https://m.media-amazon.com/images/I/71n8r8VqWZL._AC_UL320_.jpg")</f>
        <v/>
      </c>
      <c r="K3879" t="inlineStr">
        <is>
          <t>20.0</t>
        </is>
      </c>
      <c r="L3879" t="n">
        <v>35</v>
      </c>
      <c r="M3879" s="1" t="inlineStr">
        <is>
          <t>75.00%</t>
        </is>
      </c>
      <c r="N3879" s="3" t="n">
        <v>75</v>
      </c>
      <c r="O3879" t="n">
        <v>4.5</v>
      </c>
      <c r="P3879" t="n">
        <v>15</v>
      </c>
      <c r="R3879" t="inlineStr">
        <is>
          <t>InStock</t>
        </is>
      </c>
      <c r="S3879" t="inlineStr">
        <is>
          <t>39.95</t>
        </is>
      </c>
      <c r="T3879" t="inlineStr">
        <is>
          <t>Z69160</t>
        </is>
      </c>
    </row>
    <row r="3880" ht="75" customHeight="1">
      <c r="A3880" s="2">
        <f>HYPERLINK("https://www.soccerplususa.com/adidas/adidas-tiro-13-jersey-8992", "https://www.soccerplususa.com/adidas/adidas-tiro-13-jersey-8992")</f>
        <v/>
      </c>
      <c r="B3880" t="inlineStr">
        <is>
          <t>undefined</t>
        </is>
      </c>
      <c r="C3880" t="inlineStr">
        <is>
          <t>adidas Tiro 13 Jersey</t>
        </is>
      </c>
      <c r="D3880" t="inlineStr">
        <is>
          <t>adidas Men's Tiro 13 Training Jacket</t>
        </is>
      </c>
      <c r="E3880" s="2">
        <f>HYPERLINK("https://www.amazon.com/adidas-Training-Jacket-White-Medium/dp/B00CEFSM0Y/ref=sr_1_1?keywords=adidas+Tiro+13+Jersey&amp;qid=1695171210&amp;sr=8-1", "https://www.amazon.com/adidas-Training-Jacket-White-Medium/dp/B00CEFSM0Y/ref=sr_1_1?keywords=adidas+Tiro+13+Jersey&amp;qid=1695171210&amp;sr=8-1")</f>
        <v/>
      </c>
      <c r="F3880" t="inlineStr">
        <is>
          <t>B00CEFSM0Y</t>
        </is>
      </c>
      <c r="G3880">
        <f>_xlfn.IMAGE("https://www.soccerplususa.com/prodimages/10768-DEFAULT-l.jpg")</f>
        <v/>
      </c>
      <c r="H3880">
        <f>_xlfn.IMAGE("https://m.media-amazon.com/images/I/71n8r8VqWZL._AC_UL320_.jpg")</f>
        <v/>
      </c>
      <c r="K3880" t="inlineStr">
        <is>
          <t>20.0</t>
        </is>
      </c>
      <c r="L3880" t="n">
        <v>35</v>
      </c>
      <c r="M3880" s="1" t="inlineStr">
        <is>
          <t>75.00%</t>
        </is>
      </c>
      <c r="N3880" s="3" t="n">
        <v>75</v>
      </c>
      <c r="O3880" t="n">
        <v>4.5</v>
      </c>
      <c r="P3880" t="n">
        <v>15</v>
      </c>
      <c r="R3880" t="inlineStr">
        <is>
          <t>InStock</t>
        </is>
      </c>
      <c r="S3880" t="inlineStr">
        <is>
          <t>39.95</t>
        </is>
      </c>
      <c r="T3880" t="inlineStr">
        <is>
          <t>Z20252</t>
        </is>
      </c>
    </row>
    <row r="3881" ht="75" customHeight="1">
      <c r="A3881" s="2">
        <f>HYPERLINK("https://www.soccerplususa.com/adidas/adidas-tiro-17-jersey-womens-35760", "https://www.soccerplususa.com/adidas/adidas-tiro-17-jersey-womens-35760")</f>
        <v/>
      </c>
      <c r="B3881" t="inlineStr">
        <is>
          <t>undefined</t>
        </is>
      </c>
      <c r="C3881" t="inlineStr">
        <is>
          <t>adidas Tiro 17 Jersey Women's</t>
        </is>
      </c>
      <c r="D3881" t="inlineStr">
        <is>
          <t>adidas Tiro 19 Jersey- Women's Soccer M Dark Grey/White</t>
        </is>
      </c>
      <c r="E3881" s="2">
        <f>HYPERLINK("https://www.amazon.com/adidas-Jersey-Womens-Soccer-White/dp/B07H3VS5D7/ref=sr_1_9?keywords=adidas+Tiro+17+Jersey+Womens&amp;qid=1695171224&amp;sr=8-9", "https://www.amazon.com/adidas-Jersey-Womens-Soccer-White/dp/B07H3VS5D7/ref=sr_1_9?keywords=adidas+Tiro+17+Jersey+Womens&amp;qid=1695171224&amp;sr=8-9")</f>
        <v/>
      </c>
      <c r="F3881" t="inlineStr">
        <is>
          <t>B07H3VS5D7</t>
        </is>
      </c>
      <c r="G3881">
        <f>_xlfn.IMAGE("https://www.soccerplususa.com/prodimages/9819-DEFAULT-l.jpg")</f>
        <v/>
      </c>
      <c r="H3881">
        <f>_xlfn.IMAGE("https://m.media-amazon.com/images/I/61ASNTLz-dL._AC_UL320_.jpg")</f>
        <v/>
      </c>
      <c r="K3881" t="inlineStr">
        <is>
          <t>20.0</t>
        </is>
      </c>
      <c r="L3881" t="n">
        <v>34.98</v>
      </c>
      <c r="M3881" s="1" t="inlineStr">
        <is>
          <t>74.90%</t>
        </is>
      </c>
      <c r="N3881" s="3" t="n">
        <v>74.90000000000001</v>
      </c>
      <c r="O3881" t="n">
        <v>5</v>
      </c>
      <c r="P3881" t="n">
        <v>3</v>
      </c>
      <c r="R3881" t="inlineStr">
        <is>
          <t>InStock</t>
        </is>
      </c>
      <c r="S3881" t="inlineStr">
        <is>
          <t>39.95</t>
        </is>
      </c>
      <c r="T3881" t="inlineStr">
        <is>
          <t>BJ9096</t>
        </is>
      </c>
    </row>
    <row r="3882" ht="75" customHeight="1">
      <c r="A3882" s="2">
        <f>HYPERLINK("https://www.soccerplususa.com/adidas/adidas-tiro-15-jersey-womens-7896", "https://www.soccerplususa.com/adidas/adidas-tiro-15-jersey-womens-7896")</f>
        <v/>
      </c>
      <c r="B3882" t="inlineStr">
        <is>
          <t>undefined</t>
        </is>
      </c>
      <c r="C3882" t="inlineStr">
        <is>
          <t>adidas Tiro 15 Jersey Women's</t>
        </is>
      </c>
      <c r="D3882" t="inlineStr">
        <is>
          <t>adidas Tiro 19 Jersey- Women's Soccer M Dark Grey/White</t>
        </is>
      </c>
      <c r="E3882" s="2">
        <f>HYPERLINK("https://www.amazon.com/adidas-Jersey-Womens-Soccer-White/dp/B07H3VS5D7/ref=sr_1_2?keywords=adidas+Tiro+15+Jersey+Womens&amp;qid=1695171238&amp;sr=8-2", "https://www.amazon.com/adidas-Jersey-Womens-Soccer-White/dp/B07H3VS5D7/ref=sr_1_2?keywords=adidas+Tiro+15+Jersey+Womens&amp;qid=1695171238&amp;sr=8-2")</f>
        <v/>
      </c>
      <c r="F3882" t="inlineStr">
        <is>
          <t>B07H3VS5D7</t>
        </is>
      </c>
      <c r="G3882">
        <f>_xlfn.IMAGE("https://www.soccerplususa.com/prodimages/10575-DEFAULT-l.jpg")</f>
        <v/>
      </c>
      <c r="H3882">
        <f>_xlfn.IMAGE("https://m.media-amazon.com/images/I/61ASNTLz-dL._AC_UL320_.jpg")</f>
        <v/>
      </c>
      <c r="K3882" t="inlineStr">
        <is>
          <t>20.0</t>
        </is>
      </c>
      <c r="L3882" t="n">
        <v>34.98</v>
      </c>
      <c r="M3882" s="1" t="inlineStr">
        <is>
          <t>74.90%</t>
        </is>
      </c>
      <c r="N3882" s="3" t="n">
        <v>74.90000000000001</v>
      </c>
      <c r="O3882" t="n">
        <v>5</v>
      </c>
      <c r="P3882" t="n">
        <v>3</v>
      </c>
      <c r="R3882" t="inlineStr">
        <is>
          <t>InStock</t>
        </is>
      </c>
      <c r="S3882" t="inlineStr">
        <is>
          <t>39.95</t>
        </is>
      </c>
      <c r="T3882" t="inlineStr">
        <is>
          <t>S22413</t>
        </is>
      </c>
    </row>
    <row r="3883" ht="75" customHeight="1">
      <c r="A3883" s="2">
        <f>HYPERLINK("https://www.soccerplususa.com/adidas/adidas-tiro-15-jersey-7887", "https://www.soccerplususa.com/adidas/adidas-tiro-15-jersey-7887")</f>
        <v/>
      </c>
      <c r="B3883" t="inlineStr">
        <is>
          <t>undefined</t>
        </is>
      </c>
      <c r="C3883" t="inlineStr">
        <is>
          <t>adidas Tiro 15 Jersey</t>
        </is>
      </c>
      <c r="D3883" t="inlineStr">
        <is>
          <t>adidas Performance Youth Tiro 15 Three-Quarter Pant</t>
        </is>
      </c>
      <c r="E3883" s="2">
        <f>HYPERLINK("https://www.amazon.com/adidas-Performance-Three-Quarter-Small-Black/dp/B00LU8JMU0/ref=sr_1_4?keywords=adidas+Tiro+15+Jersey&amp;qid=1695171209&amp;sr=8-4", "https://www.amazon.com/adidas-Performance-Three-Quarter-Small-Black/dp/B00LU8JMU0/ref=sr_1_4?keywords=adidas+Tiro+15+Jersey&amp;qid=1695171209&amp;sr=8-4")</f>
        <v/>
      </c>
      <c r="F3883" t="inlineStr">
        <is>
          <t>B00LU8JMU0</t>
        </is>
      </c>
      <c r="G3883">
        <f>_xlfn.IMAGE("https://www.soccerplususa.com/prodimages/6309-DEFAULT-l.jpg")</f>
        <v/>
      </c>
      <c r="H3883">
        <f>_xlfn.IMAGE("https://m.media-amazon.com/images/I/81GyYh0GiZL._AC_UL320_.jpg")</f>
        <v/>
      </c>
      <c r="K3883" t="inlineStr">
        <is>
          <t>20.0</t>
        </is>
      </c>
      <c r="L3883" t="n">
        <v>34.95</v>
      </c>
      <c r="M3883" s="1" t="inlineStr">
        <is>
          <t>74.75%</t>
        </is>
      </c>
      <c r="N3883" s="3" t="n">
        <v>74.75</v>
      </c>
      <c r="O3883" t="n">
        <v>3.8</v>
      </c>
      <c r="P3883" t="n">
        <v>15</v>
      </c>
      <c r="R3883" t="inlineStr">
        <is>
          <t>InStock</t>
        </is>
      </c>
      <c r="S3883" t="inlineStr">
        <is>
          <t>40.0</t>
        </is>
      </c>
      <c r="T3883" t="inlineStr">
        <is>
          <t>S22362</t>
        </is>
      </c>
    </row>
    <row r="3884" ht="75" customHeight="1">
      <c r="A3884" s="2">
        <f>HYPERLINK("https://www.soccerplususa.com/adidas/adidas-tiro-15-jersey-7888", "https://www.soccerplususa.com/adidas/adidas-tiro-15-jersey-7888")</f>
        <v/>
      </c>
      <c r="B3884" t="inlineStr">
        <is>
          <t>undefined</t>
        </is>
      </c>
      <c r="C3884" t="inlineStr">
        <is>
          <t>adidas Tiro 15 Jersey</t>
        </is>
      </c>
      <c r="D3884" t="inlineStr">
        <is>
          <t>adidas Performance Youth Tiro 15 Three-Quarter Pant</t>
        </is>
      </c>
      <c r="E3884" s="2">
        <f>HYPERLINK("https://www.amazon.com/adidas-Performance-Three-Quarter-Small-Black/dp/B00LU8JMU0/ref=sr_1_4?keywords=adidas+Tiro+15+Jersey&amp;qid=1695171213&amp;sr=8-4", "https://www.amazon.com/adidas-Performance-Three-Quarter-Small-Black/dp/B00LU8JMU0/ref=sr_1_4?keywords=adidas+Tiro+15+Jersey&amp;qid=1695171213&amp;sr=8-4")</f>
        <v/>
      </c>
      <c r="F3884" t="inlineStr">
        <is>
          <t>B00LU8JMU0</t>
        </is>
      </c>
      <c r="G3884">
        <f>_xlfn.IMAGE("https://www.soccerplususa.com/prodimages/5430-DEFAULT-l.jpg")</f>
        <v/>
      </c>
      <c r="H3884">
        <f>_xlfn.IMAGE("https://m.media-amazon.com/images/I/81GyYh0GiZL._AC_UL320_.jpg")</f>
        <v/>
      </c>
      <c r="K3884" t="inlineStr">
        <is>
          <t>20.0</t>
        </is>
      </c>
      <c r="L3884" t="n">
        <v>34.95</v>
      </c>
      <c r="M3884" s="1" t="inlineStr">
        <is>
          <t>74.75%</t>
        </is>
      </c>
      <c r="N3884" s="3" t="n">
        <v>74.75</v>
      </c>
      <c r="O3884" t="n">
        <v>3.8</v>
      </c>
      <c r="P3884" t="n">
        <v>15</v>
      </c>
      <c r="R3884" t="inlineStr">
        <is>
          <t>InStock</t>
        </is>
      </c>
      <c r="S3884" t="inlineStr">
        <is>
          <t>39.95</t>
        </is>
      </c>
      <c r="T3884" t="inlineStr">
        <is>
          <t>S22363</t>
        </is>
      </c>
    </row>
    <row r="3885" ht="75" customHeight="1">
      <c r="A3885" s="2">
        <f>HYPERLINK("https://www.soccerplususa.com/nike/nike-challenge-jersey-22799", "https://www.soccerplususa.com/nike/nike-challenge-jersey-22799")</f>
        <v/>
      </c>
      <c r="B3885" t="inlineStr">
        <is>
          <t>undefined</t>
        </is>
      </c>
      <c r="C3885" t="inlineStr">
        <is>
          <t>Nike Challenge Jersey</t>
        </is>
      </c>
      <c r="D3885" t="inlineStr">
        <is>
          <t>Nike Challenge Youth Soccer Training Jersey</t>
        </is>
      </c>
      <c r="E3885" s="2">
        <f>HYPERLINK("https://www.amazon.com/Challenge-Short-Sleeve-Jersey-BLACK-FOOTBALL/dp/B00SLRI14Q/ref=sr_1_5?keywords=Nike+Challenge+Jersey&amp;qid=1695171185&amp;sr=8-5", "https://www.amazon.com/Challenge-Short-Sleeve-Jersey-BLACK-FOOTBALL/dp/B00SLRI14Q/ref=sr_1_5?keywords=Nike+Challenge+Jersey&amp;qid=1695171185&amp;sr=8-5")</f>
        <v/>
      </c>
      <c r="F3885" t="inlineStr">
        <is>
          <t>B00SLRI14Q</t>
        </is>
      </c>
      <c r="G3885">
        <f>_xlfn.IMAGE("https://www.soccerplususa.com/prodimages/7620-DEFAULT-l.jpg")</f>
        <v/>
      </c>
      <c r="H3885">
        <f>_xlfn.IMAGE("https://m.media-amazon.com/images/I/51kFfarZ0HL._AC_UL320_.jpg")</f>
        <v/>
      </c>
      <c r="K3885" t="inlineStr">
        <is>
          <t>17.5</t>
        </is>
      </c>
      <c r="L3885" t="n">
        <v>29.99</v>
      </c>
      <c r="M3885" s="1" t="inlineStr">
        <is>
          <t>71.37%</t>
        </is>
      </c>
      <c r="N3885" s="3" t="n">
        <v>71.37</v>
      </c>
      <c r="O3885" t="n">
        <v>5</v>
      </c>
      <c r="P3885" t="n">
        <v>3</v>
      </c>
      <c r="R3885" t="inlineStr">
        <is>
          <t>InStock</t>
        </is>
      </c>
      <c r="S3885" t="inlineStr">
        <is>
          <t>34.95</t>
        </is>
      </c>
      <c r="T3885" t="inlineStr">
        <is>
          <t>645500-493</t>
        </is>
      </c>
    </row>
    <row r="3886" ht="75" customHeight="1">
      <c r="A3886" s="2">
        <f>HYPERLINK("https://www.soccerplususa.com/nike/nike-challenge-jersey-22799", "https://www.soccerplususa.com/nike/nike-challenge-jersey-22799")</f>
        <v/>
      </c>
      <c r="B3886" t="inlineStr">
        <is>
          <t>undefined</t>
        </is>
      </c>
      <c r="C3886" t="inlineStr">
        <is>
          <t>Nike Challenge Jersey</t>
        </is>
      </c>
      <c r="D3886" t="inlineStr">
        <is>
          <t>Nike Challenge II Soccer Jersey White Womens</t>
        </is>
      </c>
      <c r="E3886" s="2">
        <f>HYPERLINK("https://www.amazon.com/Nike-Challenge-Soccer-Jersey-Womens/dp/B087WNLLV9/ref=sr_1_1?keywords=Nike+Challenge+Jersey&amp;qid=1695171185&amp;sr=8-1", "https://www.amazon.com/Nike-Challenge-Soccer-Jersey-Womens/dp/B087WNLLV9/ref=sr_1_1?keywords=Nike+Challenge+Jersey&amp;qid=1695171185&amp;sr=8-1")</f>
        <v/>
      </c>
      <c r="F3886" t="inlineStr">
        <is>
          <t>B087WNLLV9</t>
        </is>
      </c>
      <c r="G3886">
        <f>_xlfn.IMAGE("https://www.soccerplususa.com/prodimages/7620-DEFAULT-l.jpg")</f>
        <v/>
      </c>
      <c r="H3886">
        <f>_xlfn.IMAGE("https://m.media-amazon.com/images/I/517wx+xrFML._AC_UL320_.jpg")</f>
        <v/>
      </c>
      <c r="K3886" t="inlineStr">
        <is>
          <t>17.5</t>
        </is>
      </c>
      <c r="L3886" t="n">
        <v>29.99</v>
      </c>
      <c r="M3886" s="1" t="inlineStr">
        <is>
          <t>71.37%</t>
        </is>
      </c>
      <c r="N3886" s="3" t="n">
        <v>71.37</v>
      </c>
      <c r="O3886" t="n">
        <v>4.7</v>
      </c>
      <c r="P3886" t="n">
        <v>20</v>
      </c>
      <c r="R3886" t="inlineStr">
        <is>
          <t>InStock</t>
        </is>
      </c>
      <c r="S3886" t="inlineStr">
        <is>
          <t>34.95</t>
        </is>
      </c>
      <c r="T3886" t="inlineStr">
        <is>
          <t>645500-493</t>
        </is>
      </c>
    </row>
    <row r="3887" ht="75" customHeight="1">
      <c r="A3887" s="2">
        <f>HYPERLINK("https://www.soccerplususa.com/nike/nike-challenge-jersey-22801", "https://www.soccerplususa.com/nike/nike-challenge-jersey-22801")</f>
        <v/>
      </c>
      <c r="B3887" t="inlineStr">
        <is>
          <t>undefined</t>
        </is>
      </c>
      <c r="C3887" t="inlineStr">
        <is>
          <t>Nike Challenge Jersey</t>
        </is>
      </c>
      <c r="D3887" t="inlineStr">
        <is>
          <t>Nike Challenge Youth Soccer Training Jersey</t>
        </is>
      </c>
      <c r="E3887" s="2">
        <f>HYPERLINK("https://www.amazon.com/Challenge-Short-Sleeve-Jersey-BLACK-FOOTBALL/dp/B00SLRI14Q/ref=sr_1_6?keywords=Nike+Challenge+Jersey&amp;qid=1695171181&amp;sr=8-6", "https://www.amazon.com/Challenge-Short-Sleeve-Jersey-BLACK-FOOTBALL/dp/B00SLRI14Q/ref=sr_1_6?keywords=Nike+Challenge+Jersey&amp;qid=1695171181&amp;sr=8-6")</f>
        <v/>
      </c>
      <c r="F3887" t="inlineStr">
        <is>
          <t>B00SLRI14Q</t>
        </is>
      </c>
      <c r="G3887">
        <f>_xlfn.IMAGE("https://www.soccerplususa.com/prodimages/7621-DEFAULT-l.jpg")</f>
        <v/>
      </c>
      <c r="H3887">
        <f>_xlfn.IMAGE("https://m.media-amazon.com/images/I/51kFfarZ0HL._AC_UL320_.jpg")</f>
        <v/>
      </c>
      <c r="K3887" t="inlineStr">
        <is>
          <t>17.5</t>
        </is>
      </c>
      <c r="L3887" t="n">
        <v>29.99</v>
      </c>
      <c r="M3887" s="1" t="inlineStr">
        <is>
          <t>71.37%</t>
        </is>
      </c>
      <c r="N3887" s="3" t="n">
        <v>71.37</v>
      </c>
      <c r="O3887" t="n">
        <v>5</v>
      </c>
      <c r="P3887" t="n">
        <v>3</v>
      </c>
      <c r="R3887" t="inlineStr">
        <is>
          <t>InStock</t>
        </is>
      </c>
      <c r="S3887" t="inlineStr">
        <is>
          <t>34.95</t>
        </is>
      </c>
      <c r="T3887" t="inlineStr">
        <is>
          <t>645500-891</t>
        </is>
      </c>
    </row>
    <row r="3888" ht="75" customHeight="1">
      <c r="A3888" s="2">
        <f>HYPERLINK("https://www.soccerplususa.com/nike/nike-challenge-jersey-22799", "https://www.soccerplususa.com/nike/nike-challenge-jersey-22799")</f>
        <v/>
      </c>
      <c r="B3888" t="inlineStr">
        <is>
          <t>undefined</t>
        </is>
      </c>
      <c r="C3888" t="inlineStr">
        <is>
          <t>Nike Challenge Jersey</t>
        </is>
      </c>
      <c r="D3888" t="inlineStr">
        <is>
          <t>Nike Team Challenge Jersey</t>
        </is>
      </c>
      <c r="E3888" s="2">
        <f>HYPERLINK("https://www.amazon.com/Nike-Challenge-Jersey-Black-Medium/dp/B00SLQVXQ0/ref=sr_1_6?keywords=Nike+Challenge+Jersey&amp;qid=1695171185&amp;sr=8-6", "https://www.amazon.com/Nike-Challenge-Jersey-Black-Medium/dp/B00SLQVXQ0/ref=sr_1_6?keywords=Nike+Challenge+Jersey&amp;qid=1695171185&amp;sr=8-6")</f>
        <v/>
      </c>
      <c r="F3888" t="inlineStr">
        <is>
          <t>B00SLQVXQ0</t>
        </is>
      </c>
      <c r="G3888">
        <f>_xlfn.IMAGE("https://www.soccerplususa.com/prodimages/7620-DEFAULT-l.jpg")</f>
        <v/>
      </c>
      <c r="H3888">
        <f>_xlfn.IMAGE("https://m.media-amazon.com/images/I/513o6aAVMtL._AC_UL320_.jpg")</f>
        <v/>
      </c>
      <c r="K3888" t="inlineStr">
        <is>
          <t>17.5</t>
        </is>
      </c>
      <c r="L3888" t="n">
        <v>29.99</v>
      </c>
      <c r="M3888" s="1" t="inlineStr">
        <is>
          <t>71.37%</t>
        </is>
      </c>
      <c r="N3888" s="3" t="n">
        <v>71.37</v>
      </c>
      <c r="O3888" t="n">
        <v>5</v>
      </c>
      <c r="P3888" t="n">
        <v>2</v>
      </c>
      <c r="R3888" t="inlineStr">
        <is>
          <t>InStock</t>
        </is>
      </c>
      <c r="S3888" t="inlineStr">
        <is>
          <t>34.95</t>
        </is>
      </c>
      <c r="T3888" t="inlineStr">
        <is>
          <t>645500-493</t>
        </is>
      </c>
    </row>
    <row r="3889" ht="75" customHeight="1">
      <c r="A3889" s="2">
        <f>HYPERLINK("https://www.soccerplususa.com/nike/nike-challenge-jersey-22801", "https://www.soccerplususa.com/nike/nike-challenge-jersey-22801")</f>
        <v/>
      </c>
      <c r="B3889" t="inlineStr">
        <is>
          <t>undefined</t>
        </is>
      </c>
      <c r="C3889" t="inlineStr">
        <is>
          <t>Nike Challenge Jersey</t>
        </is>
      </c>
      <c r="D3889" t="inlineStr">
        <is>
          <t>Nike Challenge II Soccer Jersey White Womens</t>
        </is>
      </c>
      <c r="E3889" s="2">
        <f>HYPERLINK("https://www.amazon.com/Nike-Challenge-Soccer-Jersey-Womens/dp/B087WNLLV9/ref=sr_1_2?keywords=Nike+Challenge+Jersey&amp;qid=1695171181&amp;sr=8-2", "https://www.amazon.com/Nike-Challenge-Soccer-Jersey-Womens/dp/B087WNLLV9/ref=sr_1_2?keywords=Nike+Challenge+Jersey&amp;qid=1695171181&amp;sr=8-2")</f>
        <v/>
      </c>
      <c r="F3889" t="inlineStr">
        <is>
          <t>B087WNLLV9</t>
        </is>
      </c>
      <c r="G3889">
        <f>_xlfn.IMAGE("https://www.soccerplususa.com/prodimages/7621-DEFAULT-l.jpg")</f>
        <v/>
      </c>
      <c r="H3889">
        <f>_xlfn.IMAGE("https://m.media-amazon.com/images/I/517wx+xrFML._AC_UL320_.jpg")</f>
        <v/>
      </c>
      <c r="K3889" t="inlineStr">
        <is>
          <t>17.5</t>
        </is>
      </c>
      <c r="L3889" t="n">
        <v>29.99</v>
      </c>
      <c r="M3889" s="1" t="inlineStr">
        <is>
          <t>71.37%</t>
        </is>
      </c>
      <c r="N3889" s="3" t="n">
        <v>71.37</v>
      </c>
      <c r="O3889" t="n">
        <v>4.7</v>
      </c>
      <c r="P3889" t="n">
        <v>20</v>
      </c>
      <c r="R3889" t="inlineStr">
        <is>
          <t>InStock</t>
        </is>
      </c>
      <c r="S3889" t="inlineStr">
        <is>
          <t>34.95</t>
        </is>
      </c>
      <c r="T3889" t="inlineStr">
        <is>
          <t>645500-891</t>
        </is>
      </c>
    </row>
    <row r="3890" ht="75" customHeight="1">
      <c r="A3890" s="2">
        <f>HYPERLINK("https://www.soccerplususa.com/new-balance/new-balance-thermal-half-zip-top-womens-39182", "https://www.soccerplususa.com/new-balance/new-balance-thermal-half-zip-top-womens-39182")</f>
        <v/>
      </c>
      <c r="B3890" t="inlineStr">
        <is>
          <t>undefined</t>
        </is>
      </c>
      <c r="C3890" t="inlineStr">
        <is>
          <t>New Balance Thermal Half Zip Top Women's</t>
        </is>
      </c>
      <c r="D3890" t="inlineStr">
        <is>
          <t>New Balance Women's Nb Heat Grid Half Zip 22</t>
        </is>
      </c>
      <c r="E3890" s="2">
        <f>HYPERLINK("https://www.amazon.com/New-Balance-Womens-Heather-X-Large/dp/B09M7RHZLT/ref=sr_1_3?keywords=New+Balance+Thermal+Half+Zip+Top+Womens&amp;qid=1695171153&amp;sr=8-3", "https://www.amazon.com/New-Balance-Womens-Heather-X-Large/dp/B09M7RHZLT/ref=sr_1_3?keywords=New+Balance+Thermal+Half+Zip+Top+Womens&amp;qid=1695171153&amp;sr=8-3")</f>
        <v/>
      </c>
      <c r="F3890" t="inlineStr">
        <is>
          <t>B09M7RHZLT</t>
        </is>
      </c>
      <c r="G3890">
        <f>_xlfn.IMAGE("https://www.soccerplususa.com/prodimages/35277-DEFAULT-l.jpg")</f>
        <v/>
      </c>
      <c r="H3890">
        <f>_xlfn.IMAGE("https://m.media-amazon.com/images/I/51Dwx2nFbaL._AC_UL320_.jpg")</f>
        <v/>
      </c>
      <c r="K3890" t="inlineStr">
        <is>
          <t>48.99</t>
        </is>
      </c>
      <c r="L3890" t="n">
        <v>83.69</v>
      </c>
      <c r="M3890" s="1" t="inlineStr">
        <is>
          <t>70.83%</t>
        </is>
      </c>
      <c r="N3890" s="3" t="n">
        <v>70.83</v>
      </c>
      <c r="O3890" t="n">
        <v>5</v>
      </c>
      <c r="P3890" t="n">
        <v>2</v>
      </c>
      <c r="R3890" t="inlineStr">
        <is>
          <t>InStock</t>
        </is>
      </c>
      <c r="S3890" t="inlineStr">
        <is>
          <t>65.0</t>
        </is>
      </c>
      <c r="T3890" t="inlineStr">
        <is>
          <t>TMWT725</t>
        </is>
      </c>
    </row>
    <row r="3891" ht="75" customHeight="1">
      <c r="A3891" s="2">
        <f>HYPERLINK("https://www.soccerplususa.com/nike/nike-academy-18-jacket-youth-34588", "https://www.soccerplususa.com/nike/nike-academy-18-jacket-youth-34588")</f>
        <v/>
      </c>
      <c r="B3891" t="inlineStr">
        <is>
          <t>undefined</t>
        </is>
      </c>
      <c r="C3891" t="inlineStr">
        <is>
          <t>Nike Academy 18 Jacket Youth</t>
        </is>
      </c>
      <c r="D3891" t="inlineStr">
        <is>
          <t>Nike Youth Repel Academy 18 Rain Jacket</t>
        </is>
      </c>
      <c r="E3891" s="2">
        <f>HYPERLINK("https://www.amazon.com/NIKE-Academy-Jacket-X-Large-Obsidian/dp/B079JZ1NXL/ref=sr_1_3?keywords=Nike+Academy+18+Jacket+Youth&amp;qid=1695171169&amp;sr=8-3", "https://www.amazon.com/NIKE-Academy-Jacket-X-Large-Obsidian/dp/B079JZ1NXL/ref=sr_1_3?keywords=Nike+Academy+18+Jacket+Youth&amp;qid=1695171169&amp;sr=8-3")</f>
        <v/>
      </c>
      <c r="F3891" t="inlineStr">
        <is>
          <t>B079JZ1NXL</t>
        </is>
      </c>
      <c r="G3891">
        <f>_xlfn.IMAGE("https://www.soccerplususa.com/prodimages/7669-DEFAULT-l.jpg")</f>
        <v/>
      </c>
      <c r="H3891">
        <f>_xlfn.IMAGE("https://m.media-amazon.com/images/I/81CU5H-vfsL._AC_UL320_.jpg")</f>
        <v/>
      </c>
      <c r="K3891" t="inlineStr">
        <is>
          <t>59.99</t>
        </is>
      </c>
      <c r="L3891" t="n">
        <v>102.47</v>
      </c>
      <c r="M3891" s="1" t="inlineStr">
        <is>
          <t>70.81%</t>
        </is>
      </c>
      <c r="N3891" s="3" t="n">
        <v>70.81</v>
      </c>
      <c r="O3891" t="n">
        <v>3.9</v>
      </c>
      <c r="P3891" t="n">
        <v>770</v>
      </c>
      <c r="R3891" t="inlineStr">
        <is>
          <t>InStock</t>
        </is>
      </c>
      <c r="S3891" t="inlineStr">
        <is>
          <t>79.95</t>
        </is>
      </c>
      <c r="T3891" t="inlineStr">
        <is>
          <t>893819-010</t>
        </is>
      </c>
    </row>
    <row r="3892" ht="75" customHeight="1">
      <c r="A3892" s="2">
        <f>HYPERLINK("https://www.soccerplususa.com/nike/nike-legend-tee-womens-20413", "https://www.soccerplususa.com/nike/nike-legend-tee-womens-20413")</f>
        <v/>
      </c>
      <c r="B3892" t="inlineStr">
        <is>
          <t>undefined</t>
        </is>
      </c>
      <c r="C3892" t="inlineStr">
        <is>
          <t>Nike Legend Tee Women's</t>
        </is>
      </c>
      <c r="D3892" t="inlineStr">
        <is>
          <t>Nike Women's Longsleeve Legend T</t>
        </is>
      </c>
      <c r="E3892" s="2">
        <f>HYPERLINK("https://www.amazon.com/Nike-Womens-Longsleeve-Legend-Large/dp/B08F6J87MP/ref=sr_1_3?keywords=Nike+Legend+Tee+Womens&amp;qid=1695171184&amp;sr=8-3", "https://www.amazon.com/Nike-Womens-Longsleeve-Legend-Large/dp/B08F6J87MP/ref=sr_1_3?keywords=Nike+Legend+Tee+Womens&amp;qid=1695171184&amp;sr=8-3")</f>
        <v/>
      </c>
      <c r="F3892" t="inlineStr">
        <is>
          <t>B08F6J87MP</t>
        </is>
      </c>
      <c r="G3892">
        <f>_xlfn.IMAGE("https://www.soccerplususa.com/prodimages/31739-DEFAULT-l.jpg")</f>
        <v/>
      </c>
      <c r="H3892">
        <f>_xlfn.IMAGE("https://m.media-amazon.com/images/I/71reN321+IL._AC_UL320_.jpg")</f>
        <v/>
      </c>
      <c r="K3892" t="inlineStr">
        <is>
          <t>18.99</t>
        </is>
      </c>
      <c r="L3892" t="n">
        <v>31.95</v>
      </c>
      <c r="M3892" s="1" t="inlineStr">
        <is>
          <t>68.25%</t>
        </is>
      </c>
      <c r="N3892" s="3" t="n">
        <v>68.25</v>
      </c>
      <c r="O3892" t="n">
        <v>4.4</v>
      </c>
      <c r="P3892" t="n">
        <v>210</v>
      </c>
      <c r="R3892" t="inlineStr">
        <is>
          <t>InStock</t>
        </is>
      </c>
      <c r="S3892" t="inlineStr">
        <is>
          <t>24.95</t>
        </is>
      </c>
      <c r="T3892" t="inlineStr">
        <is>
          <t>453181-657</t>
        </is>
      </c>
    </row>
    <row r="3893" ht="75" customHeight="1">
      <c r="A3893" s="2">
        <f>HYPERLINK("https://www.soccerplususa.com/nike/nike-park-vi-jersey-39538", "https://www.soccerplususa.com/nike/nike-park-vi-jersey-39538")</f>
        <v/>
      </c>
      <c r="B3893" t="inlineStr">
        <is>
          <t>undefined</t>
        </is>
      </c>
      <c r="C3893" t="inlineStr">
        <is>
          <t>Nike Park VI Jersey</t>
        </is>
      </c>
      <c r="D3893" t="inlineStr">
        <is>
          <t>Nike Team Dry Park VI Jersey Womens 899947-100 Size M</t>
        </is>
      </c>
      <c r="E3893" s="2">
        <f>HYPERLINK("https://www.amazon.com/Nike-Team-Jersey-Womens-899947-100/dp/B08CBMVQ6V/ref=sr_1_5?keywords=Nike+Park+VI+Jersey&amp;qid=1695171168&amp;sr=8-5", "https://www.amazon.com/Nike-Team-Jersey-Womens-899947-100/dp/B08CBMVQ6V/ref=sr_1_5?keywords=Nike+Park+VI+Jersey&amp;qid=1695171168&amp;sr=8-5")</f>
        <v/>
      </c>
      <c r="F3893" t="inlineStr">
        <is>
          <t>B08CBMVQ6V</t>
        </is>
      </c>
      <c r="G3893">
        <f>_xlfn.IMAGE("https://www.soccerplususa.com/prodimages/32891-DEFAULT-l.jpg")</f>
        <v/>
      </c>
      <c r="H3893">
        <f>_xlfn.IMAGE("https://m.media-amazon.com/images/I/719JE5j8lUL._AC_UL320_.jpg")</f>
        <v/>
      </c>
      <c r="K3893" t="inlineStr">
        <is>
          <t>14.99</t>
        </is>
      </c>
      <c r="L3893" t="n">
        <v>25</v>
      </c>
      <c r="M3893" s="1" t="inlineStr">
        <is>
          <t>66.78%</t>
        </is>
      </c>
      <c r="N3893" s="3" t="n">
        <v>66.78</v>
      </c>
      <c r="O3893" t="n">
        <v>4.5</v>
      </c>
      <c r="P3893" t="n">
        <v>2</v>
      </c>
      <c r="R3893" t="inlineStr">
        <is>
          <t>InStock</t>
        </is>
      </c>
      <c r="S3893" t="inlineStr">
        <is>
          <t>19.95</t>
        </is>
      </c>
      <c r="T3893" t="inlineStr">
        <is>
          <t>899915-100</t>
        </is>
      </c>
    </row>
    <row r="3894" ht="75" customHeight="1">
      <c r="A3894" s="2">
        <f>HYPERLINK("https://www.soccerplususa.com/nike/nike-academy-18-jacket-34570", "https://www.soccerplususa.com/nike/nike-academy-18-jacket-34570")</f>
        <v/>
      </c>
      <c r="B3894" t="inlineStr">
        <is>
          <t>undefined</t>
        </is>
      </c>
      <c r="C3894" t="inlineStr">
        <is>
          <t>Nike Academy 18 Jacket</t>
        </is>
      </c>
      <c r="D3894" t="inlineStr">
        <is>
          <t>Nike Youth Repel Academy 18 Rain Jacket</t>
        </is>
      </c>
      <c r="E3894" s="2">
        <f>HYPERLINK("https://www.amazon.com/NIKE-Boys-Academy-Jacket-Black/dp/B079JXCJ96/ref=sr_1_4?keywords=Nike+Academy+18+Jacket&amp;qid=1695171165&amp;sr=8-4", "https://www.amazon.com/NIKE-Boys-Academy-Jacket-Black/dp/B079JXCJ96/ref=sr_1_4?keywords=Nike+Academy+18+Jacket&amp;qid=1695171165&amp;sr=8-4")</f>
        <v/>
      </c>
      <c r="F3894" t="inlineStr">
        <is>
          <t>B079JXCJ96</t>
        </is>
      </c>
      <c r="G3894">
        <f>_xlfn.IMAGE("https://www.soccerplususa.com/prodimages/30940-DEFAULT-l.jpg")</f>
        <v/>
      </c>
      <c r="H3894">
        <f>_xlfn.IMAGE("https://m.media-amazon.com/images/I/61O498HiS7L._AC_UL320_.jpg")</f>
        <v/>
      </c>
      <c r="K3894" t="inlineStr">
        <is>
          <t>44.99</t>
        </is>
      </c>
      <c r="L3894" t="n">
        <v>74.98999999999999</v>
      </c>
      <c r="M3894" s="1" t="inlineStr">
        <is>
          <t>66.68%</t>
        </is>
      </c>
      <c r="N3894" s="3" t="n">
        <v>66.68000000000001</v>
      </c>
      <c r="O3894" t="n">
        <v>3.9</v>
      </c>
      <c r="P3894" t="n">
        <v>770</v>
      </c>
      <c r="R3894" t="inlineStr">
        <is>
          <t>InStock</t>
        </is>
      </c>
      <c r="S3894" t="inlineStr">
        <is>
          <t>54.95</t>
        </is>
      </c>
      <c r="T3894" t="inlineStr">
        <is>
          <t>893701-010</t>
        </is>
      </c>
    </row>
    <row r="3895" ht="75" customHeight="1">
      <c r="A3895" s="2">
        <f>HYPERLINK("https://www.soccerplususa.com/adidas/adidas-tiro-15-training-jacket-youth-7110", "https://www.soccerplususa.com/adidas/adidas-tiro-15-training-jacket-youth-7110")</f>
        <v/>
      </c>
      <c r="B3895" t="inlineStr">
        <is>
          <t>undefined</t>
        </is>
      </c>
      <c r="C3895" t="inlineStr">
        <is>
          <t>adidas Tiro 15 Training Jacket Youth</t>
        </is>
      </c>
      <c r="D3895" t="inlineStr">
        <is>
          <t>adidas Tiro19 Youth Training Jacket</t>
        </is>
      </c>
      <c r="E3895" s="2">
        <f>HYPERLINK("https://www.amazon.com/adidas-DT5276-TIRO19-TR-JKTY/dp/B07H3VS4M6/ref=sr_1_3?keywords=adidas+Tiro+15+Training+Jacket+Youth&amp;qid=1695171218&amp;sr=8-3", "https://www.amazon.com/adidas-DT5276-TIRO19-TR-JKTY/dp/B07H3VS4M6/ref=sr_1_3?keywords=adidas+Tiro+15+Training+Jacket+Youth&amp;qid=1695171218&amp;sr=8-3")</f>
        <v/>
      </c>
      <c r="F3895" t="inlineStr">
        <is>
          <t>B07H3VS4M6</t>
        </is>
      </c>
      <c r="G3895">
        <f>_xlfn.IMAGE("https://www.soccerplususa.com/prodimages/2008-DEFAULT-l.jpg")</f>
        <v/>
      </c>
      <c r="H3895">
        <f>_xlfn.IMAGE("https://m.media-amazon.com/images/I/41j90cyk9hL._AC_UL320_.jpg")</f>
        <v/>
      </c>
      <c r="K3895" t="inlineStr">
        <is>
          <t>30.0</t>
        </is>
      </c>
      <c r="L3895" t="n">
        <v>49.99</v>
      </c>
      <c r="M3895" s="1" t="inlineStr">
        <is>
          <t>66.63%</t>
        </is>
      </c>
      <c r="N3895" s="3" t="n">
        <v>66.63</v>
      </c>
      <c r="O3895" t="n">
        <v>5</v>
      </c>
      <c r="P3895" t="n">
        <v>5</v>
      </c>
      <c r="R3895" t="inlineStr">
        <is>
          <t>InStock</t>
        </is>
      </c>
      <c r="S3895" t="inlineStr">
        <is>
          <t>59.95</t>
        </is>
      </c>
      <c r="T3895" t="inlineStr">
        <is>
          <t>M64059</t>
        </is>
      </c>
    </row>
    <row r="3896" ht="75" customHeight="1">
      <c r="A3896" s="2">
        <f>HYPERLINK("https://www.soccerplususa.com/nike/nike-striker-iii-jersey-21286", "https://www.soccerplususa.com/nike/nike-striker-iii-jersey-21286")</f>
        <v/>
      </c>
      <c r="B3896" t="inlineStr">
        <is>
          <t>undefined</t>
        </is>
      </c>
      <c r="C3896" t="inlineStr">
        <is>
          <t>Nike Striker III Jersey</t>
        </is>
      </c>
      <c r="D3896" t="inlineStr">
        <is>
          <t>Nike Short-Sleeve Striker III Us Jersey [White/White/Black]</t>
        </is>
      </c>
      <c r="E3896" s="2">
        <f>HYPERLINK("https://www.amazon.com/Short-Sleeve-Striker-Jersey-WHITE-BLACK/dp/B00AX6IGZ2/ref=sr_1_1?keywords=Nike+Striker+III+Jersey&amp;qid=1695171186&amp;sr=8-1", "https://www.amazon.com/Short-Sleeve-Striker-Jersey-WHITE-BLACK/dp/B00AX6IGZ2/ref=sr_1_1?keywords=Nike+Striker+III+Jersey&amp;qid=1695171186&amp;sr=8-1")</f>
        <v/>
      </c>
      <c r="F3896" t="inlineStr">
        <is>
          <t>B00AX6IGZ2</t>
        </is>
      </c>
      <c r="G3896">
        <f>_xlfn.IMAGE("https://www.soccerplususa.com/prodimages/7624-DEFAULT-l.jpg")</f>
        <v/>
      </c>
      <c r="H3896">
        <f>_xlfn.IMAGE("https://m.media-amazon.com/images/I/31BgPqXbPbL._AC_UL320_.jpg")</f>
        <v/>
      </c>
      <c r="K3896" t="inlineStr">
        <is>
          <t>15.0</t>
        </is>
      </c>
      <c r="L3896" t="n">
        <v>24.99</v>
      </c>
      <c r="M3896" s="1" t="inlineStr">
        <is>
          <t>66.60%</t>
        </is>
      </c>
      <c r="N3896" s="3" t="n">
        <v>66.59999999999999</v>
      </c>
      <c r="O3896" t="n">
        <v>5</v>
      </c>
      <c r="P3896" t="n">
        <v>1</v>
      </c>
      <c r="R3896" t="inlineStr">
        <is>
          <t>InStock</t>
        </is>
      </c>
      <c r="S3896" t="inlineStr">
        <is>
          <t>29.95</t>
        </is>
      </c>
      <c r="T3896" t="inlineStr">
        <is>
          <t>520583-493</t>
        </is>
      </c>
    </row>
    <row r="3897" ht="75" customHeight="1">
      <c r="A3897" s="2">
        <f>HYPERLINK("https://www.soccerplususa.com/adidas/adidas-condivo-14-training-top-36188", "https://www.soccerplususa.com/adidas/adidas-condivo-14-training-top-36188")</f>
        <v/>
      </c>
      <c r="B3897" t="inlineStr">
        <is>
          <t>undefined</t>
        </is>
      </c>
      <c r="C3897" t="inlineStr">
        <is>
          <t>adidas Condivo 14 Training Top</t>
        </is>
      </c>
      <c r="D3897" t="inlineStr">
        <is>
          <t>adidas Condivo 21 Training Top</t>
        </is>
      </c>
      <c r="E3897" s="2">
        <f>HYPERLINK("https://www.amazon.com/adidas-Condivo-Training-Top-Black-White/dp/B08XFZP9PJ/ref=sr_1_1?keywords=adidas+Condivo+14+Training+Top&amp;qid=1695171163&amp;sr=8-1", "https://www.amazon.com/adidas-Condivo-Training-Top-Black-White/dp/B08XFZP9PJ/ref=sr_1_1?keywords=adidas+Condivo+14+Training+Top&amp;qid=1695171163&amp;sr=8-1")</f>
        <v/>
      </c>
      <c r="F3897" t="inlineStr">
        <is>
          <t>B08XFZP9PJ</t>
        </is>
      </c>
      <c r="G3897">
        <f>_xlfn.IMAGE("https://www.soccerplususa.com/prodimages/10436-DEFAULT-l.jpg")</f>
        <v/>
      </c>
      <c r="H3897">
        <f>_xlfn.IMAGE("https://m.media-amazon.com/images/I/51aT9dU2t5L._AC_UL320_.jpg")</f>
        <v/>
      </c>
      <c r="K3897" t="inlineStr">
        <is>
          <t>30.0</t>
        </is>
      </c>
      <c r="L3897" t="n">
        <v>49.98</v>
      </c>
      <c r="M3897" s="1" t="inlineStr">
        <is>
          <t>66.60%</t>
        </is>
      </c>
      <c r="N3897" s="3" t="n">
        <v>66.59999999999999</v>
      </c>
      <c r="O3897" t="n">
        <v>4.7</v>
      </c>
      <c r="P3897" t="n">
        <v>10</v>
      </c>
      <c r="R3897" t="inlineStr">
        <is>
          <t>InStock</t>
        </is>
      </c>
      <c r="S3897" t="inlineStr">
        <is>
          <t>59.95</t>
        </is>
      </c>
      <c r="T3897" t="inlineStr">
        <is>
          <t>G80802</t>
        </is>
      </c>
    </row>
    <row r="3898" ht="75" customHeight="1">
      <c r="A3898" s="2">
        <f>HYPERLINK("https://www.soccerplususa.com/nike/nike-striker-iii-jersey-21291", "https://www.soccerplususa.com/nike/nike-striker-iii-jersey-21291")</f>
        <v/>
      </c>
      <c r="B3898" t="inlineStr">
        <is>
          <t>undefined</t>
        </is>
      </c>
      <c r="C3898" t="inlineStr">
        <is>
          <t>Nike Striker III Jersey</t>
        </is>
      </c>
      <c r="D3898" t="inlineStr">
        <is>
          <t>Nike Short-Sleeve Striker III Us Jersey [White/White/Black]</t>
        </is>
      </c>
      <c r="E3898" s="2">
        <f>HYPERLINK("https://www.amazon.com/Short-Sleeve-Striker-Jersey-WHITE-BLACK/dp/B00AX6IGZ2/ref=sr_1_1?keywords=Nike+Striker+III+Jersey&amp;qid=1695171183&amp;sr=8-1", "https://www.amazon.com/Short-Sleeve-Striker-Jersey-WHITE-BLACK/dp/B00AX6IGZ2/ref=sr_1_1?keywords=Nike+Striker+III+Jersey&amp;qid=1695171183&amp;sr=8-1")</f>
        <v/>
      </c>
      <c r="F3898" t="inlineStr">
        <is>
          <t>B00AX6IGZ2</t>
        </is>
      </c>
      <c r="G3898">
        <f>_xlfn.IMAGE("https://www.soccerplususa.com/prodimages/7625-DEFAULT-l.jpg")</f>
        <v/>
      </c>
      <c r="H3898">
        <f>_xlfn.IMAGE("https://m.media-amazon.com/images/I/31BgPqXbPbL._AC_UL320_.jpg")</f>
        <v/>
      </c>
      <c r="K3898" t="inlineStr">
        <is>
          <t>15.0</t>
        </is>
      </c>
      <c r="L3898" t="n">
        <v>24.99</v>
      </c>
      <c r="M3898" s="1" t="inlineStr">
        <is>
          <t>66.60%</t>
        </is>
      </c>
      <c r="N3898" s="3" t="n">
        <v>66.59999999999999</v>
      </c>
      <c r="O3898" t="n">
        <v>5</v>
      </c>
      <c r="P3898" t="n">
        <v>1</v>
      </c>
      <c r="R3898" t="inlineStr">
        <is>
          <t>InStock</t>
        </is>
      </c>
      <c r="S3898" t="inlineStr">
        <is>
          <t>29.95</t>
        </is>
      </c>
      <c r="T3898" t="inlineStr">
        <is>
          <t>520583-888</t>
        </is>
      </c>
    </row>
    <row r="3899" ht="75" customHeight="1">
      <c r="A3899" s="2">
        <f>HYPERLINK("https://www.soccerplususa.com/under-armour/under-armour-coldgear-ls-mock-32981", "https://www.soccerplususa.com/under-armour/under-armour-coldgear-ls-mock-32981")</f>
        <v/>
      </c>
      <c r="B3899" t="inlineStr">
        <is>
          <t>undefined</t>
        </is>
      </c>
      <c r="C3899" t="inlineStr">
        <is>
          <t>Under Armour Coldgear LS Mock</t>
        </is>
      </c>
      <c r="D3899" t="inlineStr">
        <is>
          <t>Under Armour Men's Tac Mock Coldgear Infrared Base T-shirt</t>
        </is>
      </c>
      <c r="E3899" s="2">
        <f>HYPERLINK("https://www.amazon.com/Under-Armour-ColdGear-Infrared-T-Shirt/dp/B08LP2D9VJ/ref=sr_1_8?keywords=Under+Armour+Coldgear+LS+Mock&amp;qid=1695171172&amp;sr=8-8", "https://www.amazon.com/Under-Armour-ColdGear-Infrared-T-Shirt/dp/B08LP2D9VJ/ref=sr_1_8?keywords=Under+Armour+Coldgear+LS+Mock&amp;qid=1695171172&amp;sr=8-8")</f>
        <v/>
      </c>
      <c r="F3899" t="inlineStr">
        <is>
          <t>B08LP2D9VJ</t>
        </is>
      </c>
      <c r="G3899">
        <f>_xlfn.IMAGE("https://www.soccerplususa.com/prodimages/467-DEFAULT-l.jpg")</f>
        <v/>
      </c>
      <c r="H3899">
        <f>_xlfn.IMAGE("https://m.media-amazon.com/images/I/41sc0RZTJ0L._AC_UL320_.jpg")</f>
        <v/>
      </c>
      <c r="K3899" t="inlineStr">
        <is>
          <t>34.95</t>
        </is>
      </c>
      <c r="L3899" t="n">
        <v>58.22</v>
      </c>
      <c r="M3899" s="1" t="inlineStr">
        <is>
          <t>66.58%</t>
        </is>
      </c>
      <c r="N3899" s="3" t="n">
        <v>66.58</v>
      </c>
      <c r="O3899" t="n">
        <v>4.2</v>
      </c>
      <c r="P3899" t="n">
        <v>14</v>
      </c>
      <c r="R3899" t="inlineStr">
        <is>
          <t>InStock</t>
        </is>
      </c>
      <c r="S3899" t="inlineStr">
        <is>
          <t>44.95</t>
        </is>
      </c>
      <c r="T3899" t="inlineStr">
        <is>
          <t>1000512-100</t>
        </is>
      </c>
    </row>
    <row r="3900" ht="75" customHeight="1">
      <c r="A3900" s="2">
        <f>HYPERLINK("https://www.soccerplususa.com/adidas/adidas-tiro-15-training-jacket-youth-7875", "https://www.soccerplususa.com/adidas/adidas-tiro-15-training-jacket-youth-7875")</f>
        <v/>
      </c>
      <c r="B3900" t="inlineStr">
        <is>
          <t>undefined</t>
        </is>
      </c>
      <c r="C3900" t="inlineStr">
        <is>
          <t>adidas Tiro 15 Training Jacket Youth</t>
        </is>
      </c>
      <c r="D3900" t="inlineStr">
        <is>
          <t>adidas Unisex-Child Soccer Tiro 15 Training Jacket</t>
        </is>
      </c>
      <c r="E3900" s="2">
        <f>HYPERLINK("https://www.amazon.com/adidas-Youth-Soccer-Training-Jacket/dp/B00QKRLMCW/ref=sr_1_1?keywords=adidas+Tiro+15+Training+Jacket+Youth&amp;qid=1695171217&amp;sr=8-1", "https://www.amazon.com/adidas-Youth-Soccer-Training-Jacket/dp/B00QKRLMCW/ref=sr_1_1?keywords=adidas+Tiro+15+Training+Jacket+Youth&amp;qid=1695171217&amp;sr=8-1")</f>
        <v/>
      </c>
      <c r="F3900" t="inlineStr">
        <is>
          <t>B00QKRLMCW</t>
        </is>
      </c>
      <c r="G3900">
        <f>_xlfn.IMAGE("https://www.soccerplususa.com/prodimages/1954-DEFAULT-l.jpg")</f>
        <v/>
      </c>
      <c r="H3900">
        <f>_xlfn.IMAGE("https://m.media-amazon.com/images/I/916zOpqcYlL._AC_UL320_.jpg")</f>
        <v/>
      </c>
      <c r="K3900" t="inlineStr">
        <is>
          <t>30.0</t>
        </is>
      </c>
      <c r="L3900" t="n">
        <v>49.95</v>
      </c>
      <c r="M3900" s="1" t="inlineStr">
        <is>
          <t>66.50%</t>
        </is>
      </c>
      <c r="N3900" s="3" t="n">
        <v>66.5</v>
      </c>
      <c r="O3900" t="n">
        <v>4.4</v>
      </c>
      <c r="P3900" t="n">
        <v>209</v>
      </c>
      <c r="R3900" t="inlineStr">
        <is>
          <t>InStock</t>
        </is>
      </c>
      <c r="S3900" t="inlineStr">
        <is>
          <t>59.95</t>
        </is>
      </c>
      <c r="T3900" t="inlineStr">
        <is>
          <t>S22328</t>
        </is>
      </c>
    </row>
    <row r="3901" ht="75" customHeight="1">
      <c r="A3901" s="2">
        <f>HYPERLINK("https://www.soccerplususa.com/adidas/adidas-tiro-15-training-jacket-youth-7110", "https://www.soccerplususa.com/adidas/adidas-tiro-15-training-jacket-youth-7110")</f>
        <v/>
      </c>
      <c r="B3901" t="inlineStr">
        <is>
          <t>undefined</t>
        </is>
      </c>
      <c r="C3901" t="inlineStr">
        <is>
          <t>adidas Tiro 15 Training Jacket Youth</t>
        </is>
      </c>
      <c r="D3901" t="inlineStr">
        <is>
          <t>adidas Unisex-Child Soccer Tiro 15 Training Jacket</t>
        </is>
      </c>
      <c r="E3901" s="2">
        <f>HYPERLINK("https://www.amazon.com/adidas-Youth-Soccer-Training-Jacket/dp/B00QKRLMCW/ref=sr_1_1?keywords=adidas+Tiro+15+Training+Jacket+Youth&amp;qid=1695171218&amp;sr=8-1", "https://www.amazon.com/adidas-Youth-Soccer-Training-Jacket/dp/B00QKRLMCW/ref=sr_1_1?keywords=adidas+Tiro+15+Training+Jacket+Youth&amp;qid=1695171218&amp;sr=8-1")</f>
        <v/>
      </c>
      <c r="F3901" t="inlineStr">
        <is>
          <t>B00QKRLMCW</t>
        </is>
      </c>
      <c r="G3901">
        <f>_xlfn.IMAGE("https://www.soccerplususa.com/prodimages/2008-DEFAULT-l.jpg")</f>
        <v/>
      </c>
      <c r="H3901">
        <f>_xlfn.IMAGE("https://m.media-amazon.com/images/I/916zOpqcYlL._AC_UL320_.jpg")</f>
        <v/>
      </c>
      <c r="K3901" t="inlineStr">
        <is>
          <t>30.0</t>
        </is>
      </c>
      <c r="L3901" t="n">
        <v>49.95</v>
      </c>
      <c r="M3901" s="1" t="inlineStr">
        <is>
          <t>66.50%</t>
        </is>
      </c>
      <c r="N3901" s="3" t="n">
        <v>66.5</v>
      </c>
      <c r="O3901" t="n">
        <v>4.4</v>
      </c>
      <c r="P3901" t="n">
        <v>209</v>
      </c>
      <c r="R3901" t="inlineStr">
        <is>
          <t>InStock</t>
        </is>
      </c>
      <c r="S3901" t="inlineStr">
        <is>
          <t>59.95</t>
        </is>
      </c>
      <c r="T3901" t="inlineStr">
        <is>
          <t>M64059</t>
        </is>
      </c>
    </row>
    <row r="3902" ht="75" customHeight="1">
      <c r="A3902" s="2">
        <f>HYPERLINK("https://www.soccerplususa.com/adidas/adidas-regista-14-jersey-6065", "https://www.soccerplususa.com/adidas/adidas-regista-14-jersey-6065")</f>
        <v/>
      </c>
      <c r="B3902" t="inlineStr">
        <is>
          <t>undefined</t>
        </is>
      </c>
      <c r="C3902" t="inlineStr">
        <is>
          <t>adidas Regista 14 Jersey</t>
        </is>
      </c>
      <c r="D3902" t="inlineStr">
        <is>
          <t>adidas Men's Regista 14 Soccer Jersey, White, L</t>
        </is>
      </c>
      <c r="E3902" s="2">
        <f>HYPERLINK("https://www.amazon.com/adidas-Regista-Soccer-Jersey-White/dp/B00H3HWOQQ/ref=sr_1_1?keywords=adidas+Regista+14+Jersey&amp;qid=1695171215&amp;sr=8-1", "https://www.amazon.com/adidas-Regista-Soccer-Jersey-White/dp/B00H3HWOQQ/ref=sr_1_1?keywords=adidas+Regista+14+Jersey&amp;qid=1695171215&amp;sr=8-1")</f>
        <v/>
      </c>
      <c r="F3902" t="inlineStr">
        <is>
          <t>B00H3HWOQQ</t>
        </is>
      </c>
      <c r="G3902">
        <f>_xlfn.IMAGE("https://www.soccerplususa.com/prodimages/32793-DEFAULT-l.jpg")</f>
        <v/>
      </c>
      <c r="H3902">
        <f>_xlfn.IMAGE("https://m.media-amazon.com/images/I/51cMf0kbQvL._AC_UL320_.jpg")</f>
        <v/>
      </c>
      <c r="K3902" t="inlineStr">
        <is>
          <t>22.0</t>
        </is>
      </c>
      <c r="L3902" t="n">
        <v>36.44</v>
      </c>
      <c r="M3902" s="1" t="inlineStr">
        <is>
          <t>65.64%</t>
        </is>
      </c>
      <c r="N3902" s="3" t="n">
        <v>65.64</v>
      </c>
      <c r="O3902" t="n">
        <v>5</v>
      </c>
      <c r="P3902" t="n">
        <v>1</v>
      </c>
      <c r="R3902" t="inlineStr">
        <is>
          <t>InStock</t>
        </is>
      </c>
      <c r="S3902" t="inlineStr">
        <is>
          <t>44.95</t>
        </is>
      </c>
      <c r="T3902" t="inlineStr">
        <is>
          <t>F50009</t>
        </is>
      </c>
    </row>
    <row r="3903" ht="75" customHeight="1">
      <c r="A3903" s="2">
        <f>HYPERLINK("https://www.soccerplususa.com/adidas/adidas-regista-14-jersey-youth-6677", "https://www.soccerplususa.com/adidas/adidas-regista-14-jersey-youth-6677")</f>
        <v/>
      </c>
      <c r="B3903" t="inlineStr">
        <is>
          <t>undefined</t>
        </is>
      </c>
      <c r="C3903" t="inlineStr">
        <is>
          <t>adidas Regista 14 Jersey Youth</t>
        </is>
      </c>
      <c r="D3903" t="inlineStr">
        <is>
          <t>adidas Youth/Men's Climacool Regista 14 Soccer Jersey (Cobalt|White/X-Large)</t>
        </is>
      </c>
      <c r="E3903" s="2">
        <f>HYPERLINK("https://www.amazon.com/Adidas-Climacool-Regista-Soccer-X-Large/dp/B00I0BFVIC/ref=sr_1_5?keywords=adidas+Regista+14+Jersey+Youth&amp;qid=1695171214&amp;sr=8-5", "https://www.amazon.com/Adidas-Climacool-Regista-Soccer-X-Large/dp/B00I0BFVIC/ref=sr_1_5?keywords=adidas+Regista+14+Jersey+Youth&amp;qid=1695171214&amp;sr=8-5")</f>
        <v/>
      </c>
      <c r="F3903" t="inlineStr">
        <is>
          <t>B00I0BFVIC</t>
        </is>
      </c>
      <c r="G3903">
        <f>_xlfn.IMAGE("https://www.soccerplususa.com/prodimages/32791-DEFAULT-l.jpg")</f>
        <v/>
      </c>
      <c r="H3903">
        <f>_xlfn.IMAGE("https://m.media-amazon.com/images/I/51ZbRZ7zEZL._AC_UL320_.jpg")</f>
        <v/>
      </c>
      <c r="K3903" t="inlineStr">
        <is>
          <t>20.0</t>
        </is>
      </c>
      <c r="L3903" t="n">
        <v>32.91</v>
      </c>
      <c r="M3903" s="1" t="inlineStr">
        <is>
          <t>64.55%</t>
        </is>
      </c>
      <c r="N3903" s="3" t="n">
        <v>64.55</v>
      </c>
      <c r="O3903" t="n">
        <v>4</v>
      </c>
      <c r="P3903" t="n">
        <v>1</v>
      </c>
      <c r="R3903" t="inlineStr">
        <is>
          <t>InStock</t>
        </is>
      </c>
      <c r="S3903" t="inlineStr">
        <is>
          <t>39.95</t>
        </is>
      </c>
      <c r="T3903" t="inlineStr">
        <is>
          <t>G70837</t>
        </is>
      </c>
    </row>
    <row r="3904" ht="75" customHeight="1">
      <c r="A3904" s="2">
        <f>HYPERLINK("https://www.soccerplususa.com/adidas/adidas-regista-14-jersey-youth-6072", "https://www.soccerplususa.com/adidas/adidas-regista-14-jersey-youth-6072")</f>
        <v/>
      </c>
      <c r="B3904" t="inlineStr">
        <is>
          <t>undefined</t>
        </is>
      </c>
      <c r="C3904" t="inlineStr">
        <is>
          <t>adidas Regista 14 Jersey Youth</t>
        </is>
      </c>
      <c r="D3904" t="inlineStr">
        <is>
          <t>adidas Youth/Men's Climacool Regista 14 Soccer Jersey (Cobalt|White/X-Large)</t>
        </is>
      </c>
      <c r="E3904" s="2">
        <f>HYPERLINK("https://www.amazon.com/Adidas-Climacool-Regista-Soccer-X-Large/dp/B00I0BFVIC/ref=sr_1_5?keywords=adidas+Regista+14+Jersey+Youth&amp;qid=1695171215&amp;sr=8-5", "https://www.amazon.com/Adidas-Climacool-Regista-Soccer-X-Large/dp/B00I0BFVIC/ref=sr_1_5?keywords=adidas+Regista+14+Jersey+Youth&amp;qid=1695171215&amp;sr=8-5")</f>
        <v/>
      </c>
      <c r="F3904" t="inlineStr">
        <is>
          <t>B00I0BFVIC</t>
        </is>
      </c>
      <c r="G3904">
        <f>_xlfn.IMAGE("https://www.soccerplususa.com/prodimages/31720-DEFAULT-l.jpg")</f>
        <v/>
      </c>
      <c r="H3904">
        <f>_xlfn.IMAGE("https://m.media-amazon.com/images/I/51ZbRZ7zEZL._AC_UL320_.jpg")</f>
        <v/>
      </c>
      <c r="K3904" t="inlineStr">
        <is>
          <t>20.0</t>
        </is>
      </c>
      <c r="L3904" t="n">
        <v>32.91</v>
      </c>
      <c r="M3904" s="1" t="inlineStr">
        <is>
          <t>64.55%</t>
        </is>
      </c>
      <c r="N3904" s="3" t="n">
        <v>64.55</v>
      </c>
      <c r="O3904" t="n">
        <v>4</v>
      </c>
      <c r="P3904" t="n">
        <v>1</v>
      </c>
      <c r="R3904" t="inlineStr">
        <is>
          <t>InStock</t>
        </is>
      </c>
      <c r="S3904" t="inlineStr">
        <is>
          <t>39.95</t>
        </is>
      </c>
      <c r="T3904" t="inlineStr">
        <is>
          <t>F50034</t>
        </is>
      </c>
    </row>
    <row r="3905" ht="75" customHeight="1">
      <c r="A3905" s="2">
        <f>HYPERLINK("https://www.soccerplususa.com/adidas/adidas-regista-14-jersey-youth-6073", "https://www.soccerplususa.com/adidas/adidas-regista-14-jersey-youth-6073")</f>
        <v/>
      </c>
      <c r="B3905" t="inlineStr">
        <is>
          <t>undefined</t>
        </is>
      </c>
      <c r="C3905" t="inlineStr">
        <is>
          <t>adidas Regista 14 Jersey Youth</t>
        </is>
      </c>
      <c r="D3905" t="inlineStr">
        <is>
          <t>adidas Youth/Men's Climacool Regista 14 Soccer Jersey (Cobalt|White/X-Large)</t>
        </is>
      </c>
      <c r="E3905" s="2">
        <f>HYPERLINK("https://www.amazon.com/Adidas-Climacool-Regista-Soccer-X-Large/dp/B00I0BFVIC/ref=sr_1_5?keywords=adidas+Regista+14+Jersey+Youth&amp;qid=1695171211&amp;sr=8-5", "https://www.amazon.com/Adidas-Climacool-Regista-Soccer-X-Large/dp/B00I0BFVIC/ref=sr_1_5?keywords=adidas+Regista+14+Jersey+Youth&amp;qid=1695171211&amp;sr=8-5")</f>
        <v/>
      </c>
      <c r="F3905" t="inlineStr">
        <is>
          <t>B00I0BFVIC</t>
        </is>
      </c>
      <c r="G3905">
        <f>_xlfn.IMAGE("https://www.soccerplususa.com/prodimages/32794-DEFAULT-l.jpg")</f>
        <v/>
      </c>
      <c r="H3905">
        <f>_xlfn.IMAGE("https://m.media-amazon.com/images/I/51ZbRZ7zEZL._AC_UL320_.jpg")</f>
        <v/>
      </c>
      <c r="K3905" t="inlineStr">
        <is>
          <t>20.0</t>
        </is>
      </c>
      <c r="L3905" t="n">
        <v>32.91</v>
      </c>
      <c r="M3905" s="1" t="inlineStr">
        <is>
          <t>64.55%</t>
        </is>
      </c>
      <c r="N3905" s="3" t="n">
        <v>64.55</v>
      </c>
      <c r="O3905" t="n">
        <v>4</v>
      </c>
      <c r="P3905" t="n">
        <v>1</v>
      </c>
      <c r="R3905" t="inlineStr">
        <is>
          <t>InStock</t>
        </is>
      </c>
      <c r="S3905" t="inlineStr">
        <is>
          <t>39.95</t>
        </is>
      </c>
      <c r="T3905" t="inlineStr">
        <is>
          <t>F50035</t>
        </is>
      </c>
    </row>
    <row r="3906" ht="75" customHeight="1">
      <c r="A3906" s="2">
        <f>HYPERLINK("https://www.soccerplususa.com/adidas/adidas-tiro-17-jersey-womens-35760", "https://www.soccerplususa.com/adidas/adidas-tiro-17-jersey-womens-35760")</f>
        <v/>
      </c>
      <c r="B3906" t="inlineStr">
        <is>
          <t>undefined</t>
        </is>
      </c>
      <c r="C3906" t="inlineStr">
        <is>
          <t>adidas Tiro 17 Jersey Women's</t>
        </is>
      </c>
      <c r="D3906" t="inlineStr">
        <is>
          <t>adidas Tiro 19 Jersey- Women's Soccer L Dark Grey/White</t>
        </is>
      </c>
      <c r="E3906" s="2">
        <f>HYPERLINK("https://www.amazon.com/adidas-Jersey-Womens-Soccer-White/dp/B07H3VHQNW/ref=sr_1_8?keywords=adidas+Tiro+17+Jersey+Womens&amp;qid=1695171224&amp;sr=8-8", "https://www.amazon.com/adidas-Jersey-Womens-Soccer-White/dp/B07H3VHQNW/ref=sr_1_8?keywords=adidas+Tiro+17+Jersey+Womens&amp;qid=1695171224&amp;sr=8-8")</f>
        <v/>
      </c>
      <c r="F3906" t="inlineStr">
        <is>
          <t>B07H3VHQNW</t>
        </is>
      </c>
      <c r="G3906">
        <f>_xlfn.IMAGE("https://www.soccerplususa.com/prodimages/9819-DEFAULT-l.jpg")</f>
        <v/>
      </c>
      <c r="H3906">
        <f>_xlfn.IMAGE("https://m.media-amazon.com/images/I/61ASNTLz-dL._AC_UL320_.jpg")</f>
        <v/>
      </c>
      <c r="K3906" t="inlineStr">
        <is>
          <t>20.0</t>
        </is>
      </c>
      <c r="L3906" t="n">
        <v>32.67</v>
      </c>
      <c r="M3906" s="1" t="inlineStr">
        <is>
          <t>63.35%</t>
        </is>
      </c>
      <c r="N3906" s="3" t="n">
        <v>63.35</v>
      </c>
      <c r="O3906" t="n">
        <v>5</v>
      </c>
      <c r="P3906" t="n">
        <v>1</v>
      </c>
      <c r="R3906" t="inlineStr">
        <is>
          <t>InStock</t>
        </is>
      </c>
      <c r="S3906" t="inlineStr">
        <is>
          <t>39.95</t>
        </is>
      </c>
      <c r="T3906" t="inlineStr">
        <is>
          <t>BJ9096</t>
        </is>
      </c>
    </row>
    <row r="3907" ht="75" customHeight="1">
      <c r="A3907" s="2">
        <f>HYPERLINK("https://www.soccerplususa.com/adidas/adidas-tiro-15-jersey-womens-7896", "https://www.soccerplususa.com/adidas/adidas-tiro-15-jersey-womens-7896")</f>
        <v/>
      </c>
      <c r="B3907" t="inlineStr">
        <is>
          <t>undefined</t>
        </is>
      </c>
      <c r="C3907" t="inlineStr">
        <is>
          <t>adidas Tiro 15 Jersey Women's</t>
        </is>
      </c>
      <c r="D3907" t="inlineStr">
        <is>
          <t>adidas Tiro 19 Jersey- Women's Soccer L Dark Grey/White</t>
        </is>
      </c>
      <c r="E3907" s="2">
        <f>HYPERLINK("https://www.amazon.com/adidas-Jersey-Womens-Soccer-White/dp/B07H3VHQNW/ref=sr_1_3?keywords=adidas+Tiro+15+Jersey+Womens&amp;qid=1695171238&amp;sr=8-3", "https://www.amazon.com/adidas-Jersey-Womens-Soccer-White/dp/B07H3VHQNW/ref=sr_1_3?keywords=adidas+Tiro+15+Jersey+Womens&amp;qid=1695171238&amp;sr=8-3")</f>
        <v/>
      </c>
      <c r="F3907" t="inlineStr">
        <is>
          <t>B07H3VHQNW</t>
        </is>
      </c>
      <c r="G3907">
        <f>_xlfn.IMAGE("https://www.soccerplususa.com/prodimages/10575-DEFAULT-l.jpg")</f>
        <v/>
      </c>
      <c r="H3907">
        <f>_xlfn.IMAGE("https://m.media-amazon.com/images/I/61ASNTLz-dL._AC_UL320_.jpg")</f>
        <v/>
      </c>
      <c r="K3907" t="inlineStr">
        <is>
          <t>20.0</t>
        </is>
      </c>
      <c r="L3907" t="n">
        <v>32.67</v>
      </c>
      <c r="M3907" s="1" t="inlineStr">
        <is>
          <t>63.35%</t>
        </is>
      </c>
      <c r="N3907" s="3" t="n">
        <v>63.35</v>
      </c>
      <c r="O3907" t="n">
        <v>5</v>
      </c>
      <c r="P3907" t="n">
        <v>1</v>
      </c>
      <c r="R3907" t="inlineStr">
        <is>
          <t>InStock</t>
        </is>
      </c>
      <c r="S3907" t="inlineStr">
        <is>
          <t>39.95</t>
        </is>
      </c>
      <c r="T3907" t="inlineStr">
        <is>
          <t>S22413</t>
        </is>
      </c>
    </row>
    <row r="3908" hidden="1" ht="15.75" customHeight="1">
      <c r="A3908" s="2">
        <f>HYPERLINK("https://www.soccerplususa.com/adidas/adidas-tabela-14-jersey-youth-6085", "https://www.soccerplususa.com/adidas/adidas-tabela-14-jersey-youth-6085")</f>
        <v/>
      </c>
      <c r="B3908" t="inlineStr">
        <is>
          <t>undefined</t>
        </is>
      </c>
      <c r="C3908" t="inlineStr">
        <is>
          <t>adidas Tabela 14 Jersey Youth</t>
        </is>
      </c>
      <c r="D3908" t="inlineStr">
        <is>
          <t>adidas Youth Tabela 18 Jersey</t>
        </is>
      </c>
      <c r="E3908" s="2">
        <f>HYPERLINK("https://www.amazon.com/adidas-TABELA-Jersey-Y%E2%9D%97%EF%B8%8FShips-Directly/dp/B078LCB4LK/ref=sr_1_9?keywords=adidas+Tabela+14+Jersey+Youth&amp;qid=1695171219&amp;sr=8-9", "https://www.amazon.com/adidas-TABELA-Jersey-Y%E2%9D%97%EF%B8%8FShips-Directly/dp/B078LCB4LK/ref=sr_1_9?keywords=adidas+Tabela+14+Jersey+Youth&amp;qid=1695171219&amp;sr=8-9")</f>
        <v/>
      </c>
      <c r="F3908" t="inlineStr">
        <is>
          <t>B078LCB4LK</t>
        </is>
      </c>
      <c r="G3908">
        <f>_xludf.IMAGE("https://www.soccerplususa.com/prodimages/2639-DEFAULT-l.jpg")</f>
        <v/>
      </c>
      <c r="H3908">
        <f>_xludf.IMAGE("https://m.media-amazon.com/images/I/61G-4wd3sCL._AC_UL320_.jpg")</f>
        <v/>
      </c>
      <c r="K3908" t="inlineStr">
        <is>
          <t>15.0</t>
        </is>
      </c>
      <c r="L3908" t="n">
        <v>24.47</v>
      </c>
      <c r="M3908" s="1" t="inlineStr">
        <is>
          <t>63.13%</t>
        </is>
      </c>
      <c r="N3908" s="3" t="n">
        <v>63.13</v>
      </c>
      <c r="O3908" t="n">
        <v>1.8</v>
      </c>
      <c r="P3908" t="n">
        <v>2</v>
      </c>
      <c r="R3908" t="inlineStr">
        <is>
          <t>InStock</t>
        </is>
      </c>
      <c r="S3908" t="inlineStr">
        <is>
          <t>29.95</t>
        </is>
      </c>
      <c r="T3908" t="inlineStr">
        <is>
          <t>F50454</t>
        </is>
      </c>
    </row>
    <row r="3909" hidden="1" ht="15.75" customHeight="1">
      <c r="A3909" s="2">
        <f>HYPERLINK("https://www.soccerplususa.com/adidas/adidas-tabela-14-jersey-youth-6087", "https://www.soccerplususa.com/adidas/adidas-tabela-14-jersey-youth-6087")</f>
        <v/>
      </c>
      <c r="B3909" t="inlineStr">
        <is>
          <t>undefined</t>
        </is>
      </c>
      <c r="C3909" t="inlineStr">
        <is>
          <t>adidas Tabela 14 Jersey Youth</t>
        </is>
      </c>
      <c r="D3909" t="inlineStr">
        <is>
          <t>adidas Youth Tabela 18 Jersey</t>
        </is>
      </c>
      <c r="E3909" s="2">
        <f>HYPERLINK("https://www.amazon.com/adidas-TABELA-Jersey-Y%E2%9D%97%EF%B8%8FShips-Directly/dp/B078LCB4LK/ref=sr_1_9?keywords=adidas+Tabela+14+Jersey+Youth&amp;qid=1695171213&amp;sr=8-9", "https://www.amazon.com/adidas-TABELA-Jersey-Y%E2%9D%97%EF%B8%8FShips-Directly/dp/B078LCB4LK/ref=sr_1_9?keywords=adidas+Tabela+14+Jersey+Youth&amp;qid=1695171213&amp;sr=8-9")</f>
        <v/>
      </c>
      <c r="F3909" t="inlineStr">
        <is>
          <t>B078LCB4LK</t>
        </is>
      </c>
      <c r="G3909">
        <f>_xludf.IMAGE("https://www.soccerplususa.com/prodimages/4590-DEFAULT-l.jpg")</f>
        <v/>
      </c>
      <c r="H3909">
        <f>_xludf.IMAGE("https://m.media-amazon.com/images/I/61G-4wd3sCL._AC_UL320_.jpg")</f>
        <v/>
      </c>
      <c r="K3909" t="inlineStr">
        <is>
          <t>15.0</t>
        </is>
      </c>
      <c r="L3909" t="n">
        <v>24.47</v>
      </c>
      <c r="M3909" s="1" t="inlineStr">
        <is>
          <t>63.13%</t>
        </is>
      </c>
      <c r="N3909" s="3" t="n">
        <v>63.13</v>
      </c>
      <c r="O3909" t="n">
        <v>1.8</v>
      </c>
      <c r="P3909" t="n">
        <v>2</v>
      </c>
      <c r="R3909" t="inlineStr">
        <is>
          <t>InStock</t>
        </is>
      </c>
      <c r="S3909" t="inlineStr">
        <is>
          <t>29.95</t>
        </is>
      </c>
      <c r="T3909" t="inlineStr">
        <is>
          <t>F50459</t>
        </is>
      </c>
    </row>
    <row r="3910" hidden="1" ht="15.75" customHeight="1">
      <c r="A3910" s="2">
        <f>HYPERLINK("https://www.soccerplususa.com/adidas/adidas-tabela-14-jersey-youth-6083", "https://www.soccerplususa.com/adidas/adidas-tabela-14-jersey-youth-6083")</f>
        <v/>
      </c>
      <c r="B3910" t="inlineStr">
        <is>
          <t>undefined</t>
        </is>
      </c>
      <c r="C3910" t="inlineStr">
        <is>
          <t>adidas Tabela 14 Jersey Youth</t>
        </is>
      </c>
      <c r="D3910" t="inlineStr">
        <is>
          <t>adidas Youth Tabela 18 Jersey</t>
        </is>
      </c>
      <c r="E3910" s="2">
        <f>HYPERLINK("https://www.amazon.com/adidas-TABELA-Jersey-Y%E2%9D%97%EF%B8%8FShips-Directly/dp/B078LCB4LK/ref=sr_1_9?keywords=adidas+Tabela+14+Jersey+Youth&amp;qid=1695171215&amp;sr=8-9", "https://www.amazon.com/adidas-TABELA-Jersey-Y%E2%9D%97%EF%B8%8FShips-Directly/dp/B078LCB4LK/ref=sr_1_9?keywords=adidas+Tabela+14+Jersey+Youth&amp;qid=1695171215&amp;sr=8-9")</f>
        <v/>
      </c>
      <c r="F3910" t="inlineStr">
        <is>
          <t>B078LCB4LK</t>
        </is>
      </c>
      <c r="G3910">
        <f>_xludf.IMAGE("https://www.soccerplususa.com/prodimages/4490-DEFAULT-l.jpg")</f>
        <v/>
      </c>
      <c r="H3910">
        <f>_xludf.IMAGE("https://m.media-amazon.com/images/I/61G-4wd3sCL._AC_UL320_.jpg")</f>
        <v/>
      </c>
      <c r="K3910" t="inlineStr">
        <is>
          <t>15.0</t>
        </is>
      </c>
      <c r="L3910" t="n">
        <v>24.47</v>
      </c>
      <c r="M3910" s="1" t="inlineStr">
        <is>
          <t>63.13%</t>
        </is>
      </c>
      <c r="N3910" s="3" t="n">
        <v>63.13</v>
      </c>
      <c r="O3910" t="n">
        <v>1.8</v>
      </c>
      <c r="P3910" t="n">
        <v>2</v>
      </c>
      <c r="R3910" t="inlineStr">
        <is>
          <t>InStock</t>
        </is>
      </c>
      <c r="S3910" t="inlineStr">
        <is>
          <t>29.95</t>
        </is>
      </c>
      <c r="T3910" t="inlineStr">
        <is>
          <t>F50451</t>
        </is>
      </c>
    </row>
    <row r="3911" ht="75" customHeight="1">
      <c r="A3911" s="2">
        <f>HYPERLINK("https://www.soccerplususa.com/adidas/adidas-regista-14-jersey-6067", "https://www.soccerplususa.com/adidas/adidas-regista-14-jersey-6067")</f>
        <v/>
      </c>
      <c r="B3911" t="inlineStr">
        <is>
          <t>undefined</t>
        </is>
      </c>
      <c r="C3911" t="inlineStr">
        <is>
          <t>adidas Regista 14 Jersey</t>
        </is>
      </c>
      <c r="D3911" t="inlineStr">
        <is>
          <t>adidas Men's Regista 14 Soccer Jersey, White, L</t>
        </is>
      </c>
      <c r="E3911" s="2">
        <f>HYPERLINK("https://www.amazon.com/adidas-Regista-Soccer-Jersey-White/dp/B00H3HWOQQ/ref=sr_1_1?keywords=adidas+Regista+14+Jersey&amp;qid=1695171231&amp;sr=8-1", "https://www.amazon.com/adidas-Regista-Soccer-Jersey-White/dp/B00H3HWOQQ/ref=sr_1_1?keywords=adidas+Regista+14+Jersey&amp;qid=1695171231&amp;sr=8-1")</f>
        <v/>
      </c>
      <c r="F3911" t="inlineStr">
        <is>
          <t>B00H3HWOQQ</t>
        </is>
      </c>
      <c r="G3911">
        <f>_xlfn.IMAGE("https://www.soccerplususa.com/prodimages/10329-DEFAULT-l.jpg")</f>
        <v/>
      </c>
      <c r="H3911">
        <f>_xlfn.IMAGE("https://m.media-amazon.com/images/I/51cMf0kbQvL._AC_UL320_.jpg")</f>
        <v/>
      </c>
      <c r="K3911" t="inlineStr">
        <is>
          <t>22.5</t>
        </is>
      </c>
      <c r="L3911" t="n">
        <v>36.44</v>
      </c>
      <c r="M3911" s="1" t="inlineStr">
        <is>
          <t>61.96%</t>
        </is>
      </c>
      <c r="N3911" s="3" t="n">
        <v>61.96</v>
      </c>
      <c r="O3911" t="n">
        <v>5</v>
      </c>
      <c r="P3911" t="n">
        <v>1</v>
      </c>
      <c r="R3911" t="inlineStr">
        <is>
          <t>InStock</t>
        </is>
      </c>
      <c r="S3911" t="inlineStr">
        <is>
          <t>44.95</t>
        </is>
      </c>
      <c r="T3911" t="inlineStr">
        <is>
          <t>F50011</t>
        </is>
      </c>
    </row>
    <row r="3912" ht="75" customHeight="1">
      <c r="A3912" s="2">
        <f>HYPERLINK("https://www.soccerplususa.com/adidas/adidas-regista-14-jersey-6672", "https://www.soccerplususa.com/adidas/adidas-regista-14-jersey-6672")</f>
        <v/>
      </c>
      <c r="B3912" t="inlineStr">
        <is>
          <t>undefined</t>
        </is>
      </c>
      <c r="C3912" t="inlineStr">
        <is>
          <t>adidas Regista 14 Jersey</t>
        </is>
      </c>
      <c r="D3912" t="inlineStr">
        <is>
          <t>adidas Men's Regista 14 Soccer Jersey, White, L</t>
        </is>
      </c>
      <c r="E3912" s="2">
        <f>HYPERLINK("https://www.amazon.com/adidas-Regista-Soccer-Jersey-White/dp/B00H3HWOQQ/ref=sr_1_1?keywords=adidas+Regista+14+Jersey&amp;qid=1695171217&amp;sr=8-1", "https://www.amazon.com/adidas-Regista-Soccer-Jersey-White/dp/B00H3HWOQQ/ref=sr_1_1?keywords=adidas+Regista+14+Jersey&amp;qid=1695171217&amp;sr=8-1")</f>
        <v/>
      </c>
      <c r="F3912" t="inlineStr">
        <is>
          <t>B00H3HWOQQ</t>
        </is>
      </c>
      <c r="G3912">
        <f>_xlfn.IMAGE("https://www.soccerplususa.com/prodimages/10435-DEFAULT-l.jpg")</f>
        <v/>
      </c>
      <c r="H3912">
        <f>_xlfn.IMAGE("https://m.media-amazon.com/images/I/51cMf0kbQvL._AC_UL320_.jpg")</f>
        <v/>
      </c>
      <c r="K3912" t="inlineStr">
        <is>
          <t>22.5</t>
        </is>
      </c>
      <c r="L3912" t="n">
        <v>36.44</v>
      </c>
      <c r="M3912" s="1" t="inlineStr">
        <is>
          <t>61.96%</t>
        </is>
      </c>
      <c r="N3912" s="3" t="n">
        <v>61.96</v>
      </c>
      <c r="O3912" t="n">
        <v>5</v>
      </c>
      <c r="P3912" t="n">
        <v>1</v>
      </c>
      <c r="R3912" t="inlineStr">
        <is>
          <t>InStock</t>
        </is>
      </c>
      <c r="S3912" t="inlineStr">
        <is>
          <t>44.95</t>
        </is>
      </c>
      <c r="T3912" t="inlineStr">
        <is>
          <t>G70830</t>
        </is>
      </c>
    </row>
    <row r="3913" ht="75" customHeight="1">
      <c r="A3913" s="2">
        <f>HYPERLINK("https://www.soccerplususa.com/adidas/adidas-tiro-17-training-jacket-youth-4851", "https://www.soccerplususa.com/adidas/adidas-tiro-17-training-jacket-youth-4851")</f>
        <v/>
      </c>
      <c r="B3913" t="inlineStr">
        <is>
          <t>undefined</t>
        </is>
      </c>
      <c r="C3913" t="inlineStr">
        <is>
          <t>adidas Tiro 17 Training Jacket Youth</t>
        </is>
      </c>
      <c r="D3913" t="inlineStr">
        <is>
          <t>adidas Mens Tiro 17 Training Jacket</t>
        </is>
      </c>
      <c r="E3913" s="2">
        <f>HYPERLINK("https://www.amazon.com/adidas-Youth-Training-Black-Jacket/dp/B01N8X668O/ref=sr_1_3?keywords=adidas+Tiro+17+Training+Jacket+Youth&amp;qid=1695171224&amp;sr=8-3", "https://www.amazon.com/adidas-Youth-Training-Black-Jacket/dp/B01N8X668O/ref=sr_1_3?keywords=adidas+Tiro+17+Training+Jacket+Youth&amp;qid=1695171224&amp;sr=8-3")</f>
        <v/>
      </c>
      <c r="F3913" t="inlineStr">
        <is>
          <t>B01N8X668O</t>
        </is>
      </c>
      <c r="G3913">
        <f>_xlfn.IMAGE("https://www.soccerplususa.com/prodimages/4535-DEFAULT-l.jpg")</f>
        <v/>
      </c>
      <c r="H3913">
        <f>_xlfn.IMAGE("https://m.media-amazon.com/images/I/61eUenswXpL._AC_UL320_.jpg")</f>
        <v/>
      </c>
      <c r="K3913" t="inlineStr">
        <is>
          <t>31.0</t>
        </is>
      </c>
      <c r="L3913" t="n">
        <v>49.99</v>
      </c>
      <c r="M3913" s="1" t="inlineStr">
        <is>
          <t>61.26%</t>
        </is>
      </c>
      <c r="N3913" s="3" t="n">
        <v>61.26</v>
      </c>
      <c r="O3913" t="n">
        <v>4.4</v>
      </c>
      <c r="P3913" t="n">
        <v>128</v>
      </c>
      <c r="R3913" t="inlineStr">
        <is>
          <t>InStock</t>
        </is>
      </c>
      <c r="S3913" t="inlineStr">
        <is>
          <t>59.95</t>
        </is>
      </c>
      <c r="T3913" t="inlineStr">
        <is>
          <t>BJ9296</t>
        </is>
      </c>
    </row>
    <row r="3914" ht="75" customHeight="1">
      <c r="A3914" s="2">
        <f>HYPERLINK("https://www.soccerplususa.com/adidas/adidas-tiro-17-training-jacket-youth-4975", "https://www.soccerplususa.com/adidas/adidas-tiro-17-training-jacket-youth-4975")</f>
        <v/>
      </c>
      <c r="B3914" t="inlineStr">
        <is>
          <t>undefined</t>
        </is>
      </c>
      <c r="C3914" t="inlineStr">
        <is>
          <t>adidas Tiro 17 Training Jacket Youth</t>
        </is>
      </c>
      <c r="D3914" t="inlineStr">
        <is>
          <t>adidas Mens Tiro 17 Training Jacket</t>
        </is>
      </c>
      <c r="E3914" s="2">
        <f>HYPERLINK("https://www.amazon.com/adidas-Youth-Training-Black-Jacket/dp/B01N8X668O/ref=sr_1_3?keywords=adidas+Tiro+17+Training+Jacket+Youth&amp;qid=1695171246&amp;sr=8-3", "https://www.amazon.com/adidas-Youth-Training-Black-Jacket/dp/B01N8X668O/ref=sr_1_3?keywords=adidas+Tiro+17+Training+Jacket+Youth&amp;qid=1695171246&amp;sr=8-3")</f>
        <v/>
      </c>
      <c r="F3914" t="inlineStr">
        <is>
          <t>B01N8X668O</t>
        </is>
      </c>
      <c r="G3914">
        <f>_xlfn.IMAGE("https://www.soccerplususa.com/prodimages/4537-DEFAULT-l.jpg")</f>
        <v/>
      </c>
      <c r="H3914">
        <f>_xlfn.IMAGE("https://m.media-amazon.com/images/I/61eUenswXpL._AC_UL320_.jpg")</f>
        <v/>
      </c>
      <c r="K3914" t="inlineStr">
        <is>
          <t>31.0</t>
        </is>
      </c>
      <c r="L3914" t="n">
        <v>49.99</v>
      </c>
      <c r="M3914" s="1" t="inlineStr">
        <is>
          <t>61.26%</t>
        </is>
      </c>
      <c r="N3914" s="3" t="n">
        <v>61.26</v>
      </c>
      <c r="O3914" t="n">
        <v>4.4</v>
      </c>
      <c r="P3914" t="n">
        <v>128</v>
      </c>
      <c r="R3914" t="inlineStr">
        <is>
          <t>InStock</t>
        </is>
      </c>
      <c r="S3914" t="inlineStr">
        <is>
          <t>59.95</t>
        </is>
      </c>
      <c r="T3914" t="inlineStr">
        <is>
          <t>BR2704</t>
        </is>
      </c>
    </row>
    <row r="3915" ht="75" customHeight="1">
      <c r="A3915" s="2">
        <f>HYPERLINK("https://www.soccerplususa.com/adidas/adidas-tiro-17-training-jacket-youth-4851", "https://www.soccerplususa.com/adidas/adidas-tiro-17-training-jacket-youth-4851")</f>
        <v/>
      </c>
      <c r="B3915" t="inlineStr">
        <is>
          <t>undefined</t>
        </is>
      </c>
      <c r="C3915" t="inlineStr">
        <is>
          <t>adidas Tiro 17 Training Jacket Youth</t>
        </is>
      </c>
      <c r="D3915" t="inlineStr">
        <is>
          <t>adidas Tiro19 Youth Training Jacket</t>
        </is>
      </c>
      <c r="E3915" s="2">
        <f>HYPERLINK("https://www.amazon.com/adidas-DT5276-TIRO19-TR-JKTY/dp/B07H3VS4M6/ref=sr_1_5?keywords=adidas+Tiro+17+Training+Jacket+Youth&amp;qid=1695171224&amp;sr=8-5", "https://www.amazon.com/adidas-DT5276-TIRO19-TR-JKTY/dp/B07H3VS4M6/ref=sr_1_5?keywords=adidas+Tiro+17+Training+Jacket+Youth&amp;qid=1695171224&amp;sr=8-5")</f>
        <v/>
      </c>
      <c r="F3915" t="inlineStr">
        <is>
          <t>B07H3VS4M6</t>
        </is>
      </c>
      <c r="G3915">
        <f>_xlfn.IMAGE("https://www.soccerplususa.com/prodimages/4535-DEFAULT-l.jpg")</f>
        <v/>
      </c>
      <c r="H3915">
        <f>_xlfn.IMAGE("https://m.media-amazon.com/images/I/41j90cyk9hL._AC_UL320_.jpg")</f>
        <v/>
      </c>
      <c r="K3915" t="inlineStr">
        <is>
          <t>31.0</t>
        </is>
      </c>
      <c r="L3915" t="n">
        <v>49.99</v>
      </c>
      <c r="M3915" s="1" t="inlineStr">
        <is>
          <t>61.26%</t>
        </is>
      </c>
      <c r="N3915" s="3" t="n">
        <v>61.26</v>
      </c>
      <c r="O3915" t="n">
        <v>5</v>
      </c>
      <c r="P3915" t="n">
        <v>5</v>
      </c>
      <c r="R3915" t="inlineStr">
        <is>
          <t>InStock</t>
        </is>
      </c>
      <c r="S3915" t="inlineStr">
        <is>
          <t>59.95</t>
        </is>
      </c>
      <c r="T3915" t="inlineStr">
        <is>
          <t>BJ9296</t>
        </is>
      </c>
    </row>
    <row r="3916" ht="75" customHeight="1">
      <c r="A3916" s="2">
        <f>HYPERLINK("https://www.soccerplususa.com/adidas/adidas-tiro-17-training-jacket-youth-4975", "https://www.soccerplususa.com/adidas/adidas-tiro-17-training-jacket-youth-4975")</f>
        <v/>
      </c>
      <c r="B3916" t="inlineStr">
        <is>
          <t>undefined</t>
        </is>
      </c>
      <c r="C3916" t="inlineStr">
        <is>
          <t>adidas Tiro 17 Training Jacket Youth</t>
        </is>
      </c>
      <c r="D3916" t="inlineStr">
        <is>
          <t>adidas Tiro19 Youth Training Jacket</t>
        </is>
      </c>
      <c r="E3916" s="2">
        <f>HYPERLINK("https://www.amazon.com/adidas-DT5276-TIRO19-TR-JKTY/dp/B07H3VS4M6/ref=sr_1_5?keywords=adidas+Tiro+17+Training+Jacket+Youth&amp;qid=1695171246&amp;sr=8-5", "https://www.amazon.com/adidas-DT5276-TIRO19-TR-JKTY/dp/B07H3VS4M6/ref=sr_1_5?keywords=adidas+Tiro+17+Training+Jacket+Youth&amp;qid=1695171246&amp;sr=8-5")</f>
        <v/>
      </c>
      <c r="F3916" t="inlineStr">
        <is>
          <t>B07H3VS4M6</t>
        </is>
      </c>
      <c r="G3916">
        <f>_xlfn.IMAGE("https://www.soccerplususa.com/prodimages/4537-DEFAULT-l.jpg")</f>
        <v/>
      </c>
      <c r="H3916">
        <f>_xlfn.IMAGE("https://m.media-amazon.com/images/I/41j90cyk9hL._AC_UL320_.jpg")</f>
        <v/>
      </c>
      <c r="K3916" t="inlineStr">
        <is>
          <t>31.0</t>
        </is>
      </c>
      <c r="L3916" t="n">
        <v>49.99</v>
      </c>
      <c r="M3916" s="1" t="inlineStr">
        <is>
          <t>61.26%</t>
        </is>
      </c>
      <c r="N3916" s="3" t="n">
        <v>61.26</v>
      </c>
      <c r="O3916" t="n">
        <v>5</v>
      </c>
      <c r="P3916" t="n">
        <v>5</v>
      </c>
      <c r="R3916" t="inlineStr">
        <is>
          <t>InStock</t>
        </is>
      </c>
      <c r="S3916" t="inlineStr">
        <is>
          <t>59.95</t>
        </is>
      </c>
      <c r="T3916" t="inlineStr">
        <is>
          <t>BR2704</t>
        </is>
      </c>
    </row>
    <row r="3917" ht="75" customHeight="1">
      <c r="A3917" s="2">
        <f>HYPERLINK("https://www.soccerplususa.com/nike/nike-epic-training-jacket-24378", "https://www.soccerplususa.com/nike/nike-epic-training-jacket-24378")</f>
        <v/>
      </c>
      <c r="B3917" t="inlineStr">
        <is>
          <t>undefined</t>
        </is>
      </c>
      <c r="C3917" t="inlineStr">
        <is>
          <t>Nike Epic Training Jacket</t>
        </is>
      </c>
      <c r="D3917" t="inlineStr">
        <is>
          <t>Nike Dri-FIT Epic Men's Full-Zip Knit Training Jacket</t>
        </is>
      </c>
      <c r="E3917" s="2">
        <f>HYPERLINK("https://www.amazon.com/Nike-Dri-FIT-Full-Zip-Training-Jacket/dp/B0B7CRZWK9/ref=sr_1_1?keywords=Nike+Epic+Training+Jacket&amp;qid=1695171174&amp;sr=8-1", "https://www.amazon.com/Nike-Dri-FIT-Full-Zip-Training-Jacket/dp/B0B7CRZWK9/ref=sr_1_1?keywords=Nike+Epic+Training+Jacket&amp;qid=1695171174&amp;sr=8-1")</f>
        <v/>
      </c>
      <c r="F3917" t="inlineStr">
        <is>
          <t>B0B7CRZWK9</t>
        </is>
      </c>
      <c r="G3917">
        <f>_xlfn.IMAGE("https://www.soccerplususa.com/prodimages/6287-DEFAULT-l.jpg")</f>
        <v/>
      </c>
      <c r="H3917">
        <f>_xlfn.IMAGE("https://m.media-amazon.com/images/I/51VlXS8UzhL._AC_UL320_.jpg")</f>
        <v/>
      </c>
      <c r="K3917" t="inlineStr">
        <is>
          <t>40.99</t>
        </is>
      </c>
      <c r="L3917" t="n">
        <v>66</v>
      </c>
      <c r="M3917" s="1" t="inlineStr">
        <is>
          <t>61.01%</t>
        </is>
      </c>
      <c r="N3917" s="3" t="n">
        <v>61.01</v>
      </c>
      <c r="O3917" t="n">
        <v>4.8</v>
      </c>
      <c r="P3917" t="n">
        <v>17</v>
      </c>
      <c r="R3917" t="inlineStr">
        <is>
          <t>InStock</t>
        </is>
      </c>
      <c r="S3917" t="inlineStr">
        <is>
          <t>54.95</t>
        </is>
      </c>
      <c r="T3917" t="inlineStr">
        <is>
          <t>835571-466</t>
        </is>
      </c>
    </row>
    <row r="3918" ht="75" customHeight="1">
      <c r="A3918" s="2">
        <f>HYPERLINK("https://www.soccerplususa.com/nike/nike-epic-training-jacket-24378", "https://www.soccerplususa.com/nike/nike-epic-training-jacket-24378")</f>
        <v/>
      </c>
      <c r="B3918" t="inlineStr">
        <is>
          <t>undefined</t>
        </is>
      </c>
      <c r="C3918" t="inlineStr">
        <is>
          <t>Nike Epic Training Jacket</t>
        </is>
      </c>
      <c r="D3918" t="inlineStr">
        <is>
          <t>Dri-FIT Men's Full-Zip Jacket - Nike Men's Training Jacket - Black</t>
        </is>
      </c>
      <c r="E3918" s="2">
        <f>HYPERLINK("https://www.amazon.com/Nike-Dri-FIT-Mens-Full-Zip-Jacket/dp/B08NYG8TG9/ref=sr_1_6?keywords=Nike+Epic+Training+Jacket&amp;qid=1695171174&amp;sr=8-6", "https://www.amazon.com/Nike-Dri-FIT-Mens-Full-Zip-Jacket/dp/B08NYG8TG9/ref=sr_1_6?keywords=Nike+Epic+Training+Jacket&amp;qid=1695171174&amp;sr=8-6")</f>
        <v/>
      </c>
      <c r="F3918" t="inlineStr">
        <is>
          <t>B08NYG8TG9</t>
        </is>
      </c>
      <c r="G3918">
        <f>_xlfn.IMAGE("https://www.soccerplususa.com/prodimages/6287-DEFAULT-l.jpg")</f>
        <v/>
      </c>
      <c r="H3918">
        <f>_xlfn.IMAGE("https://m.media-amazon.com/images/I/61XR2W1hn-L._AC_UL320_.jpg")</f>
        <v/>
      </c>
      <c r="K3918" t="inlineStr">
        <is>
          <t>40.99</t>
        </is>
      </c>
      <c r="L3918" t="n">
        <v>66</v>
      </c>
      <c r="M3918" s="1" t="inlineStr">
        <is>
          <t>61.01%</t>
        </is>
      </c>
      <c r="N3918" s="3" t="n">
        <v>61.01</v>
      </c>
      <c r="O3918" t="n">
        <v>4</v>
      </c>
      <c r="P3918" t="n">
        <v>2</v>
      </c>
      <c r="R3918" t="inlineStr">
        <is>
          <t>InStock</t>
        </is>
      </c>
      <c r="S3918" t="inlineStr">
        <is>
          <t>54.95</t>
        </is>
      </c>
      <c r="T3918" t="inlineStr">
        <is>
          <t>835571-466</t>
        </is>
      </c>
    </row>
    <row r="3919" ht="75" customHeight="1">
      <c r="A3919" s="2">
        <f>HYPERLINK("https://www.soccerplususa.com/adidas/adidas-tiro-17-jersey-youth-8176", "https://www.soccerplususa.com/adidas/adidas-tiro-17-jersey-youth-8176")</f>
        <v/>
      </c>
      <c r="B3919" t="inlineStr">
        <is>
          <t>undefined</t>
        </is>
      </c>
      <c r="C3919" t="inlineStr">
        <is>
          <t>adidas Tiro 17 Jersey Youth</t>
        </is>
      </c>
      <c r="D3919" t="inlineStr">
        <is>
          <t>adidas Youth Soccer Tiro 17 3/4 Pants</t>
        </is>
      </c>
      <c r="E3919" s="2">
        <f>HYPERLINK("https://www.amazon.com/adidas-Youth-Soccer-Pants-Black/dp/B01HNB7506/ref=sr_1_2?keywords=adidas+Tiro+17+Jersey+Youth&amp;qid=1695171210&amp;sr=8-2", "https://www.amazon.com/adidas-Youth-Soccer-Pants-Black/dp/B01HNB7506/ref=sr_1_2?keywords=adidas+Tiro+17+Jersey+Youth&amp;qid=1695171210&amp;sr=8-2")</f>
        <v/>
      </c>
      <c r="F3919" t="inlineStr">
        <is>
          <t>B01HNB7506</t>
        </is>
      </c>
      <c r="G3919">
        <f>_xlfn.IMAGE("https://www.soccerplususa.com/prodimages/7857-DEFAULT-l.jpg")</f>
        <v/>
      </c>
      <c r="H3919">
        <f>_xlfn.IMAGE("https://m.media-amazon.com/images/I/71qtWuLTNKL._AC_UL320_.jpg")</f>
        <v/>
      </c>
      <c r="K3919" t="inlineStr">
        <is>
          <t>20.97</t>
        </is>
      </c>
      <c r="L3919" t="n">
        <v>33.75</v>
      </c>
      <c r="M3919" s="1" t="inlineStr">
        <is>
          <t>60.94%</t>
        </is>
      </c>
      <c r="N3919" s="3" t="n">
        <v>60.94</v>
      </c>
      <c r="O3919" t="n">
        <v>4.3</v>
      </c>
      <c r="P3919" t="n">
        <v>54</v>
      </c>
      <c r="R3919" t="inlineStr">
        <is>
          <t>InStock</t>
        </is>
      </c>
      <c r="S3919" t="inlineStr">
        <is>
          <t>34.95</t>
        </is>
      </c>
      <c r="T3919" t="inlineStr">
        <is>
          <t>S99148</t>
        </is>
      </c>
    </row>
    <row r="3920" ht="75" customHeight="1">
      <c r="A3920" s="2">
        <f>HYPERLINK("https://www.soccerplususa.com/puma/puma-teamfinal-21-graphic-jersey-38698", "https://www.soccerplususa.com/puma/puma-teamfinal-21-graphic-jersey-38698")</f>
        <v/>
      </c>
      <c r="B3920" t="inlineStr">
        <is>
          <t>undefined</t>
        </is>
      </c>
      <c r="C3920" t="inlineStr">
        <is>
          <t>Puma Teamfinal 21 Graphic Jersey</t>
        </is>
      </c>
      <c r="D3920" t="inlineStr">
        <is>
          <t>PUMA womens Teamfinal 21 Graphic Jersey TShirt, Cyber Yellow/Spectra Yellow, XLarge US</t>
        </is>
      </c>
      <c r="E3920" s="2">
        <f>HYPERLINK("https://www.amazon.com/PUMA-Teamfinal-Graphic-X-Large-Spectra/dp/B086TVN4GX/ref=sr_1_9?keywords=Puma+Teamfinal+21+Graphic+Jersey&amp;qid=1695171152&amp;sr=8-9", "https://www.amazon.com/PUMA-Teamfinal-Graphic-X-Large-Spectra/dp/B086TVN4GX/ref=sr_1_9?keywords=Puma+Teamfinal+21+Graphic+Jersey&amp;qid=1695171152&amp;sr=8-9")</f>
        <v/>
      </c>
      <c r="F3920" t="inlineStr">
        <is>
          <t>B086TVN4GX</t>
        </is>
      </c>
      <c r="G3920">
        <f>_xlfn.IMAGE("https://www.soccerplususa.com/prodimages//36790-Electric_Blue-M.jpg")</f>
        <v/>
      </c>
      <c r="H3920">
        <f>_xlfn.IMAGE("https://m.media-amazon.com/images/I/71NK4jeIKIS._AC_UL320_.jpg")</f>
        <v/>
      </c>
      <c r="K3920" t="inlineStr">
        <is>
          <t>29.99</t>
        </is>
      </c>
      <c r="L3920" t="n">
        <v>48</v>
      </c>
      <c r="M3920" s="1" t="inlineStr">
        <is>
          <t>60.05%</t>
        </is>
      </c>
      <c r="N3920" s="3" t="n">
        <v>60.05</v>
      </c>
      <c r="O3920" t="n">
        <v>5</v>
      </c>
      <c r="P3920" t="n">
        <v>2</v>
      </c>
      <c r="R3920" t="inlineStr">
        <is>
          <t>InStock</t>
        </is>
      </c>
      <c r="S3920" t="inlineStr">
        <is>
          <t>39.95</t>
        </is>
      </c>
      <c r="T3920" t="inlineStr">
        <is>
          <t>704150-02</t>
        </is>
      </c>
    </row>
    <row r="3921" ht="75" customHeight="1">
      <c r="A3921" s="2">
        <f>HYPERLINK("https://www.soccerplususa.com/puma/puma-teamfinal-21-graphic-jersey-youth-38699", "https://www.soccerplususa.com/puma/puma-teamfinal-21-graphic-jersey-youth-38699")</f>
        <v/>
      </c>
      <c r="B3921" t="inlineStr">
        <is>
          <t>undefined</t>
        </is>
      </c>
      <c r="C3921" t="inlineStr">
        <is>
          <t>Puma Teamfinal 21 Graphic Jersey Youth</t>
        </is>
      </c>
      <c r="D3921" t="inlineStr">
        <is>
          <t>PUMA womens Teamfinal 21 Graphic Jersey TShirt, Cyber Yellow/Spectra Yellow, XLarge US</t>
        </is>
      </c>
      <c r="E3921" s="2">
        <f>HYPERLINK("https://www.amazon.com/PUMA-Teamfinal-Graphic-X-Large-Spectra/dp/B086TVN4GX/ref=sr_1_3?keywords=Puma+Teamfinal+21+Graphic+Jersey+Youth&amp;qid=1695171153&amp;sr=8-3", "https://www.amazon.com/PUMA-Teamfinal-Graphic-X-Large-Spectra/dp/B086TVN4GX/ref=sr_1_3?keywords=Puma+Teamfinal+21+Graphic+Jersey+Youth&amp;qid=1695171153&amp;sr=8-3")</f>
        <v/>
      </c>
      <c r="F3921" t="inlineStr">
        <is>
          <t>B086TVN4GX</t>
        </is>
      </c>
      <c r="G3921">
        <f>_xlfn.IMAGE("https://www.soccerplususa.com/prodimages//36783-WhiteGray-M.jpg")</f>
        <v/>
      </c>
      <c r="H3921">
        <f>_xlfn.IMAGE("https://m.media-amazon.com/images/I/71NK4jeIKIS._AC_UL320_.jpg")</f>
        <v/>
      </c>
      <c r="K3921" t="inlineStr">
        <is>
          <t>29.99</t>
        </is>
      </c>
      <c r="L3921" t="n">
        <v>48</v>
      </c>
      <c r="M3921" s="1" t="inlineStr">
        <is>
          <t>60.05%</t>
        </is>
      </c>
      <c r="N3921" s="3" t="n">
        <v>60.05</v>
      </c>
      <c r="O3921" t="n">
        <v>5</v>
      </c>
      <c r="P3921" t="n">
        <v>2</v>
      </c>
      <c r="R3921" t="inlineStr">
        <is>
          <t>InStock</t>
        </is>
      </c>
      <c r="S3921" t="inlineStr">
        <is>
          <t>39.95</t>
        </is>
      </c>
      <c r="T3921" t="inlineStr">
        <is>
          <t>704369-04</t>
        </is>
      </c>
    </row>
    <row r="3922" ht="75" customHeight="1">
      <c r="A3922" s="2">
        <f>HYPERLINK("https://www.soccerplususa.com/puma/puma-teamfinal-21-graphic-jersey-42133", "https://www.soccerplususa.com/puma/puma-teamfinal-21-graphic-jersey-42133")</f>
        <v/>
      </c>
      <c r="B3922" t="inlineStr">
        <is>
          <t>undefined</t>
        </is>
      </c>
      <c r="C3922" t="inlineStr">
        <is>
          <t>Puma Teamfinal 21 Graphic Jersey</t>
        </is>
      </c>
      <c r="D3922" t="inlineStr">
        <is>
          <t>PUMA womens Teamfinal 21 Graphic Jersey TShirt, Cyber Yellow/Spectra Yellow, XLarge US</t>
        </is>
      </c>
      <c r="E3922" s="2">
        <f>HYPERLINK("https://www.amazon.com/PUMA-Teamfinal-Graphic-X-Large-Spectra/dp/B086TVN4GX/ref=sr_1_7?keywords=Puma+Teamfinal+21+Graphic+Jersey&amp;qid=1695171174&amp;sr=8-7", "https://www.amazon.com/PUMA-Teamfinal-Graphic-X-Large-Spectra/dp/B086TVN4GX/ref=sr_1_7?keywords=Puma+Teamfinal+21+Graphic+Jersey&amp;qid=1695171174&amp;sr=8-7")</f>
        <v/>
      </c>
      <c r="F3922" t="inlineStr">
        <is>
          <t>B086TVN4GX</t>
        </is>
      </c>
      <c r="G3922">
        <f>_xlfn.IMAGE("https://www.soccerplususa.com/prodimages//37416-GRAY-M.jpg")</f>
        <v/>
      </c>
      <c r="H3922">
        <f>_xlfn.IMAGE("https://m.media-amazon.com/images/I/71NK4jeIKIS._AC_UL320_.jpg")</f>
        <v/>
      </c>
      <c r="K3922" t="inlineStr">
        <is>
          <t>29.99</t>
        </is>
      </c>
      <c r="L3922" t="n">
        <v>48</v>
      </c>
      <c r="M3922" s="1" t="inlineStr">
        <is>
          <t>60.05%</t>
        </is>
      </c>
      <c r="N3922" s="3" t="n">
        <v>60.05</v>
      </c>
      <c r="O3922" t="n">
        <v>5</v>
      </c>
      <c r="P3922" t="n">
        <v>2</v>
      </c>
      <c r="R3922" t="inlineStr">
        <is>
          <t>InStock</t>
        </is>
      </c>
      <c r="S3922" t="inlineStr">
        <is>
          <t>39.95</t>
        </is>
      </c>
      <c r="T3922" t="inlineStr">
        <is>
          <t>704150-13</t>
        </is>
      </c>
    </row>
    <row r="3923" ht="75" customHeight="1">
      <c r="A3923" s="2">
        <f>HYPERLINK("https://www.soccerplususa.com/puma/puma-teamfinal-21-graphic-jersey-womens-42094", "https://www.soccerplususa.com/puma/puma-teamfinal-21-graphic-jersey-womens-42094")</f>
        <v/>
      </c>
      <c r="B3923" t="inlineStr">
        <is>
          <t>undefined</t>
        </is>
      </c>
      <c r="C3923" t="inlineStr">
        <is>
          <t>Puma Teamfinal 21 Graphic Jersey Women's</t>
        </is>
      </c>
      <c r="D3923" t="inlineStr">
        <is>
          <t>PUMA womens Teamfinal 21 Graphic Jersey TShirt, Cyber Yellow/Spectra Yellow, XLarge US</t>
        </is>
      </c>
      <c r="E3923" s="2">
        <f>HYPERLINK("https://www.amazon.com/PUMA-Teamfinal-Graphic-X-Large-Spectra/dp/B086TVN4GX/ref=sr_1_6?keywords=Puma+Teamfinal+21+Graphic+Jersey+Women%27s&amp;qid=1695171144&amp;sr=8-6", "https://www.amazon.com/PUMA-Teamfinal-Graphic-X-Large-Spectra/dp/B086TVN4GX/ref=sr_1_6?keywords=Puma+Teamfinal+21+Graphic+Jersey+Women%27s&amp;qid=1695171144&amp;sr=8-6")</f>
        <v/>
      </c>
      <c r="F3923" t="inlineStr">
        <is>
          <t>B086TVN4GX</t>
        </is>
      </c>
      <c r="G3923">
        <f>_xlfn.IMAGE("https://www.soccerplususa.com/prodimages//37425-BLACK-M.jpg")</f>
        <v/>
      </c>
      <c r="H3923">
        <f>_xlfn.IMAGE("https://m.media-amazon.com/images/I/71NK4jeIKIS._AC_UL320_.jpg")</f>
        <v/>
      </c>
      <c r="K3923" t="inlineStr">
        <is>
          <t>29.99</t>
        </is>
      </c>
      <c r="L3923" t="n">
        <v>48</v>
      </c>
      <c r="M3923" s="1" t="inlineStr">
        <is>
          <t>60.05%</t>
        </is>
      </c>
      <c r="N3923" s="3" t="n">
        <v>60.05</v>
      </c>
      <c r="O3923" t="n">
        <v>5</v>
      </c>
      <c r="P3923" t="n">
        <v>2</v>
      </c>
      <c r="R3923" t="inlineStr">
        <is>
          <t>InStock</t>
        </is>
      </c>
      <c r="S3923" t="inlineStr">
        <is>
          <t>39.95</t>
        </is>
      </c>
      <c r="T3923" t="inlineStr">
        <is>
          <t>704368-03</t>
        </is>
      </c>
    </row>
    <row r="3924" ht="75" customHeight="1">
      <c r="A3924" s="2">
        <f>HYPERLINK("https://www.soccerplususa.com/puma/puma-teamfinal-21-graphic-jersey-youth-42095", "https://www.soccerplususa.com/puma/puma-teamfinal-21-graphic-jersey-youth-42095")</f>
        <v/>
      </c>
      <c r="B3924" t="inlineStr">
        <is>
          <t>undefined</t>
        </is>
      </c>
      <c r="C3924" t="inlineStr">
        <is>
          <t>Puma Teamfinal 21 Graphic Jersey Youth</t>
        </is>
      </c>
      <c r="D3924" t="inlineStr">
        <is>
          <t>PUMA womens Teamfinal 21 Graphic Jersey TShirt, Cyber Yellow/Spectra Yellow, XLarge US</t>
        </is>
      </c>
      <c r="E3924" s="2">
        <f>HYPERLINK("https://www.amazon.com/PUMA-Teamfinal-Graphic-X-Large-Spectra/dp/B086TVN4GX/ref=sr_1_3?keywords=Puma+Teamfinal+21+Graphic+Jersey+Youth&amp;qid=1695171148&amp;sr=8-3", "https://www.amazon.com/PUMA-Teamfinal-Graphic-X-Large-Spectra/dp/B086TVN4GX/ref=sr_1_3?keywords=Puma+Teamfinal+21+Graphic+Jersey+Youth&amp;qid=1695171148&amp;sr=8-3")</f>
        <v/>
      </c>
      <c r="F3924" t="inlineStr">
        <is>
          <t>B086TVN4GX</t>
        </is>
      </c>
      <c r="G3924">
        <f>_xlfn.IMAGE("https://www.soccerplususa.com/prodimages//37424-BLACK-M.jpg")</f>
        <v/>
      </c>
      <c r="H3924">
        <f>_xlfn.IMAGE("https://m.media-amazon.com/images/I/71NK4jeIKIS._AC_UL320_.jpg")</f>
        <v/>
      </c>
      <c r="K3924" t="inlineStr">
        <is>
          <t>29.99</t>
        </is>
      </c>
      <c r="L3924" t="n">
        <v>48</v>
      </c>
      <c r="M3924" s="1" t="inlineStr">
        <is>
          <t>60.05%</t>
        </is>
      </c>
      <c r="N3924" s="3" t="n">
        <v>60.05</v>
      </c>
      <c r="O3924" t="n">
        <v>5</v>
      </c>
      <c r="P3924" t="n">
        <v>2</v>
      </c>
      <c r="R3924" t="inlineStr">
        <is>
          <t>InStock</t>
        </is>
      </c>
      <c r="S3924" t="inlineStr">
        <is>
          <t>39.95</t>
        </is>
      </c>
      <c r="T3924" t="inlineStr">
        <is>
          <t>704369-03</t>
        </is>
      </c>
    </row>
    <row r="3925" ht="75" customHeight="1">
      <c r="A3925" s="2">
        <f>HYPERLINK("https://www.soccerplususa.com/puma/puma-teamfinal-21-graphic-jersey-38700", "https://www.soccerplususa.com/puma/puma-teamfinal-21-graphic-jersey-38700")</f>
        <v/>
      </c>
      <c r="B3925" t="inlineStr">
        <is>
          <t>undefined</t>
        </is>
      </c>
      <c r="C3925" t="inlineStr">
        <is>
          <t>Puma Teamfinal 21 Graphic Jersey</t>
        </is>
      </c>
      <c r="D3925" t="inlineStr">
        <is>
          <t>PUMA womens Teamfinal 21 Graphic Jersey TShirt, Cyber Yellow/Spectra Yellow, XLarge US</t>
        </is>
      </c>
      <c r="E3925" s="2">
        <f>HYPERLINK("https://www.amazon.com/PUMA-Teamfinal-Graphic-X-Large-Spectra/dp/B086TVN4GX/ref=sr_1_7?keywords=Puma+Teamfinal+21+Graphic+Jersey&amp;qid=1695171150&amp;sr=8-7", "https://www.amazon.com/PUMA-Teamfinal-Graphic-X-Large-Spectra/dp/B086TVN4GX/ref=sr_1_7?keywords=Puma+Teamfinal+21+Graphic+Jersey&amp;qid=1695171150&amp;sr=8-7")</f>
        <v/>
      </c>
      <c r="F3925" t="inlineStr">
        <is>
          <t>B086TVN4GX</t>
        </is>
      </c>
      <c r="G3925">
        <f>_xlfn.IMAGE("https://www.soccerplususa.com/prodimages//36789-WhiteGray-M.jpg")</f>
        <v/>
      </c>
      <c r="H3925">
        <f>_xlfn.IMAGE("https://m.media-amazon.com/images/I/71NK4jeIKIS._AC_UL320_.jpg")</f>
        <v/>
      </c>
      <c r="K3925" t="inlineStr">
        <is>
          <t>29.99</t>
        </is>
      </c>
      <c r="L3925" t="n">
        <v>48</v>
      </c>
      <c r="M3925" s="1" t="inlineStr">
        <is>
          <t>60.05%</t>
        </is>
      </c>
      <c r="N3925" s="3" t="n">
        <v>60.05</v>
      </c>
      <c r="O3925" t="n">
        <v>5</v>
      </c>
      <c r="P3925" t="n">
        <v>2</v>
      </c>
      <c r="R3925" t="inlineStr">
        <is>
          <t>InStock</t>
        </is>
      </c>
      <c r="S3925" t="inlineStr">
        <is>
          <t>39.95</t>
        </is>
      </c>
      <c r="T3925" t="inlineStr">
        <is>
          <t>704150-04</t>
        </is>
      </c>
    </row>
    <row r="3926" ht="75" customHeight="1">
      <c r="A3926" s="2">
        <f>HYPERLINK("https://www.soccerplususa.com/puma/puma-teamfinal-21-graphic-jersey-youth-40619", "https://www.soccerplususa.com/puma/puma-teamfinal-21-graphic-jersey-youth-40619")</f>
        <v/>
      </c>
      <c r="B3926" t="inlineStr">
        <is>
          <t>undefined</t>
        </is>
      </c>
      <c r="C3926" t="inlineStr">
        <is>
          <t>Puma Teamfinal 21 Graphic Jersey Youth</t>
        </is>
      </c>
      <c r="D3926" t="inlineStr">
        <is>
          <t>PUMA womens Teamfinal 21 Graphic Jersey TShirt, Cyber Yellow/Spectra Yellow, XLarge US</t>
        </is>
      </c>
      <c r="E3926" s="2">
        <f>HYPERLINK("https://www.amazon.com/PUMA-Teamfinal-Graphic-X-Large-Spectra/dp/B086TVN4GX/ref=sr_1_3?keywords=Puma+Teamfinal+21+Graphic+Jersey+Youth&amp;qid=1695171149&amp;sr=8-3", "https://www.amazon.com/PUMA-Teamfinal-Graphic-X-Large-Spectra/dp/B086TVN4GX/ref=sr_1_3?keywords=Puma+Teamfinal+21+Graphic+Jersey+Youth&amp;qid=1695171149&amp;sr=8-3")</f>
        <v/>
      </c>
      <c r="F3926" t="inlineStr">
        <is>
          <t>B086TVN4GX</t>
        </is>
      </c>
      <c r="G3926">
        <f>_xlfn.IMAGE("https://www.soccerplususa.com/prodimages//37415-Pepper_Green-M.jpg")</f>
        <v/>
      </c>
      <c r="H3926">
        <f>_xlfn.IMAGE("https://m.media-amazon.com/images/I/71NK4jeIKIS._AC_UL320_.jpg")</f>
        <v/>
      </c>
      <c r="K3926" t="inlineStr">
        <is>
          <t>29.99</t>
        </is>
      </c>
      <c r="L3926" t="n">
        <v>48</v>
      </c>
      <c r="M3926" s="1" t="inlineStr">
        <is>
          <t>60.05%</t>
        </is>
      </c>
      <c r="N3926" s="3" t="n">
        <v>60.05</v>
      </c>
      <c r="O3926" t="n">
        <v>5</v>
      </c>
      <c r="P3926" t="n">
        <v>2</v>
      </c>
      <c r="R3926" t="inlineStr">
        <is>
          <t>InStock</t>
        </is>
      </c>
      <c r="S3926" t="inlineStr">
        <is>
          <t>39.95</t>
        </is>
      </c>
      <c r="T3926" t="inlineStr">
        <is>
          <t>704369-05</t>
        </is>
      </c>
    </row>
    <row r="3927" ht="75" customHeight="1">
      <c r="A3927" s="2">
        <f>HYPERLINK("https://www.soccerplususa.com/puma/puma-teamfinal-21-graphic-jersey-41907", "https://www.soccerplususa.com/puma/puma-teamfinal-21-graphic-jersey-41907")</f>
        <v/>
      </c>
      <c r="B3927" t="inlineStr">
        <is>
          <t>undefined</t>
        </is>
      </c>
      <c r="C3927" t="inlineStr">
        <is>
          <t>Puma Teamfinal 21 Graphic Jersey</t>
        </is>
      </c>
      <c r="D3927" t="inlineStr">
        <is>
          <t>PUMA womens Teamfinal 21 Graphic Jersey TShirt, Cyber Yellow/Spectra Yellow, XLarge US</t>
        </is>
      </c>
      <c r="E3927" s="2">
        <f>HYPERLINK("https://www.amazon.com/PUMA-Teamfinal-Graphic-X-Large-Spectra/dp/B086TVN4GX/ref=sr_1_7?keywords=Puma+Teamfinal+21+Graphic+Jersey&amp;qid=1695171144&amp;sr=8-7", "https://www.amazon.com/PUMA-Teamfinal-Graphic-X-Large-Spectra/dp/B086TVN4GX/ref=sr_1_7?keywords=Puma+Teamfinal+21+Graphic+Jersey&amp;qid=1695171144&amp;sr=8-7")</f>
        <v/>
      </c>
      <c r="F3927" t="inlineStr">
        <is>
          <t>B086TVN4GX</t>
        </is>
      </c>
      <c r="G3927">
        <f>_xlfn.IMAGE("https://www.soccerplususa.com/prodimages//37409-NAVY-M.jpg")</f>
        <v/>
      </c>
      <c r="H3927">
        <f>_xlfn.IMAGE("https://m.media-amazon.com/images/I/71NK4jeIKIS._AC_UL320_.jpg")</f>
        <v/>
      </c>
      <c r="K3927" t="inlineStr">
        <is>
          <t>29.99</t>
        </is>
      </c>
      <c r="L3927" t="n">
        <v>48</v>
      </c>
      <c r="M3927" s="1" t="inlineStr">
        <is>
          <t>60.05%</t>
        </is>
      </c>
      <c r="N3927" s="3" t="n">
        <v>60.05</v>
      </c>
      <c r="O3927" t="n">
        <v>5</v>
      </c>
      <c r="P3927" t="n">
        <v>2</v>
      </c>
      <c r="R3927" t="inlineStr">
        <is>
          <t>InStock</t>
        </is>
      </c>
      <c r="S3927" t="inlineStr">
        <is>
          <t>39.95</t>
        </is>
      </c>
      <c r="T3927" t="inlineStr">
        <is>
          <t>704150-06</t>
        </is>
      </c>
    </row>
    <row r="3928" ht="75" customHeight="1">
      <c r="A3928" s="2">
        <f>HYPERLINK("https://www.soccerplususa.com/puma/puma-teamfinal-21-graphic-jersey-38602", "https://www.soccerplususa.com/puma/puma-teamfinal-21-graphic-jersey-38602")</f>
        <v/>
      </c>
      <c r="B3928" t="inlineStr">
        <is>
          <t>undefined</t>
        </is>
      </c>
      <c r="C3928" t="inlineStr">
        <is>
          <t>Puma Teamfinal 21 Graphic Jersey</t>
        </is>
      </c>
      <c r="D3928" t="inlineStr">
        <is>
          <t>PUMA womens Teamfinal 21 Graphic Jersey TShirt, Cyber Yellow/Spectra Yellow, XLarge US</t>
        </is>
      </c>
      <c r="E3928" s="2">
        <f>HYPERLINK("https://www.amazon.com/PUMA-Teamfinal-Graphic-X-Large-Spectra/dp/B086TVN4GX/ref=sr_1_7?keywords=Puma+Teamfinal+21+Graphic+Jersey&amp;qid=1695171165&amp;sr=8-7", "https://www.amazon.com/PUMA-Teamfinal-Graphic-X-Large-Spectra/dp/B086TVN4GX/ref=sr_1_7?keywords=Puma+Teamfinal+21+Graphic+Jersey&amp;qid=1695171165&amp;sr=8-7")</f>
        <v/>
      </c>
      <c r="F3928" t="inlineStr">
        <is>
          <t>B086TVN4GX</t>
        </is>
      </c>
      <c r="G3928">
        <f>_xlfn.IMAGE("https://www.soccerplususa.com/prodimages//35266-YELLOW-M.jpg")</f>
        <v/>
      </c>
      <c r="H3928">
        <f>_xlfn.IMAGE("https://m.media-amazon.com/images/I/71NK4jeIKIS._AC_UL320_.jpg")</f>
        <v/>
      </c>
      <c r="K3928" t="inlineStr">
        <is>
          <t>29.99</t>
        </is>
      </c>
      <c r="L3928" t="n">
        <v>48</v>
      </c>
      <c r="M3928" s="1" t="inlineStr">
        <is>
          <t>60.05%</t>
        </is>
      </c>
      <c r="N3928" s="3" t="n">
        <v>60.05</v>
      </c>
      <c r="O3928" t="n">
        <v>5</v>
      </c>
      <c r="P3928" t="n">
        <v>2</v>
      </c>
      <c r="R3928" t="inlineStr">
        <is>
          <t>InStock</t>
        </is>
      </c>
      <c r="S3928" t="inlineStr">
        <is>
          <t>39.95</t>
        </is>
      </c>
      <c r="T3928" t="inlineStr">
        <is>
          <t>704150-07</t>
        </is>
      </c>
    </row>
    <row r="3929" ht="75" customHeight="1">
      <c r="A3929" s="2">
        <f>HYPERLINK("https://www.soccerplususa.com/puma/puma-teamfinal-21-graphic-jersey-42091", "https://www.soccerplususa.com/puma/puma-teamfinal-21-graphic-jersey-42091")</f>
        <v/>
      </c>
      <c r="B3929" t="inlineStr">
        <is>
          <t>undefined</t>
        </is>
      </c>
      <c r="C3929" t="inlineStr">
        <is>
          <t>Puma Teamfinal 21 Graphic Jersey</t>
        </is>
      </c>
      <c r="D3929" t="inlineStr">
        <is>
          <t>PUMA womens Teamfinal 21 Graphic Jersey TShirt, Cyber Yellow/Spectra Yellow, XLarge US</t>
        </is>
      </c>
      <c r="E3929" s="2">
        <f>HYPERLINK("https://www.amazon.com/PUMA-Teamfinal-Graphic-X-Large-Spectra/dp/B086TVN4GX/ref=sr_1_7?keywords=Puma+Teamfinal+21+Graphic+Jersey&amp;qid=1695171145&amp;sr=8-7", "https://www.amazon.com/PUMA-Teamfinal-Graphic-X-Large-Spectra/dp/B086TVN4GX/ref=sr_1_7?keywords=Puma+Teamfinal+21+Graphic+Jersey&amp;qid=1695171145&amp;sr=8-7")</f>
        <v/>
      </c>
      <c r="F3929" t="inlineStr">
        <is>
          <t>B086TVN4GX</t>
        </is>
      </c>
      <c r="G3929">
        <f>_xlfn.IMAGE("https://www.soccerplususa.com/prodimages//37420-RED-M.jpg")</f>
        <v/>
      </c>
      <c r="H3929">
        <f>_xlfn.IMAGE("https://m.media-amazon.com/images/I/71NK4jeIKIS._AC_UL320_.jpg")</f>
        <v/>
      </c>
      <c r="K3929" t="inlineStr">
        <is>
          <t>29.99</t>
        </is>
      </c>
      <c r="L3929" t="n">
        <v>48</v>
      </c>
      <c r="M3929" s="1" t="inlineStr">
        <is>
          <t>60.05%</t>
        </is>
      </c>
      <c r="N3929" s="3" t="n">
        <v>60.05</v>
      </c>
      <c r="O3929" t="n">
        <v>5</v>
      </c>
      <c r="P3929" t="n">
        <v>2</v>
      </c>
      <c r="R3929" t="inlineStr">
        <is>
          <t>InStock</t>
        </is>
      </c>
      <c r="S3929" t="inlineStr">
        <is>
          <t>39.95</t>
        </is>
      </c>
      <c r="T3929" t="inlineStr">
        <is>
          <t>704150-01</t>
        </is>
      </c>
    </row>
    <row r="3930" ht="75" customHeight="1">
      <c r="A3930" s="2">
        <f>HYPERLINK("https://www.soccerplususa.com/puma/puma-teamfinal-21-graphic-jersey-40618", "https://www.soccerplususa.com/puma/puma-teamfinal-21-graphic-jersey-40618")</f>
        <v/>
      </c>
      <c r="B3930" t="inlineStr">
        <is>
          <t>undefined</t>
        </is>
      </c>
      <c r="C3930" t="inlineStr">
        <is>
          <t>Puma Teamfinal 21 Graphic Jersey</t>
        </is>
      </c>
      <c r="D3930" t="inlineStr">
        <is>
          <t>PUMA womens Teamfinal 21 Graphic Jersey TShirt, Cyber Yellow/Spectra Yellow, XLarge US</t>
        </is>
      </c>
      <c r="E3930" s="2">
        <f>HYPERLINK("https://www.amazon.com/PUMA-Teamfinal-Graphic-X-Large-Spectra/dp/B086TVN4GX/ref=sr_1_7?keywords=Puma+Teamfinal+21+Graphic+Jersey&amp;qid=1695171148&amp;sr=8-7", "https://www.amazon.com/PUMA-Teamfinal-Graphic-X-Large-Spectra/dp/B086TVN4GX/ref=sr_1_7?keywords=Puma+Teamfinal+21+Graphic+Jersey&amp;qid=1695171148&amp;sr=8-7")</f>
        <v/>
      </c>
      <c r="F3930" t="inlineStr">
        <is>
          <t>B086TVN4GX</t>
        </is>
      </c>
      <c r="G3930">
        <f>_xlfn.IMAGE("https://www.soccerplususa.com/prodimages//37414-Pepper_Green-M.jpg")</f>
        <v/>
      </c>
      <c r="H3930">
        <f>_xlfn.IMAGE("https://m.media-amazon.com/images/I/71NK4jeIKIS._AC_UL320_.jpg")</f>
        <v/>
      </c>
      <c r="K3930" t="inlineStr">
        <is>
          <t>29.99</t>
        </is>
      </c>
      <c r="L3930" t="n">
        <v>48</v>
      </c>
      <c r="M3930" s="1" t="inlineStr">
        <is>
          <t>60.05%</t>
        </is>
      </c>
      <c r="N3930" s="3" t="n">
        <v>60.05</v>
      </c>
      <c r="O3930" t="n">
        <v>5</v>
      </c>
      <c r="P3930" t="n">
        <v>2</v>
      </c>
      <c r="R3930" t="inlineStr">
        <is>
          <t>InStock</t>
        </is>
      </c>
      <c r="S3930" t="inlineStr">
        <is>
          <t>39.95</t>
        </is>
      </c>
      <c r="T3930" t="inlineStr">
        <is>
          <t>704150-05</t>
        </is>
      </c>
    </row>
    <row r="3931" ht="75" customHeight="1">
      <c r="A3931" s="2">
        <f>HYPERLINK("https://www.soccerplususa.com/puma/puma-teamfinal-21-graphic-jersey-42093", "https://www.soccerplususa.com/puma/puma-teamfinal-21-graphic-jersey-42093")</f>
        <v/>
      </c>
      <c r="B3931" t="inlineStr">
        <is>
          <t>undefined</t>
        </is>
      </c>
      <c r="C3931" t="inlineStr">
        <is>
          <t>Puma Teamfinal 21 Graphic Jersey</t>
        </is>
      </c>
      <c r="D3931" t="inlineStr">
        <is>
          <t>PUMA womens Teamfinal 21 Graphic Jersey TShirt, Cyber Yellow/Spectra Yellow, XLarge US</t>
        </is>
      </c>
      <c r="E3931" s="2">
        <f>HYPERLINK("https://www.amazon.com/PUMA-Teamfinal-Graphic-X-Large-Spectra/dp/B086TVN4GX/ref=sr_1_9?keywords=Puma+Teamfinal+21+Graphic+Jersey&amp;qid=1695171154&amp;sr=8-9", "https://www.amazon.com/PUMA-Teamfinal-Graphic-X-Large-Spectra/dp/B086TVN4GX/ref=sr_1_9?keywords=Puma+Teamfinal+21+Graphic+Jersey&amp;qid=1695171154&amp;sr=8-9")</f>
        <v/>
      </c>
      <c r="F3931" t="inlineStr">
        <is>
          <t>B086TVN4GX</t>
        </is>
      </c>
      <c r="G3931">
        <f>_xlfn.IMAGE("https://www.soccerplususa.com/prodimages//37423-BLACK-M.jpg")</f>
        <v/>
      </c>
      <c r="H3931">
        <f>_xlfn.IMAGE("https://m.media-amazon.com/images/I/71NK4jeIKIS._AC_UL320_.jpg")</f>
        <v/>
      </c>
      <c r="K3931" t="inlineStr">
        <is>
          <t>29.99</t>
        </is>
      </c>
      <c r="L3931" t="n">
        <v>48</v>
      </c>
      <c r="M3931" s="1" t="inlineStr">
        <is>
          <t>60.05%</t>
        </is>
      </c>
      <c r="N3931" s="3" t="n">
        <v>60.05</v>
      </c>
      <c r="O3931" t="n">
        <v>5</v>
      </c>
      <c r="P3931" t="n">
        <v>2</v>
      </c>
      <c r="R3931" t="inlineStr">
        <is>
          <t>InStock</t>
        </is>
      </c>
      <c r="S3931" t="inlineStr">
        <is>
          <t>39.95</t>
        </is>
      </c>
      <c r="T3931" t="inlineStr">
        <is>
          <t>704150-03</t>
        </is>
      </c>
    </row>
    <row r="3932" ht="75" customHeight="1">
      <c r="A3932" s="2">
        <f>HYPERLINK("https://www.soccerplususa.com/puma/puma-teamfinal-21-graphic-jersey-womens-40983", "https://www.soccerplususa.com/puma/puma-teamfinal-21-graphic-jersey-womens-40983")</f>
        <v/>
      </c>
      <c r="B3932" t="inlineStr">
        <is>
          <t>undefined</t>
        </is>
      </c>
      <c r="C3932" t="inlineStr">
        <is>
          <t>Puma TeamFinal 21 Graphic Jersey Women's</t>
        </is>
      </c>
      <c r="D3932" t="inlineStr">
        <is>
          <t>PUMA womens Teamfinal 21 Graphic Jersey TShirt, Cyber Yellow/Spectra Yellow, XLarge US</t>
        </is>
      </c>
      <c r="E3932" s="2">
        <f>HYPERLINK("https://www.amazon.com/PUMA-Teamfinal-Graphic-X-Large-Spectra/dp/B086TVN4GX/ref=sr_1_6?keywords=Puma+TeamFinal+21+Graphic+Jersey+Womens&amp;qid=1695171190&amp;sr=8-6", "https://www.amazon.com/PUMA-Teamfinal-Graphic-X-Large-Spectra/dp/B086TVN4GX/ref=sr_1_6?keywords=Puma+TeamFinal+21+Graphic+Jersey+Womens&amp;qid=1695171190&amp;sr=8-6")</f>
        <v/>
      </c>
      <c r="F3932" t="inlineStr">
        <is>
          <t>B086TVN4GX</t>
        </is>
      </c>
      <c r="G3932">
        <f>_xlfn.IMAGE("https://www.soccerplususa.com/prodimages//37422-RED-M.jpg")</f>
        <v/>
      </c>
      <c r="H3932">
        <f>_xlfn.IMAGE("https://m.media-amazon.com/images/I/71NK4jeIKIS._AC_UL320_.jpg")</f>
        <v/>
      </c>
      <c r="K3932" t="inlineStr">
        <is>
          <t>29.99</t>
        </is>
      </c>
      <c r="L3932" t="n">
        <v>48</v>
      </c>
      <c r="M3932" s="1" t="inlineStr">
        <is>
          <t>60.05%</t>
        </is>
      </c>
      <c r="N3932" s="3" t="n">
        <v>60.05</v>
      </c>
      <c r="O3932" t="n">
        <v>5</v>
      </c>
      <c r="P3932" t="n">
        <v>2</v>
      </c>
      <c r="R3932" t="inlineStr">
        <is>
          <t>InStock</t>
        </is>
      </c>
      <c r="S3932" t="inlineStr">
        <is>
          <t>39.95</t>
        </is>
      </c>
      <c r="T3932" t="inlineStr">
        <is>
          <t>704368-01</t>
        </is>
      </c>
    </row>
    <row r="3933" ht="75" customHeight="1">
      <c r="A3933" s="2">
        <f>HYPERLINK("https://www.soccerplususa.com/puma/puma-teamfinal-21-graphic-jersey-youth-38697", "https://www.soccerplususa.com/puma/puma-teamfinal-21-graphic-jersey-youth-38697")</f>
        <v/>
      </c>
      <c r="B3933" t="inlineStr">
        <is>
          <t>undefined</t>
        </is>
      </c>
      <c r="C3933" t="inlineStr">
        <is>
          <t>Puma Teamfinal 21 Graphic Jersey Youth</t>
        </is>
      </c>
      <c r="D3933" t="inlineStr">
        <is>
          <t>PUMA womens Teamfinal 21 Graphic Jersey TShirt, Cyber Yellow/Spectra Yellow, XLarge US</t>
        </is>
      </c>
      <c r="E3933" s="2">
        <f>HYPERLINK("https://www.amazon.com/PUMA-Teamfinal-Graphic-X-Large-Spectra/dp/B086TVN4GX/ref=sr_1_3?keywords=Puma+Teamfinal+21+Graphic+Jersey+Youth&amp;qid=1695171156&amp;sr=8-3", "https://www.amazon.com/PUMA-Teamfinal-Graphic-X-Large-Spectra/dp/B086TVN4GX/ref=sr_1_3?keywords=Puma+Teamfinal+21+Graphic+Jersey+Youth&amp;qid=1695171156&amp;sr=8-3")</f>
        <v/>
      </c>
      <c r="F3933" t="inlineStr">
        <is>
          <t>B086TVN4GX</t>
        </is>
      </c>
      <c r="G3933">
        <f>_xlfn.IMAGE("https://www.soccerplususa.com/prodimages//36781-Electric_Blue-M.jpg")</f>
        <v/>
      </c>
      <c r="H3933">
        <f>_xlfn.IMAGE("https://m.media-amazon.com/images/I/71NK4jeIKIS._AC_UL320_.jpg")</f>
        <v/>
      </c>
      <c r="K3933" t="inlineStr">
        <is>
          <t>29.99</t>
        </is>
      </c>
      <c r="L3933" t="n">
        <v>48</v>
      </c>
      <c r="M3933" s="1" t="inlineStr">
        <is>
          <t>60.05%</t>
        </is>
      </c>
      <c r="N3933" s="3" t="n">
        <v>60.05</v>
      </c>
      <c r="O3933" t="n">
        <v>5</v>
      </c>
      <c r="P3933" t="n">
        <v>2</v>
      </c>
      <c r="R3933" t="inlineStr">
        <is>
          <t>InStock</t>
        </is>
      </c>
      <c r="S3933" t="inlineStr">
        <is>
          <t>39.95</t>
        </is>
      </c>
      <c r="T3933" t="inlineStr">
        <is>
          <t>704369-02</t>
        </is>
      </c>
    </row>
    <row r="3934" ht="75" customHeight="1">
      <c r="A3934" s="2">
        <f>HYPERLINK("https://www.soccerplususa.com/puma/puma-teamfinal-21-graphic-jersey-youth-42132", "https://www.soccerplususa.com/puma/puma-teamfinal-21-graphic-jersey-youth-42132")</f>
        <v/>
      </c>
      <c r="B3934" t="inlineStr">
        <is>
          <t>undefined</t>
        </is>
      </c>
      <c r="C3934" t="inlineStr">
        <is>
          <t>Puma Teamfinal 21 Graphic Jersey Youth</t>
        </is>
      </c>
      <c r="D3934" t="inlineStr">
        <is>
          <t>PUMA womens Teamfinal 21 Graphic Jersey TShirt, Cyber Yellow/Spectra Yellow, XLarge US</t>
        </is>
      </c>
      <c r="E3934" s="2">
        <f>HYPERLINK("https://www.amazon.com/PUMA-Teamfinal-Graphic-X-Large-Spectra/dp/B086TVN4GX/ref=sr_1_3?keywords=Puma+Teamfinal+21+Graphic+Jersey+Youth&amp;qid=1695171148&amp;sr=8-3", "https://www.amazon.com/PUMA-Teamfinal-Graphic-X-Large-Spectra/dp/B086TVN4GX/ref=sr_1_3?keywords=Puma+Teamfinal+21+Graphic+Jersey+Youth&amp;qid=1695171148&amp;sr=8-3")</f>
        <v/>
      </c>
      <c r="F3934" t="inlineStr">
        <is>
          <t>B086TVN4GX</t>
        </is>
      </c>
      <c r="G3934">
        <f>_xlfn.IMAGE("https://www.soccerplususa.com/prodimages//37417-GRAY-M.jpg")</f>
        <v/>
      </c>
      <c r="H3934">
        <f>_xlfn.IMAGE("https://m.media-amazon.com/images/I/71NK4jeIKIS._AC_UL320_.jpg")</f>
        <v/>
      </c>
      <c r="K3934" t="inlineStr">
        <is>
          <t>29.99</t>
        </is>
      </c>
      <c r="L3934" t="n">
        <v>48</v>
      </c>
      <c r="M3934" s="1" t="inlineStr">
        <is>
          <t>60.05%</t>
        </is>
      </c>
      <c r="N3934" s="3" t="n">
        <v>60.05</v>
      </c>
      <c r="O3934" t="n">
        <v>5</v>
      </c>
      <c r="P3934" t="n">
        <v>2</v>
      </c>
      <c r="R3934" t="inlineStr">
        <is>
          <t>InStock</t>
        </is>
      </c>
      <c r="S3934" t="inlineStr">
        <is>
          <t>39.95</t>
        </is>
      </c>
      <c r="T3934" t="inlineStr">
        <is>
          <t>704369-13</t>
        </is>
      </c>
    </row>
    <row r="3935" ht="75" customHeight="1">
      <c r="A3935" s="2">
        <f>HYPERLINK("https://www.soccerplususa.com/puma/puma-teamfinal-21-graphic-jersey-youth-41908", "https://www.soccerplususa.com/puma/puma-teamfinal-21-graphic-jersey-youth-41908")</f>
        <v/>
      </c>
      <c r="B3935" t="inlineStr">
        <is>
          <t>undefined</t>
        </is>
      </c>
      <c r="C3935" t="inlineStr">
        <is>
          <t>Puma Teamfinal 21 Graphic Jersey Youth</t>
        </is>
      </c>
      <c r="D3935" t="inlineStr">
        <is>
          <t>PUMA womens Teamfinal 21 Graphic Jersey TShirt, Cyber Yellow/Spectra Yellow, XLarge US</t>
        </is>
      </c>
      <c r="E3935" s="2">
        <f>HYPERLINK("https://www.amazon.com/PUMA-Teamfinal-Graphic-X-Large-Spectra/dp/B086TVN4GX/ref=sr_1_3?keywords=Puma+Teamfinal+21+Graphic+Jersey+Youth&amp;qid=1695171144&amp;sr=8-3", "https://www.amazon.com/PUMA-Teamfinal-Graphic-X-Large-Spectra/dp/B086TVN4GX/ref=sr_1_3?keywords=Puma+Teamfinal+21+Graphic+Jersey+Youth&amp;qid=1695171144&amp;sr=8-3")</f>
        <v/>
      </c>
      <c r="F3935" t="inlineStr">
        <is>
          <t>B086TVN4GX</t>
        </is>
      </c>
      <c r="G3935">
        <f>_xlfn.IMAGE("https://www.soccerplususa.com/prodimages//37410-NAVY-M.jpg")</f>
        <v/>
      </c>
      <c r="H3935">
        <f>_xlfn.IMAGE("https://m.media-amazon.com/images/I/71NK4jeIKIS._AC_UL320_.jpg")</f>
        <v/>
      </c>
      <c r="K3935" t="inlineStr">
        <is>
          <t>29.99</t>
        </is>
      </c>
      <c r="L3935" t="n">
        <v>48</v>
      </c>
      <c r="M3935" s="1" t="inlineStr">
        <is>
          <t>60.05%</t>
        </is>
      </c>
      <c r="N3935" s="3" t="n">
        <v>60.05</v>
      </c>
      <c r="O3935" t="n">
        <v>5</v>
      </c>
      <c r="P3935" t="n">
        <v>2</v>
      </c>
      <c r="R3935" t="inlineStr">
        <is>
          <t>InStock</t>
        </is>
      </c>
      <c r="S3935" t="inlineStr">
        <is>
          <t>39.95</t>
        </is>
      </c>
      <c r="T3935" t="inlineStr">
        <is>
          <t>704369-06</t>
        </is>
      </c>
    </row>
    <row r="3936" ht="75" customHeight="1">
      <c r="A3936" s="2">
        <f>HYPERLINK("https://www.soccerplususa.com/puma/puma-teamfinal-21-graphic-jersey-youth-42092", "https://www.soccerplususa.com/puma/puma-teamfinal-21-graphic-jersey-youth-42092")</f>
        <v/>
      </c>
      <c r="B3936" t="inlineStr">
        <is>
          <t>undefined</t>
        </is>
      </c>
      <c r="C3936" t="inlineStr">
        <is>
          <t>Puma Teamfinal 21 Graphic Jersey Youth</t>
        </is>
      </c>
      <c r="D3936" t="inlineStr">
        <is>
          <t>PUMA womens Teamfinal 21 Graphic Jersey TShirt, Cyber Yellow/Spectra Yellow, XLarge US</t>
        </is>
      </c>
      <c r="E3936" s="2">
        <f>HYPERLINK("https://www.amazon.com/PUMA-Teamfinal-Graphic-X-Large-Spectra/dp/B086TVN4GX/ref=sr_1_3?keywords=Puma+Teamfinal+21+Graphic+Jersey+Youth&amp;qid=1695171145&amp;sr=8-3", "https://www.amazon.com/PUMA-Teamfinal-Graphic-X-Large-Spectra/dp/B086TVN4GX/ref=sr_1_3?keywords=Puma+Teamfinal+21+Graphic+Jersey+Youth&amp;qid=1695171145&amp;sr=8-3")</f>
        <v/>
      </c>
      <c r="F3936" t="inlineStr">
        <is>
          <t>B086TVN4GX</t>
        </is>
      </c>
      <c r="G3936">
        <f>_xlfn.IMAGE("https://www.soccerplususa.com/prodimages//37421-RED-M.jpg")</f>
        <v/>
      </c>
      <c r="H3936">
        <f>_xlfn.IMAGE("https://m.media-amazon.com/images/I/71NK4jeIKIS._AC_UL320_.jpg")</f>
        <v/>
      </c>
      <c r="K3936" t="inlineStr">
        <is>
          <t>29.99</t>
        </is>
      </c>
      <c r="L3936" t="n">
        <v>48</v>
      </c>
      <c r="M3936" s="1" t="inlineStr">
        <is>
          <t>60.05%</t>
        </is>
      </c>
      <c r="N3936" s="3" t="n">
        <v>60.05</v>
      </c>
      <c r="O3936" t="n">
        <v>5</v>
      </c>
      <c r="P3936" t="n">
        <v>2</v>
      </c>
      <c r="R3936" t="inlineStr">
        <is>
          <t>InStock</t>
        </is>
      </c>
      <c r="S3936" t="inlineStr">
        <is>
          <t>39.95</t>
        </is>
      </c>
      <c r="T3936" t="inlineStr">
        <is>
          <t>704369-01</t>
        </is>
      </c>
    </row>
    <row r="3937" hidden="1" ht="15.75" customHeight="1">
      <c r="A3937" s="2">
        <f>HYPERLINK("https://www.soccerplususa.com/adidas/adidas-estro-15-jersey-youth-7852", "https://www.soccerplususa.com/adidas/adidas-estro-15-jersey-youth-7852")</f>
        <v/>
      </c>
      <c r="B3937" t="inlineStr">
        <is>
          <t>undefined</t>
        </is>
      </c>
      <c r="C3937" t="inlineStr">
        <is>
          <t>adidas Estro 15 Jersey Youth</t>
        </is>
      </c>
      <c r="D3937" t="inlineStr">
        <is>
          <t>New Adidas Youth Estro 12 Soccer Jersey White/Black Youth X-Large</t>
        </is>
      </c>
      <c r="E3937" s="2">
        <f>HYPERLINK("https://www.amazon.com/Adidas-Estro-Soccer-Jersey-X-Large/dp/B00DX4B4A0/ref=sr_1_7?keywords=adidas+Estro+15+Jersey+Youth&amp;qid=1695171202&amp;sr=8-7", "https://www.amazon.com/Adidas-Estro-Soccer-Jersey-X-Large/dp/B00DX4B4A0/ref=sr_1_7?keywords=adidas+Estro+15+Jersey+Youth&amp;qid=1695171202&amp;sr=8-7")</f>
        <v/>
      </c>
      <c r="F3937" t="inlineStr">
        <is>
          <t>B00DX4B4A0</t>
        </is>
      </c>
      <c r="G3937">
        <f>_xludf.IMAGE("https://www.soccerplususa.com/prodimages/5099-DEFAULT-l.jpg")</f>
        <v/>
      </c>
      <c r="H3937">
        <f>_xludf.IMAGE("https://m.media-amazon.com/images/I/61nvg9TFoHL._AC_UL320_.jpg")</f>
        <v/>
      </c>
      <c r="K3937" t="inlineStr">
        <is>
          <t>10.0</t>
        </is>
      </c>
      <c r="L3937" t="n">
        <v>15.99</v>
      </c>
      <c r="M3937" s="1" t="inlineStr">
        <is>
          <t>59.90%</t>
        </is>
      </c>
      <c r="N3937" s="3" t="n">
        <v>59.9</v>
      </c>
      <c r="O3937" t="n">
        <v>5</v>
      </c>
      <c r="P3937" t="n">
        <v>2</v>
      </c>
      <c r="R3937" t="inlineStr">
        <is>
          <t>InStock</t>
        </is>
      </c>
      <c r="S3937" t="inlineStr">
        <is>
          <t>19.95</t>
        </is>
      </c>
      <c r="T3937" t="inlineStr">
        <is>
          <t>S17299</t>
        </is>
      </c>
    </row>
    <row r="3938" hidden="1" ht="15.75" customHeight="1">
      <c r="A3938" s="2">
        <f>HYPERLINK("https://www.soccerplususa.com/adidas/adidas-estro-15-jersey-youth-7851", "https://www.soccerplususa.com/adidas/adidas-estro-15-jersey-youth-7851")</f>
        <v/>
      </c>
      <c r="B3938" t="inlineStr">
        <is>
          <t>undefined</t>
        </is>
      </c>
      <c r="C3938" t="inlineStr">
        <is>
          <t>adidas Estro 15 Jersey Youth</t>
        </is>
      </c>
      <c r="D3938" t="inlineStr">
        <is>
          <t>New Adidas Youth Estro 12 Soccer Jersey White/Black Youth X-Large</t>
        </is>
      </c>
      <c r="E3938" s="2">
        <f>HYPERLINK("https://www.amazon.com/Adidas-Estro-Soccer-Jersey-X-Large/dp/B00DX4B4A0/ref=sr_1_1?keywords=adidas+Estro+15+Jersey+Youth&amp;qid=1695171200&amp;sr=8-1", "https://www.amazon.com/Adidas-Estro-Soccer-Jersey-X-Large/dp/B00DX4B4A0/ref=sr_1_1?keywords=adidas+Estro+15+Jersey+Youth&amp;qid=1695171200&amp;sr=8-1")</f>
        <v/>
      </c>
      <c r="F3938" t="inlineStr">
        <is>
          <t>B00DX4B4A0</t>
        </is>
      </c>
      <c r="G3938">
        <f>_xludf.IMAGE("https://www.soccerplususa.com/prodimages/5098-DEFAULT-l.jpg")</f>
        <v/>
      </c>
      <c r="H3938">
        <f>_xludf.IMAGE("https://m.media-amazon.com/images/I/61nvg9TFoHL._AC_UL320_.jpg")</f>
        <v/>
      </c>
      <c r="K3938" t="inlineStr">
        <is>
          <t>10.0</t>
        </is>
      </c>
      <c r="L3938" t="n">
        <v>15.99</v>
      </c>
      <c r="M3938" s="1" t="inlineStr">
        <is>
          <t>59.90%</t>
        </is>
      </c>
      <c r="N3938" s="3" t="n">
        <v>59.9</v>
      </c>
      <c r="O3938" t="n">
        <v>5</v>
      </c>
      <c r="P3938" t="n">
        <v>2</v>
      </c>
      <c r="R3938" t="inlineStr">
        <is>
          <t>InStock</t>
        </is>
      </c>
      <c r="S3938" t="inlineStr">
        <is>
          <t>19.95</t>
        </is>
      </c>
      <c r="T3938" t="inlineStr">
        <is>
          <t>S17298</t>
        </is>
      </c>
    </row>
    <row r="3939" hidden="1" ht="15.75" customHeight="1">
      <c r="A3939" s="2">
        <f>HYPERLINK("https://www.soccerplususa.com/puma/puma-liga-jersey-37884", "https://www.soccerplususa.com/puma/puma-liga-jersey-37884")</f>
        <v/>
      </c>
      <c r="B3939" t="inlineStr">
        <is>
          <t>undefined</t>
        </is>
      </c>
      <c r="C3939" t="inlineStr">
        <is>
          <t>Puma Liga Jersey</t>
        </is>
      </c>
      <c r="D3939" t="inlineStr">
        <is>
          <t>PUMA Men's Liga Training Jersey</t>
        </is>
      </c>
      <c r="E3939" s="2">
        <f>HYPERLINK("https://www.amazon.com/PUMA-Mens-Training-Jersey-White/dp/B07DYB6JB7/ref=sr_1_8?keywords=Puma+Liga+Jersey&amp;qid=1695171168&amp;sr=8-8", "https://www.amazon.com/PUMA-Mens-Training-Jersey-White/dp/B07DYB6JB7/ref=sr_1_8?keywords=Puma+Liga+Jersey&amp;qid=1695171168&amp;sr=8-8")</f>
        <v/>
      </c>
      <c r="F3939" t="inlineStr">
        <is>
          <t>B07DYB6JB7</t>
        </is>
      </c>
      <c r="G3939">
        <f>_xludf.IMAGE("https://www.soccerplususa.com/prodimages//35270-NAVYWHITE-M.jpg")</f>
        <v/>
      </c>
      <c r="H3939">
        <f>_xludf.IMAGE("https://m.media-amazon.com/images/I/51zmfGeYYZL._AC_UL320_.jpg")</f>
        <v/>
      </c>
      <c r="K3939" t="inlineStr">
        <is>
          <t>20.99</t>
        </is>
      </c>
      <c r="L3939" t="n">
        <v>33.47</v>
      </c>
      <c r="M3939" s="1" t="inlineStr">
        <is>
          <t>59.46%</t>
        </is>
      </c>
      <c r="N3939" s="3" t="n">
        <v>59.46</v>
      </c>
      <c r="O3939" t="n">
        <v>4.6</v>
      </c>
      <c r="P3939" t="n">
        <v>242</v>
      </c>
      <c r="R3939" t="inlineStr">
        <is>
          <t>InStock</t>
        </is>
      </c>
      <c r="S3939" t="inlineStr">
        <is>
          <t>27.95</t>
        </is>
      </c>
      <c r="T3939" t="inlineStr">
        <is>
          <t>703417-06</t>
        </is>
      </c>
    </row>
    <row r="3940" hidden="1" ht="15.75" customHeight="1">
      <c r="A3940" s="2">
        <f>HYPERLINK("https://www.soccerplususa.com/adidas/adidas-tabela-18-jersey-5113", "https://www.soccerplususa.com/adidas/adidas-tabela-18-jersey-5113")</f>
        <v/>
      </c>
      <c r="B3940" t="inlineStr">
        <is>
          <t>undefined</t>
        </is>
      </c>
      <c r="C3940" t="inlineStr">
        <is>
          <t>adidas Tabela 18 Jersey</t>
        </is>
      </c>
      <c r="D3940" t="inlineStr">
        <is>
          <t>adidas Men's Condivo 18 Jersey</t>
        </is>
      </c>
      <c r="E3940" s="2">
        <f>HYPERLINK("https://www.amazon.com/adidas-CONDIVO18-Jersey%E2%9D%97%EF%B8%8FShips-Directly-from/dp/B07BHKSWNW/ref=sr_1_7?keywords=adidas+Tabela+18+Jersey&amp;qid=1695171233&amp;sr=8-7", "https://www.amazon.com/adidas-CONDIVO18-Jersey%E2%9D%97%EF%B8%8FShips-Directly-from/dp/B07BHKSWNW/ref=sr_1_7?keywords=adidas+Tabela+18+Jersey&amp;qid=1695171233&amp;sr=8-7")</f>
        <v/>
      </c>
      <c r="F3940" t="inlineStr">
        <is>
          <t>B07BHKSWNW</t>
        </is>
      </c>
      <c r="G3940">
        <f>_xludf.IMAGE("https://www.soccerplususa.com/prodimages//31723-BLACK-M.jpg")</f>
        <v/>
      </c>
      <c r="H3940">
        <f>_xludf.IMAGE("https://m.media-amazon.com/images/I/51AFLkmAQ7L._AC_UL320_.jpg")</f>
        <v/>
      </c>
      <c r="K3940" t="inlineStr">
        <is>
          <t>21.99</t>
        </is>
      </c>
      <c r="L3940" t="n">
        <v>35</v>
      </c>
      <c r="M3940" s="1" t="inlineStr">
        <is>
          <t>59.16%</t>
        </is>
      </c>
      <c r="N3940" s="3" t="n">
        <v>59.16</v>
      </c>
      <c r="O3940" t="n">
        <v>5</v>
      </c>
      <c r="P3940" t="n">
        <v>2</v>
      </c>
      <c r="R3940" t="inlineStr">
        <is>
          <t>InStock</t>
        </is>
      </c>
      <c r="S3940" t="inlineStr">
        <is>
          <t>29.95</t>
        </is>
      </c>
      <c r="T3940" t="inlineStr">
        <is>
          <t>CE8934</t>
        </is>
      </c>
    </row>
    <row r="3941" hidden="1" ht="15.75" customHeight="1">
      <c r="A3941" s="2">
        <f>HYPERLINK("https://www.soccerplususa.com/adidas/adidas-tabela-18-jersey-33808", "https://www.soccerplususa.com/adidas/adidas-tabela-18-jersey-33808")</f>
        <v/>
      </c>
      <c r="B3941" t="inlineStr">
        <is>
          <t>undefined</t>
        </is>
      </c>
      <c r="C3941" t="inlineStr">
        <is>
          <t>adidas Tabela 18 Jersey</t>
        </is>
      </c>
      <c r="D3941" t="inlineStr">
        <is>
          <t>adidas Men's Condivo 18 Jersey</t>
        </is>
      </c>
      <c r="E3941" s="2">
        <f>HYPERLINK("https://www.amazon.com/adidas-CONDIVO18-Jersey%E2%9D%97%EF%B8%8FShips-Directly-from/dp/B07BHKSWNW/ref=sr_1_7?keywords=adidas+Tabela+18+Jersey&amp;qid=1695171170&amp;sr=8-7", "https://www.amazon.com/adidas-CONDIVO18-Jersey%E2%9D%97%EF%B8%8FShips-Directly-from/dp/B07BHKSWNW/ref=sr_1_7?keywords=adidas+Tabela+18+Jersey&amp;qid=1695171170&amp;sr=8-7")</f>
        <v/>
      </c>
      <c r="F3941" t="inlineStr">
        <is>
          <t>B07BHKSWNW</t>
        </is>
      </c>
      <c r="G3941">
        <f>_xludf.IMAGE("https://www.soccerplususa.com/prodimages//35356-REDWHITE-M.jpg")</f>
        <v/>
      </c>
      <c r="H3941">
        <f>_xludf.IMAGE("https://m.media-amazon.com/images/I/51AFLkmAQ7L._AC_UL320_.jpg")</f>
        <v/>
      </c>
      <c r="K3941" t="inlineStr">
        <is>
          <t>21.99</t>
        </is>
      </c>
      <c r="L3941" t="n">
        <v>35</v>
      </c>
      <c r="M3941" s="1" t="inlineStr">
        <is>
          <t>59.16%</t>
        </is>
      </c>
      <c r="N3941" s="3" t="n">
        <v>59.16</v>
      </c>
      <c r="O3941" t="n">
        <v>5</v>
      </c>
      <c r="P3941" t="n">
        <v>2</v>
      </c>
      <c r="R3941" t="inlineStr">
        <is>
          <t>InStock</t>
        </is>
      </c>
      <c r="S3941" t="inlineStr">
        <is>
          <t>29.95</t>
        </is>
      </c>
      <c r="T3941" t="inlineStr">
        <is>
          <t>CE8935</t>
        </is>
      </c>
    </row>
    <row r="3942" hidden="1" ht="15.75" customHeight="1">
      <c r="A3942" s="2">
        <f>HYPERLINK("https://www.soccerplususa.com/adidas/adidas-tabela-18-jersey-5115", "https://www.soccerplususa.com/adidas/adidas-tabela-18-jersey-5115")</f>
        <v/>
      </c>
      <c r="B3942" t="inlineStr">
        <is>
          <t>undefined</t>
        </is>
      </c>
      <c r="C3942" t="inlineStr">
        <is>
          <t>adidas Tabela 18 Jersey</t>
        </is>
      </c>
      <c r="D3942" t="inlineStr">
        <is>
          <t>adidas Men's Condivo 18 Jersey</t>
        </is>
      </c>
      <c r="E3942" s="2">
        <f>HYPERLINK("https://www.amazon.com/adidas-CONDIVO18-Jersey%E2%9D%97%EF%B8%8FShips-Directly-from/dp/B07BHKSWNW/ref=sr_1_7?keywords=adidas+Tabela+18+Jersey&amp;qid=1695171223&amp;sr=8-7", "https://www.amazon.com/adidas-CONDIVO18-Jersey%E2%9D%97%EF%B8%8FShips-Directly-from/dp/B07BHKSWNW/ref=sr_1_7?keywords=adidas+Tabela+18+Jersey&amp;qid=1695171223&amp;sr=8-7")</f>
        <v/>
      </c>
      <c r="F3942" t="inlineStr">
        <is>
          <t>B07BHKSWNW</t>
        </is>
      </c>
      <c r="G3942">
        <f>_xludf.IMAGE("https://www.soccerplususa.com/prodimages//31724-GRAY-M.jpg")</f>
        <v/>
      </c>
      <c r="H3942">
        <f>_xludf.IMAGE("https://m.media-amazon.com/images/I/51AFLkmAQ7L._AC_UL320_.jpg")</f>
        <v/>
      </c>
      <c r="K3942" t="inlineStr">
        <is>
          <t>21.99</t>
        </is>
      </c>
      <c r="L3942" t="n">
        <v>35</v>
      </c>
      <c r="M3942" s="1" t="inlineStr">
        <is>
          <t>59.16%</t>
        </is>
      </c>
      <c r="N3942" s="3" t="n">
        <v>59.16</v>
      </c>
      <c r="O3942" t="n">
        <v>5</v>
      </c>
      <c r="P3942" t="n">
        <v>2</v>
      </c>
      <c r="R3942" t="inlineStr">
        <is>
          <t>InStock</t>
        </is>
      </c>
      <c r="S3942" t="inlineStr">
        <is>
          <t>29.95</t>
        </is>
      </c>
      <c r="T3942" t="inlineStr">
        <is>
          <t>CE8940</t>
        </is>
      </c>
    </row>
    <row r="3943" hidden="1" ht="15.75" customHeight="1">
      <c r="A3943" s="2">
        <f>HYPERLINK("https://www.soccerplususa.com/adidas/adidas-tabela-18-jersey-5116", "https://www.soccerplususa.com/adidas/adidas-tabela-18-jersey-5116")</f>
        <v/>
      </c>
      <c r="B3943" t="inlineStr">
        <is>
          <t>undefined</t>
        </is>
      </c>
      <c r="C3943" t="inlineStr">
        <is>
          <t>adidas Tabela 18 Jersey</t>
        </is>
      </c>
      <c r="D3943" t="inlineStr">
        <is>
          <t>adidas Men's Condivo 18 Jersey</t>
        </is>
      </c>
      <c r="E3943" s="2">
        <f>HYPERLINK("https://www.amazon.com/adidas-CONDIVO18-Jersey%E2%9D%97%EF%B8%8FShips-Directly-from/dp/B07BHKSWNW/ref=sr_1_7?keywords=adidas+Tabela+18+Jersey&amp;qid=1695171247&amp;sr=8-7", "https://www.amazon.com/adidas-CONDIVO18-Jersey%E2%9D%97%EF%B8%8FShips-Directly-from/dp/B07BHKSWNW/ref=sr_1_7?keywords=adidas+Tabela+18+Jersey&amp;qid=1695171247&amp;sr=8-7")</f>
        <v/>
      </c>
      <c r="F3943" t="inlineStr">
        <is>
          <t>B07BHKSWNW</t>
        </is>
      </c>
      <c r="G3943">
        <f>_xludf.IMAGE("https://www.soccerplususa.com/prodimages//31725-YELLOW-M.jpg")</f>
        <v/>
      </c>
      <c r="H3943">
        <f>_xludf.IMAGE("https://m.media-amazon.com/images/I/51AFLkmAQ7L._AC_UL320_.jpg")</f>
        <v/>
      </c>
      <c r="K3943" t="inlineStr">
        <is>
          <t>21.99</t>
        </is>
      </c>
      <c r="L3943" t="n">
        <v>35</v>
      </c>
      <c r="M3943" s="1" t="inlineStr">
        <is>
          <t>59.16%</t>
        </is>
      </c>
      <c r="N3943" s="3" t="n">
        <v>59.16</v>
      </c>
      <c r="O3943" t="n">
        <v>5</v>
      </c>
      <c r="P3943" t="n">
        <v>2</v>
      </c>
      <c r="R3943" t="inlineStr">
        <is>
          <t>InStock</t>
        </is>
      </c>
      <c r="S3943" t="inlineStr">
        <is>
          <t>29.95</t>
        </is>
      </c>
      <c r="T3943" t="inlineStr">
        <is>
          <t>CE8941</t>
        </is>
      </c>
    </row>
    <row r="3944" hidden="1" ht="15.75" customHeight="1">
      <c r="A3944" s="2">
        <f>HYPERLINK("https://www.soccerplususa.com/nike/nike-legend-tee-womens-20413", "https://www.soccerplususa.com/nike/nike-legend-tee-womens-20413")</f>
        <v/>
      </c>
      <c r="B3944" t="inlineStr">
        <is>
          <t>undefined</t>
        </is>
      </c>
      <c r="C3944" t="inlineStr">
        <is>
          <t>Nike Legend Tee Women's</t>
        </is>
      </c>
      <c r="D3944" t="inlineStr">
        <is>
          <t>Nike Women's Legend Short Sleeve TEE (Maroon, Large)</t>
        </is>
      </c>
      <c r="E3944" s="2">
        <f>HYPERLINK("https://www.amazon.com/Nike-Womens-Legend-Sleeve-Maroon/dp/B08SSPQZQB/ref=sr_1_8?keywords=Nike+Legend+Tee+Womens&amp;qid=1695171184&amp;sr=8-8", "https://www.amazon.com/Nike-Womens-Legend-Sleeve-Maroon/dp/B08SSPQZQB/ref=sr_1_8?keywords=Nike+Legend+Tee+Womens&amp;qid=1695171184&amp;sr=8-8")</f>
        <v/>
      </c>
      <c r="F3944" t="inlineStr">
        <is>
          <t>B08SSPQZQB</t>
        </is>
      </c>
      <c r="G3944">
        <f>_xludf.IMAGE("https://www.soccerplususa.com/prodimages/31739-DEFAULT-l.jpg")</f>
        <v/>
      </c>
      <c r="H3944">
        <f>_xludf.IMAGE("https://m.media-amazon.com/images/I/51MRv8ciMBL._AC_UL320_.jpg")</f>
        <v/>
      </c>
      <c r="K3944" t="inlineStr">
        <is>
          <t>18.99</t>
        </is>
      </c>
      <c r="L3944" t="n">
        <v>29.99</v>
      </c>
      <c r="M3944" s="1" t="inlineStr">
        <is>
          <t>57.93%</t>
        </is>
      </c>
      <c r="N3944" s="3" t="n">
        <v>57.93</v>
      </c>
      <c r="O3944" t="n">
        <v>4.9</v>
      </c>
      <c r="P3944" t="n">
        <v>14</v>
      </c>
      <c r="R3944" t="inlineStr">
        <is>
          <t>InStock</t>
        </is>
      </c>
      <c r="S3944" t="inlineStr">
        <is>
          <t>24.95</t>
        </is>
      </c>
      <c r="T3944" t="inlineStr">
        <is>
          <t>453181-657</t>
        </is>
      </c>
    </row>
    <row r="3945" hidden="1" ht="15.75" customHeight="1">
      <c r="A3945" s="2">
        <f>HYPERLINK("https://www.soccerplususa.com/adidas/adidas-regista-16-jersey-4149", "https://www.soccerplususa.com/adidas/adidas-regista-16-jersey-4149")</f>
        <v/>
      </c>
      <c r="B3945" t="inlineStr">
        <is>
          <t>undefined</t>
        </is>
      </c>
      <c r="C3945" t="inlineStr">
        <is>
          <t>adidas Regista 16 Jersey</t>
        </is>
      </c>
      <c r="D3945" t="inlineStr">
        <is>
          <t>adidas Regista 16 Youth Soccer Jersey Orange</t>
        </is>
      </c>
      <c r="E3945" s="2">
        <f>HYPERLINK("https://www.amazon.com/Adidas-Regista-Soccer-Jersey-Blue-White/dp/B018667R3W/ref=sr_1_1?keywords=adidas+Regista+16+Jersey&amp;qid=1695171233&amp;sr=8-1", "https://www.amazon.com/Adidas-Regista-Soccer-Jersey-Blue-White/dp/B018667R3W/ref=sr_1_1?keywords=adidas+Regista+16+Jersey&amp;qid=1695171233&amp;sr=8-1")</f>
        <v/>
      </c>
      <c r="F3945" t="inlineStr">
        <is>
          <t>B018667R3W</t>
        </is>
      </c>
      <c r="G3945">
        <f>_xludf.IMAGE("https://www.soccerplususa.com/prodimages/32795-DEFAULT-l.jpg")</f>
        <v/>
      </c>
      <c r="H3945">
        <f>_xludf.IMAGE("https://m.media-amazon.com/images/I/61tmtZUUCJL._AC_UL320_.jpg")</f>
        <v/>
      </c>
      <c r="K3945" t="inlineStr">
        <is>
          <t>17.0</t>
        </is>
      </c>
      <c r="L3945" t="n">
        <v>26.56</v>
      </c>
      <c r="M3945" s="1" t="inlineStr">
        <is>
          <t>56.24%</t>
        </is>
      </c>
      <c r="N3945" s="3" t="n">
        <v>56.24</v>
      </c>
      <c r="O3945" t="n">
        <v>4.1</v>
      </c>
      <c r="P3945" t="n">
        <v>6</v>
      </c>
      <c r="R3945" t="inlineStr">
        <is>
          <t>InStock</t>
        </is>
      </c>
      <c r="S3945" t="inlineStr">
        <is>
          <t>34.95</t>
        </is>
      </c>
      <c r="T3945" t="inlineStr">
        <is>
          <t>AP0535</t>
        </is>
      </c>
    </row>
    <row r="3946" hidden="1" ht="15.75" customHeight="1">
      <c r="A3946" s="2">
        <f>HYPERLINK("https://www.soccerplususa.com/adidas/adidas-tiro-17-training-jacket-youth-4975", "https://www.soccerplususa.com/adidas/adidas-tiro-17-training-jacket-youth-4975")</f>
        <v/>
      </c>
      <c r="B3946" t="inlineStr">
        <is>
          <t>undefined</t>
        </is>
      </c>
      <c r="C3946" t="inlineStr">
        <is>
          <t>adidas Tiro 17 Training Jacket Youth</t>
        </is>
      </c>
      <c r="D3946" t="inlineStr">
        <is>
          <t>adidas Boys Training Tiro 17 Track Jacket Sweatshirt</t>
        </is>
      </c>
      <c r="E3946" s="2">
        <f>HYPERLINK("https://www.amazon.com/adidas-Training-Jacket-Dkblue-Dkgrey/dp/B01N2XR6XA/ref=sr_1_2?keywords=adidas+Tiro+17+Training+Jacket+Youth&amp;qid=1695171246&amp;sr=8-2", "https://www.amazon.com/adidas-Training-Jacket-Dkblue-Dkgrey/dp/B01N2XR6XA/ref=sr_1_2?keywords=adidas+Tiro+17+Training+Jacket+Youth&amp;qid=1695171246&amp;sr=8-2")</f>
        <v/>
      </c>
      <c r="F3946" t="inlineStr">
        <is>
          <t>B01N2XR6XA</t>
        </is>
      </c>
      <c r="G3946">
        <f>_xludf.IMAGE("https://www.soccerplususa.com/prodimages/4537-DEFAULT-l.jpg")</f>
        <v/>
      </c>
      <c r="H3946">
        <f>_xludf.IMAGE("https://m.media-amazon.com/images/I/61WFrIbNBkL._AC_UL320_.jpg")</f>
        <v/>
      </c>
      <c r="K3946" t="inlineStr">
        <is>
          <t>31.0</t>
        </is>
      </c>
      <c r="L3946" t="n">
        <v>48.25</v>
      </c>
      <c r="M3946" s="1" t="inlineStr">
        <is>
          <t>55.65%</t>
        </is>
      </c>
      <c r="N3946" s="3" t="n">
        <v>55.65</v>
      </c>
      <c r="O3946" t="n">
        <v>3.7</v>
      </c>
      <c r="P3946" t="n">
        <v>13</v>
      </c>
      <c r="R3946" t="inlineStr">
        <is>
          <t>InStock</t>
        </is>
      </c>
      <c r="S3946" t="inlineStr">
        <is>
          <t>59.95</t>
        </is>
      </c>
      <c r="T3946" t="inlineStr">
        <is>
          <t>BR2704</t>
        </is>
      </c>
    </row>
    <row r="3947" hidden="1" ht="15.75" customHeight="1">
      <c r="A3947" s="2">
        <f>HYPERLINK("https://www.soccerplususa.com/adidas/adidas-tiro-17-training-jacket-youth-4851", "https://www.soccerplususa.com/adidas/adidas-tiro-17-training-jacket-youth-4851")</f>
        <v/>
      </c>
      <c r="B3947" t="inlineStr">
        <is>
          <t>undefined</t>
        </is>
      </c>
      <c r="C3947" t="inlineStr">
        <is>
          <t>adidas Tiro 17 Training Jacket Youth</t>
        </is>
      </c>
      <c r="D3947" t="inlineStr">
        <is>
          <t>adidas Boys Training Tiro 17 Track Jacket Sweatshirt</t>
        </is>
      </c>
      <c r="E3947" s="2">
        <f>HYPERLINK("https://www.amazon.com/adidas-Training-Jacket-Dkblue-Dkgrey/dp/B01N2XR6XA/ref=sr_1_2?keywords=adidas+Tiro+17+Training+Jacket+Youth&amp;qid=1695171224&amp;sr=8-2", "https://www.amazon.com/adidas-Training-Jacket-Dkblue-Dkgrey/dp/B01N2XR6XA/ref=sr_1_2?keywords=adidas+Tiro+17+Training+Jacket+Youth&amp;qid=1695171224&amp;sr=8-2")</f>
        <v/>
      </c>
      <c r="F3947" t="inlineStr">
        <is>
          <t>B01N2XR6XA</t>
        </is>
      </c>
      <c r="G3947">
        <f>_xludf.IMAGE("https://www.soccerplususa.com/prodimages/4535-DEFAULT-l.jpg")</f>
        <v/>
      </c>
      <c r="H3947">
        <f>_xludf.IMAGE("https://m.media-amazon.com/images/I/61WFrIbNBkL._AC_UL320_.jpg")</f>
        <v/>
      </c>
      <c r="K3947" t="inlineStr">
        <is>
          <t>31.0</t>
        </is>
      </c>
      <c r="L3947" t="n">
        <v>48.25</v>
      </c>
      <c r="M3947" s="1" t="inlineStr">
        <is>
          <t>55.65%</t>
        </is>
      </c>
      <c r="N3947" s="3" t="n">
        <v>55.65</v>
      </c>
      <c r="O3947" t="n">
        <v>3.7</v>
      </c>
      <c r="P3947" t="n">
        <v>13</v>
      </c>
      <c r="R3947" t="inlineStr">
        <is>
          <t>InStock</t>
        </is>
      </c>
      <c r="S3947" t="inlineStr">
        <is>
          <t>59.95</t>
        </is>
      </c>
      <c r="T3947" t="inlineStr">
        <is>
          <t>BJ9296</t>
        </is>
      </c>
    </row>
    <row r="3948" hidden="1" ht="15.75" customHeight="1">
      <c r="A3948" s="2">
        <f>HYPERLINK("https://www.soccerplususa.com/adidas/adidas-tabela-11-jersey-7260", "https://www.soccerplususa.com/adidas/adidas-tabela-11-jersey-7260")</f>
        <v/>
      </c>
      <c r="B3948" t="inlineStr">
        <is>
          <t>undefined</t>
        </is>
      </c>
      <c r="C3948" t="inlineStr">
        <is>
          <t>adidas Tabela 11 Jersey</t>
        </is>
      </c>
      <c r="D3948" t="inlineStr">
        <is>
          <t>adidas Kids' Tabela 23 Jersey</t>
        </is>
      </c>
      <c r="E3948" s="2">
        <f>HYPERLINK("https://www.amazon.com/adidas-Tabela-Jersey-Black-White/dp/B09YG6J77F/ref=sr_1_2?keywords=adidas+Tabela+11+Jersey&amp;qid=1695171198&amp;sr=8-2", "https://www.amazon.com/adidas-Tabela-Jersey-Black-White/dp/B09YG6J77F/ref=sr_1_2?keywords=adidas+Tabela+11+Jersey&amp;qid=1695171198&amp;sr=8-2")</f>
        <v/>
      </c>
      <c r="F3948" t="inlineStr">
        <is>
          <t>B09YG6J77F</t>
        </is>
      </c>
      <c r="G3948">
        <f>_xludf.IMAGE("https://www.soccerplususa.com/prodimages/3223-DEFAULT-l.jpg")</f>
        <v/>
      </c>
      <c r="H3948">
        <f>_xludf.IMAGE("https://m.media-amazon.com/images/I/71v3s6ZRHCL._AC_UL320_.jpg")</f>
        <v/>
      </c>
      <c r="K3948" t="inlineStr">
        <is>
          <t>12.0</t>
        </is>
      </c>
      <c r="L3948" t="n">
        <v>18.55</v>
      </c>
      <c r="M3948" s="1" t="inlineStr">
        <is>
          <t>54.58%</t>
        </is>
      </c>
      <c r="N3948" s="3" t="n">
        <v>54.58</v>
      </c>
      <c r="O3948" t="n">
        <v>4.8</v>
      </c>
      <c r="P3948" t="n">
        <v>31</v>
      </c>
      <c r="R3948" t="inlineStr">
        <is>
          <t>InStock</t>
        </is>
      </c>
      <c r="S3948" t="inlineStr">
        <is>
          <t>24.95</t>
        </is>
      </c>
      <c r="T3948" t="inlineStr">
        <is>
          <t>O07611</t>
        </is>
      </c>
    </row>
    <row r="3949" hidden="1" ht="15.75" customHeight="1">
      <c r="A3949" s="2">
        <f>HYPERLINK("https://www.soccerplususa.com/nike/nike-epic-training-jacket-24378", "https://www.soccerplususa.com/nike/nike-epic-training-jacket-24378")</f>
        <v/>
      </c>
      <c r="B3949" t="inlineStr">
        <is>
          <t>undefined</t>
        </is>
      </c>
      <c r="C3949" t="inlineStr">
        <is>
          <t>Nike Epic Training Jacket</t>
        </is>
      </c>
      <c r="D3949" t="inlineStr">
        <is>
          <t>Nike Mens Training Fitness Athletic Jacket</t>
        </is>
      </c>
      <c r="E3949" s="2">
        <f>HYPERLINK("https://www.amazon.com/Nike-Dri-FIT-Training-Jacket-Small/dp/B08NYJG35F/ref=sr_1_3?keywords=Nike+Epic+Training+Jacket&amp;qid=1695171174&amp;sr=8-3", "https://www.amazon.com/Nike-Dri-FIT-Training-Jacket-Small/dp/B08NYJG35F/ref=sr_1_3?keywords=Nike+Epic+Training+Jacket&amp;qid=1695171174&amp;sr=8-3")</f>
        <v/>
      </c>
      <c r="F3949" t="inlineStr">
        <is>
          <t>B08NYJG35F</t>
        </is>
      </c>
      <c r="G3949">
        <f>_xludf.IMAGE("https://www.soccerplususa.com/prodimages/6287-DEFAULT-l.jpg")</f>
        <v/>
      </c>
      <c r="H3949">
        <f>_xludf.IMAGE("https://m.media-amazon.com/images/I/61sLjU9FKWS._AC_UL320_.jpg")</f>
        <v/>
      </c>
      <c r="K3949" t="inlineStr">
        <is>
          <t>40.99</t>
        </is>
      </c>
      <c r="L3949" t="n">
        <v>62.99</v>
      </c>
      <c r="M3949" s="1" t="inlineStr">
        <is>
          <t>53.67%</t>
        </is>
      </c>
      <c r="N3949" s="3" t="n">
        <v>53.67</v>
      </c>
      <c r="O3949" t="n">
        <v>4.2</v>
      </c>
      <c r="P3949" t="n">
        <v>68</v>
      </c>
      <c r="R3949" t="inlineStr">
        <is>
          <t>InStock</t>
        </is>
      </c>
      <c r="S3949" t="inlineStr">
        <is>
          <t>54.95</t>
        </is>
      </c>
      <c r="T3949" t="inlineStr">
        <is>
          <t>835571-466</t>
        </is>
      </c>
    </row>
    <row r="3950" hidden="1" ht="15.75" customHeight="1">
      <c r="A3950" s="2">
        <f>HYPERLINK("https://www.soccerplususa.com/adidas/adidas-tiro-19-training-jacket-33996", "https://www.soccerplususa.com/adidas/adidas-tiro-19-training-jacket-33996")</f>
        <v/>
      </c>
      <c r="B3950" t="inlineStr">
        <is>
          <t>undefined</t>
        </is>
      </c>
      <c r="C3950" t="inlineStr">
        <is>
          <t>adidas Tiro 19 Training Jacket</t>
        </is>
      </c>
      <c r="D3950" t="inlineStr">
        <is>
          <t>adidas Tiro 19 Training Jacket - Men's Soccer</t>
        </is>
      </c>
      <c r="E3950" s="2">
        <f>HYPERLINK("https://www.amazon.com/adidas-Tiro-19-Training-Jacket/dp/B07MRCWLB1/ref=sr_1_4?keywords=adidas+Tiro+19+Training+Jacket&amp;qid=1695171209&amp;sr=8-4", "https://www.amazon.com/adidas-Tiro-19-Training-Jacket/dp/B07MRCWLB1/ref=sr_1_4?keywords=adidas+Tiro+19+Training+Jacket&amp;qid=1695171209&amp;sr=8-4")</f>
        <v/>
      </c>
      <c r="F3950" t="inlineStr">
        <is>
          <t>B07MRCWLB1</t>
        </is>
      </c>
      <c r="G3950">
        <f>_xludf.IMAGE("https://www.soccerplususa.com/prodimages/8018-DEFAULT-l.jpg")</f>
        <v/>
      </c>
      <c r="H3950">
        <f>_xludf.IMAGE("https://m.media-amazon.com/images/I/61xeP-7EFKL._AC_UL320_.jpg")</f>
        <v/>
      </c>
      <c r="K3950" t="inlineStr">
        <is>
          <t>49.0</t>
        </is>
      </c>
      <c r="L3950" t="n">
        <v>74.95999999999999</v>
      </c>
      <c r="M3950" s="1" t="inlineStr">
        <is>
          <t>52.98%</t>
        </is>
      </c>
      <c r="N3950" s="3" t="n">
        <v>52.98</v>
      </c>
      <c r="O3950" t="n">
        <v>5</v>
      </c>
      <c r="P3950" t="n">
        <v>1</v>
      </c>
      <c r="R3950" t="inlineStr">
        <is>
          <t>InStock</t>
        </is>
      </c>
      <c r="S3950" t="inlineStr">
        <is>
          <t>64.95</t>
        </is>
      </c>
      <c r="T3950" t="inlineStr">
        <is>
          <t>DT5272</t>
        </is>
      </c>
    </row>
    <row r="3951" hidden="1" ht="15.75" customHeight="1">
      <c r="A3951" s="2">
        <f>HYPERLINK("https://www.soccerplususa.com/adidas/adidas-tiro-19-training-jacket-33866", "https://www.soccerplususa.com/adidas/adidas-tiro-19-training-jacket-33866")</f>
        <v/>
      </c>
      <c r="B3951" t="inlineStr">
        <is>
          <t>undefined</t>
        </is>
      </c>
      <c r="C3951" t="inlineStr">
        <is>
          <t>adidas Tiro 19 Training Jacket</t>
        </is>
      </c>
      <c r="D3951" t="inlineStr">
        <is>
          <t>adidas Tiro 19 Training Jacket - Men's Soccer</t>
        </is>
      </c>
      <c r="E3951" s="2">
        <f>HYPERLINK("https://www.amazon.com/adidas-Tiro-19-Training-Jacket/dp/B07MRCWLB1/ref=sr_1_3?keywords=adidas+Tiro+19+Training+Jacket&amp;qid=1695171181&amp;sr=8-3", "https://www.amazon.com/adidas-Tiro-19-Training-Jacket/dp/B07MRCWLB1/ref=sr_1_3?keywords=adidas+Tiro+19+Training+Jacket&amp;qid=1695171181&amp;sr=8-3")</f>
        <v/>
      </c>
      <c r="F3951" t="inlineStr">
        <is>
          <t>B07MRCWLB1</t>
        </is>
      </c>
      <c r="G3951">
        <f>_xludf.IMAGE("https://www.soccerplususa.com/prodimages/8017-DEFAULT-l.jpg")</f>
        <v/>
      </c>
      <c r="H3951">
        <f>_xludf.IMAGE("https://m.media-amazon.com/images/I/61xeP-7EFKL._AC_UL320_.jpg")</f>
        <v/>
      </c>
      <c r="K3951" t="inlineStr">
        <is>
          <t>49.0</t>
        </is>
      </c>
      <c r="L3951" t="n">
        <v>74.95999999999999</v>
      </c>
      <c r="M3951" s="1" t="inlineStr">
        <is>
          <t>52.98%</t>
        </is>
      </c>
      <c r="N3951" s="3" t="n">
        <v>52.98</v>
      </c>
      <c r="O3951" t="n">
        <v>5</v>
      </c>
      <c r="P3951" t="n">
        <v>1</v>
      </c>
      <c r="R3951" t="inlineStr">
        <is>
          <t>InStock</t>
        </is>
      </c>
      <c r="S3951" t="inlineStr">
        <is>
          <t>64.95</t>
        </is>
      </c>
      <c r="T3951" t="inlineStr">
        <is>
          <t>D95953</t>
        </is>
      </c>
    </row>
    <row r="3952" hidden="1" ht="15.75" customHeight="1">
      <c r="A3952" s="2">
        <f>HYPERLINK("https://www.soccerplususa.com/adidas/adidas-tiro-19-training-jacket-33919", "https://www.soccerplususa.com/adidas/adidas-tiro-19-training-jacket-33919")</f>
        <v/>
      </c>
      <c r="B3952" t="inlineStr">
        <is>
          <t>undefined</t>
        </is>
      </c>
      <c r="C3952" t="inlineStr">
        <is>
          <t>adidas Tiro 19 Training Jacket</t>
        </is>
      </c>
      <c r="D3952" t="inlineStr">
        <is>
          <t>adidas Tiro 19 Training Jacket - Men's Soccer</t>
        </is>
      </c>
      <c r="E3952" s="2">
        <f>HYPERLINK("https://www.amazon.com/adidas-Tiro-19-Training-Jacket/dp/B07MRCWLB1/ref=sr_1_4?keywords=adidas+Tiro+19+Training+Jacket&amp;qid=1695171165&amp;sr=8-4", "https://www.amazon.com/adidas-Tiro-19-Training-Jacket/dp/B07MRCWLB1/ref=sr_1_4?keywords=adidas+Tiro+19+Training+Jacket&amp;qid=1695171165&amp;sr=8-4")</f>
        <v/>
      </c>
      <c r="F3952" t="inlineStr">
        <is>
          <t>B07MRCWLB1</t>
        </is>
      </c>
      <c r="G3952">
        <f>_xludf.IMAGE("https://www.soccerplususa.com/prodimages/7895-DEFAULT-l.jpg")</f>
        <v/>
      </c>
      <c r="H3952">
        <f>_xludf.IMAGE("https://m.media-amazon.com/images/I/61xeP-7EFKL._AC_UL320_.jpg")</f>
        <v/>
      </c>
      <c r="K3952" t="inlineStr">
        <is>
          <t>49.0</t>
        </is>
      </c>
      <c r="L3952" t="n">
        <v>74.95999999999999</v>
      </c>
      <c r="M3952" s="1" t="inlineStr">
        <is>
          <t>52.98%</t>
        </is>
      </c>
      <c r="N3952" s="3" t="n">
        <v>52.98</v>
      </c>
      <c r="O3952" t="n">
        <v>5</v>
      </c>
      <c r="P3952" t="n">
        <v>1</v>
      </c>
      <c r="R3952" t="inlineStr">
        <is>
          <t>InStock</t>
        </is>
      </c>
      <c r="S3952" t="inlineStr">
        <is>
          <t>64.95</t>
        </is>
      </c>
      <c r="T3952" t="inlineStr">
        <is>
          <t>DJ2594</t>
        </is>
      </c>
    </row>
    <row r="3953" hidden="1" ht="15.75" customHeight="1">
      <c r="A3953" s="2">
        <f>HYPERLINK("https://www.soccerplususa.com/nike/nike-epic-training-jacket-24378", "https://www.soccerplususa.com/nike/nike-epic-training-jacket-24378")</f>
        <v/>
      </c>
      <c r="B3953" t="inlineStr">
        <is>
          <t>undefined</t>
        </is>
      </c>
      <c r="C3953" t="inlineStr">
        <is>
          <t>Nike Epic Training Jacket</t>
        </is>
      </c>
      <c r="D3953" t="inlineStr">
        <is>
          <t>Nike Men's Full-Zip Jacket 100% Polyester Training CV7731</t>
        </is>
      </c>
      <c r="E3953" s="2">
        <f>HYPERLINK("https://www.amazon.com/Nike-Full-Zip-Jacket-Polyester-Training/dp/B08WPDG318/ref=sr_1_7?keywords=Nike+Epic+Training+Jacket&amp;qid=1695171174&amp;sr=8-7", "https://www.amazon.com/Nike-Full-Zip-Jacket-Polyester-Training/dp/B08WPDG318/ref=sr_1_7?keywords=Nike+Epic+Training+Jacket&amp;qid=1695171174&amp;sr=8-7")</f>
        <v/>
      </c>
      <c r="F3953" t="inlineStr">
        <is>
          <t>B08WPDG318</t>
        </is>
      </c>
      <c r="G3953">
        <f>_xludf.IMAGE("https://www.soccerplususa.com/prodimages/6287-DEFAULT-l.jpg")</f>
        <v/>
      </c>
      <c r="H3953">
        <f>_xludf.IMAGE("https://m.media-amazon.com/images/I/61yfq+jptIL._AC_UL320_.jpg")</f>
        <v/>
      </c>
      <c r="K3953" t="inlineStr">
        <is>
          <t>40.99</t>
        </is>
      </c>
      <c r="L3953" t="n">
        <v>62.62</v>
      </c>
      <c r="M3953" s="1" t="inlineStr">
        <is>
          <t>52.77%</t>
        </is>
      </c>
      <c r="N3953" s="3" t="n">
        <v>52.77</v>
      </c>
      <c r="O3953" t="n">
        <v>4.8</v>
      </c>
      <c r="P3953" t="n">
        <v>10</v>
      </c>
      <c r="R3953" t="inlineStr">
        <is>
          <t>InStock</t>
        </is>
      </c>
      <c r="S3953" t="inlineStr">
        <is>
          <t>54.95</t>
        </is>
      </c>
      <c r="T3953" t="inlineStr">
        <is>
          <t>835571-466</t>
        </is>
      </c>
    </row>
    <row r="3954" hidden="1" ht="15.75" customHeight="1">
      <c r="A3954" s="2">
        <f>HYPERLINK("https://www.soccerplususa.com/adidas/adidas-estro-15-jersey-7834", "https://www.soccerplususa.com/adidas/adidas-estro-15-jersey-7834")</f>
        <v/>
      </c>
      <c r="B3954" t="inlineStr">
        <is>
          <t>undefined</t>
        </is>
      </c>
      <c r="C3954" t="inlineStr">
        <is>
          <t>adidas Estro 15 Jersey</t>
        </is>
      </c>
      <c r="D3954" t="inlineStr">
        <is>
          <t>adidas Estro 15 Jersey Short Sleeve - Adult - White/Black - Small</t>
        </is>
      </c>
      <c r="E3954" s="2">
        <f>HYPERLINK("https://www.amazon.com/adidas-Estro-Jersey-Short-Sleeve/dp/B00T7YNK70/ref=sr_1_3?keywords=adidas+Estro+15+Jersey&amp;qid=1695171208&amp;sr=8-3", "https://www.amazon.com/adidas-Estro-Jersey-Short-Sleeve/dp/B00T7YNK70/ref=sr_1_3?keywords=adidas+Estro+15+Jersey&amp;qid=1695171208&amp;sr=8-3")</f>
        <v/>
      </c>
      <c r="F3954" t="inlineStr">
        <is>
          <t>B00T7YNK70</t>
        </is>
      </c>
      <c r="G3954">
        <f>_xludf.IMAGE("https://www.soccerplususa.com/prodimages/4288-DEFAULT-l.jpg")</f>
        <v/>
      </c>
      <c r="H3954">
        <f>_xludf.IMAGE("https://m.media-amazon.com/images/I/51RKYtxZUBL._AC_UL320_.jpg")</f>
        <v/>
      </c>
      <c r="K3954" t="inlineStr">
        <is>
          <t>11.0</t>
        </is>
      </c>
      <c r="L3954" t="n">
        <v>16.75</v>
      </c>
      <c r="M3954" s="1" t="inlineStr">
        <is>
          <t>52.27%</t>
        </is>
      </c>
      <c r="N3954" s="3" t="n">
        <v>52.27</v>
      </c>
      <c r="O3954" t="n">
        <v>3.7</v>
      </c>
      <c r="P3954" t="n">
        <v>38</v>
      </c>
      <c r="R3954" t="inlineStr">
        <is>
          <t>InStock</t>
        </is>
      </c>
      <c r="S3954" t="inlineStr">
        <is>
          <t>21.95</t>
        </is>
      </c>
      <c r="T3954" t="inlineStr">
        <is>
          <t>S16151</t>
        </is>
      </c>
    </row>
    <row r="3955" hidden="1" ht="15.75" customHeight="1">
      <c r="A3955" s="2">
        <f>HYPERLINK("https://www.soccerplususa.com/adidas/adidas-estro-15-jersey-7830", "https://www.soccerplususa.com/adidas/adidas-estro-15-jersey-7830")</f>
        <v/>
      </c>
      <c r="B3955" t="inlineStr">
        <is>
          <t>undefined</t>
        </is>
      </c>
      <c r="C3955" t="inlineStr">
        <is>
          <t>adidas Estro 15 Jersey</t>
        </is>
      </c>
      <c r="D3955" t="inlineStr">
        <is>
          <t>adidas Estro 15 Jersey Short Sleeve - Adult - White/Black - Small</t>
        </is>
      </c>
      <c r="E3955" s="2">
        <f>HYPERLINK("https://www.amazon.com/adidas-Estro-Jersey-Short-Sleeve/dp/B00T7YNK70/ref=sr_1_3?keywords=adidas+Estro+15+Jersey&amp;qid=1695171209&amp;sr=8-3", "https://www.amazon.com/adidas-Estro-Jersey-Short-Sleeve/dp/B00T7YNK70/ref=sr_1_3?keywords=adidas+Estro+15+Jersey&amp;qid=1695171209&amp;sr=8-3")</f>
        <v/>
      </c>
      <c r="F3955" t="inlineStr">
        <is>
          <t>B00T7YNK70</t>
        </is>
      </c>
      <c r="G3955">
        <f>_xludf.IMAGE("https://www.soccerplususa.com/prodimages/5088-DEFAULT-l.jpg")</f>
        <v/>
      </c>
      <c r="H3955">
        <f>_xludf.IMAGE("https://m.media-amazon.com/images/I/51RKYtxZUBL._AC_UL320_.jpg")</f>
        <v/>
      </c>
      <c r="K3955" t="inlineStr">
        <is>
          <t>11.0</t>
        </is>
      </c>
      <c r="L3955" t="n">
        <v>16.75</v>
      </c>
      <c r="M3955" s="1" t="inlineStr">
        <is>
          <t>52.27%</t>
        </is>
      </c>
      <c r="N3955" s="3" t="n">
        <v>52.27</v>
      </c>
      <c r="O3955" t="n">
        <v>3.7</v>
      </c>
      <c r="P3955" t="n">
        <v>38</v>
      </c>
      <c r="R3955" t="inlineStr">
        <is>
          <t>InStock</t>
        </is>
      </c>
      <c r="S3955" t="inlineStr">
        <is>
          <t>21.95</t>
        </is>
      </c>
      <c r="T3955" t="inlineStr">
        <is>
          <t>S16147</t>
        </is>
      </c>
    </row>
    <row r="3956" hidden="1" ht="15.75" customHeight="1">
      <c r="A3956" s="2">
        <f>HYPERLINK("https://www.soccerplususa.com/adidas/adidas-estro-15-jersey-7829", "https://www.soccerplususa.com/adidas/adidas-estro-15-jersey-7829")</f>
        <v/>
      </c>
      <c r="B3956" t="inlineStr">
        <is>
          <t>undefined</t>
        </is>
      </c>
      <c r="C3956" t="inlineStr">
        <is>
          <t>adidas Estro 15 Jersey</t>
        </is>
      </c>
      <c r="D3956" t="inlineStr">
        <is>
          <t>adidas Estro 15 Jersey Short Sleeve - Adult - White/Black - Small</t>
        </is>
      </c>
      <c r="E3956" s="2">
        <f>HYPERLINK("https://www.amazon.com/adidas-Estro-Jersey-Short-Sleeve/dp/B00T7YNK70/ref=sr_1_3?keywords=adidas+Estro+15+Jersey&amp;qid=1695171197&amp;sr=8-3", "https://www.amazon.com/adidas-Estro-Jersey-Short-Sleeve/dp/B00T7YNK70/ref=sr_1_3?keywords=adidas+Estro+15+Jersey&amp;qid=1695171197&amp;sr=8-3")</f>
        <v/>
      </c>
      <c r="F3956" t="inlineStr">
        <is>
          <t>B00T7YNK70</t>
        </is>
      </c>
      <c r="G3956">
        <f>_xludf.IMAGE("https://www.soccerplususa.com/prodimages/3069-DEFAULT-l.jpg")</f>
        <v/>
      </c>
      <c r="H3956">
        <f>_xludf.IMAGE("https://m.media-amazon.com/images/I/51RKYtxZUBL._AC_UL320_.jpg")</f>
        <v/>
      </c>
      <c r="K3956" t="inlineStr">
        <is>
          <t>11.0</t>
        </is>
      </c>
      <c r="L3956" t="n">
        <v>16.75</v>
      </c>
      <c r="M3956" s="1" t="inlineStr">
        <is>
          <t>52.27%</t>
        </is>
      </c>
      <c r="N3956" s="3" t="n">
        <v>52.27</v>
      </c>
      <c r="O3956" t="n">
        <v>3.7</v>
      </c>
      <c r="P3956" t="n">
        <v>38</v>
      </c>
      <c r="R3956" t="inlineStr">
        <is>
          <t>InStock</t>
        </is>
      </c>
      <c r="S3956" t="inlineStr">
        <is>
          <t>21.95</t>
        </is>
      </c>
      <c r="T3956" t="inlineStr">
        <is>
          <t>S16146</t>
        </is>
      </c>
    </row>
    <row r="3957" hidden="1" ht="15.75" customHeight="1">
      <c r="A3957" s="2">
        <f>HYPERLINK("https://www.soccerplususa.com/adidas/adidas-tabela-11-jersey-7257", "https://www.soccerplususa.com/adidas/adidas-tabela-11-jersey-7257")</f>
        <v/>
      </c>
      <c r="B3957" t="inlineStr">
        <is>
          <t>undefined</t>
        </is>
      </c>
      <c r="C3957" t="inlineStr">
        <is>
          <t>adidas Tabela 11 Jersey</t>
        </is>
      </c>
      <c r="D3957" t="inlineStr">
        <is>
          <t>adidas Kids' Tabela 23 Jersey</t>
        </is>
      </c>
      <c r="E3957" s="2">
        <f>HYPERLINK("https://www.amazon.com/adidas-Tabela-Jersey-Black-White/dp/B09YG6J77F/ref=sr_1_2?keywords=adidas+Tabela+11+Jersey&amp;qid=1695171216&amp;sr=8-2", "https://www.amazon.com/adidas-Tabela-Jersey-Black-White/dp/B09YG6J77F/ref=sr_1_2?keywords=adidas+Tabela+11+Jersey&amp;qid=1695171216&amp;sr=8-2")</f>
        <v/>
      </c>
      <c r="F3957" t="inlineStr">
        <is>
          <t>B09YG6J77F</t>
        </is>
      </c>
      <c r="G3957">
        <f>_xludf.IMAGE("https://www.soccerplususa.com/prodimages/3212-DEFAULT-l.jpg")</f>
        <v/>
      </c>
      <c r="H3957">
        <f>_xludf.IMAGE("https://m.media-amazon.com/images/I/71v3s6ZRHCL._AC_UL320_.jpg")</f>
        <v/>
      </c>
      <c r="K3957" t="inlineStr">
        <is>
          <t>12.0</t>
        </is>
      </c>
      <c r="L3957" t="n">
        <v>18.27</v>
      </c>
      <c r="M3957" s="1" t="inlineStr">
        <is>
          <t>52.25%</t>
        </is>
      </c>
      <c r="N3957" s="3" t="n">
        <v>52.25</v>
      </c>
      <c r="O3957" t="n">
        <v>4.8</v>
      </c>
      <c r="P3957" t="n">
        <v>31</v>
      </c>
      <c r="R3957" t="inlineStr">
        <is>
          <t>InStock</t>
        </is>
      </c>
      <c r="S3957" t="inlineStr">
        <is>
          <t>24.95</t>
        </is>
      </c>
      <c r="T3957" t="inlineStr">
        <is>
          <t>O07609</t>
        </is>
      </c>
    </row>
    <row r="3958" hidden="1" ht="15.75" customHeight="1">
      <c r="A3958" s="2">
        <f>HYPERLINK("https://www.soccerplususa.com/adidas/adidas-regista-16-jersey-4147", "https://www.soccerplususa.com/adidas/adidas-regista-16-jersey-4147")</f>
        <v/>
      </c>
      <c r="B3958" t="inlineStr">
        <is>
          <t>undefined</t>
        </is>
      </c>
      <c r="C3958" t="inlineStr">
        <is>
          <t>adidas Regista 16 Jersey</t>
        </is>
      </c>
      <c r="D3958" t="inlineStr">
        <is>
          <t>adidas Regista 16 Youth Soccer Jersey Orange</t>
        </is>
      </c>
      <c r="E3958" s="2">
        <f>HYPERLINK("https://www.amazon.com/Adidas-Regista-Soccer-Jersey-Blue-White/dp/B018667R3W/ref=sr_1_1?keywords=adidas+Regista+16+Jersey&amp;qid=1695171233&amp;sr=8-1", "https://www.amazon.com/Adidas-Regista-Soccer-Jersey-Blue-White/dp/B018667R3W/ref=sr_1_1?keywords=adidas+Regista+16+Jersey&amp;qid=1695171233&amp;sr=8-1")</f>
        <v/>
      </c>
      <c r="F3958" t="inlineStr">
        <is>
          <t>B018667R3W</t>
        </is>
      </c>
      <c r="G3958">
        <f>_xludf.IMAGE("https://www.soccerplususa.com/prodimages/7616-DEFAULT-l.jpg")</f>
        <v/>
      </c>
      <c r="H3958">
        <f>_xludf.IMAGE("https://m.media-amazon.com/images/I/61tmtZUUCJL._AC_UL320_.jpg")</f>
        <v/>
      </c>
      <c r="K3958" t="inlineStr">
        <is>
          <t>17.5</t>
        </is>
      </c>
      <c r="L3958" t="n">
        <v>26.56</v>
      </c>
      <c r="M3958" s="1" t="inlineStr">
        <is>
          <t>51.77%</t>
        </is>
      </c>
      <c r="N3958" s="3" t="n">
        <v>51.77</v>
      </c>
      <c r="O3958" t="n">
        <v>4.1</v>
      </c>
      <c r="P3958" t="n">
        <v>6</v>
      </c>
      <c r="R3958" t="inlineStr">
        <is>
          <t>InStock</t>
        </is>
      </c>
      <c r="S3958" t="inlineStr">
        <is>
          <t>34.95</t>
        </is>
      </c>
      <c r="T3958" t="inlineStr">
        <is>
          <t>AP0529</t>
        </is>
      </c>
    </row>
    <row r="3959" hidden="1" ht="15.75" customHeight="1">
      <c r="A3959" s="2">
        <f>HYPERLINK("https://www.soccerplususa.com/adidas/adidas-regista-16-jersey-4149", "https://www.soccerplususa.com/adidas/adidas-regista-16-jersey-4149")</f>
        <v/>
      </c>
      <c r="B3959" t="inlineStr">
        <is>
          <t>undefined</t>
        </is>
      </c>
      <c r="C3959" t="inlineStr">
        <is>
          <t>adidas Regista 16 Jersey</t>
        </is>
      </c>
      <c r="D3959" t="inlineStr">
        <is>
          <t>Nike Adidas Regista 16 Mens Soccer Short</t>
        </is>
      </c>
      <c r="E3959" s="2">
        <f>HYPERLINK("https://www.amazon.com/Adidas-Regista-Soccer-Short-Black-White/dp/B01866CQVU/ref=sr_1_4?keywords=adidas+Regista+16+Jersey&amp;qid=1695171233&amp;sr=8-4", "https://www.amazon.com/Adidas-Regista-Soccer-Short-Black-White/dp/B01866CQVU/ref=sr_1_4?keywords=adidas+Regista+16+Jersey&amp;qid=1695171233&amp;sr=8-4")</f>
        <v/>
      </c>
      <c r="F3959" t="inlineStr">
        <is>
          <t>B01866CQVU</t>
        </is>
      </c>
      <c r="G3959">
        <f>_xludf.IMAGE("https://www.soccerplususa.com/prodimages/32795-DEFAULT-l.jpg")</f>
        <v/>
      </c>
      <c r="H3959">
        <f>_xludf.IMAGE("https://m.media-amazon.com/images/I/71OBTSNGviL._AC_UL320_.jpg")</f>
        <v/>
      </c>
      <c r="K3959" t="inlineStr">
        <is>
          <t>17.0</t>
        </is>
      </c>
      <c r="L3959" t="n">
        <v>25.69</v>
      </c>
      <c r="M3959" s="1" t="inlineStr">
        <is>
          <t>51.12%</t>
        </is>
      </c>
      <c r="N3959" s="3" t="n">
        <v>51.12</v>
      </c>
      <c r="O3959" t="n">
        <v>4.7</v>
      </c>
      <c r="P3959" t="n">
        <v>9</v>
      </c>
      <c r="R3959" t="inlineStr">
        <is>
          <t>InStock</t>
        </is>
      </c>
      <c r="S3959" t="inlineStr">
        <is>
          <t>34.95</t>
        </is>
      </c>
      <c r="T3959" t="inlineStr">
        <is>
          <t>AP0535</t>
        </is>
      </c>
    </row>
    <row r="3960" hidden="1" ht="15.75" customHeight="1">
      <c r="A3960" s="2">
        <f>HYPERLINK("https://www.soccerplususa.com/storelli-sports/storelli-bodyshield-sleeveless-undershirt-32102", "https://www.soccerplususa.com/storelli-sports/storelli-bodyshield-sleeveless-undershirt-32102")</f>
        <v/>
      </c>
      <c r="B3960" t="inlineStr">
        <is>
          <t>undefined</t>
        </is>
      </c>
      <c r="C3960" t="inlineStr">
        <is>
          <t>Storelli BodyShield Sleeveless Undershirt</t>
        </is>
      </c>
      <c r="D3960" t="inlineStr">
        <is>
          <t>Storelli BodyShield Goalkeeper 3/4 Undershirt | Lightweight Compression Soccer Shirt</t>
        </is>
      </c>
      <c r="E3960" s="2">
        <f>HYPERLINK("https://www.amazon.com/Storelli-BSGKTOPBKM-Standard-Black-Medium/dp/B005E7KL8A/ref=sr_1_2?keywords=Storelli+BodyShield+Sleeveless+Undershirt&amp;qid=1695171181&amp;sr=8-2", "https://www.amazon.com/Storelli-BSGKTOPBKM-Standard-Black-Medium/dp/B005E7KL8A/ref=sr_1_2?keywords=Storelli+BodyShield+Sleeveless+Undershirt&amp;qid=1695171181&amp;sr=8-2")</f>
        <v/>
      </c>
      <c r="F3960" t="inlineStr">
        <is>
          <t>B005E7KL8A</t>
        </is>
      </c>
      <c r="G3960">
        <f>_xludf.IMAGE("https://www.soccerplususa.com/prodimages/2096-DEFAULT-l.jpg")</f>
        <v/>
      </c>
      <c r="H3960">
        <f>_xludf.IMAGE("https://m.media-amazon.com/images/I/41zIByBHr7L._AC_UL320_.jpg")</f>
        <v/>
      </c>
      <c r="K3960" t="inlineStr">
        <is>
          <t>59.95</t>
        </is>
      </c>
      <c r="L3960" t="n">
        <v>89.98999999999999</v>
      </c>
      <c r="M3960" s="1" t="inlineStr">
        <is>
          <t>50.11%</t>
        </is>
      </c>
      <c r="N3960" s="3" t="n">
        <v>50.11</v>
      </c>
      <c r="O3960" t="n">
        <v>4.2</v>
      </c>
      <c r="P3960" t="n">
        <v>76</v>
      </c>
      <c r="R3960" t="inlineStr">
        <is>
          <t>InStock</t>
        </is>
      </c>
      <c r="S3960" t="inlineStr">
        <is>
          <t>undefined</t>
        </is>
      </c>
      <c r="T3960" t="inlineStr">
        <is>
          <t>BSFPTOPNSBK</t>
        </is>
      </c>
    </row>
    <row r="3961" hidden="1" ht="15.75" customHeight="1">
      <c r="A3961" s="2">
        <f>HYPERLINK("https://www.soccerplususa.com/storelli-sports/storelli-bodyshield-sleeveless-undershirt-32102", "https://www.soccerplususa.com/storelli-sports/storelli-bodyshield-sleeveless-undershirt-32102")</f>
        <v/>
      </c>
      <c r="B3961" t="inlineStr">
        <is>
          <t>undefined</t>
        </is>
      </c>
      <c r="C3961" t="inlineStr">
        <is>
          <t>Storelli BodyShield Sleeveless Undershirt</t>
        </is>
      </c>
      <c r="D3961" t="inlineStr">
        <is>
          <t>Storelli BodyShield Goalkeeper 3/4 Undershirt | Lightweight Compression Soccer Shirt</t>
        </is>
      </c>
      <c r="E3961" s="2">
        <f>HYPERLINK("https://www.amazon.com/Storelli-BSGKTOPBKS-Standard-Black-Small/dp/B005E7KL9E/ref=sr_1_fkmr1_2?keywords=Storelli+BodyShield+Sleeveless+Undershirt&amp;qid=1695171181&amp;sr=8-2-fkmr1", "https://www.amazon.com/Storelli-BSGKTOPBKS-Standard-Black-Small/dp/B005E7KL9E/ref=sr_1_fkmr1_2?keywords=Storelli+BodyShield+Sleeveless+Undershirt&amp;qid=1695171181&amp;sr=8-2-fkmr1")</f>
        <v/>
      </c>
      <c r="F3961" t="inlineStr">
        <is>
          <t>B005E7KL9E</t>
        </is>
      </c>
      <c r="G3961">
        <f>_xludf.IMAGE("https://www.soccerplususa.com/prodimages/2096-DEFAULT-l.jpg")</f>
        <v/>
      </c>
      <c r="H3961">
        <f>_xludf.IMAGE("https://m.media-amazon.com/images/I/41zIByBHr7L._AC_UL320_.jpg")</f>
        <v/>
      </c>
      <c r="K3961" t="inlineStr">
        <is>
          <t>59.95</t>
        </is>
      </c>
      <c r="L3961" t="n">
        <v>89.98999999999999</v>
      </c>
      <c r="M3961" s="1" t="inlineStr">
        <is>
          <t>50.11%</t>
        </is>
      </c>
      <c r="N3961" s="3" t="n">
        <v>50.11</v>
      </c>
      <c r="O3961" t="n">
        <v>4.2</v>
      </c>
      <c r="P3961" t="n">
        <v>51</v>
      </c>
      <c r="R3961" t="inlineStr">
        <is>
          <t>InStock</t>
        </is>
      </c>
      <c r="S3961" t="inlineStr">
        <is>
          <t>undefined</t>
        </is>
      </c>
      <c r="T3961" t="inlineStr">
        <is>
          <t>BSFPTOPNSBK</t>
        </is>
      </c>
    </row>
    <row r="3962" hidden="1" ht="15.75" customHeight="1">
      <c r="A3962" s="2">
        <f>HYPERLINK("https://www.soccerplususa.com/adidas/adidas-tabela-11-jersey-7260", "https://www.soccerplususa.com/adidas/adidas-tabela-11-jersey-7260")</f>
        <v/>
      </c>
      <c r="B3962" t="inlineStr">
        <is>
          <t>undefined</t>
        </is>
      </c>
      <c r="C3962" t="inlineStr">
        <is>
          <t>adidas Tabela 11 Jersey</t>
        </is>
      </c>
      <c r="D3962" t="inlineStr">
        <is>
          <t>adidas Womens Tabela 18 Soccer Jersey</t>
        </is>
      </c>
      <c r="E3962" s="2">
        <f>HYPERLINK("https://www.amazon.com/adidas-Tabela-Jersey-Collegiate-Green-White/dp/B078L7RSY6/ref=sr_1_5?keywords=adidas+Tabela+11+Jersey&amp;qid=1695171198&amp;sr=8-5", "https://www.amazon.com/adidas-Tabela-Jersey-Collegiate-Green-White/dp/B078L7RSY6/ref=sr_1_5?keywords=adidas+Tabela+11+Jersey&amp;qid=1695171198&amp;sr=8-5")</f>
        <v/>
      </c>
      <c r="F3962" t="inlineStr">
        <is>
          <t>B078L7RSY6</t>
        </is>
      </c>
      <c r="G3962">
        <f>_xludf.IMAGE("https://www.soccerplususa.com/prodimages/3223-DEFAULT-l.jpg")</f>
        <v/>
      </c>
      <c r="H3962">
        <f>_xludf.IMAGE("https://m.media-amazon.com/images/I/51-xYt1RCtL._AC_UL320_.jpg")</f>
        <v/>
      </c>
      <c r="K3962" t="inlineStr">
        <is>
          <t>12.0</t>
        </is>
      </c>
      <c r="L3962" t="n">
        <v>18</v>
      </c>
      <c r="M3962" s="1" t="inlineStr">
        <is>
          <t>50.00%</t>
        </is>
      </c>
      <c r="N3962" s="3" t="n">
        <v>50</v>
      </c>
      <c r="O3962" t="n">
        <v>4.2</v>
      </c>
      <c r="P3962" t="n">
        <v>7</v>
      </c>
      <c r="R3962" t="inlineStr">
        <is>
          <t>InStock</t>
        </is>
      </c>
      <c r="S3962" t="inlineStr">
        <is>
          <t>24.95</t>
        </is>
      </c>
      <c r="T3962" t="inlineStr">
        <is>
          <t>O07611</t>
        </is>
      </c>
    </row>
    <row r="3963" hidden="1" ht="15.75" customHeight="1">
      <c r="A3963" s="2">
        <f>HYPERLINK("https://www.soccerplususa.com/adidas/adidas-tiro-13-jersey-8992", "https://www.soccerplususa.com/adidas/adidas-tiro-13-jersey-8992")</f>
        <v/>
      </c>
      <c r="B3963" t="inlineStr">
        <is>
          <t>undefined</t>
        </is>
      </c>
      <c r="C3963" t="inlineStr">
        <is>
          <t>adidas Tiro 13 Jersey</t>
        </is>
      </c>
      <c r="D3963" t="inlineStr">
        <is>
          <t>adidas Men's Tiro 23 Jersey</t>
        </is>
      </c>
      <c r="E3963" s="2">
        <f>HYPERLINK("https://www.amazon.com/adidas-Jersey-White-Black-Large/dp/B09YG3JD9R/ref=sr_1_9?keywords=adidas+Tiro+13+Jersey&amp;qid=1695171210&amp;sr=8-9", "https://www.amazon.com/adidas-Jersey-White-Black-Large/dp/B09YG3JD9R/ref=sr_1_9?keywords=adidas+Tiro+13+Jersey&amp;qid=1695171210&amp;sr=8-9")</f>
        <v/>
      </c>
      <c r="F3963" t="inlineStr">
        <is>
          <t>B09YG3JD9R</t>
        </is>
      </c>
      <c r="G3963">
        <f>_xludf.IMAGE("https://www.soccerplususa.com/prodimages/10768-DEFAULT-l.jpg")</f>
        <v/>
      </c>
      <c r="H3963">
        <f>_xludf.IMAGE("https://m.media-amazon.com/images/I/41oSu3M1eSL._AC_UL320_.jpg")</f>
        <v/>
      </c>
      <c r="K3963" t="inlineStr">
        <is>
          <t>20.0</t>
        </is>
      </c>
      <c r="L3963" t="n">
        <v>30</v>
      </c>
      <c r="M3963" s="1" t="inlineStr">
        <is>
          <t>50.00%</t>
        </is>
      </c>
      <c r="N3963" s="3" t="n">
        <v>50</v>
      </c>
      <c r="O3963" t="n">
        <v>4.6</v>
      </c>
      <c r="P3963" t="n">
        <v>46</v>
      </c>
      <c r="R3963" t="inlineStr">
        <is>
          <t>InStock</t>
        </is>
      </c>
      <c r="S3963" t="inlineStr">
        <is>
          <t>39.95</t>
        </is>
      </c>
      <c r="T3963" t="inlineStr">
        <is>
          <t>Z20252</t>
        </is>
      </c>
    </row>
    <row r="3964" hidden="1" ht="15.75" customHeight="1">
      <c r="A3964" s="2">
        <f>HYPERLINK("https://www.soccerplususa.com/adidas/adidas-tabela-11-jersey-7257", "https://www.soccerplususa.com/adidas/adidas-tabela-11-jersey-7257")</f>
        <v/>
      </c>
      <c r="B3964" t="inlineStr">
        <is>
          <t>undefined</t>
        </is>
      </c>
      <c r="C3964" t="inlineStr">
        <is>
          <t>adidas Tabela 11 Jersey</t>
        </is>
      </c>
      <c r="D3964" t="inlineStr">
        <is>
          <t>adidas Womens Tabela 18 Soccer Jersey</t>
        </is>
      </c>
      <c r="E3964" s="2">
        <f>HYPERLINK("https://www.amazon.com/adidas-Tabela-Jersey-Collegiate-Green-White/dp/B078L7RSY6/ref=sr_1_5?keywords=adidas+Tabela+11+Jersey&amp;qid=1695171216&amp;sr=8-5", "https://www.amazon.com/adidas-Tabela-Jersey-Collegiate-Green-White/dp/B078L7RSY6/ref=sr_1_5?keywords=adidas+Tabela+11+Jersey&amp;qid=1695171216&amp;sr=8-5")</f>
        <v/>
      </c>
      <c r="F3964" t="inlineStr">
        <is>
          <t>B078L7RSY6</t>
        </is>
      </c>
      <c r="G3964">
        <f>_xludf.IMAGE("https://www.soccerplususa.com/prodimages/3212-DEFAULT-l.jpg")</f>
        <v/>
      </c>
      <c r="H3964">
        <f>_xludf.IMAGE("https://m.media-amazon.com/images/I/51-xYt1RCtL._AC_UL320_.jpg")</f>
        <v/>
      </c>
      <c r="K3964" t="inlineStr">
        <is>
          <t>12.0</t>
        </is>
      </c>
      <c r="L3964" t="n">
        <v>18</v>
      </c>
      <c r="M3964" s="1" t="inlineStr">
        <is>
          <t>50.00%</t>
        </is>
      </c>
      <c r="N3964" s="3" t="n">
        <v>50</v>
      </c>
      <c r="O3964" t="n">
        <v>4.2</v>
      </c>
      <c r="P3964" t="n">
        <v>7</v>
      </c>
      <c r="R3964" t="inlineStr">
        <is>
          <t>InStock</t>
        </is>
      </c>
      <c r="S3964" t="inlineStr">
        <is>
          <t>24.95</t>
        </is>
      </c>
      <c r="T3964" t="inlineStr">
        <is>
          <t>O07609</t>
        </is>
      </c>
    </row>
    <row r="3965" hidden="1" ht="15.75" customHeight="1">
      <c r="A3965" s="2">
        <f>HYPERLINK("https://www.soccerplususa.com/adidas/adidas-tiro-13-jersey-9163", "https://www.soccerplususa.com/adidas/adidas-tiro-13-jersey-9163")</f>
        <v/>
      </c>
      <c r="B3965" t="inlineStr">
        <is>
          <t>undefined</t>
        </is>
      </c>
      <c r="C3965" t="inlineStr">
        <is>
          <t>adidas Tiro 13 Jersey</t>
        </is>
      </c>
      <c r="D3965" t="inlineStr">
        <is>
          <t>adidas Men's Tiro 23 Jersey</t>
        </is>
      </c>
      <c r="E3965" s="2">
        <f>HYPERLINK("https://www.amazon.com/adidas-Jersey-White-Black-Large/dp/B09YG3JD9R/ref=sr_1_9?keywords=adidas+Tiro+13+Jersey&amp;qid=1695171187&amp;sr=8-9", "https://www.amazon.com/adidas-Jersey-White-Black-Large/dp/B09YG3JD9R/ref=sr_1_9?keywords=adidas+Tiro+13+Jersey&amp;qid=1695171187&amp;sr=8-9")</f>
        <v/>
      </c>
      <c r="F3965" t="inlineStr">
        <is>
          <t>B09YG3JD9R</t>
        </is>
      </c>
      <c r="G3965">
        <f>_xludf.IMAGE("https://www.soccerplususa.com/prodimages/3224-DEFAULT-l.jpg")</f>
        <v/>
      </c>
      <c r="H3965">
        <f>_xludf.IMAGE("https://m.media-amazon.com/images/I/41oSu3M1eSL._AC_UL320_.jpg")</f>
        <v/>
      </c>
      <c r="K3965" t="inlineStr">
        <is>
          <t>20.0</t>
        </is>
      </c>
      <c r="L3965" t="n">
        <v>30</v>
      </c>
      <c r="M3965" s="1" t="inlineStr">
        <is>
          <t>50.00%</t>
        </is>
      </c>
      <c r="N3965" s="3" t="n">
        <v>50</v>
      </c>
      <c r="O3965" t="n">
        <v>4.6</v>
      </c>
      <c r="P3965" t="n">
        <v>46</v>
      </c>
      <c r="R3965" t="inlineStr">
        <is>
          <t>InStock</t>
        </is>
      </c>
      <c r="S3965" t="inlineStr">
        <is>
          <t>39.95</t>
        </is>
      </c>
      <c r="T3965" t="inlineStr">
        <is>
          <t>Z69160</t>
        </is>
      </c>
    </row>
    <row r="3966" hidden="1" ht="15.75" customHeight="1">
      <c r="A3966" s="2">
        <f>HYPERLINK("https://www.soccerplususa.com/adidas/adidas-tiro-13-jersey-8642", "https://www.soccerplususa.com/adidas/adidas-tiro-13-jersey-8642")</f>
        <v/>
      </c>
      <c r="B3966" t="inlineStr">
        <is>
          <t>undefined</t>
        </is>
      </c>
      <c r="C3966" t="inlineStr">
        <is>
          <t>adidas Tiro 13 Jersey</t>
        </is>
      </c>
      <c r="D3966" t="inlineStr">
        <is>
          <t>adidas Men's Tiro 23 Jersey</t>
        </is>
      </c>
      <c r="E3966" s="2">
        <f>HYPERLINK("https://www.amazon.com/adidas-Jersey-White-Black-Large/dp/B09YG3JD9R/ref=sr_1_9?keywords=adidas+Tiro+13+Jersey&amp;qid=1695171197&amp;sr=8-9", "https://www.amazon.com/adidas-Jersey-White-Black-Large/dp/B09YG3JD9R/ref=sr_1_9?keywords=adidas+Tiro+13+Jersey&amp;qid=1695171197&amp;sr=8-9")</f>
        <v/>
      </c>
      <c r="F3966" t="inlineStr">
        <is>
          <t>B09YG3JD9R</t>
        </is>
      </c>
      <c r="G3966">
        <f>_xludf.IMAGE("https://www.soccerplususa.com/prodimages/3217-DEFAULT-l.jpg")</f>
        <v/>
      </c>
      <c r="H3966">
        <f>_xludf.IMAGE("https://m.media-amazon.com/images/I/41oSu3M1eSL._AC_UL320_.jpg")</f>
        <v/>
      </c>
      <c r="K3966" t="inlineStr">
        <is>
          <t>20.0</t>
        </is>
      </c>
      <c r="L3966" t="n">
        <v>30</v>
      </c>
      <c r="M3966" s="1" t="inlineStr">
        <is>
          <t>50.00%</t>
        </is>
      </c>
      <c r="N3966" s="3" t="n">
        <v>50</v>
      </c>
      <c r="O3966" t="n">
        <v>4.6</v>
      </c>
      <c r="P3966" t="n">
        <v>46</v>
      </c>
      <c r="R3966" t="inlineStr">
        <is>
          <t>InStock</t>
        </is>
      </c>
      <c r="S3966" t="inlineStr">
        <is>
          <t>39.95</t>
        </is>
      </c>
      <c r="T3966" t="inlineStr">
        <is>
          <t>W53887</t>
        </is>
      </c>
    </row>
    <row r="3967" hidden="1" ht="15.75" customHeight="1">
      <c r="A3967" s="2">
        <f>HYPERLINK("https://www.soccerplususa.com/adidas/adidas-tiro-15-jersey-7887", "https://www.soccerplususa.com/adidas/adidas-tiro-15-jersey-7887")</f>
        <v/>
      </c>
      <c r="B3967" t="inlineStr">
        <is>
          <t>undefined</t>
        </is>
      </c>
      <c r="C3967" t="inlineStr">
        <is>
          <t>adidas Tiro 15 Jersey</t>
        </is>
      </c>
      <c r="D3967" t="inlineStr">
        <is>
          <t>adidas Tiro 15 Mens Soccer Jersey S Dark Blue/White</t>
        </is>
      </c>
      <c r="E3967" s="2">
        <f>HYPERLINK("https://www.amazon.com/Adidas-Tiro-Soccer-Jersey-Blue-White/dp/B00QKQQKRU/ref=sr_1_8?keywords=adidas+Tiro+15+Jersey&amp;qid=1695171209&amp;sr=8-8", "https://www.amazon.com/Adidas-Tiro-Soccer-Jersey-Blue-White/dp/B00QKQQKRU/ref=sr_1_8?keywords=adidas+Tiro+15+Jersey&amp;qid=1695171209&amp;sr=8-8")</f>
        <v/>
      </c>
      <c r="F3967" t="inlineStr">
        <is>
          <t>B00QKQQKRU</t>
        </is>
      </c>
      <c r="G3967">
        <f>_xludf.IMAGE("https://www.soccerplususa.com/prodimages/6309-DEFAULT-l.jpg")</f>
        <v/>
      </c>
      <c r="H3967">
        <f>_xludf.IMAGE("https://m.media-amazon.com/images/I/71QK9S36YUL._AC_UL320_.jpg")</f>
        <v/>
      </c>
      <c r="K3967" t="inlineStr">
        <is>
          <t>20.0</t>
        </is>
      </c>
      <c r="L3967" t="n">
        <v>29.99</v>
      </c>
      <c r="M3967" s="1" t="inlineStr">
        <is>
          <t>49.95%</t>
        </is>
      </c>
      <c r="N3967" s="3" t="n">
        <v>49.95</v>
      </c>
      <c r="O3967" t="n">
        <v>4.4</v>
      </c>
      <c r="P3967" t="n">
        <v>2</v>
      </c>
      <c r="R3967" t="inlineStr">
        <is>
          <t>InStock</t>
        </is>
      </c>
      <c r="S3967" t="inlineStr">
        <is>
          <t>40.0</t>
        </is>
      </c>
      <c r="T3967" t="inlineStr">
        <is>
          <t>S22362</t>
        </is>
      </c>
    </row>
    <row r="3968" hidden="1" ht="15.75" customHeight="1">
      <c r="A3968" s="2">
        <f>HYPERLINK("https://www.soccerplususa.com/adidas/adidas-tiro-15-jersey-womens-7896", "https://www.soccerplususa.com/adidas/adidas-tiro-15-jersey-womens-7896")</f>
        <v/>
      </c>
      <c r="B3968" t="inlineStr">
        <is>
          <t>undefined</t>
        </is>
      </c>
      <c r="C3968" t="inlineStr">
        <is>
          <t>adidas Tiro 15 Jersey Women's</t>
        </is>
      </c>
      <c r="D3968" t="inlineStr">
        <is>
          <t>adidas Tiro 19 Jersey- Women's Soccer S Dark Grey/White</t>
        </is>
      </c>
      <c r="E3968" s="2">
        <f>HYPERLINK("https://www.amazon.com/adidas-Jersey-Womens-Soccer-White/dp/B07H431JQ4/ref=sr_1_5?keywords=adidas+Tiro+15+Jersey+Womens&amp;qid=1695171238&amp;sr=8-5", "https://www.amazon.com/adidas-Jersey-Womens-Soccer-White/dp/B07H431JQ4/ref=sr_1_5?keywords=adidas+Tiro+15+Jersey+Womens&amp;qid=1695171238&amp;sr=8-5")</f>
        <v/>
      </c>
      <c r="F3968" t="inlineStr">
        <is>
          <t>B07H431JQ4</t>
        </is>
      </c>
      <c r="G3968">
        <f>_xludf.IMAGE("https://www.soccerplususa.com/prodimages/10575-DEFAULT-l.jpg")</f>
        <v/>
      </c>
      <c r="H3968">
        <f>_xludf.IMAGE("https://m.media-amazon.com/images/I/61ASNTLz-dL._AC_UL320_.jpg")</f>
        <v/>
      </c>
      <c r="K3968" t="inlineStr">
        <is>
          <t>20.0</t>
        </is>
      </c>
      <c r="L3968" t="n">
        <v>29.99</v>
      </c>
      <c r="M3968" s="1" t="inlineStr">
        <is>
          <t>49.95%</t>
        </is>
      </c>
      <c r="N3968" s="3" t="n">
        <v>49.95</v>
      </c>
      <c r="O3968" t="n">
        <v>5</v>
      </c>
      <c r="P3968" t="n">
        <v>2</v>
      </c>
      <c r="R3968" t="inlineStr">
        <is>
          <t>InStock</t>
        </is>
      </c>
      <c r="S3968" t="inlineStr">
        <is>
          <t>39.95</t>
        </is>
      </c>
      <c r="T3968" t="inlineStr">
        <is>
          <t>S22413</t>
        </is>
      </c>
    </row>
    <row r="3969" hidden="1" ht="15.75" customHeight="1">
      <c r="A3969" s="2">
        <f>HYPERLINK("https://www.soccerplususa.com/adidas/adidas-tiro-15-jersey-womens-7896", "https://www.soccerplususa.com/adidas/adidas-tiro-15-jersey-womens-7896")</f>
        <v/>
      </c>
      <c r="B3969" t="inlineStr">
        <is>
          <t>undefined</t>
        </is>
      </c>
      <c r="C3969" t="inlineStr">
        <is>
          <t>adidas Tiro 15 Jersey Women's</t>
        </is>
      </c>
      <c r="D3969" t="inlineStr">
        <is>
          <t>adidas Tiro 19 Jersey- Women's Soccer XL White</t>
        </is>
      </c>
      <c r="E3969" s="2">
        <f>HYPERLINK("https://www.amazon.com/adidas-Jersey-Womens-Soccer-White/dp/B07H42L4Q1/ref=sr_1_7?keywords=adidas+Tiro+15+Jersey+Womens&amp;qid=1695171238&amp;sr=8-7", "https://www.amazon.com/adidas-Jersey-Womens-Soccer-White/dp/B07H42L4Q1/ref=sr_1_7?keywords=adidas+Tiro+15+Jersey+Womens&amp;qid=1695171238&amp;sr=8-7")</f>
        <v/>
      </c>
      <c r="F3969" t="inlineStr">
        <is>
          <t>B07H42L4Q1</t>
        </is>
      </c>
      <c r="G3969">
        <f>_xludf.IMAGE("https://www.soccerplususa.com/prodimages/10575-DEFAULT-l.jpg")</f>
        <v/>
      </c>
      <c r="H3969">
        <f>_xludf.IMAGE("https://m.media-amazon.com/images/I/7133GDzSViS._AC_UL320_.jpg")</f>
        <v/>
      </c>
      <c r="K3969" t="inlineStr">
        <is>
          <t>20.0</t>
        </is>
      </c>
      <c r="L3969" t="n">
        <v>29.99</v>
      </c>
      <c r="M3969" s="1" t="inlineStr">
        <is>
          <t>49.95%</t>
        </is>
      </c>
      <c r="N3969" s="3" t="n">
        <v>49.95</v>
      </c>
      <c r="O3969" t="n">
        <v>5</v>
      </c>
      <c r="P3969" t="n">
        <v>1</v>
      </c>
      <c r="R3969" t="inlineStr">
        <is>
          <t>InStock</t>
        </is>
      </c>
      <c r="S3969" t="inlineStr">
        <is>
          <t>39.95</t>
        </is>
      </c>
      <c r="T3969" t="inlineStr">
        <is>
          <t>S22413</t>
        </is>
      </c>
    </row>
    <row r="3970" hidden="1" ht="15.75" customHeight="1">
      <c r="A3970" s="2">
        <f>HYPERLINK("https://www.soccerplususa.com/adidas/adidas-tiro-17-jersey-4869", "https://www.soccerplususa.com/adidas/adidas-tiro-17-jersey-4869")</f>
        <v/>
      </c>
      <c r="B3970" t="inlineStr">
        <is>
          <t>undefined</t>
        </is>
      </c>
      <c r="C3970" t="inlineStr">
        <is>
          <t>adidas Tiro 17 Jersey</t>
        </is>
      </c>
      <c r="D3970" t="inlineStr">
        <is>
          <t>adidas Men's Tiro 21 Training Jersey</t>
        </is>
      </c>
      <c r="E3970" s="2">
        <f>HYPERLINK("https://www.amazon.com/adidas-Training-Jersey-Black-Medium/dp/B087785299/ref=sr_1_4?keywords=adidas+Tiro+17+Jersey&amp;qid=1695171236&amp;sr=8-4", "https://www.amazon.com/adidas-Training-Jersey-Black-Medium/dp/B087785299/ref=sr_1_4?keywords=adidas+Tiro+17+Jersey&amp;qid=1695171236&amp;sr=8-4")</f>
        <v/>
      </c>
      <c r="F3970" t="inlineStr">
        <is>
          <t>B087785299</t>
        </is>
      </c>
      <c r="G3970">
        <f>_xludf.IMAGE("https://www.soccerplususa.com/prodimages/7451-DEFAULT-l.jpg")</f>
        <v/>
      </c>
      <c r="H3970">
        <f>_xludf.IMAGE("https://m.media-amazon.com/images/I/41o+9cIOzqL._AC_UL320_.jpg")</f>
        <v/>
      </c>
      <c r="K3970" t="inlineStr">
        <is>
          <t>20.0</t>
        </is>
      </c>
      <c r="L3970" t="n">
        <v>29.99</v>
      </c>
      <c r="M3970" s="1" t="inlineStr">
        <is>
          <t>49.95%</t>
        </is>
      </c>
      <c r="N3970" s="3" t="n">
        <v>49.95</v>
      </c>
      <c r="O3970" t="n">
        <v>4.6</v>
      </c>
      <c r="P3970" t="n">
        <v>1018</v>
      </c>
      <c r="R3970" t="inlineStr">
        <is>
          <t>InStock</t>
        </is>
      </c>
      <c r="S3970" t="inlineStr">
        <is>
          <t>39.95</t>
        </is>
      </c>
      <c r="T3970" t="inlineStr">
        <is>
          <t>BK5437</t>
        </is>
      </c>
    </row>
    <row r="3971" hidden="1" ht="15.75" customHeight="1">
      <c r="A3971" s="2">
        <f>HYPERLINK("https://www.soccerplususa.com/adidas/adidas-tiro-15-jersey-7888", "https://www.soccerplususa.com/adidas/adidas-tiro-15-jersey-7888")</f>
        <v/>
      </c>
      <c r="B3971" t="inlineStr">
        <is>
          <t>undefined</t>
        </is>
      </c>
      <c r="C3971" t="inlineStr">
        <is>
          <t>adidas Tiro 15 Jersey</t>
        </is>
      </c>
      <c r="D3971" t="inlineStr">
        <is>
          <t>adidas Tiro 15 Mens Soccer Jersey S Dark Blue/White</t>
        </is>
      </c>
      <c r="E3971" s="2">
        <f>HYPERLINK("https://www.amazon.com/Adidas-Tiro-Soccer-Jersey-Blue-White/dp/B00QKQQKRU/ref=sr_1_8?keywords=adidas+Tiro+15+Jersey&amp;qid=1695171213&amp;sr=8-8", "https://www.amazon.com/Adidas-Tiro-Soccer-Jersey-Blue-White/dp/B00QKQQKRU/ref=sr_1_8?keywords=adidas+Tiro+15+Jersey&amp;qid=1695171213&amp;sr=8-8")</f>
        <v/>
      </c>
      <c r="F3971" t="inlineStr">
        <is>
          <t>B00QKQQKRU</t>
        </is>
      </c>
      <c r="G3971">
        <f>_xludf.IMAGE("https://www.soccerplususa.com/prodimages/5430-DEFAULT-l.jpg")</f>
        <v/>
      </c>
      <c r="H3971">
        <f>_xludf.IMAGE("https://m.media-amazon.com/images/I/71QK9S36YUL._AC_UL320_.jpg")</f>
        <v/>
      </c>
      <c r="K3971" t="inlineStr">
        <is>
          <t>20.0</t>
        </is>
      </c>
      <c r="L3971" t="n">
        <v>29.99</v>
      </c>
      <c r="M3971" s="1" t="inlineStr">
        <is>
          <t>49.95%</t>
        </is>
      </c>
      <c r="N3971" s="3" t="n">
        <v>49.95</v>
      </c>
      <c r="O3971" t="n">
        <v>4.4</v>
      </c>
      <c r="P3971" t="n">
        <v>2</v>
      </c>
      <c r="R3971" t="inlineStr">
        <is>
          <t>InStock</t>
        </is>
      </c>
      <c r="S3971" t="inlineStr">
        <is>
          <t>39.95</t>
        </is>
      </c>
      <c r="T3971" t="inlineStr">
        <is>
          <t>S22363</t>
        </is>
      </c>
    </row>
    <row r="3972" hidden="1" ht="15.75" customHeight="1">
      <c r="A3972" s="2">
        <f>HYPERLINK("https://www.soccerplususa.com/adidas/adidas-tiro-15-jersey-womens-7896", "https://www.soccerplususa.com/adidas/adidas-tiro-15-jersey-womens-7896")</f>
        <v/>
      </c>
      <c r="B3972" t="inlineStr">
        <is>
          <t>undefined</t>
        </is>
      </c>
      <c r="C3972" t="inlineStr">
        <is>
          <t>adidas Tiro 15 Jersey Women's</t>
        </is>
      </c>
      <c r="D3972" t="inlineStr">
        <is>
          <t>adidas Tiro 19 Jersey- Women's Soccer M White</t>
        </is>
      </c>
      <c r="E3972" s="2">
        <f>HYPERLINK("https://www.amazon.com/adidas-Jersey-Womens-Soccer-White/dp/B07H453797/ref=sr_1_6?keywords=adidas+Tiro+15+Jersey+Womens&amp;qid=1695171238&amp;sr=8-6", "https://www.amazon.com/adidas-Jersey-Womens-Soccer-White/dp/B07H453797/ref=sr_1_6?keywords=adidas+Tiro+15+Jersey+Womens&amp;qid=1695171238&amp;sr=8-6")</f>
        <v/>
      </c>
      <c r="F3972" t="inlineStr">
        <is>
          <t>B07H453797</t>
        </is>
      </c>
      <c r="G3972">
        <f>_xludf.IMAGE("https://www.soccerplususa.com/prodimages/10575-DEFAULT-l.jpg")</f>
        <v/>
      </c>
      <c r="H3972">
        <f>_xludf.IMAGE("https://m.media-amazon.com/images/I/71O1zQQ7onL._AC_UL320_.jpg")</f>
        <v/>
      </c>
      <c r="K3972" t="inlineStr">
        <is>
          <t>20.0</t>
        </is>
      </c>
      <c r="L3972" t="n">
        <v>29.95</v>
      </c>
      <c r="M3972" s="1" t="inlineStr">
        <is>
          <t>49.75%</t>
        </is>
      </c>
      <c r="N3972" s="3" t="n">
        <v>49.75</v>
      </c>
      <c r="O3972" t="n">
        <v>4.5</v>
      </c>
      <c r="P3972" t="n">
        <v>2</v>
      </c>
      <c r="R3972" t="inlineStr">
        <is>
          <t>InStock</t>
        </is>
      </c>
      <c r="S3972" t="inlineStr">
        <is>
          <t>39.95</t>
        </is>
      </c>
      <c r="T3972" t="inlineStr">
        <is>
          <t>S22413</t>
        </is>
      </c>
    </row>
    <row r="3973" hidden="1" ht="15.75" customHeight="1">
      <c r="A3973" s="2">
        <f>HYPERLINK("https://www.soccerplususa.com/adidas/adidas-tiro-17-jersey-womens-35760", "https://www.soccerplususa.com/adidas/adidas-tiro-17-jersey-womens-35760")</f>
        <v/>
      </c>
      <c r="B3973" t="inlineStr">
        <is>
          <t>undefined</t>
        </is>
      </c>
      <c r="C3973" t="inlineStr">
        <is>
          <t>adidas Tiro 17 Jersey Women's</t>
        </is>
      </c>
      <c r="D3973" t="inlineStr">
        <is>
          <t>adidas Tiro 19 Jersey- Women's Soccer M White</t>
        </is>
      </c>
      <c r="E3973" s="2">
        <f>HYPERLINK("https://www.amazon.com/adidas-Jersey-Womens-Soccer-White/dp/B07H453797/ref=sr_1_10?keywords=adidas+Tiro+17+Jersey+Womens&amp;qid=1695171224&amp;sr=8-10", "https://www.amazon.com/adidas-Jersey-Womens-Soccer-White/dp/B07H453797/ref=sr_1_10?keywords=adidas+Tiro+17+Jersey+Womens&amp;qid=1695171224&amp;sr=8-10")</f>
        <v/>
      </c>
      <c r="F3973" t="inlineStr">
        <is>
          <t>B07H453797</t>
        </is>
      </c>
      <c r="G3973">
        <f>_xludf.IMAGE("https://www.soccerplususa.com/prodimages/9819-DEFAULT-l.jpg")</f>
        <v/>
      </c>
      <c r="H3973">
        <f>_xludf.IMAGE("https://m.media-amazon.com/images/I/71O1zQQ7onL._AC_UL320_.jpg")</f>
        <v/>
      </c>
      <c r="K3973" t="inlineStr">
        <is>
          <t>20.0</t>
        </is>
      </c>
      <c r="L3973" t="n">
        <v>29.95</v>
      </c>
      <c r="M3973" s="1" t="inlineStr">
        <is>
          <t>49.75%</t>
        </is>
      </c>
      <c r="N3973" s="3" t="n">
        <v>49.75</v>
      </c>
      <c r="O3973" t="n">
        <v>4.5</v>
      </c>
      <c r="P3973" t="n">
        <v>2</v>
      </c>
      <c r="R3973" t="inlineStr">
        <is>
          <t>InStock</t>
        </is>
      </c>
      <c r="S3973" t="inlineStr">
        <is>
          <t>39.95</t>
        </is>
      </c>
      <c r="T3973" t="inlineStr">
        <is>
          <t>BJ9096</t>
        </is>
      </c>
    </row>
    <row r="3974" hidden="1" ht="15.75" customHeight="1">
      <c r="A3974" s="2">
        <f>HYPERLINK("https://www.soccerplususa.com/under-armour/under-armour-coldgear-compression-mock-44300", "https://www.soccerplususa.com/under-armour/under-armour-coldgear-compression-mock-44300")</f>
        <v/>
      </c>
      <c r="B3974" t="inlineStr">
        <is>
          <t>undefined</t>
        </is>
      </c>
      <c r="C3974" t="inlineStr">
        <is>
          <t>Under Armour ColdGear Compression Mock</t>
        </is>
      </c>
      <c r="D3974" t="inlineStr">
        <is>
          <t>Under Armour Men's ColdGear Polartec Mock Shirt</t>
        </is>
      </c>
      <c r="E3974" s="2">
        <f>HYPERLINK("https://www.amazon.com/Under-Armour-ColdGear-Insulated-Compression/dp/B019ZGCGH4/ref=sr_1_9?keywords=Under+Armour+ColdGear+Compression+Mock&amp;qid=1695171160&amp;sr=8-9", "https://www.amazon.com/Under-Armour-ColdGear-Insulated-Compression/dp/B019ZGCGH4/ref=sr_1_9?keywords=Under+Armour+ColdGear+Compression+Mock&amp;qid=1695171160&amp;sr=8-9")</f>
        <v/>
      </c>
      <c r="F3974" t="inlineStr">
        <is>
          <t>B019ZGCGH4</t>
        </is>
      </c>
      <c r="G3974">
        <f>_xludf.IMAGE("https://www.soccerplususa.com/prodimages//36057-BLACK-M.jpg")</f>
        <v/>
      </c>
      <c r="H3974">
        <f>_xludf.IMAGE("https://m.media-amazon.com/images/I/918qX7F-HqL._AC_UL320_.jpg")</f>
        <v/>
      </c>
      <c r="K3974" t="inlineStr">
        <is>
          <t>54.95</t>
        </is>
      </c>
      <c r="L3974" t="n">
        <v>82</v>
      </c>
      <c r="M3974" s="1" t="inlineStr">
        <is>
          <t>49.23%</t>
        </is>
      </c>
      <c r="N3974" s="3" t="n">
        <v>49.23</v>
      </c>
      <c r="O3974" t="n">
        <v>3.9</v>
      </c>
      <c r="P3974" t="n">
        <v>11</v>
      </c>
      <c r="R3974" t="inlineStr">
        <is>
          <t>InStock</t>
        </is>
      </c>
      <c r="S3974" t="inlineStr">
        <is>
          <t>undefined</t>
        </is>
      </c>
      <c r="T3974" t="inlineStr">
        <is>
          <t>1366072-001</t>
        </is>
      </c>
    </row>
    <row r="3975" hidden="1" ht="15.75" customHeight="1">
      <c r="A3975" s="2">
        <f>HYPERLINK("https://www.soccerplususa.com/puma/puma-teamfinal-21-graphic-jersey-youth-40619", "https://www.soccerplususa.com/puma/puma-teamfinal-21-graphic-jersey-youth-40619")</f>
        <v/>
      </c>
      <c r="B3975" t="inlineStr">
        <is>
          <t>undefined</t>
        </is>
      </c>
      <c r="C3975" t="inlineStr">
        <is>
          <t>Puma Teamfinal 21 Graphic Jersey Youth</t>
        </is>
      </c>
      <c r="D3975" t="inlineStr">
        <is>
          <t>mens Teamfinal 21 Graphic Jersey T Shirt, Puma White/Gray Violet, Medium US</t>
        </is>
      </c>
      <c r="E3975" s="2">
        <f>HYPERLINK("https://www.amazon.com/Puma-Teamfinal-Graphic-Jersey-Medium/dp/B086RT8ZMZ/ref=sr_1_4?keywords=Puma+Teamfinal+21+Graphic+Jersey+Youth&amp;qid=1695171149&amp;sr=8-4", "https://www.amazon.com/Puma-Teamfinal-Graphic-Jersey-Medium/dp/B086RT8ZMZ/ref=sr_1_4?keywords=Puma+Teamfinal+21+Graphic+Jersey+Youth&amp;qid=1695171149&amp;sr=8-4")</f>
        <v/>
      </c>
      <c r="F3975" t="inlineStr">
        <is>
          <t>B086RT8ZMZ</t>
        </is>
      </c>
      <c r="G3975">
        <f>_xludf.IMAGE("https://www.soccerplususa.com/prodimages//37415-Pepper_Green-M.jpg")</f>
        <v/>
      </c>
      <c r="H3975">
        <f>_xludf.IMAGE("https://m.media-amazon.com/images/I/51vZRgruaoL._AC_UL320_.jpg")</f>
        <v/>
      </c>
      <c r="K3975" t="inlineStr">
        <is>
          <t>29.99</t>
        </is>
      </c>
      <c r="L3975" t="n">
        <v>44.71</v>
      </c>
      <c r="M3975" s="1" t="inlineStr">
        <is>
          <t>49.08%</t>
        </is>
      </c>
      <c r="N3975" s="3" t="n">
        <v>49.08</v>
      </c>
      <c r="O3975" t="n">
        <v>5</v>
      </c>
      <c r="P3975" t="n">
        <v>2</v>
      </c>
      <c r="R3975" t="inlineStr">
        <is>
          <t>InStock</t>
        </is>
      </c>
      <c r="S3975" t="inlineStr">
        <is>
          <t>39.95</t>
        </is>
      </c>
      <c r="T3975" t="inlineStr">
        <is>
          <t>704369-05</t>
        </is>
      </c>
    </row>
    <row r="3976" hidden="1" ht="15.75" customHeight="1">
      <c r="A3976" s="2">
        <f>HYPERLINK("https://www.soccerplususa.com/puma/puma-teamfinal-21-graphic-jersey-youth-42132", "https://www.soccerplususa.com/puma/puma-teamfinal-21-graphic-jersey-youth-42132")</f>
        <v/>
      </c>
      <c r="B3976" t="inlineStr">
        <is>
          <t>undefined</t>
        </is>
      </c>
      <c r="C3976" t="inlineStr">
        <is>
          <t>Puma Teamfinal 21 Graphic Jersey Youth</t>
        </is>
      </c>
      <c r="D3976" t="inlineStr">
        <is>
          <t>mens Teamfinal 21 Graphic Jersey T Shirt, Puma White/Gray Violet, Medium US</t>
        </is>
      </c>
      <c r="E3976" s="2">
        <f>HYPERLINK("https://www.amazon.com/Puma-Teamfinal-Graphic-Jersey-Medium/dp/B086RT8ZMZ/ref=sr_1_4?keywords=Puma+Teamfinal+21+Graphic+Jersey+Youth&amp;qid=1695171148&amp;sr=8-4", "https://www.amazon.com/Puma-Teamfinal-Graphic-Jersey-Medium/dp/B086RT8ZMZ/ref=sr_1_4?keywords=Puma+Teamfinal+21+Graphic+Jersey+Youth&amp;qid=1695171148&amp;sr=8-4")</f>
        <v/>
      </c>
      <c r="F3976" t="inlineStr">
        <is>
          <t>B086RT8ZMZ</t>
        </is>
      </c>
      <c r="G3976">
        <f>_xludf.IMAGE("https://www.soccerplususa.com/prodimages//37417-GRAY-M.jpg")</f>
        <v/>
      </c>
      <c r="H3976">
        <f>_xludf.IMAGE("https://m.media-amazon.com/images/I/51vZRgruaoL._AC_UL320_.jpg")</f>
        <v/>
      </c>
      <c r="K3976" t="inlineStr">
        <is>
          <t>29.99</t>
        </is>
      </c>
      <c r="L3976" t="n">
        <v>44.71</v>
      </c>
      <c r="M3976" s="1" t="inlineStr">
        <is>
          <t>49.08%</t>
        </is>
      </c>
      <c r="N3976" s="3" t="n">
        <v>49.08</v>
      </c>
      <c r="O3976" t="n">
        <v>5</v>
      </c>
      <c r="P3976" t="n">
        <v>2</v>
      </c>
      <c r="R3976" t="inlineStr">
        <is>
          <t>InStock</t>
        </is>
      </c>
      <c r="S3976" t="inlineStr">
        <is>
          <t>39.95</t>
        </is>
      </c>
      <c r="T3976" t="inlineStr">
        <is>
          <t>704369-13</t>
        </is>
      </c>
    </row>
    <row r="3977" hidden="1" ht="15.75" customHeight="1">
      <c r="A3977" s="2">
        <f>HYPERLINK("https://www.soccerplususa.com/puma/puma-teamfinal-21-graphic-jersey-38602", "https://www.soccerplususa.com/puma/puma-teamfinal-21-graphic-jersey-38602")</f>
        <v/>
      </c>
      <c r="B3977" t="inlineStr">
        <is>
          <t>undefined</t>
        </is>
      </c>
      <c r="C3977" t="inlineStr">
        <is>
          <t>Puma Teamfinal 21 Graphic Jersey</t>
        </is>
      </c>
      <c r="D3977" t="inlineStr">
        <is>
          <t>mens Teamfinal 21 Graphic Jersey T Shirt, Puma White/Gray Violet, Medium US</t>
        </is>
      </c>
      <c r="E3977" s="2">
        <f>HYPERLINK("https://www.amazon.com/Puma-Teamfinal-Graphic-Jersey-Medium/dp/B086RT8ZMZ/ref=sr_1_9?keywords=Puma+Teamfinal+21+Graphic+Jersey&amp;qid=1695171165&amp;sr=8-9", "https://www.amazon.com/Puma-Teamfinal-Graphic-Jersey-Medium/dp/B086RT8ZMZ/ref=sr_1_9?keywords=Puma+Teamfinal+21+Graphic+Jersey&amp;qid=1695171165&amp;sr=8-9")</f>
        <v/>
      </c>
      <c r="F3977" t="inlineStr">
        <is>
          <t>B086RT8ZMZ</t>
        </is>
      </c>
      <c r="G3977">
        <f>_xludf.IMAGE("https://www.soccerplususa.com/prodimages//35266-YELLOW-M.jpg")</f>
        <v/>
      </c>
      <c r="H3977">
        <f>_xludf.IMAGE("https://m.media-amazon.com/images/I/51vZRgruaoL._AC_UL320_.jpg")</f>
        <v/>
      </c>
      <c r="K3977" t="inlineStr">
        <is>
          <t>29.99</t>
        </is>
      </c>
      <c r="L3977" t="n">
        <v>44.71</v>
      </c>
      <c r="M3977" s="1" t="inlineStr">
        <is>
          <t>49.08%</t>
        </is>
      </c>
      <c r="N3977" s="3" t="n">
        <v>49.08</v>
      </c>
      <c r="O3977" t="n">
        <v>5</v>
      </c>
      <c r="P3977" t="n">
        <v>2</v>
      </c>
      <c r="R3977" t="inlineStr">
        <is>
          <t>InStock</t>
        </is>
      </c>
      <c r="S3977" t="inlineStr">
        <is>
          <t>39.95</t>
        </is>
      </c>
      <c r="T3977" t="inlineStr">
        <is>
          <t>704150-07</t>
        </is>
      </c>
    </row>
    <row r="3978" hidden="1" ht="15.75" customHeight="1">
      <c r="A3978" s="2">
        <f>HYPERLINK("https://www.soccerplususa.com/puma/puma-teamfinal-21-graphic-jersey-38698", "https://www.soccerplususa.com/puma/puma-teamfinal-21-graphic-jersey-38698")</f>
        <v/>
      </c>
      <c r="B3978" t="inlineStr">
        <is>
          <t>undefined</t>
        </is>
      </c>
      <c r="C3978" t="inlineStr">
        <is>
          <t>Puma Teamfinal 21 Graphic Jersey</t>
        </is>
      </c>
      <c r="D3978" t="inlineStr">
        <is>
          <t>mens Teamfinal 21 Graphic Jersey T Shirt, Puma White/Gray Violet, Medium US</t>
        </is>
      </c>
      <c r="E3978" s="2">
        <f>HYPERLINK("https://www.amazon.com/Puma-Teamfinal-Graphic-Jersey-Medium/dp/B086RT8ZMZ/ref=sr_1_8?keywords=Puma+Teamfinal+21+Graphic+Jersey&amp;qid=1695171152&amp;sr=8-8", "https://www.amazon.com/Puma-Teamfinal-Graphic-Jersey-Medium/dp/B086RT8ZMZ/ref=sr_1_8?keywords=Puma+Teamfinal+21+Graphic+Jersey&amp;qid=1695171152&amp;sr=8-8")</f>
        <v/>
      </c>
      <c r="F3978" t="inlineStr">
        <is>
          <t>B086RT8ZMZ</t>
        </is>
      </c>
      <c r="G3978">
        <f>_xludf.IMAGE("https://www.soccerplususa.com/prodimages//36790-Electric_Blue-M.jpg")</f>
        <v/>
      </c>
      <c r="H3978">
        <f>_xludf.IMAGE("https://m.media-amazon.com/images/I/51vZRgruaoL._AC_UL320_.jpg")</f>
        <v/>
      </c>
      <c r="K3978" t="inlineStr">
        <is>
          <t>29.99</t>
        </is>
      </c>
      <c r="L3978" t="n">
        <v>44.71</v>
      </c>
      <c r="M3978" s="1" t="inlineStr">
        <is>
          <t>49.08%</t>
        </is>
      </c>
      <c r="N3978" s="3" t="n">
        <v>49.08</v>
      </c>
      <c r="O3978" t="n">
        <v>5</v>
      </c>
      <c r="P3978" t="n">
        <v>2</v>
      </c>
      <c r="R3978" t="inlineStr">
        <is>
          <t>InStock</t>
        </is>
      </c>
      <c r="S3978" t="inlineStr">
        <is>
          <t>39.95</t>
        </is>
      </c>
      <c r="T3978" t="inlineStr">
        <is>
          <t>704150-02</t>
        </is>
      </c>
    </row>
    <row r="3979" hidden="1" ht="15.75" customHeight="1">
      <c r="A3979" s="2">
        <f>HYPERLINK("https://www.soccerplususa.com/puma/puma-teamfinal-21-graphic-jersey-42091", "https://www.soccerplususa.com/puma/puma-teamfinal-21-graphic-jersey-42091")</f>
        <v/>
      </c>
      <c r="B3979" t="inlineStr">
        <is>
          <t>undefined</t>
        </is>
      </c>
      <c r="C3979" t="inlineStr">
        <is>
          <t>Puma Teamfinal 21 Graphic Jersey</t>
        </is>
      </c>
      <c r="D3979" t="inlineStr">
        <is>
          <t>mens Teamfinal 21 Graphic Jersey T Shirt, Puma White/Gray Violet, Medium US</t>
        </is>
      </c>
      <c r="E3979" s="2">
        <f>HYPERLINK("https://www.amazon.com/Puma-Teamfinal-Graphic-Jersey-Medium/dp/B086RT8ZMZ/ref=sr_1_9?keywords=Puma+Teamfinal+21+Graphic+Jersey&amp;qid=1695171145&amp;sr=8-9", "https://www.amazon.com/Puma-Teamfinal-Graphic-Jersey-Medium/dp/B086RT8ZMZ/ref=sr_1_9?keywords=Puma+Teamfinal+21+Graphic+Jersey&amp;qid=1695171145&amp;sr=8-9")</f>
        <v/>
      </c>
      <c r="F3979" t="inlineStr">
        <is>
          <t>B086RT8ZMZ</t>
        </is>
      </c>
      <c r="G3979">
        <f>_xludf.IMAGE("https://www.soccerplususa.com/prodimages//37420-RED-M.jpg")</f>
        <v/>
      </c>
      <c r="H3979">
        <f>_xludf.IMAGE("https://m.media-amazon.com/images/I/51vZRgruaoL._AC_UL320_.jpg")</f>
        <v/>
      </c>
      <c r="K3979" t="inlineStr">
        <is>
          <t>29.99</t>
        </is>
      </c>
      <c r="L3979" t="n">
        <v>44.71</v>
      </c>
      <c r="M3979" s="1" t="inlineStr">
        <is>
          <t>49.08%</t>
        </is>
      </c>
      <c r="N3979" s="3" t="n">
        <v>49.08</v>
      </c>
      <c r="O3979" t="n">
        <v>5</v>
      </c>
      <c r="P3979" t="n">
        <v>2</v>
      </c>
      <c r="R3979" t="inlineStr">
        <is>
          <t>InStock</t>
        </is>
      </c>
      <c r="S3979" t="inlineStr">
        <is>
          <t>39.95</t>
        </is>
      </c>
      <c r="T3979" t="inlineStr">
        <is>
          <t>704150-01</t>
        </is>
      </c>
    </row>
    <row r="3980" hidden="1" ht="15.75" customHeight="1">
      <c r="A3980" s="2">
        <f>HYPERLINK("https://www.soccerplususa.com/puma/puma-teamfinal-21-graphic-jersey-youth-42092", "https://www.soccerplususa.com/puma/puma-teamfinal-21-graphic-jersey-youth-42092")</f>
        <v/>
      </c>
      <c r="B3980" t="inlineStr">
        <is>
          <t>undefined</t>
        </is>
      </c>
      <c r="C3980" t="inlineStr">
        <is>
          <t>Puma Teamfinal 21 Graphic Jersey Youth</t>
        </is>
      </c>
      <c r="D3980" t="inlineStr">
        <is>
          <t>mens Teamfinal 21 Graphic Jersey T Shirt, Puma White/Gray Violet, Medium US</t>
        </is>
      </c>
      <c r="E3980" s="2">
        <f>HYPERLINK("https://www.amazon.com/Puma-Teamfinal-Graphic-Jersey-Medium/dp/B086RT8ZMZ/ref=sr_1_4?keywords=Puma+Teamfinal+21+Graphic+Jersey+Youth&amp;qid=1695171145&amp;sr=8-4", "https://www.amazon.com/Puma-Teamfinal-Graphic-Jersey-Medium/dp/B086RT8ZMZ/ref=sr_1_4?keywords=Puma+Teamfinal+21+Graphic+Jersey+Youth&amp;qid=1695171145&amp;sr=8-4")</f>
        <v/>
      </c>
      <c r="F3980" t="inlineStr">
        <is>
          <t>B086RT8ZMZ</t>
        </is>
      </c>
      <c r="G3980">
        <f>_xludf.IMAGE("https://www.soccerplususa.com/prodimages//37421-RED-M.jpg")</f>
        <v/>
      </c>
      <c r="H3980">
        <f>_xludf.IMAGE("https://m.media-amazon.com/images/I/51vZRgruaoL._AC_UL320_.jpg")</f>
        <v/>
      </c>
      <c r="K3980" t="inlineStr">
        <is>
          <t>29.99</t>
        </is>
      </c>
      <c r="L3980" t="n">
        <v>44.71</v>
      </c>
      <c r="M3980" s="1" t="inlineStr">
        <is>
          <t>49.08%</t>
        </is>
      </c>
      <c r="N3980" s="3" t="n">
        <v>49.08</v>
      </c>
      <c r="O3980" t="n">
        <v>5</v>
      </c>
      <c r="P3980" t="n">
        <v>2</v>
      </c>
      <c r="R3980" t="inlineStr">
        <is>
          <t>InStock</t>
        </is>
      </c>
      <c r="S3980" t="inlineStr">
        <is>
          <t>39.95</t>
        </is>
      </c>
      <c r="T3980" t="inlineStr">
        <is>
          <t>704369-01</t>
        </is>
      </c>
    </row>
    <row r="3981" hidden="1" ht="15.75" customHeight="1">
      <c r="A3981" s="2">
        <f>HYPERLINK("https://www.soccerplususa.com/puma/puma-teamfinal-21-graphic-jersey-42093", "https://www.soccerplususa.com/puma/puma-teamfinal-21-graphic-jersey-42093")</f>
        <v/>
      </c>
      <c r="B3981" t="inlineStr">
        <is>
          <t>undefined</t>
        </is>
      </c>
      <c r="C3981" t="inlineStr">
        <is>
          <t>Puma Teamfinal 21 Graphic Jersey</t>
        </is>
      </c>
      <c r="D3981" t="inlineStr">
        <is>
          <t>mens Teamfinal 21 Graphic Jersey T Shirt, Puma White/Gray Violet, Medium US</t>
        </is>
      </c>
      <c r="E3981" s="2">
        <f>HYPERLINK("https://www.amazon.com/Puma-Teamfinal-Graphic-Jersey-Medium/dp/B086RT8ZMZ/ref=sr_1_8?keywords=Puma+Teamfinal+21+Graphic+Jersey&amp;qid=1695171154&amp;sr=8-8", "https://www.amazon.com/Puma-Teamfinal-Graphic-Jersey-Medium/dp/B086RT8ZMZ/ref=sr_1_8?keywords=Puma+Teamfinal+21+Graphic+Jersey&amp;qid=1695171154&amp;sr=8-8")</f>
        <v/>
      </c>
      <c r="F3981" t="inlineStr">
        <is>
          <t>B086RT8ZMZ</t>
        </is>
      </c>
      <c r="G3981">
        <f>_xludf.IMAGE("https://www.soccerplususa.com/prodimages//37423-BLACK-M.jpg")</f>
        <v/>
      </c>
      <c r="H3981">
        <f>_xludf.IMAGE("https://m.media-amazon.com/images/I/51vZRgruaoL._AC_UL320_.jpg")</f>
        <v/>
      </c>
      <c r="K3981" t="inlineStr">
        <is>
          <t>29.99</t>
        </is>
      </c>
      <c r="L3981" t="n">
        <v>44.71</v>
      </c>
      <c r="M3981" s="1" t="inlineStr">
        <is>
          <t>49.08%</t>
        </is>
      </c>
      <c r="N3981" s="3" t="n">
        <v>49.08</v>
      </c>
      <c r="O3981" t="n">
        <v>5</v>
      </c>
      <c r="P3981" t="n">
        <v>2</v>
      </c>
      <c r="R3981" t="inlineStr">
        <is>
          <t>InStock</t>
        </is>
      </c>
      <c r="S3981" t="inlineStr">
        <is>
          <t>39.95</t>
        </is>
      </c>
      <c r="T3981" t="inlineStr">
        <is>
          <t>704150-03</t>
        </is>
      </c>
    </row>
    <row r="3982" hidden="1" ht="15.75" customHeight="1">
      <c r="A3982" s="2">
        <f>HYPERLINK("https://www.soccerplususa.com/puma/puma-teamfinal-21-graphic-jersey-youth-38699", "https://www.soccerplususa.com/puma/puma-teamfinal-21-graphic-jersey-youth-38699")</f>
        <v/>
      </c>
      <c r="B3982" t="inlineStr">
        <is>
          <t>undefined</t>
        </is>
      </c>
      <c r="C3982" t="inlineStr">
        <is>
          <t>Puma Teamfinal 21 Graphic Jersey Youth</t>
        </is>
      </c>
      <c r="D3982" t="inlineStr">
        <is>
          <t>mens Teamfinal 21 Graphic Jersey T Shirt, Puma White/Gray Violet, Medium US</t>
        </is>
      </c>
      <c r="E3982" s="2">
        <f>HYPERLINK("https://www.amazon.com/Puma-Teamfinal-Graphic-Jersey-Medium/dp/B086RT8ZMZ/ref=sr_1_4?keywords=Puma+Teamfinal+21+Graphic+Jersey+Youth&amp;qid=1695171153&amp;sr=8-4", "https://www.amazon.com/Puma-Teamfinal-Graphic-Jersey-Medium/dp/B086RT8ZMZ/ref=sr_1_4?keywords=Puma+Teamfinal+21+Graphic+Jersey+Youth&amp;qid=1695171153&amp;sr=8-4")</f>
        <v/>
      </c>
      <c r="F3982" t="inlineStr">
        <is>
          <t>B086RT8ZMZ</t>
        </is>
      </c>
      <c r="G3982">
        <f>_xludf.IMAGE("https://www.soccerplususa.com/prodimages//36783-WhiteGray-M.jpg")</f>
        <v/>
      </c>
      <c r="H3982">
        <f>_xludf.IMAGE("https://m.media-amazon.com/images/I/51vZRgruaoL._AC_UL320_.jpg")</f>
        <v/>
      </c>
      <c r="K3982" t="inlineStr">
        <is>
          <t>29.99</t>
        </is>
      </c>
      <c r="L3982" t="n">
        <v>44.71</v>
      </c>
      <c r="M3982" s="1" t="inlineStr">
        <is>
          <t>49.08%</t>
        </is>
      </c>
      <c r="N3982" s="3" t="n">
        <v>49.08</v>
      </c>
      <c r="O3982" t="n">
        <v>5</v>
      </c>
      <c r="P3982" t="n">
        <v>2</v>
      </c>
      <c r="R3982" t="inlineStr">
        <is>
          <t>InStock</t>
        </is>
      </c>
      <c r="S3982" t="inlineStr">
        <is>
          <t>39.95</t>
        </is>
      </c>
      <c r="T3982" t="inlineStr">
        <is>
          <t>704369-04</t>
        </is>
      </c>
    </row>
    <row r="3983" hidden="1" ht="15.75" customHeight="1">
      <c r="A3983" s="2">
        <f>HYPERLINK("https://www.soccerplususa.com/puma/puma-teamfinal-21-graphic-jersey-42133", "https://www.soccerplususa.com/puma/puma-teamfinal-21-graphic-jersey-42133")</f>
        <v/>
      </c>
      <c r="B3983" t="inlineStr">
        <is>
          <t>undefined</t>
        </is>
      </c>
      <c r="C3983" t="inlineStr">
        <is>
          <t>Puma Teamfinal 21 Graphic Jersey</t>
        </is>
      </c>
      <c r="D3983" t="inlineStr">
        <is>
          <t>mens Teamfinal 21 Graphic Jersey T Shirt, Puma White/Gray Violet, Medium US</t>
        </is>
      </c>
      <c r="E3983" s="2">
        <f>HYPERLINK("https://www.amazon.com/Puma-Teamfinal-Graphic-Jersey-Medium/dp/B086RT8ZMZ/ref=sr_1_9?keywords=Puma+Teamfinal+21+Graphic+Jersey&amp;qid=1695171174&amp;sr=8-9", "https://www.amazon.com/Puma-Teamfinal-Graphic-Jersey-Medium/dp/B086RT8ZMZ/ref=sr_1_9?keywords=Puma+Teamfinal+21+Graphic+Jersey&amp;qid=1695171174&amp;sr=8-9")</f>
        <v/>
      </c>
      <c r="F3983" t="inlineStr">
        <is>
          <t>B086RT8ZMZ</t>
        </is>
      </c>
      <c r="G3983">
        <f>_xludf.IMAGE("https://www.soccerplususa.com/prodimages//37416-GRAY-M.jpg")</f>
        <v/>
      </c>
      <c r="H3983">
        <f>_xludf.IMAGE("https://m.media-amazon.com/images/I/51vZRgruaoL._AC_UL320_.jpg")</f>
        <v/>
      </c>
      <c r="K3983" t="inlineStr">
        <is>
          <t>29.99</t>
        </is>
      </c>
      <c r="L3983" t="n">
        <v>44.71</v>
      </c>
      <c r="M3983" s="1" t="inlineStr">
        <is>
          <t>49.08%</t>
        </is>
      </c>
      <c r="N3983" s="3" t="n">
        <v>49.08</v>
      </c>
      <c r="O3983" t="n">
        <v>5</v>
      </c>
      <c r="P3983" t="n">
        <v>2</v>
      </c>
      <c r="R3983" t="inlineStr">
        <is>
          <t>InStock</t>
        </is>
      </c>
      <c r="S3983" t="inlineStr">
        <is>
          <t>39.95</t>
        </is>
      </c>
      <c r="T3983" t="inlineStr">
        <is>
          <t>704150-13</t>
        </is>
      </c>
    </row>
    <row r="3984" hidden="1" ht="15.75" customHeight="1">
      <c r="A3984" s="2">
        <f>HYPERLINK("https://www.soccerplususa.com/puma/puma-teamfinal-21-graphic-jersey-youth-42095", "https://www.soccerplususa.com/puma/puma-teamfinal-21-graphic-jersey-youth-42095")</f>
        <v/>
      </c>
      <c r="B3984" t="inlineStr">
        <is>
          <t>undefined</t>
        </is>
      </c>
      <c r="C3984" t="inlineStr">
        <is>
          <t>Puma Teamfinal 21 Graphic Jersey Youth</t>
        </is>
      </c>
      <c r="D3984" t="inlineStr">
        <is>
          <t>mens Teamfinal 21 Graphic Jersey T Shirt, Puma White/Gray Violet, Medium US</t>
        </is>
      </c>
      <c r="E3984" s="2">
        <f>HYPERLINK("https://www.amazon.com/Puma-Teamfinal-Graphic-Jersey-Medium/dp/B086RT8ZMZ/ref=sr_1_4?keywords=Puma+Teamfinal+21+Graphic+Jersey+Youth&amp;qid=1695171148&amp;sr=8-4", "https://www.amazon.com/Puma-Teamfinal-Graphic-Jersey-Medium/dp/B086RT8ZMZ/ref=sr_1_4?keywords=Puma+Teamfinal+21+Graphic+Jersey+Youth&amp;qid=1695171148&amp;sr=8-4")</f>
        <v/>
      </c>
      <c r="F3984" t="inlineStr">
        <is>
          <t>B086RT8ZMZ</t>
        </is>
      </c>
      <c r="G3984">
        <f>_xludf.IMAGE("https://www.soccerplususa.com/prodimages//37424-BLACK-M.jpg")</f>
        <v/>
      </c>
      <c r="H3984">
        <f>_xludf.IMAGE("https://m.media-amazon.com/images/I/51vZRgruaoL._AC_UL320_.jpg")</f>
        <v/>
      </c>
      <c r="K3984" t="inlineStr">
        <is>
          <t>29.99</t>
        </is>
      </c>
      <c r="L3984" t="n">
        <v>44.71</v>
      </c>
      <c r="M3984" s="1" t="inlineStr">
        <is>
          <t>49.08%</t>
        </is>
      </c>
      <c r="N3984" s="3" t="n">
        <v>49.08</v>
      </c>
      <c r="O3984" t="n">
        <v>5</v>
      </c>
      <c r="P3984" t="n">
        <v>2</v>
      </c>
      <c r="R3984" t="inlineStr">
        <is>
          <t>InStock</t>
        </is>
      </c>
      <c r="S3984" t="inlineStr">
        <is>
          <t>39.95</t>
        </is>
      </c>
      <c r="T3984" t="inlineStr">
        <is>
          <t>704369-03</t>
        </is>
      </c>
    </row>
    <row r="3985" hidden="1" ht="15.75" customHeight="1">
      <c r="A3985" s="2">
        <f>HYPERLINK("https://www.soccerplususa.com/puma/puma-teamfinal-21-graphic-jersey-41907", "https://www.soccerplususa.com/puma/puma-teamfinal-21-graphic-jersey-41907")</f>
        <v/>
      </c>
      <c r="B3985" t="inlineStr">
        <is>
          <t>undefined</t>
        </is>
      </c>
      <c r="C3985" t="inlineStr">
        <is>
          <t>Puma Teamfinal 21 Graphic Jersey</t>
        </is>
      </c>
      <c r="D3985" t="inlineStr">
        <is>
          <t>mens Teamfinal 21 Graphic Jersey T Shirt, Puma White/Gray Violet, Medium US</t>
        </is>
      </c>
      <c r="E3985" s="2">
        <f>HYPERLINK("https://www.amazon.com/Puma-Teamfinal-Graphic-Jersey-Medium/dp/B086RT8ZMZ/ref=sr_1_9?keywords=Puma+Teamfinal+21+Graphic+Jersey&amp;qid=1695171144&amp;sr=8-9", "https://www.amazon.com/Puma-Teamfinal-Graphic-Jersey-Medium/dp/B086RT8ZMZ/ref=sr_1_9?keywords=Puma+Teamfinal+21+Graphic+Jersey&amp;qid=1695171144&amp;sr=8-9")</f>
        <v/>
      </c>
      <c r="F3985" t="inlineStr">
        <is>
          <t>B086RT8ZMZ</t>
        </is>
      </c>
      <c r="G3985">
        <f>_xludf.IMAGE("https://www.soccerplususa.com/prodimages//37409-NAVY-M.jpg")</f>
        <v/>
      </c>
      <c r="H3985">
        <f>_xludf.IMAGE("https://m.media-amazon.com/images/I/51vZRgruaoL._AC_UL320_.jpg")</f>
        <v/>
      </c>
      <c r="K3985" t="inlineStr">
        <is>
          <t>29.99</t>
        </is>
      </c>
      <c r="L3985" t="n">
        <v>44.71</v>
      </c>
      <c r="M3985" s="1" t="inlineStr">
        <is>
          <t>49.08%</t>
        </is>
      </c>
      <c r="N3985" s="3" t="n">
        <v>49.08</v>
      </c>
      <c r="O3985" t="n">
        <v>5</v>
      </c>
      <c r="P3985" t="n">
        <v>2</v>
      </c>
      <c r="R3985" t="inlineStr">
        <is>
          <t>InStock</t>
        </is>
      </c>
      <c r="S3985" t="inlineStr">
        <is>
          <t>39.95</t>
        </is>
      </c>
      <c r="T3985" t="inlineStr">
        <is>
          <t>704150-06</t>
        </is>
      </c>
    </row>
    <row r="3986" hidden="1" ht="15.75" customHeight="1">
      <c r="A3986" s="2">
        <f>HYPERLINK("https://www.soccerplususa.com/puma/puma-teamfinal-21-graphic-jersey-youth-38697", "https://www.soccerplususa.com/puma/puma-teamfinal-21-graphic-jersey-youth-38697")</f>
        <v/>
      </c>
      <c r="B3986" t="inlineStr">
        <is>
          <t>undefined</t>
        </is>
      </c>
      <c r="C3986" t="inlineStr">
        <is>
          <t>Puma Teamfinal 21 Graphic Jersey Youth</t>
        </is>
      </c>
      <c r="D3986" t="inlineStr">
        <is>
          <t>mens Teamfinal 21 Graphic Jersey T Shirt, Puma White/Gray Violet, Medium US</t>
        </is>
      </c>
      <c r="E3986" s="2">
        <f>HYPERLINK("https://www.amazon.com/Puma-Teamfinal-Graphic-Jersey-Medium/dp/B086RT8ZMZ/ref=sr_1_4?keywords=Puma+Teamfinal+21+Graphic+Jersey+Youth&amp;qid=1695171156&amp;sr=8-4", "https://www.amazon.com/Puma-Teamfinal-Graphic-Jersey-Medium/dp/B086RT8ZMZ/ref=sr_1_4?keywords=Puma+Teamfinal+21+Graphic+Jersey+Youth&amp;qid=1695171156&amp;sr=8-4")</f>
        <v/>
      </c>
      <c r="F3986" t="inlineStr">
        <is>
          <t>B086RT8ZMZ</t>
        </is>
      </c>
      <c r="G3986">
        <f>_xludf.IMAGE("https://www.soccerplususa.com/prodimages//36781-Electric_Blue-M.jpg")</f>
        <v/>
      </c>
      <c r="H3986">
        <f>_xludf.IMAGE("https://m.media-amazon.com/images/I/51vZRgruaoL._AC_UL320_.jpg")</f>
        <v/>
      </c>
      <c r="K3986" t="inlineStr">
        <is>
          <t>29.99</t>
        </is>
      </c>
      <c r="L3986" t="n">
        <v>44.71</v>
      </c>
      <c r="M3986" s="1" t="inlineStr">
        <is>
          <t>49.08%</t>
        </is>
      </c>
      <c r="N3986" s="3" t="n">
        <v>49.08</v>
      </c>
      <c r="O3986" t="n">
        <v>5</v>
      </c>
      <c r="P3986" t="n">
        <v>2</v>
      </c>
      <c r="R3986" t="inlineStr">
        <is>
          <t>InStock</t>
        </is>
      </c>
      <c r="S3986" t="inlineStr">
        <is>
          <t>39.95</t>
        </is>
      </c>
      <c r="T3986" t="inlineStr">
        <is>
          <t>704369-02</t>
        </is>
      </c>
    </row>
    <row r="3987" hidden="1" ht="15.75" customHeight="1">
      <c r="A3987" s="2">
        <f>HYPERLINK("https://www.soccerplususa.com/puma/puma-teamfinal-21-graphic-jersey-40618", "https://www.soccerplususa.com/puma/puma-teamfinal-21-graphic-jersey-40618")</f>
        <v/>
      </c>
      <c r="B3987" t="inlineStr">
        <is>
          <t>undefined</t>
        </is>
      </c>
      <c r="C3987" t="inlineStr">
        <is>
          <t>Puma Teamfinal 21 Graphic Jersey</t>
        </is>
      </c>
      <c r="D3987" t="inlineStr">
        <is>
          <t>mens Teamfinal 21 Graphic Jersey T Shirt, Puma White/Gray Violet, Medium US</t>
        </is>
      </c>
      <c r="E3987" s="2">
        <f>HYPERLINK("https://www.amazon.com/Puma-Teamfinal-Graphic-Jersey-Medium/dp/B086RT8ZMZ/ref=sr_1_9?keywords=Puma+Teamfinal+21+Graphic+Jersey&amp;qid=1695171148&amp;sr=8-9", "https://www.amazon.com/Puma-Teamfinal-Graphic-Jersey-Medium/dp/B086RT8ZMZ/ref=sr_1_9?keywords=Puma+Teamfinal+21+Graphic+Jersey&amp;qid=1695171148&amp;sr=8-9")</f>
        <v/>
      </c>
      <c r="F3987" t="inlineStr">
        <is>
          <t>B086RT8ZMZ</t>
        </is>
      </c>
      <c r="G3987">
        <f>_xludf.IMAGE("https://www.soccerplususa.com/prodimages//37414-Pepper_Green-M.jpg")</f>
        <v/>
      </c>
      <c r="H3987">
        <f>_xludf.IMAGE("https://m.media-amazon.com/images/I/51vZRgruaoL._AC_UL320_.jpg")</f>
        <v/>
      </c>
      <c r="K3987" t="inlineStr">
        <is>
          <t>29.99</t>
        </is>
      </c>
      <c r="L3987" t="n">
        <v>44.71</v>
      </c>
      <c r="M3987" s="1" t="inlineStr">
        <is>
          <t>49.08%</t>
        </is>
      </c>
      <c r="N3987" s="3" t="n">
        <v>49.08</v>
      </c>
      <c r="O3987" t="n">
        <v>5</v>
      </c>
      <c r="P3987" t="n">
        <v>2</v>
      </c>
      <c r="R3987" t="inlineStr">
        <is>
          <t>InStock</t>
        </is>
      </c>
      <c r="S3987" t="inlineStr">
        <is>
          <t>39.95</t>
        </is>
      </c>
      <c r="T3987" t="inlineStr">
        <is>
          <t>704150-05</t>
        </is>
      </c>
    </row>
    <row r="3988" hidden="1" ht="15.75" customHeight="1">
      <c r="A3988" s="2">
        <f>HYPERLINK("https://www.soccerplususa.com/puma/puma-teamfinal-21-graphic-jersey-38700", "https://www.soccerplususa.com/puma/puma-teamfinal-21-graphic-jersey-38700")</f>
        <v/>
      </c>
      <c r="B3988" t="inlineStr">
        <is>
          <t>undefined</t>
        </is>
      </c>
      <c r="C3988" t="inlineStr">
        <is>
          <t>Puma Teamfinal 21 Graphic Jersey</t>
        </is>
      </c>
      <c r="D3988" t="inlineStr">
        <is>
          <t>mens Teamfinal 21 Graphic Jersey T Shirt, Puma White/Gray Violet, Medium US</t>
        </is>
      </c>
      <c r="E3988" s="2">
        <f>HYPERLINK("https://www.amazon.com/Puma-Teamfinal-Graphic-Jersey-Medium/dp/B086RT8ZMZ/ref=sr_1_9?keywords=Puma+Teamfinal+21+Graphic+Jersey&amp;qid=1695171150&amp;sr=8-9", "https://www.amazon.com/Puma-Teamfinal-Graphic-Jersey-Medium/dp/B086RT8ZMZ/ref=sr_1_9?keywords=Puma+Teamfinal+21+Graphic+Jersey&amp;qid=1695171150&amp;sr=8-9")</f>
        <v/>
      </c>
      <c r="F3988" t="inlineStr">
        <is>
          <t>B086RT8ZMZ</t>
        </is>
      </c>
      <c r="G3988">
        <f>_xludf.IMAGE("https://www.soccerplususa.com/prodimages//36789-WhiteGray-M.jpg")</f>
        <v/>
      </c>
      <c r="H3988">
        <f>_xludf.IMAGE("https://m.media-amazon.com/images/I/51vZRgruaoL._AC_UL320_.jpg")</f>
        <v/>
      </c>
      <c r="K3988" t="inlineStr">
        <is>
          <t>29.99</t>
        </is>
      </c>
      <c r="L3988" t="n">
        <v>44.71</v>
      </c>
      <c r="M3988" s="1" t="inlineStr">
        <is>
          <t>49.08%</t>
        </is>
      </c>
      <c r="N3988" s="3" t="n">
        <v>49.08</v>
      </c>
      <c r="O3988" t="n">
        <v>5</v>
      </c>
      <c r="P3988" t="n">
        <v>2</v>
      </c>
      <c r="R3988" t="inlineStr">
        <is>
          <t>InStock</t>
        </is>
      </c>
      <c r="S3988" t="inlineStr">
        <is>
          <t>39.95</t>
        </is>
      </c>
      <c r="T3988" t="inlineStr">
        <is>
          <t>704150-04</t>
        </is>
      </c>
    </row>
    <row r="3989" hidden="1" ht="15.75" customHeight="1">
      <c r="A3989" s="2">
        <f>HYPERLINK("https://www.soccerplususa.com/puma/puma-teamfinal-21-graphic-jersey-youth-41908", "https://www.soccerplususa.com/puma/puma-teamfinal-21-graphic-jersey-youth-41908")</f>
        <v/>
      </c>
      <c r="B3989" t="inlineStr">
        <is>
          <t>undefined</t>
        </is>
      </c>
      <c r="C3989" t="inlineStr">
        <is>
          <t>Puma Teamfinal 21 Graphic Jersey Youth</t>
        </is>
      </c>
      <c r="D3989" t="inlineStr">
        <is>
          <t>mens Teamfinal 21 Graphic Jersey T Shirt, Puma White/Gray Violet, Medium US</t>
        </is>
      </c>
      <c r="E3989" s="2">
        <f>HYPERLINK("https://www.amazon.com/Puma-Teamfinal-Graphic-Jersey-Medium/dp/B086RT8ZMZ/ref=sr_1_4?keywords=Puma+Teamfinal+21+Graphic+Jersey+Youth&amp;qid=1695171144&amp;sr=8-4", "https://www.amazon.com/Puma-Teamfinal-Graphic-Jersey-Medium/dp/B086RT8ZMZ/ref=sr_1_4?keywords=Puma+Teamfinal+21+Graphic+Jersey+Youth&amp;qid=1695171144&amp;sr=8-4")</f>
        <v/>
      </c>
      <c r="F3989" t="inlineStr">
        <is>
          <t>B086RT8ZMZ</t>
        </is>
      </c>
      <c r="G3989">
        <f>_xludf.IMAGE("https://www.soccerplususa.com/prodimages//37410-NAVY-M.jpg")</f>
        <v/>
      </c>
      <c r="H3989">
        <f>_xludf.IMAGE("https://m.media-amazon.com/images/I/51vZRgruaoL._AC_UL320_.jpg")</f>
        <v/>
      </c>
      <c r="K3989" t="inlineStr">
        <is>
          <t>29.99</t>
        </is>
      </c>
      <c r="L3989" t="n">
        <v>44.71</v>
      </c>
      <c r="M3989" s="1" t="inlineStr">
        <is>
          <t>49.08%</t>
        </is>
      </c>
      <c r="N3989" s="3" t="n">
        <v>49.08</v>
      </c>
      <c r="O3989" t="n">
        <v>5</v>
      </c>
      <c r="P3989" t="n">
        <v>2</v>
      </c>
      <c r="R3989" t="inlineStr">
        <is>
          <t>InStock</t>
        </is>
      </c>
      <c r="S3989" t="inlineStr">
        <is>
          <t>39.95</t>
        </is>
      </c>
      <c r="T3989" t="inlineStr">
        <is>
          <t>704369-06</t>
        </is>
      </c>
    </row>
    <row r="3990" hidden="1" ht="15.75" customHeight="1">
      <c r="A3990" s="2">
        <f>HYPERLINK("https://www.soccerplususa.com/adidas/adidas-regista-16-jersey-4147", "https://www.soccerplususa.com/adidas/adidas-regista-16-jersey-4147")</f>
        <v/>
      </c>
      <c r="B3990" t="inlineStr">
        <is>
          <t>undefined</t>
        </is>
      </c>
      <c r="C3990" t="inlineStr">
        <is>
          <t>adidas Regista 16 Jersey</t>
        </is>
      </c>
      <c r="D3990" t="inlineStr">
        <is>
          <t>Nike Adidas Regista 16 Mens Soccer Short</t>
        </is>
      </c>
      <c r="E3990" s="2">
        <f>HYPERLINK("https://www.amazon.com/Adidas-Regista-Soccer-Short-Black-White/dp/B01866CQVU/ref=sr_1_4?keywords=adidas+Regista+16+Jersey&amp;qid=1695171233&amp;sr=8-4", "https://www.amazon.com/Adidas-Regista-Soccer-Short-Black-White/dp/B01866CQVU/ref=sr_1_4?keywords=adidas+Regista+16+Jersey&amp;qid=1695171233&amp;sr=8-4")</f>
        <v/>
      </c>
      <c r="F3990" t="inlineStr">
        <is>
          <t>B01866CQVU</t>
        </is>
      </c>
      <c r="G3990">
        <f>_xludf.IMAGE("https://www.soccerplususa.com/prodimages/7616-DEFAULT-l.jpg")</f>
        <v/>
      </c>
      <c r="H3990">
        <f>_xludf.IMAGE("https://m.media-amazon.com/images/I/71OBTSNGviL._AC_UL320_.jpg")</f>
        <v/>
      </c>
      <c r="K3990" t="inlineStr">
        <is>
          <t>17.5</t>
        </is>
      </c>
      <c r="L3990" t="n">
        <v>25.69</v>
      </c>
      <c r="M3990" s="1" t="inlineStr">
        <is>
          <t>46.80%</t>
        </is>
      </c>
      <c r="N3990" s="3" t="n">
        <v>46.8</v>
      </c>
      <c r="O3990" t="n">
        <v>4.7</v>
      </c>
      <c r="P3990" t="n">
        <v>9</v>
      </c>
      <c r="R3990" t="inlineStr">
        <is>
          <t>InStock</t>
        </is>
      </c>
      <c r="S3990" t="inlineStr">
        <is>
          <t>34.95</t>
        </is>
      </c>
      <c r="T3990" t="inlineStr">
        <is>
          <t>AP0529</t>
        </is>
      </c>
    </row>
    <row r="3991" hidden="1" ht="15.75" customHeight="1">
      <c r="A3991" s="2">
        <f>HYPERLINK("https://www.soccerplususa.com/nike/nike-challenge-jersey-22798", "https://www.soccerplususa.com/nike/nike-challenge-jersey-22798")</f>
        <v/>
      </c>
      <c r="B3991" t="inlineStr">
        <is>
          <t>undefined</t>
        </is>
      </c>
      <c r="C3991" t="inlineStr">
        <is>
          <t>Nike Challenge Jersey</t>
        </is>
      </c>
      <c r="D3991" t="inlineStr">
        <is>
          <t>Nike Dri-Fit Challenge 3 Soccer Jersey Shirt L White</t>
        </is>
      </c>
      <c r="E3991" s="2">
        <f>HYPERLINK("https://www.amazon.com/Nike-Dri-Fit-Challenge-Soccer-Jersey/dp/B0B9HPGSSV/ref=sr_1_4?keywords=Nike+Challenge+Jersey&amp;qid=1695171194&amp;sr=8-4", "https://www.amazon.com/Nike-Dri-Fit-Challenge-Soccer-Jersey/dp/B0B9HPGSSV/ref=sr_1_4?keywords=Nike+Challenge+Jersey&amp;qid=1695171194&amp;sr=8-4")</f>
        <v/>
      </c>
      <c r="F3991" t="inlineStr">
        <is>
          <t>B0B9HPGSSV</t>
        </is>
      </c>
      <c r="G3991">
        <f>_xludf.IMAGE("https://www.soccerplususa.com/prodimages/32879-DEFAULT-l.jpg")</f>
        <v/>
      </c>
      <c r="H3991">
        <f>_xludf.IMAGE("https://m.media-amazon.com/images/I/41DtONJS4uL._AC_UL320_.jpg")</f>
        <v/>
      </c>
      <c r="K3991" t="inlineStr">
        <is>
          <t>25.99</t>
        </is>
      </c>
      <c r="L3991" t="n">
        <v>37.99</v>
      </c>
      <c r="M3991" s="1" t="inlineStr">
        <is>
          <t>46.17%</t>
        </is>
      </c>
      <c r="N3991" s="3" t="n">
        <v>46.17</v>
      </c>
      <c r="O3991" t="n">
        <v>4</v>
      </c>
      <c r="P3991" t="n">
        <v>1</v>
      </c>
      <c r="R3991" t="inlineStr">
        <is>
          <t>InStock</t>
        </is>
      </c>
      <c r="S3991" t="inlineStr">
        <is>
          <t>34.95</t>
        </is>
      </c>
      <c r="T3991" t="inlineStr">
        <is>
          <t>645500-419</t>
        </is>
      </c>
    </row>
    <row r="3992" hidden="1" ht="15.75" customHeight="1">
      <c r="A3992" s="2">
        <f>HYPERLINK("https://www.soccerplususa.com/adidas/adidas-tiro-17-jersey-33798", "https://www.soccerplususa.com/adidas/adidas-tiro-17-jersey-33798")</f>
        <v/>
      </c>
      <c r="B3992" t="inlineStr">
        <is>
          <t>undefined</t>
        </is>
      </c>
      <c r="C3992" t="inlineStr">
        <is>
          <t>adidas Tiro 17 Jersey</t>
        </is>
      </c>
      <c r="D3992" t="inlineStr">
        <is>
          <t>adidas Men's Tiro 23 Jersey</t>
        </is>
      </c>
      <c r="E3992" s="2">
        <f>HYPERLINK("https://www.amazon.com/adidas-Jersey-Shirt-Black-X-Small/dp/B09YG5GTJB/ref=sr_1_2?keywords=adidas+Tiro+17+Jersey&amp;qid=1695171166&amp;sr=8-2", "https://www.amazon.com/adidas-Jersey-Shirt-Black-X-Small/dp/B09YG5GTJB/ref=sr_1_2?keywords=adidas+Tiro+17+Jersey&amp;qid=1695171166&amp;sr=8-2")</f>
        <v/>
      </c>
      <c r="F3992" t="inlineStr">
        <is>
          <t>B09YG5GTJB</t>
        </is>
      </c>
      <c r="G3992">
        <f>_xludf.IMAGE("https://www.soccerplususa.com/prodimages/7452-DEFAULT-l.jpg")</f>
        <v/>
      </c>
      <c r="H3992">
        <f>_xludf.IMAGE("https://m.media-amazon.com/images/I/410bSxr-tiL._AC_UL320_.jpg")</f>
        <v/>
      </c>
      <c r="K3992" t="inlineStr">
        <is>
          <t>23.97</t>
        </is>
      </c>
      <c r="L3992" t="n">
        <v>35</v>
      </c>
      <c r="M3992" s="1" t="inlineStr">
        <is>
          <t>46.02%</t>
        </is>
      </c>
      <c r="N3992" s="3" t="n">
        <v>46.02</v>
      </c>
      <c r="O3992" t="n">
        <v>4.6</v>
      </c>
      <c r="P3992" t="n">
        <v>46</v>
      </c>
      <c r="R3992" t="inlineStr">
        <is>
          <t>InStock</t>
        </is>
      </c>
      <c r="S3992" t="inlineStr">
        <is>
          <t>39.95</t>
        </is>
      </c>
      <c r="T3992" t="inlineStr">
        <is>
          <t>BS4216</t>
        </is>
      </c>
    </row>
    <row r="3993" hidden="1" ht="15.75" customHeight="1">
      <c r="A3993" s="2">
        <f>HYPERLINK("https://www.soccerplususa.com/new-balance/new-balance-lightweight-solid-half-zip-34484", "https://www.soccerplususa.com/new-balance/new-balance-lightweight-solid-half-zip-34484")</f>
        <v/>
      </c>
      <c r="B3993" t="inlineStr">
        <is>
          <t>undefined</t>
        </is>
      </c>
      <c r="C3993" t="inlineStr">
        <is>
          <t>New Balance Lightweight Solid Half Zip</t>
        </is>
      </c>
      <c r="D3993" t="inlineStr">
        <is>
          <t>New Balance Mens Lightweight Solid Half Zip</t>
        </is>
      </c>
      <c r="E3993" s="2">
        <f>HYPERLINK("https://www.amazon.com/New-Balance-Lightweight-Solid-Gunmetal/dp/B071F13BNW/ref=sr_1_10?keywords=New+Balance+Lightweight+Solid+Half+Zip&amp;qid=1695171179&amp;sr=8-10", "https://www.amazon.com/New-Balance-Lightweight-Solid-Gunmetal/dp/B071F13BNW/ref=sr_1_10?keywords=New+Balance+Lightweight+Solid+Half+Zip&amp;qid=1695171179&amp;sr=8-10")</f>
        <v/>
      </c>
      <c r="F3993" t="inlineStr">
        <is>
          <t>B071F13BNW</t>
        </is>
      </c>
      <c r="G3993">
        <f>_xludf.IMAGE("https://www.soccerplususa.com/prodimages/37535-DEFAULT-l.jpg")</f>
        <v/>
      </c>
      <c r="H3993">
        <f>_xludf.IMAGE("https://m.media-amazon.com/images/I/51LbewZkMmL._AC_UL320_.jpg")</f>
        <v/>
      </c>
      <c r="K3993" t="inlineStr">
        <is>
          <t>59.95</t>
        </is>
      </c>
      <c r="L3993" t="n">
        <v>87.38</v>
      </c>
      <c r="M3993" s="1" t="inlineStr">
        <is>
          <t>45.75%</t>
        </is>
      </c>
      <c r="N3993" s="3" t="n">
        <v>45.75</v>
      </c>
      <c r="O3993" t="n">
        <v>3.6</v>
      </c>
      <c r="P3993" t="n">
        <v>4</v>
      </c>
      <c r="R3993" t="inlineStr">
        <is>
          <t>InStock</t>
        </is>
      </c>
      <c r="S3993" t="inlineStr">
        <is>
          <t>undefined</t>
        </is>
      </c>
      <c r="T3993" t="inlineStr">
        <is>
          <t>TMMT710</t>
        </is>
      </c>
    </row>
    <row r="3994" hidden="1" ht="15.75" customHeight="1">
      <c r="A3994" s="2">
        <f>HYPERLINK("https://www.soccerplususa.com/puma/puma-liga-training-1-4-zip-jacket-29028", "https://www.soccerplususa.com/puma/puma-liga-training-1-4-zip-jacket-29028")</f>
        <v/>
      </c>
      <c r="B3994" t="inlineStr">
        <is>
          <t>undefined</t>
        </is>
      </c>
      <c r="C3994" t="inlineStr">
        <is>
          <t>Puma Liga Training 1/4 Zip Jacket</t>
        </is>
      </c>
      <c r="D3994" t="inlineStr">
        <is>
          <t>PUMA Mens Teamgoal 23 Training 1/4 Zip Top</t>
        </is>
      </c>
      <c r="E3994" s="2">
        <f>HYPERLINK("https://www.amazon.com/Puma-Teamgoal-Training-XX-Large-Pepper/dp/B086MYXZYT/ref=sr_1_5?keywords=Puma+Liga+Training+1%2F4+Zip+Jacket&amp;qid=1695171178&amp;sr=8-5", "https://www.amazon.com/Puma-Teamgoal-Training-XX-Large-Pepper/dp/B086MYXZYT/ref=sr_1_5?keywords=Puma+Liga+Training+1%2F4+Zip+Jacket&amp;qid=1695171178&amp;sr=8-5")</f>
        <v/>
      </c>
      <c r="F3994" t="inlineStr">
        <is>
          <t>B086MYXZYT</t>
        </is>
      </c>
      <c r="G3994">
        <f>_xludf.IMAGE("https://www.soccerplususa.com/prodimages/6871-DEFAULT-l.jpg")</f>
        <v/>
      </c>
      <c r="H3994">
        <f>_xludf.IMAGE("https://m.media-amazon.com/images/I/61-nRfFesnL._AC_UL320_.jpg")</f>
        <v/>
      </c>
      <c r="K3994" t="inlineStr">
        <is>
          <t>38.0</t>
        </is>
      </c>
      <c r="L3994" t="n">
        <v>54.95</v>
      </c>
      <c r="M3994" s="1" t="inlineStr">
        <is>
          <t>44.61%</t>
        </is>
      </c>
      <c r="N3994" s="3" t="n">
        <v>44.61</v>
      </c>
      <c r="O3994" t="n">
        <v>5</v>
      </c>
      <c r="P3994" t="n">
        <v>1</v>
      </c>
      <c r="R3994" t="inlineStr">
        <is>
          <t>InStock</t>
        </is>
      </c>
      <c r="S3994" t="inlineStr">
        <is>
          <t>50.0</t>
        </is>
      </c>
      <c r="T3994" t="inlineStr">
        <is>
          <t>655606-06</t>
        </is>
      </c>
    </row>
    <row r="3995" hidden="1" ht="15.75" customHeight="1">
      <c r="A3995" s="2">
        <f>HYPERLINK("https://www.soccerplususa.com/puma/puma-liga-training-1-4-zip-top-youth-35517", "https://www.soccerplususa.com/puma/puma-liga-training-1-4-zip-top-youth-35517")</f>
        <v/>
      </c>
      <c r="B3995" t="inlineStr">
        <is>
          <t>undefined</t>
        </is>
      </c>
      <c r="C3995" t="inlineStr">
        <is>
          <t>Puma Liga Training 1/4 Zip Top Youth</t>
        </is>
      </c>
      <c r="D3995" t="inlineStr">
        <is>
          <t>PUMA Unisex Youth Teamgoal 23 Training 1/4 Zip Top</t>
        </is>
      </c>
      <c r="E3995" s="2">
        <f>HYPERLINK("https://www.amazon.com/PUMA-Kids-TEAMGOAL-Training-White/dp/B084ZXFDL6/ref=sr_1_4?keywords=Puma+Liga+Training+1%2F4+Zip+Top+Youth&amp;qid=1695171162&amp;sr=8-4", "https://www.amazon.com/PUMA-Kids-TEAMGOAL-Training-White/dp/B084ZXFDL6/ref=sr_1_4?keywords=Puma+Liga+Training+1%2F4+Zip+Top+Youth&amp;qid=1695171162&amp;sr=8-4")</f>
        <v/>
      </c>
      <c r="F3995" t="inlineStr">
        <is>
          <t>B084ZXFDL6</t>
        </is>
      </c>
      <c r="G3995">
        <f>_xludf.IMAGE("https://www.soccerplususa.com/prodimages/7782-DEFAULT-l.jpg")</f>
        <v/>
      </c>
      <c r="H3995">
        <f>_xludf.IMAGE("https://m.media-amazon.com/images/I/61K1iLM7juL._AC_UL320_.jpg")</f>
        <v/>
      </c>
      <c r="K3995" t="inlineStr">
        <is>
          <t>38.0</t>
        </is>
      </c>
      <c r="L3995" t="n">
        <v>54.95</v>
      </c>
      <c r="M3995" s="1" t="inlineStr">
        <is>
          <t>44.61%</t>
        </is>
      </c>
      <c r="N3995" s="3" t="n">
        <v>44.61</v>
      </c>
      <c r="O3995" t="n">
        <v>4.2</v>
      </c>
      <c r="P3995" t="n">
        <v>3</v>
      </c>
      <c r="R3995" t="inlineStr">
        <is>
          <t>InStock</t>
        </is>
      </c>
      <c r="S3995" t="inlineStr">
        <is>
          <t>50.0</t>
        </is>
      </c>
      <c r="T3995" t="inlineStr">
        <is>
          <t>655646-06</t>
        </is>
      </c>
    </row>
    <row r="3996" hidden="1" ht="15.75" customHeight="1">
      <c r="A3996" s="2">
        <f>HYPERLINK("https://www.soccerplususa.com/nike/nike-epic-training-jacket-youth-24431", "https://www.soccerplususa.com/nike/nike-epic-training-jacket-youth-24431")</f>
        <v/>
      </c>
      <c r="B3996" t="inlineStr">
        <is>
          <t>undefined</t>
        </is>
      </c>
      <c r="C3996" t="inlineStr">
        <is>
          <t>Nike Epic Training Jacket Youth</t>
        </is>
      </c>
      <c r="D3996" t="inlineStr">
        <is>
          <t>Nike Epic Training Jacket Youth Youth</t>
        </is>
      </c>
      <c r="E3996" s="2">
        <f>HYPERLINK("https://www.amazon.com/NIKE-Training-Jacket-Youth-Royal/dp/B0773X7WQH/ref=sr_1_2?keywords=Nike+Epic+Training+Jacket+Youth&amp;qid=1695171179&amp;sr=8-2", "https://www.amazon.com/NIKE-Training-Jacket-Youth-Royal/dp/B0773X7WQH/ref=sr_1_2?keywords=Nike+Epic+Training+Jacket+Youth&amp;qid=1695171179&amp;sr=8-2")</f>
        <v/>
      </c>
      <c r="F3996" t="inlineStr">
        <is>
          <t>B0773X7WQH</t>
        </is>
      </c>
      <c r="G3996">
        <f>_xludf.IMAGE("https://www.soccerplususa.com/prodimages/6288-DEFAULT-l.jpg")</f>
        <v/>
      </c>
      <c r="H3996">
        <f>_xludf.IMAGE("https://m.media-amazon.com/images/I/51QmPgj9XEL._AC_UL320_.jpg")</f>
        <v/>
      </c>
      <c r="K3996" t="inlineStr">
        <is>
          <t>36.99</t>
        </is>
      </c>
      <c r="L3996" t="n">
        <v>53.45</v>
      </c>
      <c r="M3996" s="1" t="inlineStr">
        <is>
          <t>44.50%</t>
        </is>
      </c>
      <c r="N3996" s="3" t="n">
        <v>44.5</v>
      </c>
      <c r="O3996" t="n">
        <v>4</v>
      </c>
      <c r="P3996" t="n">
        <v>38</v>
      </c>
      <c r="R3996" t="inlineStr">
        <is>
          <t>InStock</t>
        </is>
      </c>
      <c r="S3996" t="inlineStr">
        <is>
          <t>49.95</t>
        </is>
      </c>
      <c r="T3996" t="inlineStr">
        <is>
          <t>836306-494</t>
        </is>
      </c>
    </row>
    <row r="3997" hidden="1" ht="15.75" customHeight="1">
      <c r="A3997" s="2">
        <f>HYPERLINK("https://www.soccerplususa.com/adidas/adidas-essentials-hoodie-41596", "https://www.soccerplususa.com/adidas/adidas-essentials-hoodie-41596")</f>
        <v/>
      </c>
      <c r="B3997" t="inlineStr">
        <is>
          <t>undefined</t>
        </is>
      </c>
      <c r="C3997" t="inlineStr">
        <is>
          <t>adidas Essentials Hoodie</t>
        </is>
      </c>
      <c r="D3997" t="inlineStr">
        <is>
          <t>adidas Men's Essentials French Terry 3-Stripes Full-Zip Hoodie</t>
        </is>
      </c>
      <c r="E3997" s="2">
        <f>HYPERLINK("https://www.amazon.com/adidas-Essentials-3-stripes-Full-zip-Heather/dp/B08M81MSHN/ref=sr_1_7?keywords=adidas+Essentials+Hoodie&amp;qid=1695171148&amp;sr=8-7", "https://www.amazon.com/adidas-Essentials-3-stripes-Full-zip-Heather/dp/B08M81MSHN/ref=sr_1_7?keywords=adidas+Essentials+Hoodie&amp;qid=1695171148&amp;sr=8-7")</f>
        <v/>
      </c>
      <c r="F3997" t="inlineStr">
        <is>
          <t>B08M81MSHN</t>
        </is>
      </c>
      <c r="G3997">
        <f>_xludf.IMAGE("https://www.soccerplususa.com/prodimages//35143-BLACKWHITE-M.jpg")</f>
        <v/>
      </c>
      <c r="H3997">
        <f>_xludf.IMAGE("https://m.media-amazon.com/images/I/81rAUVA6hjL._AC_UL320_.jpg")</f>
        <v/>
      </c>
      <c r="K3997" t="inlineStr">
        <is>
          <t>44.99</t>
        </is>
      </c>
      <c r="L3997" t="n">
        <v>65</v>
      </c>
      <c r="M3997" s="1" t="inlineStr">
        <is>
          <t>44.48%</t>
        </is>
      </c>
      <c r="N3997" s="3" t="n">
        <v>44.48</v>
      </c>
      <c r="O3997" t="n">
        <v>4.6</v>
      </c>
      <c r="P3997" t="n">
        <v>847</v>
      </c>
      <c r="R3997" t="inlineStr">
        <is>
          <t>InStock</t>
        </is>
      </c>
      <c r="S3997" t="inlineStr">
        <is>
          <t>59.95</t>
        </is>
      </c>
      <c r="T3997" t="inlineStr">
        <is>
          <t>GK9062</t>
        </is>
      </c>
    </row>
    <row r="3998" hidden="1" ht="15.75" customHeight="1">
      <c r="A3998" s="2">
        <f>HYPERLINK("https://www.soccerplususa.com/nike/nike-legend-tee-womens-20413", "https://www.soccerplususa.com/nike/nike-legend-tee-womens-20413")</f>
        <v/>
      </c>
      <c r="B3998" t="inlineStr">
        <is>
          <t>undefined</t>
        </is>
      </c>
      <c r="C3998" t="inlineStr">
        <is>
          <t>Nike Legend Tee Women's</t>
        </is>
      </c>
      <c r="D3998" t="inlineStr">
        <is>
          <t>Nike womens Dry Legend Tee Crew</t>
        </is>
      </c>
      <c r="E3998" s="2">
        <f>HYPERLINK("https://www.amazon.com/NIKE-WOMENS-DRI-FIT-LEGEND-CREW/dp/B07FKFHSW7/ref=sr_1_5?keywords=Nike+Legend+Tee+Womens&amp;qid=1695171184&amp;sr=8-5", "https://www.amazon.com/NIKE-WOMENS-DRI-FIT-LEGEND-CREW/dp/B07FKFHSW7/ref=sr_1_5?keywords=Nike+Legend+Tee+Womens&amp;qid=1695171184&amp;sr=8-5")</f>
        <v/>
      </c>
      <c r="F3998" t="inlineStr">
        <is>
          <t>B07FKFHSW7</t>
        </is>
      </c>
      <c r="G3998">
        <f>_xludf.IMAGE("https://www.soccerplususa.com/prodimages/31739-DEFAULT-l.jpg")</f>
        <v/>
      </c>
      <c r="H3998">
        <f>_xludf.IMAGE("https://m.media-amazon.com/images/I/717E0UsJTwL._AC_UL320_.jpg")</f>
        <v/>
      </c>
      <c r="K3998" t="inlineStr">
        <is>
          <t>18.99</t>
        </is>
      </c>
      <c r="L3998" t="n">
        <v>27.16</v>
      </c>
      <c r="M3998" s="1" t="inlineStr">
        <is>
          <t>43.02%</t>
        </is>
      </c>
      <c r="N3998" s="3" t="n">
        <v>43.02</v>
      </c>
      <c r="O3998" t="n">
        <v>4.4</v>
      </c>
      <c r="P3998" t="n">
        <v>129</v>
      </c>
      <c r="R3998" t="inlineStr">
        <is>
          <t>InStock</t>
        </is>
      </c>
      <c r="S3998" t="inlineStr">
        <is>
          <t>24.95</t>
        </is>
      </c>
      <c r="T3998" t="inlineStr">
        <is>
          <t>453181-657</t>
        </is>
      </c>
    </row>
    <row r="3999" hidden="1" ht="15.75" customHeight="1">
      <c r="A3999" s="2">
        <f>HYPERLINK("https://www.soccerplususa.com/adidas/adidas-tabela-14-jersey-6078", "https://www.soccerplususa.com/adidas/adidas-tabela-14-jersey-6078")</f>
        <v/>
      </c>
      <c r="B3999" t="inlineStr">
        <is>
          <t>undefined</t>
        </is>
      </c>
      <c r="C3999" t="inlineStr">
        <is>
          <t>adidas Tabela 14 Jersey</t>
        </is>
      </c>
      <c r="D3999" t="inlineStr">
        <is>
          <t>adidas Big Boys Climacool Regista 14 Soccer Jersey</t>
        </is>
      </c>
      <c r="E3999" s="2">
        <f>HYPERLINK("https://www.amazon.com/adidas-Performance-Tabela-Sleeve-Collegiate/dp/B00J2GX1ZO/ref=sr_1_2?keywords=adidas+Tabela+14+Jersey&amp;qid=1695171215&amp;sr=8-2", "https://www.amazon.com/adidas-Performance-Tabela-Sleeve-Collegiate/dp/B00J2GX1ZO/ref=sr_1_2?keywords=adidas+Tabela+14+Jersey&amp;qid=1695171215&amp;sr=8-2")</f>
        <v/>
      </c>
      <c r="F3999" t="inlineStr">
        <is>
          <t>B00J2GX1ZO</t>
        </is>
      </c>
      <c r="G3999">
        <f>_xludf.IMAGE("https://www.soccerplususa.com/prodimages/4489-DEFAULT-l.jpg")</f>
        <v/>
      </c>
      <c r="H3999">
        <f>_xludf.IMAGE("https://m.media-amazon.com/images/I/819PT0OMSuL._AC_UL320_.jpg")</f>
        <v/>
      </c>
      <c r="K3999" t="inlineStr">
        <is>
          <t>17.5</t>
        </is>
      </c>
      <c r="L3999" t="n">
        <v>24.99</v>
      </c>
      <c r="M3999" s="1" t="inlineStr">
        <is>
          <t>42.80%</t>
        </is>
      </c>
      <c r="N3999" s="3" t="n">
        <v>42.8</v>
      </c>
      <c r="O3999" t="n">
        <v>4.3</v>
      </c>
      <c r="P3999" t="n">
        <v>16</v>
      </c>
      <c r="R3999" t="inlineStr">
        <is>
          <t>InStock</t>
        </is>
      </c>
      <c r="S3999" t="inlineStr">
        <is>
          <t>34.95</t>
        </is>
      </c>
      <c r="T3999" t="inlineStr">
        <is>
          <t>F50269</t>
        </is>
      </c>
    </row>
    <row r="4000" hidden="1" ht="15.75" customHeight="1">
      <c r="A4000" s="2">
        <f>HYPERLINK("https://www.soccerplususa.com/adidas/adidas-tabela-14-jersey-6151", "https://www.soccerplususa.com/adidas/adidas-tabela-14-jersey-6151")</f>
        <v/>
      </c>
      <c r="B4000" t="inlineStr">
        <is>
          <t>undefined</t>
        </is>
      </c>
      <c r="C4000" t="inlineStr">
        <is>
          <t>adidas Tabela 14 Jersey</t>
        </is>
      </c>
      <c r="D4000" t="inlineStr">
        <is>
          <t>adidas Big Boys Climacool Regista 14 Soccer Jersey</t>
        </is>
      </c>
      <c r="E4000" s="2">
        <f>HYPERLINK("https://www.amazon.com/adidas-Performance-Tabela-Sleeve-Collegiate/dp/B00J2GX1ZO/ref=sr_1_2?keywords=adidas+Tabela+14+Jersey&amp;qid=1695171220&amp;sr=8-2", "https://www.amazon.com/adidas-Performance-Tabela-Sleeve-Collegiate/dp/B00J2GX1ZO/ref=sr_1_2?keywords=adidas+Tabela+14+Jersey&amp;qid=1695171220&amp;sr=8-2")</f>
        <v/>
      </c>
      <c r="F4000" t="inlineStr">
        <is>
          <t>B00J2GX1ZO</t>
        </is>
      </c>
      <c r="G4000">
        <f>_xludf.IMAGE("https://www.soccerplususa.com/prodimages/4588-DEFAULT-l.jpg")</f>
        <v/>
      </c>
      <c r="H4000">
        <f>_xludf.IMAGE("https://m.media-amazon.com/images/I/819PT0OMSuL._AC_UL320_.jpg")</f>
        <v/>
      </c>
      <c r="K4000" t="inlineStr">
        <is>
          <t>17.5</t>
        </is>
      </c>
      <c r="L4000" t="n">
        <v>24.99</v>
      </c>
      <c r="M4000" s="1" t="inlineStr">
        <is>
          <t>42.80%</t>
        </is>
      </c>
      <c r="N4000" s="3" t="n">
        <v>42.8</v>
      </c>
      <c r="O4000" t="n">
        <v>4.3</v>
      </c>
      <c r="P4000" t="n">
        <v>16</v>
      </c>
      <c r="R4000" t="inlineStr">
        <is>
          <t>InStock</t>
        </is>
      </c>
      <c r="S4000" t="inlineStr">
        <is>
          <t>34.95</t>
        </is>
      </c>
      <c r="T4000" t="inlineStr">
        <is>
          <t>F84835</t>
        </is>
      </c>
    </row>
    <row r="4001" hidden="1" ht="15.75" customHeight="1">
      <c r="A4001" s="2">
        <f>HYPERLINK("https://www.soccerplususa.com/adidas/adidas-tabela-14-jersey-6082", "https://www.soccerplususa.com/adidas/adidas-tabela-14-jersey-6082")</f>
        <v/>
      </c>
      <c r="B4001" t="inlineStr">
        <is>
          <t>undefined</t>
        </is>
      </c>
      <c r="C4001" t="inlineStr">
        <is>
          <t>adidas Tabela 14 Jersey</t>
        </is>
      </c>
      <c r="D4001" t="inlineStr">
        <is>
          <t>adidas Big Boys Climacool Regista 14 Soccer Jersey</t>
        </is>
      </c>
      <c r="E4001" s="2">
        <f>HYPERLINK("https://www.amazon.com/adidas-Performance-Tabela-Sleeve-Collegiate/dp/B00J2GX1ZO/ref=sr_1_3?keywords=adidas+Tabela+14+Jersey&amp;qid=1695171211&amp;sr=8-3", "https://www.amazon.com/adidas-Performance-Tabela-Sleeve-Collegiate/dp/B00J2GX1ZO/ref=sr_1_3?keywords=adidas+Tabela+14+Jersey&amp;qid=1695171211&amp;sr=8-3")</f>
        <v/>
      </c>
      <c r="F4001" t="inlineStr">
        <is>
          <t>B00J2GX1ZO</t>
        </is>
      </c>
      <c r="G4001">
        <f>_xludf.IMAGE("https://www.soccerplususa.com/prodimages/2638-DEFAULT-l.jpg")</f>
        <v/>
      </c>
      <c r="H4001">
        <f>_xludf.IMAGE("https://m.media-amazon.com/images/I/819PT0OMSuL._AC_UL320_.jpg")</f>
        <v/>
      </c>
      <c r="K4001" t="inlineStr">
        <is>
          <t>17.5</t>
        </is>
      </c>
      <c r="L4001" t="n">
        <v>24.99</v>
      </c>
      <c r="M4001" s="1" t="inlineStr">
        <is>
          <t>42.80%</t>
        </is>
      </c>
      <c r="N4001" s="3" t="n">
        <v>42.8</v>
      </c>
      <c r="O4001" t="n">
        <v>4.3</v>
      </c>
      <c r="P4001" t="n">
        <v>16</v>
      </c>
      <c r="R4001" t="inlineStr">
        <is>
          <t>InStock</t>
        </is>
      </c>
      <c r="S4001" t="inlineStr">
        <is>
          <t>34.95</t>
        </is>
      </c>
      <c r="T4001" t="inlineStr">
        <is>
          <t>F50284</t>
        </is>
      </c>
    </row>
    <row r="4002" hidden="1" ht="15.75" customHeight="1">
      <c r="A4002" s="2">
        <f>HYPERLINK("https://www.soccerplususa.com/adidas/adidas-tabela-14-jersey-6152", "https://www.soccerplususa.com/adidas/adidas-tabela-14-jersey-6152")</f>
        <v/>
      </c>
      <c r="B4002" t="inlineStr">
        <is>
          <t>undefined</t>
        </is>
      </c>
      <c r="C4002" t="inlineStr">
        <is>
          <t>adidas Tabela 14 Jersey</t>
        </is>
      </c>
      <c r="D4002" t="inlineStr">
        <is>
          <t>adidas Big Boys Climacool Regista 14 Soccer Jersey</t>
        </is>
      </c>
      <c r="E4002" s="2">
        <f>HYPERLINK("https://www.amazon.com/adidas-Performance-Tabela-Sleeve-Collegiate/dp/B00J2GX1ZO/ref=sr_1_2?keywords=adidas+Tabela+14+Jersey&amp;qid=1695171217&amp;sr=8-2", "https://www.amazon.com/adidas-Performance-Tabela-Sleeve-Collegiate/dp/B00J2GX1ZO/ref=sr_1_2?keywords=adidas+Tabela+14+Jersey&amp;qid=1695171217&amp;sr=8-2")</f>
        <v/>
      </c>
      <c r="F4002" t="inlineStr">
        <is>
          <t>B00J2GX1ZO</t>
        </is>
      </c>
      <c r="G4002">
        <f>_xludf.IMAGE("https://www.soccerplususa.com/prodimages/4589-DEFAULT-l.jpg")</f>
        <v/>
      </c>
      <c r="H4002">
        <f>_xludf.IMAGE("https://m.media-amazon.com/images/I/819PT0OMSuL._AC_UL320_.jpg")</f>
        <v/>
      </c>
      <c r="K4002" t="inlineStr">
        <is>
          <t>17.5</t>
        </is>
      </c>
      <c r="L4002" t="n">
        <v>24.99</v>
      </c>
      <c r="M4002" s="1" t="inlineStr">
        <is>
          <t>42.80%</t>
        </is>
      </c>
      <c r="N4002" s="3" t="n">
        <v>42.8</v>
      </c>
      <c r="O4002" t="n">
        <v>4.3</v>
      </c>
      <c r="P4002" t="n">
        <v>16</v>
      </c>
      <c r="R4002" t="inlineStr">
        <is>
          <t>InStock</t>
        </is>
      </c>
      <c r="S4002" t="inlineStr">
        <is>
          <t>34.95</t>
        </is>
      </c>
      <c r="T4002" t="inlineStr">
        <is>
          <t>F84836</t>
        </is>
      </c>
    </row>
    <row r="4003" hidden="1" ht="15.75" customHeight="1">
      <c r="A4003" s="2">
        <f>HYPERLINK("https://www.soccerplususa.com/nike/nike-challenge-jersey-22799", "https://www.soccerplususa.com/nike/nike-challenge-jersey-22799")</f>
        <v/>
      </c>
      <c r="B4003" t="inlineStr">
        <is>
          <t>undefined</t>
        </is>
      </c>
      <c r="C4003" t="inlineStr">
        <is>
          <t>Nike Challenge Jersey</t>
        </is>
      </c>
      <c r="D4003" t="inlineStr">
        <is>
          <t>Nike Dri-Fit Challenge III 3 Womens Soccer Futbol Jersey Short Sleeve Shirt</t>
        </is>
      </c>
      <c r="E4003" s="2">
        <f>HYPERLINK("https://www.amazon.com/Nike-Dri-Fit-Challenge-Womens-Regular/dp/B0CD3QJQ9Z/ref=sr_1_8?keywords=Nike+Challenge+Jersey&amp;qid=1695171185&amp;sr=8-8", "https://www.amazon.com/Nike-Dri-Fit-Challenge-Womens-Regular/dp/B0CD3QJQ9Z/ref=sr_1_8?keywords=Nike+Challenge+Jersey&amp;qid=1695171185&amp;sr=8-8")</f>
        <v/>
      </c>
      <c r="F4003" t="inlineStr">
        <is>
          <t>B0CD3QJQ9Z</t>
        </is>
      </c>
      <c r="G4003">
        <f>_xludf.IMAGE("https://www.soccerplususa.com/prodimages/7620-DEFAULT-l.jpg")</f>
        <v/>
      </c>
      <c r="H4003">
        <f>_xludf.IMAGE("https://m.media-amazon.com/images/I/51aOgJBxCfL._AC_UL320_.jpg")</f>
        <v/>
      </c>
      <c r="K4003" t="inlineStr">
        <is>
          <t>17.5</t>
        </is>
      </c>
      <c r="L4003" t="n">
        <v>24.99</v>
      </c>
      <c r="M4003" s="1" t="inlineStr">
        <is>
          <t>42.80%</t>
        </is>
      </c>
      <c r="N4003" s="3" t="n">
        <v>42.8</v>
      </c>
      <c r="O4003" t="n">
        <v>5</v>
      </c>
      <c r="P4003" t="n">
        <v>1</v>
      </c>
      <c r="R4003" t="inlineStr">
        <is>
          <t>InStock</t>
        </is>
      </c>
      <c r="S4003" t="inlineStr">
        <is>
          <t>34.95</t>
        </is>
      </c>
      <c r="T4003" t="inlineStr">
        <is>
          <t>645500-493</t>
        </is>
      </c>
    </row>
    <row r="4004" hidden="1" ht="15.75" customHeight="1">
      <c r="A4004" s="2">
        <f>HYPERLINK("https://www.soccerplususa.com/puma/puma-liga-jersey-37884", "https://www.soccerplususa.com/puma/puma-liga-jersey-37884")</f>
        <v/>
      </c>
      <c r="B4004" t="inlineStr">
        <is>
          <t>undefined</t>
        </is>
      </c>
      <c r="C4004" t="inlineStr">
        <is>
          <t>Puma Liga Jersey</t>
        </is>
      </c>
      <c r="D4004" t="inlineStr">
        <is>
          <t>PUMA Men's Teamliga Jersey</t>
        </is>
      </c>
      <c r="E4004" s="2">
        <f>HYPERLINK("https://www.amazon.com/PUMA-TeamLIGA-Jersey-Peacoat-White/dp/B091DHCJVM/ref=sr_1_1?keywords=Puma+Liga+Jersey&amp;qid=1695171168&amp;sr=8-1", "https://www.amazon.com/PUMA-TeamLIGA-Jersey-Peacoat-White/dp/B091DHCJVM/ref=sr_1_1?keywords=Puma+Liga+Jersey&amp;qid=1695171168&amp;sr=8-1")</f>
        <v/>
      </c>
      <c r="F4004" t="inlineStr">
        <is>
          <t>B091DHCJVM</t>
        </is>
      </c>
      <c r="G4004">
        <f>_xludf.IMAGE("https://www.soccerplususa.com/prodimages//35270-NAVYWHITE-M.jpg")</f>
        <v/>
      </c>
      <c r="H4004">
        <f>_xludf.IMAGE("https://m.media-amazon.com/images/I/81lxrWQaicS._AC_UL320_.jpg")</f>
        <v/>
      </c>
      <c r="K4004" t="inlineStr">
        <is>
          <t>20.99</t>
        </is>
      </c>
      <c r="L4004" t="n">
        <v>29.88</v>
      </c>
      <c r="M4004" s="1" t="inlineStr">
        <is>
          <t>42.35%</t>
        </is>
      </c>
      <c r="N4004" s="3" t="n">
        <v>42.35</v>
      </c>
      <c r="O4004" t="n">
        <v>4.5</v>
      </c>
      <c r="P4004" t="n">
        <v>282</v>
      </c>
      <c r="R4004" t="inlineStr">
        <is>
          <t>InStock</t>
        </is>
      </c>
      <c r="S4004" t="inlineStr">
        <is>
          <t>27.95</t>
        </is>
      </c>
      <c r="T4004" t="inlineStr">
        <is>
          <t>703417-06</t>
        </is>
      </c>
    </row>
    <row r="4005" hidden="1" ht="15.75" customHeight="1">
      <c r="A4005" s="2">
        <f>HYPERLINK("https://www.soccerplususa.com/nike/nike-legend-tee-womens-20413", "https://www.soccerplususa.com/nike/nike-legend-tee-womens-20413")</f>
        <v/>
      </c>
      <c r="B4005" t="inlineStr">
        <is>
          <t>undefined</t>
        </is>
      </c>
      <c r="C4005" t="inlineStr">
        <is>
          <t>Nike Legend Tee Women's</t>
        </is>
      </c>
      <c r="D4005" t="inlineStr">
        <is>
          <t>Nike Dry Legend Tee Crew</t>
        </is>
      </c>
      <c r="E4005" s="2">
        <f>HYPERLINK("https://www.amazon.com/Nike-Legend-Alpha-Regular-Medium/dp/B0C4TWN33N/ref=sr_1_6?keywords=Nike+Legend+Tee+Womens&amp;qid=1695171184&amp;sr=8-6", "https://www.amazon.com/Nike-Legend-Alpha-Regular-Medium/dp/B0C4TWN33N/ref=sr_1_6?keywords=Nike+Legend+Tee+Womens&amp;qid=1695171184&amp;sr=8-6")</f>
        <v/>
      </c>
      <c r="F4005" t="inlineStr">
        <is>
          <t>B0C4TWN33N</t>
        </is>
      </c>
      <c r="G4005">
        <f>_xludf.IMAGE("https://www.soccerplususa.com/prodimages/31739-DEFAULT-l.jpg")</f>
        <v/>
      </c>
      <c r="H4005">
        <f>_xludf.IMAGE("https://m.media-amazon.com/images/I/611Kv9HrbHL._AC_UL320_.jpg")</f>
        <v/>
      </c>
      <c r="K4005" t="inlineStr">
        <is>
          <t>18.99</t>
        </is>
      </c>
      <c r="L4005" t="n">
        <v>27</v>
      </c>
      <c r="M4005" s="1" t="inlineStr">
        <is>
          <t>42.18%</t>
        </is>
      </c>
      <c r="N4005" s="3" t="n">
        <v>42.18</v>
      </c>
      <c r="O4005" t="n">
        <v>4.6</v>
      </c>
      <c r="P4005" t="n">
        <v>41</v>
      </c>
      <c r="R4005" t="inlineStr">
        <is>
          <t>InStock</t>
        </is>
      </c>
      <c r="S4005" t="inlineStr">
        <is>
          <t>24.95</t>
        </is>
      </c>
      <c r="T4005" t="inlineStr">
        <is>
          <t>453181-657</t>
        </is>
      </c>
    </row>
    <row r="4006" hidden="1" ht="15.75" customHeight="1">
      <c r="A4006" s="2">
        <f>HYPERLINK("https://www.soccerplususa.com/nike/nike-academy-drill-top-youth-43256", "https://www.soccerplususa.com/nike/nike-academy-drill-top-youth-43256")</f>
        <v/>
      </c>
      <c r="B4006" t="inlineStr">
        <is>
          <t>undefined</t>
        </is>
      </c>
      <c r="C4006" t="inlineStr">
        <is>
          <t>Nike Academy Drill Top Youth</t>
        </is>
      </c>
      <c r="D4006" t="inlineStr">
        <is>
          <t>Nike Womens Academy19 Drill Top nkAO1470 010</t>
        </is>
      </c>
      <c r="E4006" s="2">
        <f>HYPERLINK("https://www.amazon.com/Nike-Womens-Academy19-Drill-nkAO1470/dp/B07WRD364S/ref=sr_1_5?keywords=Nike+Academy+Drill+Top+Youth&amp;qid=1695171160&amp;sr=8-5", "https://www.amazon.com/Nike-Womens-Academy19-Drill-nkAO1470/dp/B07WRD364S/ref=sr_1_5?keywords=Nike+Academy+Drill+Top+Youth&amp;qid=1695171160&amp;sr=8-5")</f>
        <v/>
      </c>
      <c r="F4006" t="inlineStr">
        <is>
          <t>B07WRD364S</t>
        </is>
      </c>
      <c r="G4006">
        <f>_xludf.IMAGE("https://www.soccerplususa.com/prodimages//35431-BLACKWHITE-M.jpg")</f>
        <v/>
      </c>
      <c r="H4006">
        <f>_xludf.IMAGE("https://m.media-amazon.com/images/I/81nb9c87SeL._AC_UL320_.jpg")</f>
        <v/>
      </c>
      <c r="K4006" t="inlineStr">
        <is>
          <t>49.95</t>
        </is>
      </c>
      <c r="L4006" t="n">
        <v>69.98999999999999</v>
      </c>
      <c r="M4006" s="1" t="inlineStr">
        <is>
          <t>40.12%</t>
        </is>
      </c>
      <c r="N4006" s="3" t="n">
        <v>40.12</v>
      </c>
      <c r="O4006" t="n">
        <v>5</v>
      </c>
      <c r="P4006" t="n">
        <v>2</v>
      </c>
      <c r="R4006" t="inlineStr">
        <is>
          <t>InStock</t>
        </is>
      </c>
      <c r="S4006" t="inlineStr">
        <is>
          <t>undefined</t>
        </is>
      </c>
      <c r="T4006" t="inlineStr">
        <is>
          <t>CW6112-010</t>
        </is>
      </c>
    </row>
    <row r="4007" hidden="1" ht="15.75" customHeight="1">
      <c r="A4007" s="2">
        <f>HYPERLINK("https://www.soccerplususa.com/adidas/adidas-estro-15-jersey-youth-7851", "https://www.soccerplususa.com/adidas/adidas-estro-15-jersey-youth-7851")</f>
        <v/>
      </c>
      <c r="B4007" t="inlineStr">
        <is>
          <t>undefined</t>
        </is>
      </c>
      <c r="C4007" t="inlineStr">
        <is>
          <t>adidas Estro 15 Jersey Youth</t>
        </is>
      </c>
      <c r="D4007" t="inlineStr">
        <is>
          <t>adidas Youth Estro 12 Black/White Jerseys-XS</t>
        </is>
      </c>
      <c r="E4007" s="2">
        <f>HYPERLINK("https://www.amazon.com/Adidas-Youth-Estro-Black-Jerseys-XS/dp/B00CLVRX8I/ref=sr_1_9?keywords=adidas+Estro+15+Jersey+Youth&amp;qid=1695171200&amp;sr=8-9", "https://www.amazon.com/Adidas-Youth-Estro-Black-Jerseys-XS/dp/B00CLVRX8I/ref=sr_1_9?keywords=adidas+Estro+15+Jersey+Youth&amp;qid=1695171200&amp;sr=8-9")</f>
        <v/>
      </c>
      <c r="F4007" t="inlineStr">
        <is>
          <t>B00CLVRX8I</t>
        </is>
      </c>
      <c r="G4007">
        <f>_xludf.IMAGE("https://www.soccerplususa.com/prodimages/5098-DEFAULT-l.jpg")</f>
        <v/>
      </c>
      <c r="H4007">
        <f>_xludf.IMAGE("https://m.media-amazon.com/images/I/81hgJVhFOrL._AC_UL320_.jpg")</f>
        <v/>
      </c>
      <c r="K4007" t="inlineStr">
        <is>
          <t>10.0</t>
        </is>
      </c>
      <c r="L4007" t="n">
        <v>13.99</v>
      </c>
      <c r="M4007" s="1" t="inlineStr">
        <is>
          <t>39.90%</t>
        </is>
      </c>
      <c r="N4007" s="3" t="n">
        <v>39.9</v>
      </c>
      <c r="O4007" t="n">
        <v>4</v>
      </c>
      <c r="P4007" t="n">
        <v>2</v>
      </c>
      <c r="R4007" t="inlineStr">
        <is>
          <t>InStock</t>
        </is>
      </c>
      <c r="S4007" t="inlineStr">
        <is>
          <t>19.95</t>
        </is>
      </c>
      <c r="T4007" t="inlineStr">
        <is>
          <t>S17298</t>
        </is>
      </c>
    </row>
    <row r="4008" hidden="1" ht="15.75" customHeight="1">
      <c r="A4008" s="2">
        <f>HYPERLINK("https://www.soccerplususa.com/adidas/adidas-estro-15-jersey-youth-7852", "https://www.soccerplususa.com/adidas/adidas-estro-15-jersey-youth-7852")</f>
        <v/>
      </c>
      <c r="B4008" t="inlineStr">
        <is>
          <t>undefined</t>
        </is>
      </c>
      <c r="C4008" t="inlineStr">
        <is>
          <t>adidas Estro 15 Jersey Youth</t>
        </is>
      </c>
      <c r="D4008" t="inlineStr">
        <is>
          <t>adidas Youth Estro 12 Black/White Jerseys-XS</t>
        </is>
      </c>
      <c r="E4008" s="2">
        <f>HYPERLINK("https://www.amazon.com/Adidas-Youth-Estro-Black-Jerseys-XS/dp/B00CLVRX8I/ref=sr_1_6?keywords=adidas+Estro+15+Jersey+Youth&amp;qid=1695171202&amp;sr=8-6", "https://www.amazon.com/Adidas-Youth-Estro-Black-Jerseys-XS/dp/B00CLVRX8I/ref=sr_1_6?keywords=adidas+Estro+15+Jersey+Youth&amp;qid=1695171202&amp;sr=8-6")</f>
        <v/>
      </c>
      <c r="F4008" t="inlineStr">
        <is>
          <t>B00CLVRX8I</t>
        </is>
      </c>
      <c r="G4008">
        <f>_xludf.IMAGE("https://www.soccerplususa.com/prodimages/5099-DEFAULT-l.jpg")</f>
        <v/>
      </c>
      <c r="H4008">
        <f>_xludf.IMAGE("https://m.media-amazon.com/images/I/81hgJVhFOrL._AC_UL320_.jpg")</f>
        <v/>
      </c>
      <c r="K4008" t="inlineStr">
        <is>
          <t>10.0</t>
        </is>
      </c>
      <c r="L4008" t="n">
        <v>13.99</v>
      </c>
      <c r="M4008" s="1" t="inlineStr">
        <is>
          <t>39.90%</t>
        </is>
      </c>
      <c r="N4008" s="3" t="n">
        <v>39.9</v>
      </c>
      <c r="O4008" t="n">
        <v>4</v>
      </c>
      <c r="P4008" t="n">
        <v>2</v>
      </c>
      <c r="R4008" t="inlineStr">
        <is>
          <t>InStock</t>
        </is>
      </c>
      <c r="S4008" t="inlineStr">
        <is>
          <t>19.95</t>
        </is>
      </c>
      <c r="T4008" t="inlineStr">
        <is>
          <t>S17299</t>
        </is>
      </c>
    </row>
    <row r="4009" hidden="1" ht="15.75" customHeight="1">
      <c r="A4009" s="2">
        <f>HYPERLINK("https://www.soccerplususa.com/adidas/adidas-tabela-14-jersey-youth-6084", "https://www.soccerplususa.com/adidas/adidas-tabela-14-jersey-youth-6084")</f>
        <v/>
      </c>
      <c r="B4009" t="inlineStr">
        <is>
          <t>undefined</t>
        </is>
      </c>
      <c r="C4009" t="inlineStr">
        <is>
          <t>adidas Tabela 14 Jersey Youth</t>
        </is>
      </c>
      <c r="D4009" t="inlineStr">
        <is>
          <t>adidas Youth Tabela 18 Jersey</t>
        </is>
      </c>
      <c r="E4009" s="2">
        <f>HYPERLINK("https://www.amazon.com/adidas-TABELA-Jersey-Y%E2%9D%97%EF%B8%8FShips-Directly/dp/B078LCB4LK/ref=sr_1_9?keywords=adidas+Tabela+14+Jersey+Youth&amp;qid=1695171219&amp;sr=8-9", "https://www.amazon.com/adidas-TABELA-Jersey-Y%E2%9D%97%EF%B8%8FShips-Directly/dp/B078LCB4LK/ref=sr_1_9?keywords=adidas+Tabela+14+Jersey+Youth&amp;qid=1695171219&amp;sr=8-9")</f>
        <v/>
      </c>
      <c r="F4009" t="inlineStr">
        <is>
          <t>B078LCB4LK</t>
        </is>
      </c>
      <c r="G4009">
        <f>_xludf.IMAGE("https://www.soccerplususa.com/prodimages/10331-DEFAULT-l.jpg")</f>
        <v/>
      </c>
      <c r="H4009">
        <f>_xludf.IMAGE("https://m.media-amazon.com/images/I/61G-4wd3sCL._AC_UL320_.jpg")</f>
        <v/>
      </c>
      <c r="K4009" t="inlineStr">
        <is>
          <t>17.5</t>
        </is>
      </c>
      <c r="L4009" t="n">
        <v>24.47</v>
      </c>
      <c r="M4009" s="1" t="inlineStr">
        <is>
          <t>39.83%</t>
        </is>
      </c>
      <c r="N4009" s="3" t="n">
        <v>39.83</v>
      </c>
      <c r="O4009" t="n">
        <v>1.8</v>
      </c>
      <c r="P4009" t="n">
        <v>2</v>
      </c>
      <c r="R4009" t="inlineStr">
        <is>
          <t>InStock</t>
        </is>
      </c>
      <c r="S4009" t="inlineStr">
        <is>
          <t>34.95</t>
        </is>
      </c>
      <c r="T4009" t="inlineStr">
        <is>
          <t>F50452</t>
        </is>
      </c>
    </row>
    <row r="4010" hidden="1" ht="15.75" customHeight="1">
      <c r="A4010" s="2">
        <f>HYPERLINK("https://www.soccerplususa.com/nike/nike-legend-tee-womens-20413", "https://www.soccerplususa.com/nike/nike-legend-tee-womens-20413")</f>
        <v/>
      </c>
      <c r="B4010" t="inlineStr">
        <is>
          <t>undefined</t>
        </is>
      </c>
      <c r="C4010" t="inlineStr">
        <is>
          <t>Nike Legend Tee Women's</t>
        </is>
      </c>
      <c r="D4010" t="inlineStr">
        <is>
          <t>Nike Womens DRI-FIT Legend TEE Crew</t>
        </is>
      </c>
      <c r="E4010" s="2">
        <f>HYPERLINK("https://www.amazon.com/NIKE-WOMENS-DRI-FIT-LEGEND-CREW/dp/B07HMTB5C6/ref=sr_1_7?keywords=Nike+Legend+Tee+Womens&amp;qid=1695171184&amp;sr=8-7", "https://www.amazon.com/NIKE-WOMENS-DRI-FIT-LEGEND-CREW/dp/B07HMTB5C6/ref=sr_1_7?keywords=Nike+Legend+Tee+Womens&amp;qid=1695171184&amp;sr=8-7")</f>
        <v/>
      </c>
      <c r="F4010" t="inlineStr">
        <is>
          <t>B07HMTB5C6</t>
        </is>
      </c>
      <c r="G4010">
        <f>_xludf.IMAGE("https://www.soccerplususa.com/prodimages/31739-DEFAULT-l.jpg")</f>
        <v/>
      </c>
      <c r="H4010">
        <f>_xludf.IMAGE("https://m.media-amazon.com/images/I/41I-zVqQLnL._AC_UL320_.jpg")</f>
        <v/>
      </c>
      <c r="K4010" t="inlineStr">
        <is>
          <t>18.99</t>
        </is>
      </c>
      <c r="L4010" t="n">
        <v>26.26</v>
      </c>
      <c r="M4010" s="1" t="inlineStr">
        <is>
          <t>38.28%</t>
        </is>
      </c>
      <c r="N4010" s="3" t="n">
        <v>38.28</v>
      </c>
      <c r="O4010" t="n">
        <v>4.4</v>
      </c>
      <c r="P4010" t="n">
        <v>17</v>
      </c>
      <c r="R4010" t="inlineStr">
        <is>
          <t>InStock</t>
        </is>
      </c>
      <c r="S4010" t="inlineStr">
        <is>
          <t>24.95</t>
        </is>
      </c>
      <c r="T4010" t="inlineStr">
        <is>
          <t>453181-657</t>
        </is>
      </c>
    </row>
    <row r="4011" hidden="1" ht="15.75" customHeight="1">
      <c r="A4011" s="2">
        <f>HYPERLINK("https://www.soccerplususa.com/puma/puma-liga-training-jacket-youth-35521", "https://www.soccerplususa.com/puma/puma-liga-training-jacket-youth-35521")</f>
        <v/>
      </c>
      <c r="B4011" t="inlineStr">
        <is>
          <t>undefined</t>
        </is>
      </c>
      <c r="C4011" t="inlineStr">
        <is>
          <t>Puma Liga Training Jacket Youth</t>
        </is>
      </c>
      <c r="D4011" t="inlineStr">
        <is>
          <t>PUMA Unisex-Youth Liga Training Fleece Jacket</t>
        </is>
      </c>
      <c r="E4011" s="2">
        <f>HYPERLINK("https://www.amazon.com/PUMA-Training-Fleece-X-Large-Black-Puma/dp/B07B8CCKHG/ref=sr_1_4?keywords=Puma+Liga+Training+Jacket+Youth&amp;qid=1695171158&amp;sr=8-4", "https://www.amazon.com/PUMA-Training-Fleece-X-Large-Black-Puma/dp/B07B8CCKHG/ref=sr_1_4?keywords=Puma+Liga+Training+Jacket+Youth&amp;qid=1695171158&amp;sr=8-4")</f>
        <v/>
      </c>
      <c r="F4011" t="inlineStr">
        <is>
          <t>B07B8CCKHG</t>
        </is>
      </c>
      <c r="G4011">
        <f>_xludf.IMAGE("https://www.soccerplususa.com/prodimages/32219-DEFAULT-l.jpg")</f>
        <v/>
      </c>
      <c r="H4011">
        <f>_xludf.IMAGE("https://m.media-amazon.com/images/I/51od9y5GiJL._AC_UL320_.jpg")</f>
        <v/>
      </c>
      <c r="K4011" t="inlineStr">
        <is>
          <t>45.0</t>
        </is>
      </c>
      <c r="L4011" t="n">
        <v>62.12</v>
      </c>
      <c r="M4011" s="1" t="inlineStr">
        <is>
          <t>38.04%</t>
        </is>
      </c>
      <c r="N4011" s="3" t="n">
        <v>38.04</v>
      </c>
      <c r="O4011" t="n">
        <v>3.7</v>
      </c>
      <c r="P4011" t="n">
        <v>23</v>
      </c>
      <c r="R4011" t="inlineStr">
        <is>
          <t>InStock</t>
        </is>
      </c>
      <c r="S4011" t="inlineStr">
        <is>
          <t>59.95</t>
        </is>
      </c>
      <c r="T4011" t="inlineStr">
        <is>
          <t>655688-02</t>
        </is>
      </c>
    </row>
    <row r="4012" hidden="1" ht="15.75" customHeight="1">
      <c r="A4012" s="2">
        <f>HYPERLINK("https://www.soccerplususa.com/puma/puma-liga-training-jacket-35519", "https://www.soccerplususa.com/puma/puma-liga-training-jacket-35519")</f>
        <v/>
      </c>
      <c r="B4012" t="inlineStr">
        <is>
          <t>undefined</t>
        </is>
      </c>
      <c r="C4012" t="inlineStr">
        <is>
          <t>Puma Liga Training Jacket</t>
        </is>
      </c>
      <c r="D4012" t="inlineStr">
        <is>
          <t>PUMA Unisex-Youth Liga Training Fleece Jacket</t>
        </is>
      </c>
      <c r="E4012" s="2">
        <f>HYPERLINK("https://www.amazon.com/PUMA-Training-Fleece-X-Large-Black-Puma/dp/B07B8CCKHG/ref=sr_1_7?keywords=Puma+Liga+Training+Jacket&amp;qid=1695171164&amp;sr=8-7", "https://www.amazon.com/PUMA-Training-Fleece-X-Large-Black-Puma/dp/B07B8CCKHG/ref=sr_1_7?keywords=Puma+Liga+Training+Jacket&amp;qid=1695171164&amp;sr=8-7")</f>
        <v/>
      </c>
      <c r="F4012" t="inlineStr">
        <is>
          <t>B07B8CCKHG</t>
        </is>
      </c>
      <c r="G4012">
        <f>_xludf.IMAGE("https://www.soccerplususa.com/prodimages/32207-DEFAULT-l.jpg")</f>
        <v/>
      </c>
      <c r="H4012">
        <f>_xludf.IMAGE("https://m.media-amazon.com/images/I/51od9y5GiJL._AC_UL320_.jpg")</f>
        <v/>
      </c>
      <c r="K4012" t="inlineStr">
        <is>
          <t>45.0</t>
        </is>
      </c>
      <c r="L4012" t="n">
        <v>62.12</v>
      </c>
      <c r="M4012" s="1" t="inlineStr">
        <is>
          <t>38.04%</t>
        </is>
      </c>
      <c r="N4012" s="3" t="n">
        <v>38.04</v>
      </c>
      <c r="O4012" t="n">
        <v>3.7</v>
      </c>
      <c r="P4012" t="n">
        <v>23</v>
      </c>
      <c r="R4012" t="inlineStr">
        <is>
          <t>InStock</t>
        </is>
      </c>
      <c r="S4012" t="inlineStr">
        <is>
          <t>59.95</t>
        </is>
      </c>
      <c r="T4012" t="inlineStr">
        <is>
          <t>655687-02</t>
        </is>
      </c>
    </row>
    <row r="4013" hidden="1" ht="15.75" customHeight="1">
      <c r="A4013" s="2">
        <f>HYPERLINK("https://www.soccerplususa.com/adidas/adidas-regista-14-jersey-6065", "https://www.soccerplususa.com/adidas/adidas-regista-14-jersey-6065")</f>
        <v/>
      </c>
      <c r="B4013" t="inlineStr">
        <is>
          <t>undefined</t>
        </is>
      </c>
      <c r="C4013" t="inlineStr">
        <is>
          <t>adidas Regista 14 Jersey</t>
        </is>
      </c>
      <c r="D4013" t="inlineStr">
        <is>
          <t>adidas Womens Climacool Regista 14 Jersey</t>
        </is>
      </c>
      <c r="E4013" s="2">
        <f>HYPERLINK("https://www.amazon.com/Adidas-Regista-Womens-Soccer-Jersey/dp/B00H5UPO4K/ref=sr_1_2?keywords=adidas+Regista+14+Jersey&amp;qid=1695171215&amp;sr=8-2", "https://www.amazon.com/Adidas-Regista-Womens-Soccer-Jersey/dp/B00H5UPO4K/ref=sr_1_2?keywords=adidas+Regista+14+Jersey&amp;qid=1695171215&amp;sr=8-2")</f>
        <v/>
      </c>
      <c r="F4013" t="inlineStr">
        <is>
          <t>B00H5UPO4K</t>
        </is>
      </c>
      <c r="G4013">
        <f>_xludf.IMAGE("https://www.soccerplususa.com/prodimages/32793-DEFAULT-l.jpg")</f>
        <v/>
      </c>
      <c r="H4013">
        <f>_xludf.IMAGE("https://m.media-amazon.com/images/I/61GhHCEsAmL._AC_UL320_.jpg")</f>
        <v/>
      </c>
      <c r="K4013" t="inlineStr">
        <is>
          <t>22.0</t>
        </is>
      </c>
      <c r="L4013" t="n">
        <v>29.99</v>
      </c>
      <c r="M4013" s="1" t="inlineStr">
        <is>
          <t>36.32%</t>
        </is>
      </c>
      <c r="N4013" s="3" t="n">
        <v>36.32</v>
      </c>
      <c r="O4013" t="n">
        <v>4.1</v>
      </c>
      <c r="P4013" t="n">
        <v>10</v>
      </c>
      <c r="R4013" t="inlineStr">
        <is>
          <t>InStock</t>
        </is>
      </c>
      <c r="S4013" t="inlineStr">
        <is>
          <t>44.95</t>
        </is>
      </c>
      <c r="T4013" t="inlineStr">
        <is>
          <t>F50009</t>
        </is>
      </c>
    </row>
    <row r="4014" hidden="1" ht="15.75" customHeight="1">
      <c r="A4014" s="2">
        <f>HYPERLINK("https://www.soccerplususa.com/storelli-sports/storelli-bodyshield-sleeveless-undershirt-32102", "https://www.soccerplususa.com/storelli-sports/storelli-bodyshield-sleeveless-undershirt-32102")</f>
        <v/>
      </c>
      <c r="B4014" t="inlineStr">
        <is>
          <t>undefined</t>
        </is>
      </c>
      <c r="C4014" t="inlineStr">
        <is>
          <t>Storelli BodyShield Sleeveless Undershirt</t>
        </is>
      </c>
      <c r="D4014" t="inlineStr">
        <is>
          <t>Storelli BodyShield Sleeveless Undershirt | Protective Soccer Base Layer | Lightweight Compression Top</t>
        </is>
      </c>
      <c r="E4014" s="2">
        <f>HYPERLINK("https://www.amazon.com/Storelli-BSFPTOPNSWHM-BodyShield-Sleeveless-Undershirt/dp/B00N4VYH7O/ref=sr_1_fkmr1_1?keywords=Storelli+BodyShield+Sleeveless+Undershirt&amp;qid=1695171181&amp;sr=8-1-fkmr1", "https://www.amazon.com/Storelli-BSFPTOPNSWHM-BodyShield-Sleeveless-Undershirt/dp/B00N4VYH7O/ref=sr_1_fkmr1_1?keywords=Storelli+BodyShield+Sleeveless+Undershirt&amp;qid=1695171181&amp;sr=8-1-fkmr1")</f>
        <v/>
      </c>
      <c r="F4014" t="inlineStr">
        <is>
          <t>B00N4VYH7O</t>
        </is>
      </c>
      <c r="G4014">
        <f>_xludf.IMAGE("https://www.soccerplususa.com/prodimages/2096-DEFAULT-l.jpg")</f>
        <v/>
      </c>
      <c r="H4014">
        <f>_xludf.IMAGE("https://m.media-amazon.com/images/I/51XihgDpk7L._AC_UL320_.jpg")</f>
        <v/>
      </c>
      <c r="K4014" t="inlineStr">
        <is>
          <t>59.95</t>
        </is>
      </c>
      <c r="L4014" t="n">
        <v>81.34999999999999</v>
      </c>
      <c r="M4014" s="1" t="inlineStr">
        <is>
          <t>35.70%</t>
        </is>
      </c>
      <c r="N4014" s="3" t="n">
        <v>35.7</v>
      </c>
      <c r="O4014" t="n">
        <v>4</v>
      </c>
      <c r="P4014" t="n">
        <v>7</v>
      </c>
      <c r="R4014" t="inlineStr">
        <is>
          <t>InStock</t>
        </is>
      </c>
      <c r="S4014" t="inlineStr">
        <is>
          <t>undefined</t>
        </is>
      </c>
      <c r="T4014" t="inlineStr">
        <is>
          <t>BSFPTOPNSBK</t>
        </is>
      </c>
    </row>
    <row r="4015" hidden="1" ht="15.75" customHeight="1">
      <c r="A4015" s="2">
        <f>HYPERLINK("https://www.soccerplususa.com/adidas/adidas-tiro-19-training-jacket-womens-34012", "https://www.soccerplususa.com/adidas/adidas-tiro-19-training-jacket-womens-34012")</f>
        <v/>
      </c>
      <c r="B4015" t="inlineStr">
        <is>
          <t>undefined</t>
        </is>
      </c>
      <c r="C4015" t="inlineStr">
        <is>
          <t>adidas Tiro 19 Training Jacket Women's</t>
        </is>
      </c>
      <c r="D4015" t="inlineStr">
        <is>
          <t>adidas Tiro 19 Adult Training Jacket (TIRO19-JACKET)</t>
        </is>
      </c>
      <c r="E4015" s="2">
        <f>HYPERLINK("https://www.amazon.com/adidas-Tiro-19-Training-Jacket/dp/B07H4316NL/ref=sr_1_1?keywords=adidas+Tiro+19+Training+Jacket+Womens&amp;qid=1695171165&amp;sr=8-1", "https://www.amazon.com/adidas-Tiro-19-Training-Jacket/dp/B07H4316NL/ref=sr_1_1?keywords=adidas+Tiro+19+Training+Jacket+Womens&amp;qid=1695171165&amp;sr=8-1")</f>
        <v/>
      </c>
      <c r="F4015" t="inlineStr">
        <is>
          <t>B07H4316NL</t>
        </is>
      </c>
      <c r="G4015">
        <f>_xludf.IMAGE("https://www.soccerplususa.com/prodimages/7920-DEFAULT-l.jpg")</f>
        <v/>
      </c>
      <c r="H4015">
        <f>_xludf.IMAGE("https://m.media-amazon.com/images/I/61u5EgsO4+L._AC_UL320_.jpg")</f>
        <v/>
      </c>
      <c r="K4015" t="inlineStr">
        <is>
          <t>49.0</t>
        </is>
      </c>
      <c r="L4015" t="n">
        <v>66.18000000000001</v>
      </c>
      <c r="M4015" s="1" t="inlineStr">
        <is>
          <t>35.06%</t>
        </is>
      </c>
      <c r="N4015" s="3" t="n">
        <v>35.06</v>
      </c>
      <c r="O4015" t="n">
        <v>4.7</v>
      </c>
      <c r="P4015" t="n">
        <v>1515</v>
      </c>
      <c r="R4015" t="inlineStr">
        <is>
          <t>InStock</t>
        </is>
      </c>
      <c r="S4015" t="inlineStr">
        <is>
          <t>64.95</t>
        </is>
      </c>
      <c r="T4015" t="inlineStr">
        <is>
          <t>DW4785</t>
        </is>
      </c>
    </row>
    <row r="4016" hidden="1" ht="15.75" customHeight="1">
      <c r="A4016" s="2">
        <f>HYPERLINK("https://www.soccerplususa.com/under-armour/under-armour-coldgear-ls-mock-32981", "https://www.soccerplususa.com/under-armour/under-armour-coldgear-ls-mock-32981")</f>
        <v/>
      </c>
      <c r="B4016" t="inlineStr">
        <is>
          <t>undefined</t>
        </is>
      </c>
      <c r="C4016" t="inlineStr">
        <is>
          <t>Under Armour Coldgear LS Mock</t>
        </is>
      </c>
      <c r="D4016" t="inlineStr">
        <is>
          <t>Under Armour Fitted ColdGear Mock Men’s Long Sleeve Shirt (X-Large) Black</t>
        </is>
      </c>
      <c r="E4016" s="2">
        <f>HYPERLINK("https://www.amazon.com/Under-Armour-Fitted-ColdGear-X-Large/dp/B093QF7RCR/ref=sr_1_9?keywords=Under+Armour+Coldgear+LS+Mock&amp;qid=1695171172&amp;sr=8-9", "https://www.amazon.com/Under-Armour-Fitted-ColdGear-X-Large/dp/B093QF7RCR/ref=sr_1_9?keywords=Under+Armour+Coldgear+LS+Mock&amp;qid=1695171172&amp;sr=8-9")</f>
        <v/>
      </c>
      <c r="F4016" t="inlineStr">
        <is>
          <t>B093QF7RCR</t>
        </is>
      </c>
      <c r="G4016">
        <f>_xludf.IMAGE("https://www.soccerplususa.com/prodimages/467-DEFAULT-l.jpg")</f>
        <v/>
      </c>
      <c r="H4016">
        <f>_xludf.IMAGE("https://m.media-amazon.com/images/I/41qOh1oq6JL._AC_UL320_.jpg")</f>
        <v/>
      </c>
      <c r="K4016" t="inlineStr">
        <is>
          <t>34.95</t>
        </is>
      </c>
      <c r="L4016" t="n">
        <v>47.17</v>
      </c>
      <c r="M4016" s="1" t="inlineStr">
        <is>
          <t>34.96%</t>
        </is>
      </c>
      <c r="N4016" s="3" t="n">
        <v>34.96</v>
      </c>
      <c r="O4016" t="n">
        <v>4.8</v>
      </c>
      <c r="P4016" t="n">
        <v>6</v>
      </c>
      <c r="R4016" t="inlineStr">
        <is>
          <t>InStock</t>
        </is>
      </c>
      <c r="S4016" t="inlineStr">
        <is>
          <t>44.95</t>
        </is>
      </c>
      <c r="T4016" t="inlineStr">
        <is>
          <t>1000512-100</t>
        </is>
      </c>
    </row>
    <row r="4017" hidden="1" ht="15.75" customHeight="1">
      <c r="A4017" s="2">
        <f>HYPERLINK("https://www.soccerplususa.com/adidas/adidas-tiro-15-jersey-7888", "https://www.soccerplususa.com/adidas/adidas-tiro-15-jersey-7888")</f>
        <v/>
      </c>
      <c r="B4017" t="inlineStr">
        <is>
          <t>undefined</t>
        </is>
      </c>
      <c r="C4017" t="inlineStr">
        <is>
          <t>adidas Tiro 15 Jersey</t>
        </is>
      </c>
      <c r="D4017" t="inlineStr">
        <is>
          <t>adidas TIRO 15 Jersey [POWRED/White]</t>
        </is>
      </c>
      <c r="E4017" s="2">
        <f>HYPERLINK("https://www.amazon.com/Adidas-TIRO-Jersey-POWRED-WHITE/dp/B00QKQR43O/ref=sr_1_3?keywords=adidas+Tiro+15+Jersey&amp;qid=1695171213&amp;sr=8-3", "https://www.amazon.com/Adidas-TIRO-Jersey-POWRED-WHITE/dp/B00QKQR43O/ref=sr_1_3?keywords=adidas+Tiro+15+Jersey&amp;qid=1695171213&amp;sr=8-3")</f>
        <v/>
      </c>
      <c r="F4017" t="inlineStr">
        <is>
          <t>B00QKQR43O</t>
        </is>
      </c>
      <c r="G4017">
        <f>_xludf.IMAGE("https://www.soccerplususa.com/prodimages/5430-DEFAULT-l.jpg")</f>
        <v/>
      </c>
      <c r="H4017">
        <f>_xludf.IMAGE("https://m.media-amazon.com/images/I/81CyvNhhXYL._AC_UL320_.jpg")</f>
        <v/>
      </c>
      <c r="K4017" t="inlineStr">
        <is>
          <t>20.0</t>
        </is>
      </c>
      <c r="L4017" t="n">
        <v>26.99</v>
      </c>
      <c r="M4017" s="1" t="inlineStr">
        <is>
          <t>34.95%</t>
        </is>
      </c>
      <c r="N4017" s="3" t="n">
        <v>34.95</v>
      </c>
      <c r="O4017" t="n">
        <v>5</v>
      </c>
      <c r="P4017" t="n">
        <v>1</v>
      </c>
      <c r="R4017" t="inlineStr">
        <is>
          <t>InStock</t>
        </is>
      </c>
      <c r="S4017" t="inlineStr">
        <is>
          <t>39.95</t>
        </is>
      </c>
      <c r="T4017" t="inlineStr">
        <is>
          <t>S22363</t>
        </is>
      </c>
    </row>
    <row r="4018" hidden="1" ht="15.75" customHeight="1">
      <c r="A4018" s="2">
        <f>HYPERLINK("https://www.soccerplususa.com/adidas/adidas-tiro-15-jersey-7887", "https://www.soccerplususa.com/adidas/adidas-tiro-15-jersey-7887")</f>
        <v/>
      </c>
      <c r="B4018" t="inlineStr">
        <is>
          <t>undefined</t>
        </is>
      </c>
      <c r="C4018" t="inlineStr">
        <is>
          <t>adidas Tiro 15 Jersey</t>
        </is>
      </c>
      <c r="D4018" t="inlineStr">
        <is>
          <t>adidas TIRO 15 Jersey [POWRED/White]</t>
        </is>
      </c>
      <c r="E4018" s="2">
        <f>HYPERLINK("https://www.amazon.com/Adidas-TIRO-Jersey-POWRED-WHITE/dp/B00QKQR43O/ref=sr_1_3?keywords=adidas+Tiro+15+Jersey&amp;qid=1695171209&amp;sr=8-3", "https://www.amazon.com/Adidas-TIRO-Jersey-POWRED-WHITE/dp/B00QKQR43O/ref=sr_1_3?keywords=adidas+Tiro+15+Jersey&amp;qid=1695171209&amp;sr=8-3")</f>
        <v/>
      </c>
      <c r="F4018" t="inlineStr">
        <is>
          <t>B00QKQR43O</t>
        </is>
      </c>
      <c r="G4018">
        <f>_xludf.IMAGE("https://www.soccerplususa.com/prodimages/6309-DEFAULT-l.jpg")</f>
        <v/>
      </c>
      <c r="H4018">
        <f>_xludf.IMAGE("https://m.media-amazon.com/images/I/81CyvNhhXYL._AC_UL320_.jpg")</f>
        <v/>
      </c>
      <c r="K4018" t="inlineStr">
        <is>
          <t>20.0</t>
        </is>
      </c>
      <c r="L4018" t="n">
        <v>26.99</v>
      </c>
      <c r="M4018" s="1" t="inlineStr">
        <is>
          <t>34.95%</t>
        </is>
      </c>
      <c r="N4018" s="3" t="n">
        <v>34.95</v>
      </c>
      <c r="O4018" t="n">
        <v>5</v>
      </c>
      <c r="P4018" t="n">
        <v>1</v>
      </c>
      <c r="R4018" t="inlineStr">
        <is>
          <t>InStock</t>
        </is>
      </c>
      <c r="S4018" t="inlineStr">
        <is>
          <t>40.0</t>
        </is>
      </c>
      <c r="T4018" t="inlineStr">
        <is>
          <t>S22362</t>
        </is>
      </c>
    </row>
    <row r="4019" hidden="1" ht="15.75" customHeight="1">
      <c r="A4019" s="2">
        <f>HYPERLINK("https://www.soccerplususa.com/nike/nike-epic-training-jacket-24378", "https://www.soccerplususa.com/nike/nike-epic-training-jacket-24378")</f>
        <v/>
      </c>
      <c r="B4019" t="inlineStr">
        <is>
          <t>undefined</t>
        </is>
      </c>
      <c r="C4019" t="inlineStr">
        <is>
          <t>Nike Epic Training Jacket</t>
        </is>
      </c>
      <c r="D4019" t="inlineStr">
        <is>
          <t>Nike Women's Academy 19 Dri-Fit Training Jacket</t>
        </is>
      </c>
      <c r="E4019" s="2">
        <f>HYPERLINK("https://www.amazon.com/Nike-Womens-Academy-Dri-Fit-Training/dp/B07YL84JBQ/ref=sr_1_8?keywords=Nike+Epic+Training+Jacket&amp;qid=1695171174&amp;sr=8-8", "https://www.amazon.com/Nike-Womens-Academy-Dri-Fit-Training/dp/B07YL84JBQ/ref=sr_1_8?keywords=Nike+Epic+Training+Jacket&amp;qid=1695171174&amp;sr=8-8")</f>
        <v/>
      </c>
      <c r="F4019" t="inlineStr">
        <is>
          <t>B07YL84JBQ</t>
        </is>
      </c>
      <c r="G4019">
        <f>_xludf.IMAGE("https://www.soccerplususa.com/prodimages/6287-DEFAULT-l.jpg")</f>
        <v/>
      </c>
      <c r="H4019">
        <f>_xludf.IMAGE("https://m.media-amazon.com/images/I/41UBQSnTnJL._AC_UL320_.jpg")</f>
        <v/>
      </c>
      <c r="K4019" t="inlineStr">
        <is>
          <t>40.99</t>
        </is>
      </c>
      <c r="L4019" t="n">
        <v>55</v>
      </c>
      <c r="M4019" s="1" t="inlineStr">
        <is>
          <t>34.18%</t>
        </is>
      </c>
      <c r="N4019" s="3" t="n">
        <v>34.18</v>
      </c>
      <c r="O4019" t="n">
        <v>4.3</v>
      </c>
      <c r="P4019" t="n">
        <v>17</v>
      </c>
      <c r="R4019" t="inlineStr">
        <is>
          <t>InStock</t>
        </is>
      </c>
      <c r="S4019" t="inlineStr">
        <is>
          <t>54.95</t>
        </is>
      </c>
      <c r="T4019" t="inlineStr">
        <is>
          <t>835571-466</t>
        </is>
      </c>
    </row>
    <row r="4020" hidden="1" ht="15.75" customHeight="1">
      <c r="A4020" s="2">
        <f>HYPERLINK("https://www.soccerplususa.com/adidas/adidas-essentials-hoodie-41596", "https://www.soccerplususa.com/adidas/adidas-essentials-hoodie-41596")</f>
        <v/>
      </c>
      <c r="B4020" t="inlineStr">
        <is>
          <t>undefined</t>
        </is>
      </c>
      <c r="C4020" t="inlineStr">
        <is>
          <t>adidas Essentials Hoodie</t>
        </is>
      </c>
      <c r="D4020" t="inlineStr">
        <is>
          <t>adidas Originals Men's Trefoil Essentials Hoodie</t>
        </is>
      </c>
      <c r="E4020" s="2">
        <f>HYPERLINK("https://www.amazon.com/adidas-Originals-Trefoil-Essentials-Hoodie/dp/B08KYBF5DJ/ref=sr_1_3?keywords=adidas+Essentials+Hoodie&amp;qid=1695171148&amp;sr=8-3", "https://www.amazon.com/adidas-Originals-Trefoil-Essentials-Hoodie/dp/B08KYBF5DJ/ref=sr_1_3?keywords=adidas+Essentials+Hoodie&amp;qid=1695171148&amp;sr=8-3")</f>
        <v/>
      </c>
      <c r="F4020" t="inlineStr">
        <is>
          <t>B08KYBF5DJ</t>
        </is>
      </c>
      <c r="G4020">
        <f>_xludf.IMAGE("https://www.soccerplususa.com/prodimages//35143-BLACKWHITE-M.jpg")</f>
        <v/>
      </c>
      <c r="H4020">
        <f>_xludf.IMAGE("https://m.media-amazon.com/images/I/61Yk1fttxVL._AC_UL320_.jpg")</f>
        <v/>
      </c>
      <c r="K4020" t="inlineStr">
        <is>
          <t>44.99</t>
        </is>
      </c>
      <c r="L4020" t="n">
        <v>59.99</v>
      </c>
      <c r="M4020" s="1" t="inlineStr">
        <is>
          <t>33.34%</t>
        </is>
      </c>
      <c r="N4020" s="3" t="n">
        <v>33.34</v>
      </c>
      <c r="O4020" t="n">
        <v>4.7</v>
      </c>
      <c r="P4020" t="n">
        <v>1707</v>
      </c>
      <c r="R4020" t="inlineStr">
        <is>
          <t>InStock</t>
        </is>
      </c>
      <c r="S4020" t="inlineStr">
        <is>
          <t>59.95</t>
        </is>
      </c>
      <c r="T4020" t="inlineStr">
        <is>
          <t>GK9062</t>
        </is>
      </c>
    </row>
    <row r="4021" hidden="1" ht="15.75" customHeight="1">
      <c r="A4021" s="2">
        <f>HYPERLINK("https://www.soccerplususa.com/adidas/adidas-condivo-18-storm-jacket-4941", "https://www.soccerplususa.com/adidas/adidas-condivo-18-storm-jacket-4941")</f>
        <v/>
      </c>
      <c r="B4021" t="inlineStr">
        <is>
          <t>undefined</t>
        </is>
      </c>
      <c r="C4021" t="inlineStr">
        <is>
          <t>adidas Condivo 18 Storm Jacket</t>
        </is>
      </c>
      <c r="D4021" t="inlineStr">
        <is>
          <t>adidas Men's Soccer Condivo 18 Stadium Parka Jacket</t>
        </is>
      </c>
      <c r="E4021" s="2">
        <f>HYPERLINK("https://www.amazon.com/adidas-Soccer-Condivo-Stadium-XX-Large/dp/B079SS4XVV/ref=sr_1_3?keywords=adidas+Condivo+18+Storm+Jacket&amp;qid=1695171222&amp;sr=8-3", "https://www.amazon.com/adidas-Soccer-Condivo-Stadium-XX-Large/dp/B079SS4XVV/ref=sr_1_3?keywords=adidas+Condivo+18+Storm+Jacket&amp;qid=1695171222&amp;sr=8-3")</f>
        <v/>
      </c>
      <c r="F4021" t="inlineStr">
        <is>
          <t>B079SS4XVV</t>
        </is>
      </c>
      <c r="G4021">
        <f>_xludf.IMAGE("https://www.soccerplususa.com/prodimages/5712-DEFAULT-l.jpg")</f>
        <v/>
      </c>
      <c r="H4021">
        <f>_xludf.IMAGE("https://m.media-amazon.com/images/I/715HrrsVqqL._AC_UL320_.jpg")</f>
        <v/>
      </c>
      <c r="K4021" t="inlineStr">
        <is>
          <t>89.99</t>
        </is>
      </c>
      <c r="L4021" t="n">
        <v>119.99</v>
      </c>
      <c r="M4021" s="1" t="inlineStr">
        <is>
          <t>33.34%</t>
        </is>
      </c>
      <c r="N4021" s="3" t="n">
        <v>33.34</v>
      </c>
      <c r="O4021" t="n">
        <v>4.4</v>
      </c>
      <c r="P4021" t="n">
        <v>41</v>
      </c>
      <c r="R4021" t="inlineStr">
        <is>
          <t>InStock</t>
        </is>
      </c>
      <c r="S4021" t="inlineStr">
        <is>
          <t>119.95</t>
        </is>
      </c>
      <c r="T4021" t="inlineStr">
        <is>
          <t>BQ6548</t>
        </is>
      </c>
    </row>
    <row r="4022" hidden="1" ht="15.75" customHeight="1">
      <c r="A4022" s="2">
        <f>HYPERLINK("https://www.soccerplususa.com/adidas/adidas-regista-14-jersey-6672", "https://www.soccerplususa.com/adidas/adidas-regista-14-jersey-6672")</f>
        <v/>
      </c>
      <c r="B4022" t="inlineStr">
        <is>
          <t>undefined</t>
        </is>
      </c>
      <c r="C4022" t="inlineStr">
        <is>
          <t>adidas Regista 14 Jersey</t>
        </is>
      </c>
      <c r="D4022" t="inlineStr">
        <is>
          <t>adidas Womens Climacool Regista 14 Jersey</t>
        </is>
      </c>
      <c r="E4022" s="2">
        <f>HYPERLINK("https://www.amazon.com/Adidas-Regista-Womens-Soccer-Jersey/dp/B00H5UPO4K/ref=sr_1_2?keywords=adidas+Regista+14+Jersey&amp;qid=1695171217&amp;sr=8-2", "https://www.amazon.com/Adidas-Regista-Womens-Soccer-Jersey/dp/B00H5UPO4K/ref=sr_1_2?keywords=adidas+Regista+14+Jersey&amp;qid=1695171217&amp;sr=8-2")</f>
        <v/>
      </c>
      <c r="F4022" t="inlineStr">
        <is>
          <t>B00H5UPO4K</t>
        </is>
      </c>
      <c r="G4022">
        <f>_xludf.IMAGE("https://www.soccerplususa.com/prodimages/10435-DEFAULT-l.jpg")</f>
        <v/>
      </c>
      <c r="H4022">
        <f>_xludf.IMAGE("https://m.media-amazon.com/images/I/61GhHCEsAmL._AC_UL320_.jpg")</f>
        <v/>
      </c>
      <c r="K4022" t="inlineStr">
        <is>
          <t>22.5</t>
        </is>
      </c>
      <c r="L4022" t="n">
        <v>29.99</v>
      </c>
      <c r="M4022" s="1" t="inlineStr">
        <is>
          <t>33.29%</t>
        </is>
      </c>
      <c r="N4022" s="3" t="n">
        <v>33.29</v>
      </c>
      <c r="O4022" t="n">
        <v>4.1</v>
      </c>
      <c r="P4022" t="n">
        <v>10</v>
      </c>
      <c r="R4022" t="inlineStr">
        <is>
          <t>InStock</t>
        </is>
      </c>
      <c r="S4022" t="inlineStr">
        <is>
          <t>44.95</t>
        </is>
      </c>
      <c r="T4022" t="inlineStr">
        <is>
          <t>G70830</t>
        </is>
      </c>
    </row>
    <row r="4023" hidden="1" ht="15.75" customHeight="1">
      <c r="A4023" s="2">
        <f>HYPERLINK("https://www.soccerplususa.com/adidas/adidas-regista-14-jersey-6067", "https://www.soccerplususa.com/adidas/adidas-regista-14-jersey-6067")</f>
        <v/>
      </c>
      <c r="B4023" t="inlineStr">
        <is>
          <t>undefined</t>
        </is>
      </c>
      <c r="C4023" t="inlineStr">
        <is>
          <t>adidas Regista 14 Jersey</t>
        </is>
      </c>
      <c r="D4023" t="inlineStr">
        <is>
          <t>adidas Womens Climacool Regista 14 Jersey</t>
        </is>
      </c>
      <c r="E4023" s="2">
        <f>HYPERLINK("https://www.amazon.com/Adidas-Regista-Womens-Soccer-Jersey/dp/B00H5UPO4K/ref=sr_1_2?keywords=adidas+Regista+14+Jersey&amp;qid=1695171231&amp;sr=8-2", "https://www.amazon.com/Adidas-Regista-Womens-Soccer-Jersey/dp/B00H5UPO4K/ref=sr_1_2?keywords=adidas+Regista+14+Jersey&amp;qid=1695171231&amp;sr=8-2")</f>
        <v/>
      </c>
      <c r="F4023" t="inlineStr">
        <is>
          <t>B00H5UPO4K</t>
        </is>
      </c>
      <c r="G4023">
        <f>_xludf.IMAGE("https://www.soccerplususa.com/prodimages/10329-DEFAULT-l.jpg")</f>
        <v/>
      </c>
      <c r="H4023">
        <f>_xludf.IMAGE("https://m.media-amazon.com/images/I/61GhHCEsAmL._AC_UL320_.jpg")</f>
        <v/>
      </c>
      <c r="K4023" t="inlineStr">
        <is>
          <t>22.5</t>
        </is>
      </c>
      <c r="L4023" t="n">
        <v>29.99</v>
      </c>
      <c r="M4023" s="1" t="inlineStr">
        <is>
          <t>33.29%</t>
        </is>
      </c>
      <c r="N4023" s="3" t="n">
        <v>33.29</v>
      </c>
      <c r="O4023" t="n">
        <v>4.1</v>
      </c>
      <c r="P4023" t="n">
        <v>10</v>
      </c>
      <c r="R4023" t="inlineStr">
        <is>
          <t>InStock</t>
        </is>
      </c>
      <c r="S4023" t="inlineStr">
        <is>
          <t>44.95</t>
        </is>
      </c>
      <c r="T4023" t="inlineStr">
        <is>
          <t>F50011</t>
        </is>
      </c>
    </row>
    <row r="4024" hidden="1" ht="15.75" customHeight="1">
      <c r="A4024" s="2">
        <f>HYPERLINK("https://www.soccerplususa.com/adidas/adidas-tabela-14-jersey-youth-6086", "https://www.soccerplususa.com/adidas/adidas-tabela-14-jersey-youth-6086")</f>
        <v/>
      </c>
      <c r="B4024" t="inlineStr">
        <is>
          <t>undefined</t>
        </is>
      </c>
      <c r="C4024" t="inlineStr">
        <is>
          <t>adidas Tabela 14 Jersey Youth</t>
        </is>
      </c>
      <c r="D4024" t="inlineStr">
        <is>
          <t>adidas Youth Tabela 18 Jersey</t>
        </is>
      </c>
      <c r="E4024" s="2">
        <f>HYPERLINK("https://www.amazon.com/adidas-TABELA-Jersey-Y%E2%9D%97%EF%B8%8FShips-Directly/dp/B078LCB4LK/ref=sr_1_9?keywords=adidas+Tabela+14+Jersey+Youth&amp;qid=1695171222&amp;sr=8-9", "https://www.amazon.com/adidas-TABELA-Jersey-Y%E2%9D%97%EF%B8%8FShips-Directly/dp/B078LCB4LK/ref=sr_1_9?keywords=adidas+Tabela+14+Jersey+Youth&amp;qid=1695171222&amp;sr=8-9")</f>
        <v/>
      </c>
      <c r="F4024" t="inlineStr">
        <is>
          <t>B078LCB4LK</t>
        </is>
      </c>
      <c r="G4024">
        <f>_xludf.IMAGE("https://www.soccerplususa.com/prodimages/2640-DEFAULT-l.jpg")</f>
        <v/>
      </c>
      <c r="H4024">
        <f>_xludf.IMAGE("https://m.media-amazon.com/images/I/61G-4wd3sCL._AC_UL320_.jpg")</f>
        <v/>
      </c>
      <c r="K4024" t="inlineStr">
        <is>
          <t>15.0</t>
        </is>
      </c>
      <c r="L4024" t="n">
        <v>19.99</v>
      </c>
      <c r="M4024" s="1" t="inlineStr">
        <is>
          <t>33.27%</t>
        </is>
      </c>
      <c r="N4024" s="3" t="n">
        <v>33.27</v>
      </c>
      <c r="O4024" t="n">
        <v>1.8</v>
      </c>
      <c r="P4024" t="n">
        <v>2</v>
      </c>
      <c r="R4024" t="inlineStr">
        <is>
          <t>InStock</t>
        </is>
      </c>
      <c r="S4024" t="inlineStr">
        <is>
          <t>29.95</t>
        </is>
      </c>
      <c r="T4024" t="inlineStr">
        <is>
          <t>F50455</t>
        </is>
      </c>
    </row>
    <row r="4025" hidden="1" ht="15.75" customHeight="1">
      <c r="A4025" s="2">
        <f>HYPERLINK("https://www.soccerplususa.com/adidas/adidas-tiro-19-training-jacket-33866", "https://www.soccerplususa.com/adidas/adidas-tiro-19-training-jacket-33866")</f>
        <v/>
      </c>
      <c r="B4025" t="inlineStr">
        <is>
          <t>undefined</t>
        </is>
      </c>
      <c r="C4025" t="inlineStr">
        <is>
          <t>adidas Tiro 19 Training Jacket</t>
        </is>
      </c>
      <c r="D4025" t="inlineStr">
        <is>
          <t>adidas Mens Tiro 17 Training Jacket</t>
        </is>
      </c>
      <c r="E4025" s="2">
        <f>HYPERLINK("https://www.amazon.com/Adidas-Soccer-Training-Blue-Dark-Grey-White/dp/B01N75YCQG/ref=sr_1_10?keywords=adidas+Tiro+19+Training+Jacket&amp;qid=1695171181&amp;sr=8-10", "https://www.amazon.com/Adidas-Soccer-Training-Blue-Dark-Grey-White/dp/B01N75YCQG/ref=sr_1_10?keywords=adidas+Tiro+19+Training+Jacket&amp;qid=1695171181&amp;sr=8-10")</f>
        <v/>
      </c>
      <c r="F4025" t="inlineStr">
        <is>
          <t>B01N75YCQG</t>
        </is>
      </c>
      <c r="G4025">
        <f>_xludf.IMAGE("https://www.soccerplususa.com/prodimages/8017-DEFAULT-l.jpg")</f>
        <v/>
      </c>
      <c r="H4025">
        <f>_xludf.IMAGE("https://m.media-amazon.com/images/I/81y7zeoBW2L._AC_UL320_.jpg")</f>
        <v/>
      </c>
      <c r="K4025" t="inlineStr">
        <is>
          <t>49.0</t>
        </is>
      </c>
      <c r="L4025" t="n">
        <v>64.98999999999999</v>
      </c>
      <c r="M4025" s="1" t="inlineStr">
        <is>
          <t>32.63%</t>
        </is>
      </c>
      <c r="N4025" s="3" t="n">
        <v>32.63</v>
      </c>
      <c r="O4025" t="n">
        <v>4.2</v>
      </c>
      <c r="P4025" t="n">
        <v>18</v>
      </c>
      <c r="R4025" t="inlineStr">
        <is>
          <t>InStock</t>
        </is>
      </c>
      <c r="S4025" t="inlineStr">
        <is>
          <t>64.95</t>
        </is>
      </c>
      <c r="T4025" t="inlineStr">
        <is>
          <t>D95953</t>
        </is>
      </c>
    </row>
    <row r="4026" hidden="1" ht="15.75" customHeight="1">
      <c r="A4026" s="2">
        <f>HYPERLINK("https://www.soccerplususa.com/adidas/adidas-tiro-19-training-jacket-33996", "https://www.soccerplususa.com/adidas/adidas-tiro-19-training-jacket-33996")</f>
        <v/>
      </c>
      <c r="B4026" t="inlineStr">
        <is>
          <t>undefined</t>
        </is>
      </c>
      <c r="C4026" t="inlineStr">
        <is>
          <t>adidas Tiro 19 Training Jacket</t>
        </is>
      </c>
      <c r="D4026" t="inlineStr">
        <is>
          <t>adidas Mens Tiro 17 Training Jacket</t>
        </is>
      </c>
      <c r="E4026" s="2">
        <f>HYPERLINK("https://www.amazon.com/Adidas-Soccer-Training-Blue-Dark-Grey-White/dp/B01N75YCQG/ref=sr_1_10?keywords=adidas+Tiro+19+Training+Jacket&amp;qid=1695171209&amp;sr=8-10", "https://www.amazon.com/Adidas-Soccer-Training-Blue-Dark-Grey-White/dp/B01N75YCQG/ref=sr_1_10?keywords=adidas+Tiro+19+Training+Jacket&amp;qid=1695171209&amp;sr=8-10")</f>
        <v/>
      </c>
      <c r="F4026" t="inlineStr">
        <is>
          <t>B01N75YCQG</t>
        </is>
      </c>
      <c r="G4026">
        <f>_xludf.IMAGE("https://www.soccerplususa.com/prodimages/8018-DEFAULT-l.jpg")</f>
        <v/>
      </c>
      <c r="H4026">
        <f>_xludf.IMAGE("https://m.media-amazon.com/images/I/81y7zeoBW2L._AC_UL320_.jpg")</f>
        <v/>
      </c>
      <c r="K4026" t="inlineStr">
        <is>
          <t>49.0</t>
        </is>
      </c>
      <c r="L4026" t="n">
        <v>64.98999999999999</v>
      </c>
      <c r="M4026" s="1" t="inlineStr">
        <is>
          <t>32.63%</t>
        </is>
      </c>
      <c r="N4026" s="3" t="n">
        <v>32.63</v>
      </c>
      <c r="O4026" t="n">
        <v>4.2</v>
      </c>
      <c r="P4026" t="n">
        <v>18</v>
      </c>
      <c r="R4026" t="inlineStr">
        <is>
          <t>InStock</t>
        </is>
      </c>
      <c r="S4026" t="inlineStr">
        <is>
          <t>64.95</t>
        </is>
      </c>
      <c r="T4026" t="inlineStr">
        <is>
          <t>DT5272</t>
        </is>
      </c>
    </row>
    <row r="4027" hidden="1" ht="15.75" customHeight="1">
      <c r="A4027" s="2">
        <f>HYPERLINK("https://www.soccerplususa.com/adidas/adidas-tiro-19-training-jacket-33996", "https://www.soccerplususa.com/adidas/adidas-tiro-19-training-jacket-33996")</f>
        <v/>
      </c>
      <c r="B4027" t="inlineStr">
        <is>
          <t>undefined</t>
        </is>
      </c>
      <c r="C4027" t="inlineStr">
        <is>
          <t>adidas Tiro 19 Training Jacket</t>
        </is>
      </c>
      <c r="D4027" t="inlineStr">
        <is>
          <t>adidas Men's Soccer Tiro 15 Training Jacket</t>
        </is>
      </c>
      <c r="E4027" s="2">
        <f>HYPERLINK("https://www.amazon.com/adidas-Soccer-Training-Jacket-Black/dp/B00QKRKDC2/ref=sr_1_9?keywords=adidas+Tiro+19+Training+Jacket&amp;qid=1695171209&amp;sr=8-9", "https://www.amazon.com/adidas-Soccer-Training-Jacket-Black/dp/B00QKRKDC2/ref=sr_1_9?keywords=adidas+Tiro+19+Training+Jacket&amp;qid=1695171209&amp;sr=8-9")</f>
        <v/>
      </c>
      <c r="F4027" t="inlineStr">
        <is>
          <t>B00QKRKDC2</t>
        </is>
      </c>
      <c r="G4027">
        <f>_xludf.IMAGE("https://www.soccerplususa.com/prodimages/8018-DEFAULT-l.jpg")</f>
        <v/>
      </c>
      <c r="H4027">
        <f>_xludf.IMAGE("https://m.media-amazon.com/images/I/31aSgvALGML._AC_UL320_.jpg")</f>
        <v/>
      </c>
      <c r="K4027" t="inlineStr">
        <is>
          <t>49.0</t>
        </is>
      </c>
      <c r="L4027" t="n">
        <v>64.98999999999999</v>
      </c>
      <c r="M4027" s="1" t="inlineStr">
        <is>
          <t>32.63%</t>
        </is>
      </c>
      <c r="N4027" s="3" t="n">
        <v>32.63</v>
      </c>
      <c r="O4027" t="n">
        <v>4.1</v>
      </c>
      <c r="P4027" t="n">
        <v>40</v>
      </c>
      <c r="R4027" t="inlineStr">
        <is>
          <t>InStock</t>
        </is>
      </c>
      <c r="S4027" t="inlineStr">
        <is>
          <t>64.95</t>
        </is>
      </c>
      <c r="T4027" t="inlineStr">
        <is>
          <t>DT5272</t>
        </is>
      </c>
    </row>
    <row r="4028" hidden="1" ht="15.75" customHeight="1">
      <c r="A4028" s="2">
        <f>HYPERLINK("https://www.soccerplususa.com/adidas/adidas-tiro-19-training-jacket-33866", "https://www.soccerplususa.com/adidas/adidas-tiro-19-training-jacket-33866")</f>
        <v/>
      </c>
      <c r="B4028" t="inlineStr">
        <is>
          <t>undefined</t>
        </is>
      </c>
      <c r="C4028" t="inlineStr">
        <is>
          <t>adidas Tiro 19 Training Jacket</t>
        </is>
      </c>
      <c r="D4028" t="inlineStr">
        <is>
          <t>adidas Men's Soccer Tiro 15 Training Jacket</t>
        </is>
      </c>
      <c r="E4028" s="2">
        <f>HYPERLINK("https://www.amazon.com/adidas-Soccer-Training-Jacket-Black/dp/B00QKRKDC2/ref=sr_1_9?keywords=adidas+Tiro+19+Training+Jacket&amp;qid=1695171181&amp;sr=8-9", "https://www.amazon.com/adidas-Soccer-Training-Jacket-Black/dp/B00QKRKDC2/ref=sr_1_9?keywords=adidas+Tiro+19+Training+Jacket&amp;qid=1695171181&amp;sr=8-9")</f>
        <v/>
      </c>
      <c r="F4028" t="inlineStr">
        <is>
          <t>B00QKRKDC2</t>
        </is>
      </c>
      <c r="G4028">
        <f>_xludf.IMAGE("https://www.soccerplususa.com/prodimages/8017-DEFAULT-l.jpg")</f>
        <v/>
      </c>
      <c r="H4028">
        <f>_xludf.IMAGE("https://m.media-amazon.com/images/I/31aSgvALGML._AC_UL320_.jpg")</f>
        <v/>
      </c>
      <c r="K4028" t="inlineStr">
        <is>
          <t>49.0</t>
        </is>
      </c>
      <c r="L4028" t="n">
        <v>64.98999999999999</v>
      </c>
      <c r="M4028" s="1" t="inlineStr">
        <is>
          <t>32.63%</t>
        </is>
      </c>
      <c r="N4028" s="3" t="n">
        <v>32.63</v>
      </c>
      <c r="O4028" t="n">
        <v>4.1</v>
      </c>
      <c r="P4028" t="n">
        <v>40</v>
      </c>
      <c r="R4028" t="inlineStr">
        <is>
          <t>InStock</t>
        </is>
      </c>
      <c r="S4028" t="inlineStr">
        <is>
          <t>64.95</t>
        </is>
      </c>
      <c r="T4028" t="inlineStr">
        <is>
          <t>D95953</t>
        </is>
      </c>
    </row>
    <row r="4029" hidden="1" ht="15.75" customHeight="1">
      <c r="A4029" s="2">
        <f>HYPERLINK("https://www.soccerplususa.com/puma/puma-liga-training-jacket-35519", "https://www.soccerplususa.com/puma/puma-liga-training-jacket-35519")</f>
        <v/>
      </c>
      <c r="B4029" t="inlineStr">
        <is>
          <t>undefined</t>
        </is>
      </c>
      <c r="C4029" t="inlineStr">
        <is>
          <t>Puma Liga Training Jacket</t>
        </is>
      </c>
      <c r="D4029" t="inlineStr">
        <is>
          <t>PUMA Men's Liga Training Fleece Jacket</t>
        </is>
      </c>
      <c r="E4029" s="2">
        <f>HYPERLINK("https://www.amazon.com/PUMA-Training-Fleece-Black-White/dp/B07DXZ6HN5/ref=sr_1_3?keywords=Puma+Liga+Training+Jacket&amp;qid=1695171164&amp;sr=8-3", "https://www.amazon.com/PUMA-Training-Fleece-Black-White/dp/B07DXZ6HN5/ref=sr_1_3?keywords=Puma+Liga+Training+Jacket&amp;qid=1695171164&amp;sr=8-3")</f>
        <v/>
      </c>
      <c r="F4029" t="inlineStr">
        <is>
          <t>B07DXZ6HN5</t>
        </is>
      </c>
      <c r="G4029">
        <f>_xludf.IMAGE("https://www.soccerplususa.com/prodimages/32207-DEFAULT-l.jpg")</f>
        <v/>
      </c>
      <c r="H4029">
        <f>_xludf.IMAGE("https://m.media-amazon.com/images/I/811bSQrl3iL._AC_UL320_.jpg")</f>
        <v/>
      </c>
      <c r="K4029" t="inlineStr">
        <is>
          <t>45.0</t>
        </is>
      </c>
      <c r="L4029" t="n">
        <v>59.66</v>
      </c>
      <c r="M4029" s="1" t="inlineStr">
        <is>
          <t>32.58%</t>
        </is>
      </c>
      <c r="N4029" s="3" t="n">
        <v>32.58</v>
      </c>
      <c r="O4029" t="n">
        <v>4.6</v>
      </c>
      <c r="P4029" t="n">
        <v>16</v>
      </c>
      <c r="R4029" t="inlineStr">
        <is>
          <t>InStock</t>
        </is>
      </c>
      <c r="S4029" t="inlineStr">
        <is>
          <t>59.95</t>
        </is>
      </c>
      <c r="T4029" t="inlineStr">
        <is>
          <t>655687-02</t>
        </is>
      </c>
    </row>
    <row r="4030" hidden="1" ht="15.75" customHeight="1">
      <c r="A4030" s="2">
        <f>HYPERLINK("https://www.soccerplususa.com/adidas/adidas-regista-16-jersey-4149", "https://www.soccerplususa.com/adidas/adidas-regista-16-jersey-4149")</f>
        <v/>
      </c>
      <c r="B4030" t="inlineStr">
        <is>
          <t>undefined</t>
        </is>
      </c>
      <c r="C4030" t="inlineStr">
        <is>
          <t>adidas Regista 16 Jersey</t>
        </is>
      </c>
      <c r="D4030" t="inlineStr">
        <is>
          <t>adidas Regista 16 Youth Soccer Jersey L Power Red/White</t>
        </is>
      </c>
      <c r="E4030" s="2">
        <f>HYPERLINK("https://www.amazon.com/Adidas-Regista-Soccer-Jersey-Red-White/dp/B018668S5I/ref=sr_1_3?keywords=adidas+Regista+16+Jersey&amp;qid=1695171233&amp;sr=8-3", "https://www.amazon.com/Adidas-Regista-Soccer-Jersey-Red-White/dp/B018668S5I/ref=sr_1_3?keywords=adidas+Regista+16+Jersey&amp;qid=1695171233&amp;sr=8-3")</f>
        <v/>
      </c>
      <c r="F4030" t="inlineStr">
        <is>
          <t>B018668S5I</t>
        </is>
      </c>
      <c r="G4030">
        <f>_xludf.IMAGE("https://www.soccerplususa.com/prodimages/32795-DEFAULT-l.jpg")</f>
        <v/>
      </c>
      <c r="H4030">
        <f>_xludf.IMAGE("https://m.media-amazon.com/images/I/514dyYJa+IL._AC_UL320_.jpg")</f>
        <v/>
      </c>
      <c r="K4030" t="inlineStr">
        <is>
          <t>17.0</t>
        </is>
      </c>
      <c r="L4030" t="n">
        <v>22.48</v>
      </c>
      <c r="M4030" s="1" t="inlineStr">
        <is>
          <t>32.24%</t>
        </is>
      </c>
      <c r="N4030" s="3" t="n">
        <v>32.24</v>
      </c>
      <c r="O4030" t="n">
        <v>5</v>
      </c>
      <c r="P4030" t="n">
        <v>2</v>
      </c>
      <c r="R4030" t="inlineStr">
        <is>
          <t>InStock</t>
        </is>
      </c>
      <c r="S4030" t="inlineStr">
        <is>
          <t>34.95</t>
        </is>
      </c>
      <c r="T4030" t="inlineStr">
        <is>
          <t>AP0535</t>
        </is>
      </c>
    </row>
    <row r="4031" hidden="1" ht="15.75" customHeight="1">
      <c r="A4031" s="2">
        <f>HYPERLINK("https://www.soccerplususa.com/nike/nike-tiempo-premier-jersey-25073", "https://www.soccerplususa.com/nike/nike-tiempo-premier-jersey-25073")</f>
        <v/>
      </c>
      <c r="B4031" t="inlineStr">
        <is>
          <t>undefined</t>
        </is>
      </c>
      <c r="C4031" t="inlineStr">
        <is>
          <t>Nike Tiempo Premier Jersey</t>
        </is>
      </c>
      <c r="D4031" t="inlineStr">
        <is>
          <t>Nike Womens Tiempo Premier Soccer Jersey</t>
        </is>
      </c>
      <c r="E4031" s="2">
        <f>HYPERLINK("https://www.amazon.com/Nike-Womens-Dri-Fit-Premier-Regular/dp/B0C7ZKF5DC/ref=sr_1_2?keywords=Nike+Tiempo+Premier+Jersey&amp;qid=1695171172&amp;sr=8-2", "https://www.amazon.com/Nike-Womens-Dri-Fit-Premier-Regular/dp/B0C7ZKF5DC/ref=sr_1_2?keywords=Nike+Tiempo+Premier+Jersey&amp;qid=1695171172&amp;sr=8-2")</f>
        <v/>
      </c>
      <c r="F4031" t="inlineStr">
        <is>
          <t>B0C7ZKF5DC</t>
        </is>
      </c>
      <c r="G4031">
        <f>_xludf.IMAGE("https://www.soccerplususa.com/prodimages/31750-DEFAULT-l.jpg")</f>
        <v/>
      </c>
      <c r="H4031">
        <f>_xludf.IMAGE("https://m.media-amazon.com/images/I/41Kv4CYLgTL._AC_UL320_.jpg")</f>
        <v/>
      </c>
      <c r="K4031" t="inlineStr">
        <is>
          <t>18.49</t>
        </is>
      </c>
      <c r="L4031" t="n">
        <v>24.45</v>
      </c>
      <c r="M4031" s="1" t="inlineStr">
        <is>
          <t>32.23%</t>
        </is>
      </c>
      <c r="N4031" s="3" t="n">
        <v>32.23</v>
      </c>
      <c r="O4031" t="n">
        <v>3.8</v>
      </c>
      <c r="P4031" t="n">
        <v>7</v>
      </c>
      <c r="R4031" t="inlineStr">
        <is>
          <t>InStock</t>
        </is>
      </c>
      <c r="S4031" t="inlineStr">
        <is>
          <t>23.95</t>
        </is>
      </c>
      <c r="T4031" t="inlineStr">
        <is>
          <t>894293-101</t>
        </is>
      </c>
    </row>
    <row r="4032" hidden="1" ht="15.75" customHeight="1">
      <c r="A4032" s="2">
        <f>HYPERLINK("https://www.soccerplususa.com/adidas/adidas-tiro-17-training-jacket-womens-4952", "https://www.soccerplususa.com/adidas/adidas-tiro-17-training-jacket-womens-4952")</f>
        <v/>
      </c>
      <c r="B4032" t="inlineStr">
        <is>
          <t>undefined</t>
        </is>
      </c>
      <c r="C4032" t="inlineStr">
        <is>
          <t>adidas Tiro 17 Training Jacket Women's</t>
        </is>
      </c>
      <c r="D4032" t="inlineStr">
        <is>
          <t>adidas Women's Tiro 17 Training Pants, Black, Large</t>
        </is>
      </c>
      <c r="E4032" s="2">
        <f>HYPERLINK("https://www.amazon.com/adidas-Womens-Soccer-Training-Pants/dp/B01N0QHAH5/ref=sr_1_5?keywords=adidas+Tiro+17+Training+Jacket+Women%27s&amp;qid=1695171231&amp;sr=8-5", "https://www.amazon.com/adidas-Womens-Soccer-Training-Pants/dp/B01N0QHAH5/ref=sr_1_5?keywords=adidas+Tiro+17+Training+Jacket+Women%27s&amp;qid=1695171231&amp;sr=8-5")</f>
        <v/>
      </c>
      <c r="F4032" t="inlineStr">
        <is>
          <t>B01N0QHAH5</t>
        </is>
      </c>
      <c r="G4032">
        <f>_xludf.IMAGE("https://www.soccerplususa.com/prodimages/4532-DEFAULT-l.jpg")</f>
        <v/>
      </c>
      <c r="H4032">
        <f>_xludf.IMAGE("https://m.media-amazon.com/images/I/618pMdyKM9L._AC_UL320_.jpg")</f>
        <v/>
      </c>
      <c r="K4032" t="inlineStr">
        <is>
          <t>34.0</t>
        </is>
      </c>
      <c r="L4032" t="n">
        <v>44.95</v>
      </c>
      <c r="M4032" s="1" t="inlineStr">
        <is>
          <t>32.21%</t>
        </is>
      </c>
      <c r="N4032" s="3" t="n">
        <v>32.21</v>
      </c>
      <c r="O4032" t="n">
        <v>4.6</v>
      </c>
      <c r="P4032" t="n">
        <v>3544</v>
      </c>
      <c r="R4032" t="inlineStr">
        <is>
          <t>InStock</t>
        </is>
      </c>
      <c r="S4032" t="inlineStr">
        <is>
          <t>64.95</t>
        </is>
      </c>
      <c r="T4032" t="inlineStr">
        <is>
          <t>BQ8243</t>
        </is>
      </c>
    </row>
    <row r="4033" hidden="1" ht="15.75" customHeight="1">
      <c r="A4033" s="2">
        <f>HYPERLINK("https://www.soccerplususa.com/adidas/adidas-tiro-17-training-jacket-womens-4954", "https://www.soccerplususa.com/adidas/adidas-tiro-17-training-jacket-womens-4954")</f>
        <v/>
      </c>
      <c r="B4033" t="inlineStr">
        <is>
          <t>undefined</t>
        </is>
      </c>
      <c r="C4033" t="inlineStr">
        <is>
          <t>adidas Tiro 17 Training Jacket Women's</t>
        </is>
      </c>
      <c r="D4033" t="inlineStr">
        <is>
          <t>adidas Women's Tiro 17 Training Pants, Black, Large</t>
        </is>
      </c>
      <c r="E4033" s="2">
        <f>HYPERLINK("https://www.amazon.com/adidas-Womens-Soccer-Training-Pants/dp/B01N0QHAH5/ref=sr_1_5?keywords=adidas+Tiro+17+Training+Jacket+Womens&amp;qid=1695171243&amp;sr=8-5", "https://www.amazon.com/adidas-Womens-Soccer-Training-Pants/dp/B01N0QHAH5/ref=sr_1_5?keywords=adidas+Tiro+17+Training+Jacket+Womens&amp;qid=1695171243&amp;sr=8-5")</f>
        <v/>
      </c>
      <c r="F4033" t="inlineStr">
        <is>
          <t>B01N0QHAH5</t>
        </is>
      </c>
      <c r="G4033">
        <f>_xludf.IMAGE("https://www.soccerplususa.com/prodimages/4534-DEFAULT-l.jpg")</f>
        <v/>
      </c>
      <c r="H4033">
        <f>_xludf.IMAGE("https://m.media-amazon.com/images/I/618pMdyKM9L._AC_UL320_.jpg")</f>
        <v/>
      </c>
      <c r="K4033" t="inlineStr">
        <is>
          <t>34.0</t>
        </is>
      </c>
      <c r="L4033" t="n">
        <v>44.95</v>
      </c>
      <c r="M4033" s="1" t="inlineStr">
        <is>
          <t>32.21%</t>
        </is>
      </c>
      <c r="N4033" s="3" t="n">
        <v>32.21</v>
      </c>
      <c r="O4033" t="n">
        <v>4.6</v>
      </c>
      <c r="P4033" t="n">
        <v>3544</v>
      </c>
      <c r="R4033" t="inlineStr">
        <is>
          <t>InStock</t>
        </is>
      </c>
      <c r="S4033" t="inlineStr">
        <is>
          <t>64.95</t>
        </is>
      </c>
      <c r="T4033" t="inlineStr">
        <is>
          <t>BQ8248</t>
        </is>
      </c>
    </row>
    <row r="4034" hidden="1" ht="15.75" customHeight="1">
      <c r="A4034" s="2">
        <f>HYPERLINK("https://www.soccerplususa.com/adidas/adidas-campeon-15-jersey-7827", "https://www.soccerplususa.com/adidas/adidas-campeon-15-jersey-7827")</f>
        <v/>
      </c>
      <c r="B4034" t="inlineStr">
        <is>
          <t>undefined</t>
        </is>
      </c>
      <c r="C4034" t="inlineStr">
        <is>
          <t>adidas Campeon 15 Jersey</t>
        </is>
      </c>
      <c r="D4034" t="inlineStr">
        <is>
          <t>adidas Campeon 21 Jersey - Kid's Soccer</t>
        </is>
      </c>
      <c r="E4034" s="2">
        <f>HYPERLINK("https://www.amazon.com/adidas-Campeon-21-Jersey-Soccer/dp/B08V5M1PX7/ref=sr_1_8?keywords=adidas+Campeon+15+Jersey&amp;qid=1695171209&amp;sr=8-8", "https://www.amazon.com/adidas-Campeon-21-Jersey-Soccer/dp/B08V5M1PX7/ref=sr_1_8?keywords=adidas+Campeon+15+Jersey&amp;qid=1695171209&amp;sr=8-8")</f>
        <v/>
      </c>
      <c r="F4034" t="inlineStr">
        <is>
          <t>B08V5M1PX7</t>
        </is>
      </c>
      <c r="G4034">
        <f>_xludf.IMAGE("https://www.soccerplususa.com/prodimages/4487-DEFAULT-l.jpg")</f>
        <v/>
      </c>
      <c r="H4034">
        <f>_xludf.IMAGE("https://m.media-amazon.com/images/I/51pEPJW9uxL._AC_UL320_.jpg")</f>
        <v/>
      </c>
      <c r="K4034" t="inlineStr">
        <is>
          <t>30.0</t>
        </is>
      </c>
      <c r="L4034" t="n">
        <v>39.6</v>
      </c>
      <c r="M4034" s="1" t="inlineStr">
        <is>
          <t>32.00%</t>
        </is>
      </c>
      <c r="N4034" s="3" t="n">
        <v>32</v>
      </c>
      <c r="O4034" t="n">
        <v>5</v>
      </c>
      <c r="P4034" t="n">
        <v>7</v>
      </c>
      <c r="R4034" t="inlineStr">
        <is>
          <t>InStock</t>
        </is>
      </c>
      <c r="S4034" t="inlineStr">
        <is>
          <t>59.95</t>
        </is>
      </c>
      <c r="T4034" t="inlineStr">
        <is>
          <t>S15899</t>
        </is>
      </c>
    </row>
    <row r="4035" hidden="1" ht="15.75" customHeight="1">
      <c r="A4035" s="2">
        <f>HYPERLINK("https://www.soccerplususa.com/adidas/adidas-tabela-18-jersey-youth-5110", "https://www.soccerplususa.com/adidas/adidas-tabela-18-jersey-youth-5110")</f>
        <v/>
      </c>
      <c r="B4035" t="inlineStr">
        <is>
          <t>undefined</t>
        </is>
      </c>
      <c r="C4035" t="inlineStr">
        <is>
          <t>adidas Tabela 18 Jersey Youth</t>
        </is>
      </c>
      <c r="D4035" t="inlineStr">
        <is>
          <t>adidas Youth Tabela 18 Jersey Yellow</t>
        </is>
      </c>
      <c r="E4035" s="2">
        <f>HYPERLINK("https://www.amazon.com/adidas-Youth-Tabela-Jersey-Yellow/dp/B07BHKPLG2/ref=sr_1_5?keywords=adidas+Tabela+18+Jersey+Youth&amp;qid=1695171223&amp;sr=8-5", "https://www.amazon.com/adidas-Youth-Tabela-Jersey-Yellow/dp/B07BHKPLG2/ref=sr_1_5?keywords=adidas+Tabela+18+Jersey+Youth&amp;qid=1695171223&amp;sr=8-5")</f>
        <v/>
      </c>
      <c r="F4035" t="inlineStr">
        <is>
          <t>B07BHKPLG2</t>
        </is>
      </c>
      <c r="G4035">
        <f>_xludf.IMAGE("https://www.soccerplususa.com/prodimages//31722-GRAY-M.jpg")</f>
        <v/>
      </c>
      <c r="H4035">
        <f>_xludf.IMAGE("https://m.media-amazon.com/images/I/51tN6c4gMmL._AC_UL320_.jpg")</f>
        <v/>
      </c>
      <c r="K4035" t="inlineStr">
        <is>
          <t>18.99</t>
        </is>
      </c>
      <c r="L4035" t="n">
        <v>25</v>
      </c>
      <c r="M4035" s="1" t="inlineStr">
        <is>
          <t>31.65%</t>
        </is>
      </c>
      <c r="N4035" s="3" t="n">
        <v>31.65</v>
      </c>
      <c r="O4035" t="n">
        <v>3.4</v>
      </c>
      <c r="P4035" t="n">
        <v>2</v>
      </c>
      <c r="R4035" t="inlineStr">
        <is>
          <t>InStock</t>
        </is>
      </c>
      <c r="S4035" t="inlineStr">
        <is>
          <t>24.95</t>
        </is>
      </c>
      <c r="T4035" t="inlineStr">
        <is>
          <t>CE8920</t>
        </is>
      </c>
    </row>
    <row r="4036" hidden="1" ht="15.75" customHeight="1">
      <c r="A4036" s="2">
        <f>HYPERLINK("https://www.soccerplususa.com/adidas/adidas-tabela-18-jersey-youth-5109", "https://www.soccerplususa.com/adidas/adidas-tabela-18-jersey-youth-5109")</f>
        <v/>
      </c>
      <c r="B4036" t="inlineStr">
        <is>
          <t>undefined</t>
        </is>
      </c>
      <c r="C4036" t="inlineStr">
        <is>
          <t>adidas Tabela 18 Jersey Youth</t>
        </is>
      </c>
      <c r="D4036" t="inlineStr">
        <is>
          <t>adidas Youth Tabela 18 Jersey Yellow</t>
        </is>
      </c>
      <c r="E4036" s="2">
        <f>HYPERLINK("https://www.amazon.com/adidas-Youth-Tabela-Jersey-Yellow/dp/B07BHKPLG2/ref=sr_1_5?keywords=adidas+Tabela+18+Jersey+Youth&amp;qid=1695171237&amp;sr=8-5", "https://www.amazon.com/adidas-Youth-Tabela-Jersey-Yellow/dp/B07BHKPLG2/ref=sr_1_5?keywords=adidas+Tabela+18+Jersey+Youth&amp;qid=1695171237&amp;sr=8-5")</f>
        <v/>
      </c>
      <c r="F4036" t="inlineStr">
        <is>
          <t>B07BHKPLG2</t>
        </is>
      </c>
      <c r="G4036">
        <f>_xludf.IMAGE("https://www.soccerplususa.com/prodimages//31738-BLACK-M.jpg")</f>
        <v/>
      </c>
      <c r="H4036">
        <f>_xludf.IMAGE("https://m.media-amazon.com/images/I/51tN6c4gMmL._AC_UL320_.jpg")</f>
        <v/>
      </c>
      <c r="K4036" t="inlineStr">
        <is>
          <t>18.99</t>
        </is>
      </c>
      <c r="L4036" t="n">
        <v>25</v>
      </c>
      <c r="M4036" s="1" t="inlineStr">
        <is>
          <t>31.65%</t>
        </is>
      </c>
      <c r="N4036" s="3" t="n">
        <v>31.65</v>
      </c>
      <c r="O4036" t="n">
        <v>3.4</v>
      </c>
      <c r="P4036" t="n">
        <v>2</v>
      </c>
      <c r="R4036" t="inlineStr">
        <is>
          <t>InStock</t>
        </is>
      </c>
      <c r="S4036" t="inlineStr">
        <is>
          <t>24.95</t>
        </is>
      </c>
      <c r="T4036" t="inlineStr">
        <is>
          <t>CE8918</t>
        </is>
      </c>
    </row>
    <row r="4037" hidden="1" ht="15.75" customHeight="1">
      <c r="A4037" s="2">
        <f>HYPERLINK("https://www.soccerplususa.com/adidas/adidas-tabela-18-jersey-youth-33801", "https://www.soccerplususa.com/adidas/adidas-tabela-18-jersey-youth-33801")</f>
        <v/>
      </c>
      <c r="B4037" t="inlineStr">
        <is>
          <t>undefined</t>
        </is>
      </c>
      <c r="C4037" t="inlineStr">
        <is>
          <t>adidas Tabela 18 Jersey Youth</t>
        </is>
      </c>
      <c r="D4037" t="inlineStr">
        <is>
          <t>adidas Youth Tabela 18 Jersey Yellow</t>
        </is>
      </c>
      <c r="E4037" s="2">
        <f>HYPERLINK("https://www.amazon.com/adidas-Youth-Tabela-Jersey-Yellow/dp/B07BHKPLG2/ref=sr_1_3?keywords=adidas+Tabela+18+Jersey+Youth&amp;qid=1695171174&amp;sr=8-3", "https://www.amazon.com/adidas-Youth-Tabela-Jersey-Yellow/dp/B07BHKPLG2/ref=sr_1_3?keywords=adidas+Tabela+18+Jersey+Youth&amp;qid=1695171174&amp;sr=8-3")</f>
        <v/>
      </c>
      <c r="F4037" t="inlineStr">
        <is>
          <t>B07BHKPLG2</t>
        </is>
      </c>
      <c r="G4037">
        <f>_xludf.IMAGE("https://www.soccerplususa.com/prodimages//35352-REDWHITE-M.jpg")</f>
        <v/>
      </c>
      <c r="H4037">
        <f>_xludf.IMAGE("https://m.media-amazon.com/images/I/51tN6c4gMmL._AC_UL320_.jpg")</f>
        <v/>
      </c>
      <c r="K4037" t="inlineStr">
        <is>
          <t>18.99</t>
        </is>
      </c>
      <c r="L4037" t="n">
        <v>25</v>
      </c>
      <c r="M4037" s="1" t="inlineStr">
        <is>
          <t>31.65%</t>
        </is>
      </c>
      <c r="N4037" s="3" t="n">
        <v>31.65</v>
      </c>
      <c r="O4037" t="n">
        <v>3.4</v>
      </c>
      <c r="P4037" t="n">
        <v>2</v>
      </c>
      <c r="R4037" t="inlineStr">
        <is>
          <t>InStock</t>
        </is>
      </c>
      <c r="S4037" t="inlineStr">
        <is>
          <t>24.95</t>
        </is>
      </c>
      <c r="T4037" t="inlineStr">
        <is>
          <t>CE8914</t>
        </is>
      </c>
    </row>
    <row r="4038" hidden="1" ht="15.75" customHeight="1">
      <c r="A4038" s="2">
        <f>HYPERLINK("https://www.soccerplususa.com/adidas/adidas-tabela-18-jersey-youth-33803", "https://www.soccerplususa.com/adidas/adidas-tabela-18-jersey-youth-33803")</f>
        <v/>
      </c>
      <c r="B4038" t="inlineStr">
        <is>
          <t>undefined</t>
        </is>
      </c>
      <c r="C4038" t="inlineStr">
        <is>
          <t>adidas Tabela 18 Jersey Youth</t>
        </is>
      </c>
      <c r="D4038" t="inlineStr">
        <is>
          <t>adidas Youth Tabela 18 Jersey Yellow</t>
        </is>
      </c>
      <c r="E4038" s="2">
        <f>HYPERLINK("https://www.amazon.com/adidas-Youth-Tabela-Jersey-Yellow/dp/B07BHKPLG2/ref=sr_1_3?keywords=adidas+Tabela+18+Jersey+Youth&amp;qid=1695171168&amp;sr=8-3", "https://www.amazon.com/adidas-Youth-Tabela-Jersey-Yellow/dp/B07BHKPLG2/ref=sr_1_3?keywords=adidas+Tabela+18+Jersey+Youth&amp;qid=1695171168&amp;sr=8-3")</f>
        <v/>
      </c>
      <c r="F4038" t="inlineStr">
        <is>
          <t>B07BHKPLG2</t>
        </is>
      </c>
      <c r="G4038">
        <f>_xludf.IMAGE("https://www.soccerplususa.com/prodimages//35354-WHITE-M.jpg")</f>
        <v/>
      </c>
      <c r="H4038">
        <f>_xludf.IMAGE("https://m.media-amazon.com/images/I/51tN6c4gMmL._AC_UL320_.jpg")</f>
        <v/>
      </c>
      <c r="K4038" t="inlineStr">
        <is>
          <t>18.99</t>
        </is>
      </c>
      <c r="L4038" t="n">
        <v>25</v>
      </c>
      <c r="M4038" s="1" t="inlineStr">
        <is>
          <t>31.65%</t>
        </is>
      </c>
      <c r="N4038" s="3" t="n">
        <v>31.65</v>
      </c>
      <c r="O4038" t="n">
        <v>3.4</v>
      </c>
      <c r="P4038" t="n">
        <v>2</v>
      </c>
      <c r="R4038" t="inlineStr">
        <is>
          <t>InStock</t>
        </is>
      </c>
      <c r="S4038" t="inlineStr">
        <is>
          <t>24.95</t>
        </is>
      </c>
      <c r="T4038" t="inlineStr">
        <is>
          <t>CE8919</t>
        </is>
      </c>
    </row>
    <row r="4039" hidden="1" ht="15.75" customHeight="1">
      <c r="A4039" s="2">
        <f>HYPERLINK("https://www.soccerplususa.com/adidas/adidas-tabela-18-jersey-youth-5111", "https://www.soccerplususa.com/adidas/adidas-tabela-18-jersey-youth-5111")</f>
        <v/>
      </c>
      <c r="B4039" t="inlineStr">
        <is>
          <t>undefined</t>
        </is>
      </c>
      <c r="C4039" t="inlineStr">
        <is>
          <t>adidas Tabela 18 Jersey Youth</t>
        </is>
      </c>
      <c r="D4039" t="inlineStr">
        <is>
          <t>adidas Youth Tabela 18 Jersey Yellow</t>
        </is>
      </c>
      <c r="E4039" s="2">
        <f>HYPERLINK("https://www.amazon.com/adidas-Youth-Tabela-Jersey-Yellow/dp/B07BHKPLG2/ref=sr_1_3?keywords=adidas+Tabela+18+Jersey+Youth&amp;qid=1695171222&amp;sr=8-3", "https://www.amazon.com/adidas-Youth-Tabela-Jersey-Yellow/dp/B07BHKPLG2/ref=sr_1_3?keywords=adidas+Tabela+18+Jersey+Youth&amp;qid=1695171222&amp;sr=8-3")</f>
        <v/>
      </c>
      <c r="F4039" t="inlineStr">
        <is>
          <t>B07BHKPLG2</t>
        </is>
      </c>
      <c r="G4039">
        <f>_xludf.IMAGE("https://www.soccerplususa.com/prodimages//31714-YELLOW-M.jpg")</f>
        <v/>
      </c>
      <c r="H4039">
        <f>_xludf.IMAGE("https://m.media-amazon.com/images/I/51tN6c4gMmL._AC_UL320_.jpg")</f>
        <v/>
      </c>
      <c r="K4039" t="inlineStr">
        <is>
          <t>18.99</t>
        </is>
      </c>
      <c r="L4039" t="n">
        <v>25</v>
      </c>
      <c r="M4039" s="1" t="inlineStr">
        <is>
          <t>31.65%</t>
        </is>
      </c>
      <c r="N4039" s="3" t="n">
        <v>31.65</v>
      </c>
      <c r="O4039" t="n">
        <v>3.4</v>
      </c>
      <c r="P4039" t="n">
        <v>2</v>
      </c>
      <c r="R4039" t="inlineStr">
        <is>
          <t>InStock</t>
        </is>
      </c>
      <c r="S4039" t="inlineStr">
        <is>
          <t>24.95</t>
        </is>
      </c>
      <c r="T4039" t="inlineStr">
        <is>
          <t>CE8921</t>
        </is>
      </c>
    </row>
    <row r="4040" hidden="1" ht="15.75" customHeight="1">
      <c r="A4040" s="2">
        <f>HYPERLINK("https://www.soccerplususa.com/nike/nike-dry-academy-18-football-jacket-youth-34589", "https://www.soccerplususa.com/nike/nike-dry-academy-18-football-jacket-youth-34589")</f>
        <v/>
      </c>
      <c r="B4040" t="inlineStr">
        <is>
          <t>undefined</t>
        </is>
      </c>
      <c r="C4040" t="inlineStr">
        <is>
          <t>Nike Dry Academy 18 Football Jacket Youth</t>
        </is>
      </c>
      <c r="D4040" t="inlineStr">
        <is>
          <t>Nike Youth Dry Academy18 Football Winter Jacket (Youth) (Youth Small) Black</t>
        </is>
      </c>
      <c r="E4040" s="2">
        <f>HYPERLINK("https://www.amazon.com/Nike-Academy18-Football-Winter-Jacket/dp/B079JYPBWF/ref=sr_1_3?keywords=Nike+Dry+Academy+18+Football+Jacket+Youth&amp;qid=1695171163&amp;sr=8-3", "https://www.amazon.com/Nike-Academy18-Football-Winter-Jacket/dp/B079JYPBWF/ref=sr_1_3?keywords=Nike+Dry+Academy+18+Football+Jacket+Youth&amp;qid=1695171163&amp;sr=8-3")</f>
        <v/>
      </c>
      <c r="F4040" t="inlineStr">
        <is>
          <t>B079JYPBWF</t>
        </is>
      </c>
      <c r="G4040">
        <f>_xludf.IMAGE("https://www.soccerplususa.com/prodimages/7468-DEFAULT-l.jpg")</f>
        <v/>
      </c>
      <c r="H4040">
        <f>_xludf.IMAGE("https://m.media-amazon.com/images/I/81cE8FyMd3L._AC_UL320_.jpg")</f>
        <v/>
      </c>
      <c r="K4040" t="inlineStr">
        <is>
          <t>111.99</t>
        </is>
      </c>
      <c r="L4040" t="n">
        <v>147</v>
      </c>
      <c r="M4040" s="1" t="inlineStr">
        <is>
          <t>31.26%</t>
        </is>
      </c>
      <c r="N4040" s="3" t="n">
        <v>31.26</v>
      </c>
      <c r="O4040" t="n">
        <v>5</v>
      </c>
      <c r="P4040" t="n">
        <v>2</v>
      </c>
      <c r="R4040" t="inlineStr">
        <is>
          <t>InStock</t>
        </is>
      </c>
      <c r="S4040" t="inlineStr">
        <is>
          <t>149.95</t>
        </is>
      </c>
      <c r="T4040" t="inlineStr">
        <is>
          <t>893827-010</t>
        </is>
      </c>
    </row>
    <row r="4041" hidden="1" ht="15.75" customHeight="1">
      <c r="A4041" s="2">
        <f>HYPERLINK("https://www.soccerplususa.com/puma/puma-liga-jersey-37884", "https://www.soccerplususa.com/puma/puma-liga-jersey-37884")</f>
        <v/>
      </c>
      <c r="B4041" t="inlineStr">
        <is>
          <t>undefined</t>
        </is>
      </c>
      <c r="C4041" t="inlineStr">
        <is>
          <t>Puma Liga Jersey</t>
        </is>
      </c>
      <c r="D4041" t="inlineStr">
        <is>
          <t>PUMA Women's Teamliga Jersey</t>
        </is>
      </c>
      <c r="E4041" s="2">
        <f>HYPERLINK("https://www.amazon.com/PUMA-Womens-Teamliga-Jersey-Medium/dp/B097LWDSG5/ref=sr_1_9?keywords=Puma+Liga+Jersey&amp;qid=1695171168&amp;sr=8-9", "https://www.amazon.com/PUMA-Womens-Teamliga-Jersey-Medium/dp/B097LWDSG5/ref=sr_1_9?keywords=Puma+Liga+Jersey&amp;qid=1695171168&amp;sr=8-9")</f>
        <v/>
      </c>
      <c r="F4041" t="inlineStr">
        <is>
          <t>B097LWDSG5</t>
        </is>
      </c>
      <c r="G4041">
        <f>_xludf.IMAGE("https://www.soccerplususa.com/prodimages//35270-NAVYWHITE-M.jpg")</f>
        <v/>
      </c>
      <c r="H4041">
        <f>_xludf.IMAGE("https://m.media-amazon.com/images/I/51h1mCcE12L._AC_UL320_.jpg")</f>
        <v/>
      </c>
      <c r="K4041" t="inlineStr">
        <is>
          <t>20.99</t>
        </is>
      </c>
      <c r="L4041" t="n">
        <v>27.16</v>
      </c>
      <c r="M4041" s="1" t="inlineStr">
        <is>
          <t>29.39%</t>
        </is>
      </c>
      <c r="N4041" s="3" t="n">
        <v>29.39</v>
      </c>
      <c r="O4041" t="n">
        <v>4.6</v>
      </c>
      <c r="P4041" t="n">
        <v>52</v>
      </c>
      <c r="R4041" t="inlineStr">
        <is>
          <t>InStock</t>
        </is>
      </c>
      <c r="S4041" t="inlineStr">
        <is>
          <t>27.95</t>
        </is>
      </c>
      <c r="T4041" t="inlineStr">
        <is>
          <t>703417-06</t>
        </is>
      </c>
    </row>
    <row r="4042" hidden="1" ht="15.75" customHeight="1">
      <c r="A4042" s="2">
        <f>HYPERLINK("https://www.soccerplususa.com/nike/nike-epic-training-jacket-24378", "https://www.soccerplususa.com/nike/nike-epic-training-jacket-24378")</f>
        <v/>
      </c>
      <c r="B4042" t="inlineStr">
        <is>
          <t>undefined</t>
        </is>
      </c>
      <c r="C4042" t="inlineStr">
        <is>
          <t>Nike Epic Training Jacket</t>
        </is>
      </c>
      <c r="D4042" t="inlineStr">
        <is>
          <t>Nike Men's Epic Training Jacket</t>
        </is>
      </c>
      <c r="E4042" s="2">
        <f>HYPERLINK("https://www.amazon.com/Nike-Mens-Training-Jacket-Royal/dp/B083QDNKH4/ref=sr_1_2?keywords=Nike+Epic+Training+Jacket&amp;qid=1695171174&amp;sr=8-2", "https://www.amazon.com/Nike-Mens-Training-Jacket-Royal/dp/B083QDNKH4/ref=sr_1_2?keywords=Nike+Epic+Training+Jacket&amp;qid=1695171174&amp;sr=8-2")</f>
        <v/>
      </c>
      <c r="F4042" t="inlineStr">
        <is>
          <t>B083QDNKH4</t>
        </is>
      </c>
      <c r="G4042">
        <f>_xludf.IMAGE("https://www.soccerplususa.com/prodimages/6287-DEFAULT-l.jpg")</f>
        <v/>
      </c>
      <c r="H4042">
        <f>_xludf.IMAGE("https://m.media-amazon.com/images/I/61AlQlDbTRL._AC_UL320_.jpg")</f>
        <v/>
      </c>
      <c r="K4042" t="inlineStr">
        <is>
          <t>40.99</t>
        </is>
      </c>
      <c r="L4042" t="n">
        <v>52.94</v>
      </c>
      <c r="M4042" s="1" t="inlineStr">
        <is>
          <t>29.15%</t>
        </is>
      </c>
      <c r="N4042" s="3" t="n">
        <v>29.15</v>
      </c>
      <c r="O4042" t="n">
        <v>4.8</v>
      </c>
      <c r="P4042" t="n">
        <v>12</v>
      </c>
      <c r="R4042" t="inlineStr">
        <is>
          <t>InStock</t>
        </is>
      </c>
      <c r="S4042" t="inlineStr">
        <is>
          <t>54.95</t>
        </is>
      </c>
      <c r="T4042" t="inlineStr">
        <is>
          <t>835571-466</t>
        </is>
      </c>
    </row>
    <row r="4043" hidden="1" ht="15.75" customHeight="1">
      <c r="A4043" s="2">
        <f>HYPERLINK("https://www.soccerplususa.com/nike/nike-legend-tee-womens-20413", "https://www.soccerplususa.com/nike/nike-legend-tee-womens-20413")</f>
        <v/>
      </c>
      <c r="B4043" t="inlineStr">
        <is>
          <t>undefined</t>
        </is>
      </c>
      <c r="C4043" t="inlineStr">
        <is>
          <t>Nike Legend Tee Women's</t>
        </is>
      </c>
      <c r="D4043" t="inlineStr">
        <is>
          <t>Nike Women's Legend Short Sleeve Shirt</t>
        </is>
      </c>
      <c r="E4043" s="2">
        <f>HYPERLINK("https://www.amazon.com/Womens-Dri-Fit-Legend-Sleeve-T-Shirt/dp/B0085YRWZ4/ref=sr_1_1?keywords=Nike+Legend+Tee+Womens&amp;qid=1695171184&amp;sr=8-1", "https://www.amazon.com/Womens-Dri-Fit-Legend-Sleeve-T-Shirt/dp/B0085YRWZ4/ref=sr_1_1?keywords=Nike+Legend+Tee+Womens&amp;qid=1695171184&amp;sr=8-1")</f>
        <v/>
      </c>
      <c r="F4043" t="inlineStr">
        <is>
          <t>B0085YRWZ4</t>
        </is>
      </c>
      <c r="G4043">
        <f>_xludf.IMAGE("https://www.soccerplususa.com/prodimages/31739-DEFAULT-l.jpg")</f>
        <v/>
      </c>
      <c r="H4043">
        <f>_xludf.IMAGE("https://m.media-amazon.com/images/I/41Gi4G-VnfL._AC_UL320_.jpg")</f>
        <v/>
      </c>
      <c r="K4043" t="inlineStr">
        <is>
          <t>18.99</t>
        </is>
      </c>
      <c r="L4043" t="n">
        <v>24.49</v>
      </c>
      <c r="M4043" s="1" t="inlineStr">
        <is>
          <t>28.96%</t>
        </is>
      </c>
      <c r="N4043" s="3" t="n">
        <v>28.96</v>
      </c>
      <c r="O4043" t="n">
        <v>4.5</v>
      </c>
      <c r="P4043" t="n">
        <v>347</v>
      </c>
      <c r="R4043" t="inlineStr">
        <is>
          <t>InStock</t>
        </is>
      </c>
      <c r="S4043" t="inlineStr">
        <is>
          <t>24.95</t>
        </is>
      </c>
      <c r="T4043" t="inlineStr">
        <is>
          <t>453181-657</t>
        </is>
      </c>
    </row>
    <row r="4044" hidden="1" ht="15.75" customHeight="1">
      <c r="A4044" s="2">
        <f>HYPERLINK("https://www.soccerplususa.com/adidas/adidas-tabela-18-jersey-youth-5110", "https://www.soccerplususa.com/adidas/adidas-tabela-18-jersey-youth-5110")</f>
        <v/>
      </c>
      <c r="B4044" t="inlineStr">
        <is>
          <t>undefined</t>
        </is>
      </c>
      <c r="C4044" t="inlineStr">
        <is>
          <t>adidas Tabela 18 Jersey Youth</t>
        </is>
      </c>
      <c r="D4044" t="inlineStr">
        <is>
          <t>adidas Youth Tabela 18 Jersey</t>
        </is>
      </c>
      <c r="E4044" s="2">
        <f>HYPERLINK("https://www.amazon.com/adidas-TABELA-Jersey-Y%E2%9D%97%EF%B8%8FShips-Directly/dp/B078LCB4LK/ref=sr_1_4?keywords=adidas+Tabela+18+Jersey+Youth&amp;qid=1695171223&amp;sr=8-4", "https://www.amazon.com/adidas-TABELA-Jersey-Y%E2%9D%97%EF%B8%8FShips-Directly/dp/B078LCB4LK/ref=sr_1_4?keywords=adidas+Tabela+18+Jersey+Youth&amp;qid=1695171223&amp;sr=8-4")</f>
        <v/>
      </c>
      <c r="F4044" t="inlineStr">
        <is>
          <t>B078LCB4LK</t>
        </is>
      </c>
      <c r="G4044">
        <f>_xludf.IMAGE("https://www.soccerplususa.com/prodimages//31722-GRAY-M.jpg")</f>
        <v/>
      </c>
      <c r="H4044">
        <f>_xludf.IMAGE("https://m.media-amazon.com/images/I/61G-4wd3sCL._AC_UL320_.jpg")</f>
        <v/>
      </c>
      <c r="K4044" t="inlineStr">
        <is>
          <t>18.99</t>
        </is>
      </c>
      <c r="L4044" t="n">
        <v>24.47</v>
      </c>
      <c r="M4044" s="1" t="inlineStr">
        <is>
          <t>28.86%</t>
        </is>
      </c>
      <c r="N4044" s="3" t="n">
        <v>28.86</v>
      </c>
      <c r="O4044" t="n">
        <v>1.8</v>
      </c>
      <c r="P4044" t="n">
        <v>2</v>
      </c>
      <c r="R4044" t="inlineStr">
        <is>
          <t>InStock</t>
        </is>
      </c>
      <c r="S4044" t="inlineStr">
        <is>
          <t>24.95</t>
        </is>
      </c>
      <c r="T4044" t="inlineStr">
        <is>
          <t>CE8920</t>
        </is>
      </c>
    </row>
    <row r="4045" hidden="1" ht="15.75" customHeight="1">
      <c r="A4045" s="2">
        <f>HYPERLINK("https://www.soccerplususa.com/adidas/adidas-tabela-18-jersey-youth-33803", "https://www.soccerplususa.com/adidas/adidas-tabela-18-jersey-youth-33803")</f>
        <v/>
      </c>
      <c r="B4045" t="inlineStr">
        <is>
          <t>undefined</t>
        </is>
      </c>
      <c r="C4045" t="inlineStr">
        <is>
          <t>adidas Tabela 18 Jersey Youth</t>
        </is>
      </c>
      <c r="D4045" t="inlineStr">
        <is>
          <t>adidas Youth Tabela 18 Jersey</t>
        </is>
      </c>
      <c r="E4045" s="2">
        <f>HYPERLINK("https://www.amazon.com/adidas-TABELA-Jersey-Y%E2%9D%97%EF%B8%8FShips-Directly/dp/B078LCB4LK/ref=sr_1_2?keywords=adidas+Tabela+18+Jersey+Youth&amp;qid=1695171168&amp;sr=8-2", "https://www.amazon.com/adidas-TABELA-Jersey-Y%E2%9D%97%EF%B8%8FShips-Directly/dp/B078LCB4LK/ref=sr_1_2?keywords=adidas+Tabela+18+Jersey+Youth&amp;qid=1695171168&amp;sr=8-2")</f>
        <v/>
      </c>
      <c r="F4045" t="inlineStr">
        <is>
          <t>B078LCB4LK</t>
        </is>
      </c>
      <c r="G4045">
        <f>_xludf.IMAGE("https://www.soccerplususa.com/prodimages//35354-WHITE-M.jpg")</f>
        <v/>
      </c>
      <c r="H4045">
        <f>_xludf.IMAGE("https://m.media-amazon.com/images/I/61G-4wd3sCL._AC_UL320_.jpg")</f>
        <v/>
      </c>
      <c r="K4045" t="inlineStr">
        <is>
          <t>18.99</t>
        </is>
      </c>
      <c r="L4045" t="n">
        <v>24.47</v>
      </c>
      <c r="M4045" s="1" t="inlineStr">
        <is>
          <t>28.86%</t>
        </is>
      </c>
      <c r="N4045" s="3" t="n">
        <v>28.86</v>
      </c>
      <c r="O4045" t="n">
        <v>1.8</v>
      </c>
      <c r="P4045" t="n">
        <v>2</v>
      </c>
      <c r="R4045" t="inlineStr">
        <is>
          <t>InStock</t>
        </is>
      </c>
      <c r="S4045" t="inlineStr">
        <is>
          <t>24.95</t>
        </is>
      </c>
      <c r="T4045" t="inlineStr">
        <is>
          <t>CE8919</t>
        </is>
      </c>
    </row>
    <row r="4046" hidden="1" ht="15.75" customHeight="1">
      <c r="A4046" s="2">
        <f>HYPERLINK("https://www.soccerplususa.com/adidas/adidas-tabela-18-jersey-youth-5109", "https://www.soccerplususa.com/adidas/adidas-tabela-18-jersey-youth-5109")</f>
        <v/>
      </c>
      <c r="B4046" t="inlineStr">
        <is>
          <t>undefined</t>
        </is>
      </c>
      <c r="C4046" t="inlineStr">
        <is>
          <t>adidas Tabela 18 Jersey Youth</t>
        </is>
      </c>
      <c r="D4046" t="inlineStr">
        <is>
          <t>adidas Youth Tabela 18 Jersey</t>
        </is>
      </c>
      <c r="E4046" s="2">
        <f>HYPERLINK("https://www.amazon.com/adidas-TABELA-Jersey-Y%E2%9D%97%EF%B8%8FShips-Directly/dp/B078LCB4LK/ref=sr_1_4?keywords=adidas+Tabela+18+Jersey+Youth&amp;qid=1695171237&amp;sr=8-4", "https://www.amazon.com/adidas-TABELA-Jersey-Y%E2%9D%97%EF%B8%8FShips-Directly/dp/B078LCB4LK/ref=sr_1_4?keywords=adidas+Tabela+18+Jersey+Youth&amp;qid=1695171237&amp;sr=8-4")</f>
        <v/>
      </c>
      <c r="F4046" t="inlineStr">
        <is>
          <t>B078LCB4LK</t>
        </is>
      </c>
      <c r="G4046">
        <f>_xludf.IMAGE("https://www.soccerplususa.com/prodimages//31738-BLACK-M.jpg")</f>
        <v/>
      </c>
      <c r="H4046">
        <f>_xludf.IMAGE("https://m.media-amazon.com/images/I/61G-4wd3sCL._AC_UL320_.jpg")</f>
        <v/>
      </c>
      <c r="K4046" t="inlineStr">
        <is>
          <t>18.99</t>
        </is>
      </c>
      <c r="L4046" t="n">
        <v>24.47</v>
      </c>
      <c r="M4046" s="1" t="inlineStr">
        <is>
          <t>28.86%</t>
        </is>
      </c>
      <c r="N4046" s="3" t="n">
        <v>28.86</v>
      </c>
      <c r="O4046" t="n">
        <v>1.8</v>
      </c>
      <c r="P4046" t="n">
        <v>2</v>
      </c>
      <c r="R4046" t="inlineStr">
        <is>
          <t>InStock</t>
        </is>
      </c>
      <c r="S4046" t="inlineStr">
        <is>
          <t>24.95</t>
        </is>
      </c>
      <c r="T4046" t="inlineStr">
        <is>
          <t>CE8918</t>
        </is>
      </c>
    </row>
    <row r="4047" hidden="1" ht="15.75" customHeight="1">
      <c r="A4047" s="2">
        <f>HYPERLINK("https://www.soccerplususa.com/adidas/adidas-tabela-18-jersey-youth-33801", "https://www.soccerplususa.com/adidas/adidas-tabela-18-jersey-youth-33801")</f>
        <v/>
      </c>
      <c r="B4047" t="inlineStr">
        <is>
          <t>undefined</t>
        </is>
      </c>
      <c r="C4047" t="inlineStr">
        <is>
          <t>adidas Tabela 18 Jersey Youth</t>
        </is>
      </c>
      <c r="D4047" t="inlineStr">
        <is>
          <t>adidas Youth Tabela 18 Jersey</t>
        </is>
      </c>
      <c r="E4047" s="2">
        <f>HYPERLINK("https://www.amazon.com/adidas-TABELA-Jersey-Y%E2%9D%97%EF%B8%8FShips-Directly/dp/B078LCB4LK/ref=sr_1_2?keywords=adidas+Tabela+18+Jersey+Youth&amp;qid=1695171174&amp;sr=8-2", "https://www.amazon.com/adidas-TABELA-Jersey-Y%E2%9D%97%EF%B8%8FShips-Directly/dp/B078LCB4LK/ref=sr_1_2?keywords=adidas+Tabela+18+Jersey+Youth&amp;qid=1695171174&amp;sr=8-2")</f>
        <v/>
      </c>
      <c r="F4047" t="inlineStr">
        <is>
          <t>B078LCB4LK</t>
        </is>
      </c>
      <c r="G4047">
        <f>_xludf.IMAGE("https://www.soccerplususa.com/prodimages//35352-REDWHITE-M.jpg")</f>
        <v/>
      </c>
      <c r="H4047">
        <f>_xludf.IMAGE("https://m.media-amazon.com/images/I/61G-4wd3sCL._AC_UL320_.jpg")</f>
        <v/>
      </c>
      <c r="K4047" t="inlineStr">
        <is>
          <t>18.99</t>
        </is>
      </c>
      <c r="L4047" t="n">
        <v>24.47</v>
      </c>
      <c r="M4047" s="1" t="inlineStr">
        <is>
          <t>28.86%</t>
        </is>
      </c>
      <c r="N4047" s="3" t="n">
        <v>28.86</v>
      </c>
      <c r="O4047" t="n">
        <v>1.8</v>
      </c>
      <c r="P4047" t="n">
        <v>2</v>
      </c>
      <c r="R4047" t="inlineStr">
        <is>
          <t>InStock</t>
        </is>
      </c>
      <c r="S4047" t="inlineStr">
        <is>
          <t>24.95</t>
        </is>
      </c>
      <c r="T4047" t="inlineStr">
        <is>
          <t>CE8914</t>
        </is>
      </c>
    </row>
    <row r="4048" hidden="1" ht="15.75" customHeight="1">
      <c r="A4048" s="2">
        <f>HYPERLINK("https://www.soccerplususa.com/under-armour/under-armour-coldgear-ls-mock-32981", "https://www.soccerplususa.com/under-armour/under-armour-coldgear-ls-mock-32981")</f>
        <v/>
      </c>
      <c r="B4048" t="inlineStr">
        <is>
          <t>undefined</t>
        </is>
      </c>
      <c r="C4048" t="inlineStr">
        <is>
          <t>Under Armour Coldgear LS Mock</t>
        </is>
      </c>
      <c r="D4048" t="inlineStr">
        <is>
          <t>Under Armour Men's ColdGear Compression Mock</t>
        </is>
      </c>
      <c r="E4048" s="2">
        <f>HYPERLINK("https://www.amazon.com/Under-Armour-ColdGear-Compression-Black/dp/B08LPM6J1C/ref=sr_1_4?keywords=Under+Armour+Coldgear+LS+Mock&amp;qid=1695171172&amp;sr=8-4", "https://www.amazon.com/Under-Armour-ColdGear-Compression-Black/dp/B08LPM6J1C/ref=sr_1_4?keywords=Under+Armour+Coldgear+LS+Mock&amp;qid=1695171172&amp;sr=8-4")</f>
        <v/>
      </c>
      <c r="F4048" t="inlineStr">
        <is>
          <t>B08LPM6J1C</t>
        </is>
      </c>
      <c r="G4048">
        <f>_xludf.IMAGE("https://www.soccerplususa.com/prodimages/467-DEFAULT-l.jpg")</f>
        <v/>
      </c>
      <c r="H4048">
        <f>_xludf.IMAGE("https://m.media-amazon.com/images/I/71OiO5xp7oL._AC_UL320_.jpg")</f>
        <v/>
      </c>
      <c r="K4048" t="inlineStr">
        <is>
          <t>34.95</t>
        </is>
      </c>
      <c r="L4048" t="n">
        <v>45</v>
      </c>
      <c r="M4048" s="1" t="inlineStr">
        <is>
          <t>28.76%</t>
        </is>
      </c>
      <c r="N4048" s="3" t="n">
        <v>28.76</v>
      </c>
      <c r="O4048" t="n">
        <v>4.7</v>
      </c>
      <c r="P4048" t="n">
        <v>2091</v>
      </c>
      <c r="R4048" t="inlineStr">
        <is>
          <t>InStock</t>
        </is>
      </c>
      <c r="S4048" t="inlineStr">
        <is>
          <t>44.95</t>
        </is>
      </c>
      <c r="T4048" t="inlineStr">
        <is>
          <t>1000512-100</t>
        </is>
      </c>
    </row>
    <row r="4049" hidden="1" ht="15.75" customHeight="1">
      <c r="A4049" s="2">
        <f>HYPERLINK("https://www.soccerplususa.com/nike/nike-tiempo-premier-jersey-34604", "https://www.soccerplususa.com/nike/nike-tiempo-premier-jersey-34604")</f>
        <v/>
      </c>
      <c r="B4049" t="inlineStr">
        <is>
          <t>undefined</t>
        </is>
      </c>
      <c r="C4049" t="inlineStr">
        <is>
          <t>Nike Tiempo Premier Jersey</t>
        </is>
      </c>
      <c r="D4049" t="inlineStr">
        <is>
          <t>Nike Womens Tiempo Premier Soccer Jersey</t>
        </is>
      </c>
      <c r="E4049" s="2">
        <f>HYPERLINK("https://www.amazon.com/Nike-Womens-Dri-Fit-Premier-Regular/dp/B0C7ZKF5DC/ref=sr_1_2?keywords=Nike+Tiempo+Premier+Jersey&amp;qid=1695171163&amp;sr=8-2", "https://www.amazon.com/Nike-Womens-Dri-Fit-Premier-Regular/dp/B0C7ZKF5DC/ref=sr_1_2?keywords=Nike+Tiempo+Premier+Jersey&amp;qid=1695171163&amp;sr=8-2")</f>
        <v/>
      </c>
      <c r="F4049" t="inlineStr">
        <is>
          <t>B0C7ZKF5DC</t>
        </is>
      </c>
      <c r="G4049">
        <f>_xludf.IMAGE("https://www.soccerplususa.com/prodimages/32882-DEFAULT-l.jpg")</f>
        <v/>
      </c>
      <c r="H4049">
        <f>_xludf.IMAGE("https://m.media-amazon.com/images/I/41Kv4CYLgTL._AC_UL320_.jpg")</f>
        <v/>
      </c>
      <c r="K4049" t="inlineStr">
        <is>
          <t>18.99</t>
        </is>
      </c>
      <c r="L4049" t="n">
        <v>24.45</v>
      </c>
      <c r="M4049" s="1" t="inlineStr">
        <is>
          <t>28.75%</t>
        </is>
      </c>
      <c r="N4049" s="3" t="n">
        <v>28.75</v>
      </c>
      <c r="O4049" t="n">
        <v>3.8</v>
      </c>
      <c r="P4049" t="n">
        <v>7</v>
      </c>
      <c r="R4049" t="inlineStr">
        <is>
          <t>InStock</t>
        </is>
      </c>
      <c r="S4049" t="inlineStr">
        <is>
          <t>23.95</t>
        </is>
      </c>
      <c r="T4049" t="inlineStr">
        <is>
          <t>894293-448</t>
        </is>
      </c>
    </row>
    <row r="4050" hidden="1" ht="15.75" customHeight="1">
      <c r="A4050" s="2">
        <f>HYPERLINK("https://www.soccerplususa.com/nike/nike-tiempo-premier-jersey-34605", "https://www.soccerplususa.com/nike/nike-tiempo-premier-jersey-34605")</f>
        <v/>
      </c>
      <c r="B4050" t="inlineStr">
        <is>
          <t>undefined</t>
        </is>
      </c>
      <c r="C4050" t="inlineStr">
        <is>
          <t>Nike Tiempo Premier Jersey</t>
        </is>
      </c>
      <c r="D4050" t="inlineStr">
        <is>
          <t>Nike Womens Tiempo Premier Soccer Jersey</t>
        </is>
      </c>
      <c r="E4050" s="2">
        <f>HYPERLINK("https://www.amazon.com/Nike-Womens-Dri-Fit-Premier-Regular/dp/B0C7ZKF5DC/ref=sr_1_2?keywords=Nike+Tiempo+Premier+Jersey&amp;qid=1695171160&amp;sr=8-2", "https://www.amazon.com/Nike-Womens-Dri-Fit-Premier-Regular/dp/B0C7ZKF5DC/ref=sr_1_2?keywords=Nike+Tiempo+Premier+Jersey&amp;qid=1695171160&amp;sr=8-2")</f>
        <v/>
      </c>
      <c r="F4050" t="inlineStr">
        <is>
          <t>B0C7ZKF5DC</t>
        </is>
      </c>
      <c r="G4050">
        <f>_xludf.IMAGE("https://www.soccerplususa.com/prodimages/32883-DEFAULT-l.jpg")</f>
        <v/>
      </c>
      <c r="H4050">
        <f>_xludf.IMAGE("https://m.media-amazon.com/images/I/41Kv4CYLgTL._AC_UL320_.jpg")</f>
        <v/>
      </c>
      <c r="K4050" t="inlineStr">
        <is>
          <t>18.99</t>
        </is>
      </c>
      <c r="L4050" t="n">
        <v>24.45</v>
      </c>
      <c r="M4050" s="1" t="inlineStr">
        <is>
          <t>28.75%</t>
        </is>
      </c>
      <c r="N4050" s="3" t="n">
        <v>28.75</v>
      </c>
      <c r="O4050" t="n">
        <v>3.8</v>
      </c>
      <c r="P4050" t="n">
        <v>7</v>
      </c>
      <c r="R4050" t="inlineStr">
        <is>
          <t>InStock</t>
        </is>
      </c>
      <c r="S4050" t="inlineStr">
        <is>
          <t>23.95</t>
        </is>
      </c>
      <c r="T4050" t="inlineStr">
        <is>
          <t>894293-692</t>
        </is>
      </c>
    </row>
    <row r="4051" hidden="1" ht="15.75" customHeight="1">
      <c r="A4051" s="2">
        <f>HYPERLINK("https://www.soccerplususa.com/puma/puma-teamfinal-21-graphic-jersey-40618", "https://www.soccerplususa.com/puma/puma-teamfinal-21-graphic-jersey-40618")</f>
        <v/>
      </c>
      <c r="B4051" t="inlineStr">
        <is>
          <t>undefined</t>
        </is>
      </c>
      <c r="C4051" t="inlineStr">
        <is>
          <t>Puma Teamfinal 21 Graphic Jersey</t>
        </is>
      </c>
      <c r="D4051" t="inlineStr">
        <is>
          <t>PUMA Men's Teamfinal 21 Graphic Jersey</t>
        </is>
      </c>
      <c r="E4051" s="2">
        <f>HYPERLINK("https://www.amazon.com/PUMA-Teamfinal-Graphic-Electric-Lemonade/dp/B086RSH741/ref=sr_1_1?keywords=Puma+Teamfinal+21+Graphic+Jersey&amp;qid=1695171148&amp;sr=8-1", "https://www.amazon.com/PUMA-Teamfinal-Graphic-Electric-Lemonade/dp/B086RSH741/ref=sr_1_1?keywords=Puma+Teamfinal+21+Graphic+Jersey&amp;qid=1695171148&amp;sr=8-1")</f>
        <v/>
      </c>
      <c r="F4051" t="inlineStr">
        <is>
          <t>B086RSH741</t>
        </is>
      </c>
      <c r="G4051">
        <f>_xludf.IMAGE("https://www.soccerplususa.com/prodimages//37414-Pepper_Green-M.jpg")</f>
        <v/>
      </c>
      <c r="H4051">
        <f>_xludf.IMAGE("https://m.media-amazon.com/images/I/61gZBtzx9vL._AC_UL320_.jpg")</f>
        <v/>
      </c>
      <c r="K4051" t="inlineStr">
        <is>
          <t>29.99</t>
        </is>
      </c>
      <c r="L4051" t="n">
        <v>38.61</v>
      </c>
      <c r="M4051" s="1" t="inlineStr">
        <is>
          <t>28.74%</t>
        </is>
      </c>
      <c r="N4051" s="3" t="n">
        <v>28.74</v>
      </c>
      <c r="O4051" t="n">
        <v>4.4</v>
      </c>
      <c r="P4051" t="n">
        <v>87</v>
      </c>
      <c r="R4051" t="inlineStr">
        <is>
          <t>InStock</t>
        </is>
      </c>
      <c r="S4051" t="inlineStr">
        <is>
          <t>39.95</t>
        </is>
      </c>
      <c r="T4051" t="inlineStr">
        <is>
          <t>704150-05</t>
        </is>
      </c>
    </row>
    <row r="4052" hidden="1" ht="15.75" customHeight="1">
      <c r="A4052" s="2">
        <f>HYPERLINK("https://www.soccerplususa.com/puma/puma-teamfinal-21-graphic-jersey-41907", "https://www.soccerplususa.com/puma/puma-teamfinal-21-graphic-jersey-41907")</f>
        <v/>
      </c>
      <c r="B4052" t="inlineStr">
        <is>
          <t>undefined</t>
        </is>
      </c>
      <c r="C4052" t="inlineStr">
        <is>
          <t>Puma Teamfinal 21 Graphic Jersey</t>
        </is>
      </c>
      <c r="D4052" t="inlineStr">
        <is>
          <t>PUMA Men's Teamfinal 21 Graphic Jersey</t>
        </is>
      </c>
      <c r="E4052" s="2">
        <f>HYPERLINK("https://www.amazon.com/PUMA-Teamfinal-Graphic-Electric-Lemonade/dp/B086RSH741/ref=sr_1_1?keywords=Puma+Teamfinal+21+Graphic+Jersey&amp;qid=1695171144&amp;sr=8-1", "https://www.amazon.com/PUMA-Teamfinal-Graphic-Electric-Lemonade/dp/B086RSH741/ref=sr_1_1?keywords=Puma+Teamfinal+21+Graphic+Jersey&amp;qid=1695171144&amp;sr=8-1")</f>
        <v/>
      </c>
      <c r="F4052" t="inlineStr">
        <is>
          <t>B086RSH741</t>
        </is>
      </c>
      <c r="G4052">
        <f>_xludf.IMAGE("https://www.soccerplususa.com/prodimages//37409-NAVY-M.jpg")</f>
        <v/>
      </c>
      <c r="H4052">
        <f>_xludf.IMAGE("https://m.media-amazon.com/images/I/61gZBtzx9vL._AC_UL320_.jpg")</f>
        <v/>
      </c>
      <c r="K4052" t="inlineStr">
        <is>
          <t>29.99</t>
        </is>
      </c>
      <c r="L4052" t="n">
        <v>38.61</v>
      </c>
      <c r="M4052" s="1" t="inlineStr">
        <is>
          <t>28.74%</t>
        </is>
      </c>
      <c r="N4052" s="3" t="n">
        <v>28.74</v>
      </c>
      <c r="O4052" t="n">
        <v>4.4</v>
      </c>
      <c r="P4052" t="n">
        <v>87</v>
      </c>
      <c r="R4052" t="inlineStr">
        <is>
          <t>InStock</t>
        </is>
      </c>
      <c r="S4052" t="inlineStr">
        <is>
          <t>39.95</t>
        </is>
      </c>
      <c r="T4052" t="inlineStr">
        <is>
          <t>704150-06</t>
        </is>
      </c>
    </row>
    <row r="4053" hidden="1" ht="15.75" customHeight="1">
      <c r="A4053" s="2">
        <f>HYPERLINK("https://www.soccerplususa.com/puma/puma-teamfinal-21-graphic-jersey-38602", "https://www.soccerplususa.com/puma/puma-teamfinal-21-graphic-jersey-38602")</f>
        <v/>
      </c>
      <c r="B4053" t="inlineStr">
        <is>
          <t>undefined</t>
        </is>
      </c>
      <c r="C4053" t="inlineStr">
        <is>
          <t>Puma Teamfinal 21 Graphic Jersey</t>
        </is>
      </c>
      <c r="D4053" t="inlineStr">
        <is>
          <t>PUMA Men's Teamfinal 21 Graphic Jersey</t>
        </is>
      </c>
      <c r="E4053" s="2">
        <f>HYPERLINK("https://www.amazon.com/PUMA-Teamfinal-Graphic-Electric-Lemonade/dp/B086RSH741/ref=sr_1_1?keywords=Puma+Teamfinal+21+Graphic+Jersey&amp;qid=1695171165&amp;sr=8-1", "https://www.amazon.com/PUMA-Teamfinal-Graphic-Electric-Lemonade/dp/B086RSH741/ref=sr_1_1?keywords=Puma+Teamfinal+21+Graphic+Jersey&amp;qid=1695171165&amp;sr=8-1")</f>
        <v/>
      </c>
      <c r="F4053" t="inlineStr">
        <is>
          <t>B086RSH741</t>
        </is>
      </c>
      <c r="G4053">
        <f>_xludf.IMAGE("https://www.soccerplususa.com/prodimages//35266-YELLOW-M.jpg")</f>
        <v/>
      </c>
      <c r="H4053">
        <f>_xludf.IMAGE("https://m.media-amazon.com/images/I/61gZBtzx9vL._AC_UL320_.jpg")</f>
        <v/>
      </c>
      <c r="K4053" t="inlineStr">
        <is>
          <t>29.99</t>
        </is>
      </c>
      <c r="L4053" t="n">
        <v>38.61</v>
      </c>
      <c r="M4053" s="1" t="inlineStr">
        <is>
          <t>28.74%</t>
        </is>
      </c>
      <c r="N4053" s="3" t="n">
        <v>28.74</v>
      </c>
      <c r="O4053" t="n">
        <v>4.4</v>
      </c>
      <c r="P4053" t="n">
        <v>87</v>
      </c>
      <c r="R4053" t="inlineStr">
        <is>
          <t>InStock</t>
        </is>
      </c>
      <c r="S4053" t="inlineStr">
        <is>
          <t>39.95</t>
        </is>
      </c>
      <c r="T4053" t="inlineStr">
        <is>
          <t>704150-07</t>
        </is>
      </c>
    </row>
    <row r="4054" hidden="1" ht="15.75" customHeight="1">
      <c r="A4054" s="2">
        <f>HYPERLINK("https://www.soccerplususa.com/puma/puma-teamfinal-21-graphic-jersey-42133", "https://www.soccerplususa.com/puma/puma-teamfinal-21-graphic-jersey-42133")</f>
        <v/>
      </c>
      <c r="B4054" t="inlineStr">
        <is>
          <t>undefined</t>
        </is>
      </c>
      <c r="C4054" t="inlineStr">
        <is>
          <t>Puma Teamfinal 21 Graphic Jersey</t>
        </is>
      </c>
      <c r="D4054" t="inlineStr">
        <is>
          <t>PUMA Men's Teamfinal 21 Graphic Jersey</t>
        </is>
      </c>
      <c r="E4054" s="2">
        <f>HYPERLINK("https://www.amazon.com/PUMA-Teamfinal-Graphic-Electric-Lemonade/dp/B086RSH741/ref=sr_1_1?keywords=Puma+Teamfinal+21+Graphic+Jersey&amp;qid=1695171174&amp;sr=8-1", "https://www.amazon.com/PUMA-Teamfinal-Graphic-Electric-Lemonade/dp/B086RSH741/ref=sr_1_1?keywords=Puma+Teamfinal+21+Graphic+Jersey&amp;qid=1695171174&amp;sr=8-1")</f>
        <v/>
      </c>
      <c r="F4054" t="inlineStr">
        <is>
          <t>B086RSH741</t>
        </is>
      </c>
      <c r="G4054">
        <f>_xludf.IMAGE("https://www.soccerplususa.com/prodimages//37416-GRAY-M.jpg")</f>
        <v/>
      </c>
      <c r="H4054">
        <f>_xludf.IMAGE("https://m.media-amazon.com/images/I/61gZBtzx9vL._AC_UL320_.jpg")</f>
        <v/>
      </c>
      <c r="K4054" t="inlineStr">
        <is>
          <t>29.99</t>
        </is>
      </c>
      <c r="L4054" t="n">
        <v>38.61</v>
      </c>
      <c r="M4054" s="1" t="inlineStr">
        <is>
          <t>28.74%</t>
        </is>
      </c>
      <c r="N4054" s="3" t="n">
        <v>28.74</v>
      </c>
      <c r="O4054" t="n">
        <v>4.4</v>
      </c>
      <c r="P4054" t="n">
        <v>87</v>
      </c>
      <c r="R4054" t="inlineStr">
        <is>
          <t>InStock</t>
        </is>
      </c>
      <c r="S4054" t="inlineStr">
        <is>
          <t>39.95</t>
        </is>
      </c>
      <c r="T4054" t="inlineStr">
        <is>
          <t>704150-13</t>
        </is>
      </c>
    </row>
    <row r="4055" hidden="1" ht="15.75" customHeight="1">
      <c r="A4055" s="2">
        <f>HYPERLINK("https://www.soccerplususa.com/puma/puma-teamfinal-21-graphic-jersey-42093", "https://www.soccerplususa.com/puma/puma-teamfinal-21-graphic-jersey-42093")</f>
        <v/>
      </c>
      <c r="B4055" t="inlineStr">
        <is>
          <t>undefined</t>
        </is>
      </c>
      <c r="C4055" t="inlineStr">
        <is>
          <t>Puma Teamfinal 21 Graphic Jersey</t>
        </is>
      </c>
      <c r="D4055" t="inlineStr">
        <is>
          <t>PUMA Men's Teamfinal 21 Graphic Jersey</t>
        </is>
      </c>
      <c r="E4055" s="2">
        <f>HYPERLINK("https://www.amazon.com/PUMA-Teamfinal-Graphic-Electric-Lemonade/dp/B086RSH741/ref=sr_1_1?keywords=Puma+Teamfinal+21+Graphic+Jersey&amp;qid=1695171154&amp;sr=8-1", "https://www.amazon.com/PUMA-Teamfinal-Graphic-Electric-Lemonade/dp/B086RSH741/ref=sr_1_1?keywords=Puma+Teamfinal+21+Graphic+Jersey&amp;qid=1695171154&amp;sr=8-1")</f>
        <v/>
      </c>
      <c r="F4055" t="inlineStr">
        <is>
          <t>B086RSH741</t>
        </is>
      </c>
      <c r="G4055">
        <f>_xludf.IMAGE("https://www.soccerplususa.com/prodimages//37423-BLACK-M.jpg")</f>
        <v/>
      </c>
      <c r="H4055">
        <f>_xludf.IMAGE("https://m.media-amazon.com/images/I/61gZBtzx9vL._AC_UL320_.jpg")</f>
        <v/>
      </c>
      <c r="K4055" t="inlineStr">
        <is>
          <t>29.99</t>
        </is>
      </c>
      <c r="L4055" t="n">
        <v>38.61</v>
      </c>
      <c r="M4055" s="1" t="inlineStr">
        <is>
          <t>28.74%</t>
        </is>
      </c>
      <c r="N4055" s="3" t="n">
        <v>28.74</v>
      </c>
      <c r="O4055" t="n">
        <v>4.4</v>
      </c>
      <c r="P4055" t="n">
        <v>87</v>
      </c>
      <c r="R4055" t="inlineStr">
        <is>
          <t>InStock</t>
        </is>
      </c>
      <c r="S4055" t="inlineStr">
        <is>
          <t>39.95</t>
        </is>
      </c>
      <c r="T4055" t="inlineStr">
        <is>
          <t>704150-03</t>
        </is>
      </c>
    </row>
    <row r="4056" hidden="1" ht="15.75" customHeight="1">
      <c r="A4056" s="2">
        <f>HYPERLINK("https://www.soccerplususa.com/puma/puma-teamfinal-21-graphic-jersey-42091", "https://www.soccerplususa.com/puma/puma-teamfinal-21-graphic-jersey-42091")</f>
        <v/>
      </c>
      <c r="B4056" t="inlineStr">
        <is>
          <t>undefined</t>
        </is>
      </c>
      <c r="C4056" t="inlineStr">
        <is>
          <t>Puma Teamfinal 21 Graphic Jersey</t>
        </is>
      </c>
      <c r="D4056" t="inlineStr">
        <is>
          <t>PUMA Men's Teamfinal 21 Graphic Jersey</t>
        </is>
      </c>
      <c r="E4056" s="2">
        <f>HYPERLINK("https://www.amazon.com/PUMA-Teamfinal-Graphic-Electric-Lemonade/dp/B086RSH741/ref=sr_1_1?keywords=Puma+Teamfinal+21+Graphic+Jersey&amp;qid=1695171145&amp;sr=8-1", "https://www.amazon.com/PUMA-Teamfinal-Graphic-Electric-Lemonade/dp/B086RSH741/ref=sr_1_1?keywords=Puma+Teamfinal+21+Graphic+Jersey&amp;qid=1695171145&amp;sr=8-1")</f>
        <v/>
      </c>
      <c r="F4056" t="inlineStr">
        <is>
          <t>B086RSH741</t>
        </is>
      </c>
      <c r="G4056">
        <f>_xludf.IMAGE("https://www.soccerplususa.com/prodimages//37420-RED-M.jpg")</f>
        <v/>
      </c>
      <c r="H4056">
        <f>_xludf.IMAGE("https://m.media-amazon.com/images/I/61gZBtzx9vL._AC_UL320_.jpg")</f>
        <v/>
      </c>
      <c r="K4056" t="inlineStr">
        <is>
          <t>29.99</t>
        </is>
      </c>
      <c r="L4056" t="n">
        <v>38.61</v>
      </c>
      <c r="M4056" s="1" t="inlineStr">
        <is>
          <t>28.74%</t>
        </is>
      </c>
      <c r="N4056" s="3" t="n">
        <v>28.74</v>
      </c>
      <c r="O4056" t="n">
        <v>4.4</v>
      </c>
      <c r="P4056" t="n">
        <v>87</v>
      </c>
      <c r="R4056" t="inlineStr">
        <is>
          <t>InStock</t>
        </is>
      </c>
      <c r="S4056" t="inlineStr">
        <is>
          <t>39.95</t>
        </is>
      </c>
      <c r="T4056" t="inlineStr">
        <is>
          <t>704150-01</t>
        </is>
      </c>
    </row>
    <row r="4057" hidden="1" ht="15.75" customHeight="1">
      <c r="A4057" s="2">
        <f>HYPERLINK("https://www.soccerplususa.com/puma/puma-teamfinal-21-graphic-jersey-38698", "https://www.soccerplususa.com/puma/puma-teamfinal-21-graphic-jersey-38698")</f>
        <v/>
      </c>
      <c r="B4057" t="inlineStr">
        <is>
          <t>undefined</t>
        </is>
      </c>
      <c r="C4057" t="inlineStr">
        <is>
          <t>Puma Teamfinal 21 Graphic Jersey</t>
        </is>
      </c>
      <c r="D4057" t="inlineStr">
        <is>
          <t>PUMA Men's Teamfinal 21 Graphic Jersey</t>
        </is>
      </c>
      <c r="E4057" s="2">
        <f>HYPERLINK("https://www.amazon.com/PUMA-Teamfinal-Graphic-Electric-Lemonade/dp/B086RSH741/ref=sr_1_1?keywords=Puma+Teamfinal+21+Graphic+Jersey&amp;qid=1695171152&amp;sr=8-1", "https://www.amazon.com/PUMA-Teamfinal-Graphic-Electric-Lemonade/dp/B086RSH741/ref=sr_1_1?keywords=Puma+Teamfinal+21+Graphic+Jersey&amp;qid=1695171152&amp;sr=8-1")</f>
        <v/>
      </c>
      <c r="F4057" t="inlineStr">
        <is>
          <t>B086RSH741</t>
        </is>
      </c>
      <c r="G4057">
        <f>_xludf.IMAGE("https://www.soccerplususa.com/prodimages//36790-Electric_Blue-M.jpg")</f>
        <v/>
      </c>
      <c r="H4057">
        <f>_xludf.IMAGE("https://m.media-amazon.com/images/I/61gZBtzx9vL._AC_UL320_.jpg")</f>
        <v/>
      </c>
      <c r="K4057" t="inlineStr">
        <is>
          <t>29.99</t>
        </is>
      </c>
      <c r="L4057" t="n">
        <v>38.61</v>
      </c>
      <c r="M4057" s="1" t="inlineStr">
        <is>
          <t>28.74%</t>
        </is>
      </c>
      <c r="N4057" s="3" t="n">
        <v>28.74</v>
      </c>
      <c r="O4057" t="n">
        <v>4.4</v>
      </c>
      <c r="P4057" t="n">
        <v>87</v>
      </c>
      <c r="R4057" t="inlineStr">
        <is>
          <t>InStock</t>
        </is>
      </c>
      <c r="S4057" t="inlineStr">
        <is>
          <t>39.95</t>
        </is>
      </c>
      <c r="T4057" t="inlineStr">
        <is>
          <t>704150-02</t>
        </is>
      </c>
    </row>
    <row r="4058" hidden="1" ht="15.75" customHeight="1">
      <c r="A4058" s="2">
        <f>HYPERLINK("https://www.soccerplususa.com/puma/puma-teamfinal-21-graphic-jersey-38700", "https://www.soccerplususa.com/puma/puma-teamfinal-21-graphic-jersey-38700")</f>
        <v/>
      </c>
      <c r="B4058" t="inlineStr">
        <is>
          <t>undefined</t>
        </is>
      </c>
      <c r="C4058" t="inlineStr">
        <is>
          <t>Puma Teamfinal 21 Graphic Jersey</t>
        </is>
      </c>
      <c r="D4058" t="inlineStr">
        <is>
          <t>PUMA Men's Teamfinal 21 Graphic Jersey</t>
        </is>
      </c>
      <c r="E4058" s="2">
        <f>HYPERLINK("https://www.amazon.com/PUMA-Teamfinal-Graphic-Electric-Lemonade/dp/B086RSH741/ref=sr_1_1?keywords=Puma+Teamfinal+21+Graphic+Jersey&amp;qid=1695171150&amp;sr=8-1", "https://www.amazon.com/PUMA-Teamfinal-Graphic-Electric-Lemonade/dp/B086RSH741/ref=sr_1_1?keywords=Puma+Teamfinal+21+Graphic+Jersey&amp;qid=1695171150&amp;sr=8-1")</f>
        <v/>
      </c>
      <c r="F4058" t="inlineStr">
        <is>
          <t>B086RSH741</t>
        </is>
      </c>
      <c r="G4058">
        <f>_xludf.IMAGE("https://www.soccerplususa.com/prodimages//36789-WhiteGray-M.jpg")</f>
        <v/>
      </c>
      <c r="H4058">
        <f>_xludf.IMAGE("https://m.media-amazon.com/images/I/61gZBtzx9vL._AC_UL320_.jpg")</f>
        <v/>
      </c>
      <c r="K4058" t="inlineStr">
        <is>
          <t>29.99</t>
        </is>
      </c>
      <c r="L4058" t="n">
        <v>38.61</v>
      </c>
      <c r="M4058" s="1" t="inlineStr">
        <is>
          <t>28.74%</t>
        </is>
      </c>
      <c r="N4058" s="3" t="n">
        <v>28.74</v>
      </c>
      <c r="O4058" t="n">
        <v>4.4</v>
      </c>
      <c r="P4058" t="n">
        <v>87</v>
      </c>
      <c r="R4058" t="inlineStr">
        <is>
          <t>InStock</t>
        </is>
      </c>
      <c r="S4058" t="inlineStr">
        <is>
          <t>39.95</t>
        </is>
      </c>
      <c r="T4058" t="inlineStr">
        <is>
          <t>704150-04</t>
        </is>
      </c>
    </row>
    <row r="4059" hidden="1" ht="15.75" customHeight="1">
      <c r="A4059" s="2">
        <f>HYPERLINK("https://www.soccerplususa.com/puma/puma-liga-jersey-womens-39602", "https://www.soccerplususa.com/puma/puma-liga-jersey-womens-39602")</f>
        <v/>
      </c>
      <c r="B4059" t="inlineStr">
        <is>
          <t>undefined</t>
        </is>
      </c>
      <c r="C4059" t="inlineStr">
        <is>
          <t>Puma Liga Jersey Women's</t>
        </is>
      </c>
      <c r="D4059" t="inlineStr">
        <is>
          <t>womens Liga Training Jersey, Electric Blue Lemonadepuma White, Large US</t>
        </is>
      </c>
      <c r="E4059" s="2">
        <f>HYPERLINK("https://www.amazon.com/PUMA-Womens-Training-Electric-Lemonadepuma/dp/B07KWQDQVZ/ref=sr_1_8?keywords=Puma+Liga+Jersey+Womens&amp;qid=1695171150&amp;sr=8-8", "https://www.amazon.com/PUMA-Womens-Training-Electric-Lemonadepuma/dp/B07KWQDQVZ/ref=sr_1_8?keywords=Puma+Liga+Jersey+Womens&amp;qid=1695171150&amp;sr=8-8")</f>
        <v/>
      </c>
      <c r="F4059" t="inlineStr">
        <is>
          <t>B07KWQDQVZ</t>
        </is>
      </c>
      <c r="G4059">
        <f>_xludf.IMAGE("https://www.soccerplususa.com/prodimages//36786-REDWHITE-M.jpg")</f>
        <v/>
      </c>
      <c r="H4059">
        <f>_xludf.IMAGE("https://m.media-amazon.com/images/I/81ycC-g8l+L._AC_UL320_.jpg")</f>
        <v/>
      </c>
      <c r="K4059" t="inlineStr">
        <is>
          <t>20.99</t>
        </is>
      </c>
      <c r="L4059" t="n">
        <v>27</v>
      </c>
      <c r="M4059" s="1" t="inlineStr">
        <is>
          <t>28.63%</t>
        </is>
      </c>
      <c r="N4059" s="3" t="n">
        <v>28.63</v>
      </c>
      <c r="O4059" t="n">
        <v>4.7</v>
      </c>
      <c r="P4059" t="n">
        <v>14</v>
      </c>
      <c r="R4059" t="inlineStr">
        <is>
          <t>InStock</t>
        </is>
      </c>
      <c r="S4059" t="inlineStr">
        <is>
          <t>27.95</t>
        </is>
      </c>
      <c r="T4059" t="inlineStr">
        <is>
          <t>703426-01</t>
        </is>
      </c>
    </row>
    <row r="4060" hidden="1" ht="15.75" customHeight="1">
      <c r="A4060" s="2">
        <f>HYPERLINK("https://www.soccerplususa.com/adidas/adidas-regista-16-jersey-4147", "https://www.soccerplususa.com/adidas/adidas-regista-16-jersey-4147")</f>
        <v/>
      </c>
      <c r="B4060" t="inlineStr">
        <is>
          <t>undefined</t>
        </is>
      </c>
      <c r="C4060" t="inlineStr">
        <is>
          <t>adidas Regista 16 Jersey</t>
        </is>
      </c>
      <c r="D4060" t="inlineStr">
        <is>
          <t>adidas Regista 16 Youth Soccer Jersey L Power Red/White</t>
        </is>
      </c>
      <c r="E4060" s="2">
        <f>HYPERLINK("https://www.amazon.com/Adidas-Regista-Soccer-Jersey-Red-White/dp/B018668S5I/ref=sr_1_3?keywords=adidas+Regista+16+Jersey&amp;qid=1695171233&amp;sr=8-3", "https://www.amazon.com/Adidas-Regista-Soccer-Jersey-Red-White/dp/B018668S5I/ref=sr_1_3?keywords=adidas+Regista+16+Jersey&amp;qid=1695171233&amp;sr=8-3")</f>
        <v/>
      </c>
      <c r="F4060" t="inlineStr">
        <is>
          <t>B018668S5I</t>
        </is>
      </c>
      <c r="G4060">
        <f>_xludf.IMAGE("https://www.soccerplususa.com/prodimages/7616-DEFAULT-l.jpg")</f>
        <v/>
      </c>
      <c r="H4060">
        <f>_xludf.IMAGE("https://m.media-amazon.com/images/I/514dyYJa+IL._AC_UL320_.jpg")</f>
        <v/>
      </c>
      <c r="K4060" t="inlineStr">
        <is>
          <t>17.5</t>
        </is>
      </c>
      <c r="L4060" t="n">
        <v>22.48</v>
      </c>
      <c r="M4060" s="1" t="inlineStr">
        <is>
          <t>28.46%</t>
        </is>
      </c>
      <c r="N4060" s="3" t="n">
        <v>28.46</v>
      </c>
      <c r="O4060" t="n">
        <v>5</v>
      </c>
      <c r="P4060" t="n">
        <v>2</v>
      </c>
      <c r="R4060" t="inlineStr">
        <is>
          <t>InStock</t>
        </is>
      </c>
      <c r="S4060" t="inlineStr">
        <is>
          <t>34.95</t>
        </is>
      </c>
      <c r="T4060" t="inlineStr">
        <is>
          <t>AP0529</t>
        </is>
      </c>
    </row>
    <row r="4061" hidden="1" ht="15.75" customHeight="1">
      <c r="A4061" s="2">
        <f>HYPERLINK("https://www.soccerplususa.com/adidas/adidas-regista-16-jersey-4149", "https://www.soccerplususa.com/adidas/adidas-regista-16-jersey-4149")</f>
        <v/>
      </c>
      <c r="B4061" t="inlineStr">
        <is>
          <t>undefined</t>
        </is>
      </c>
      <c r="C4061" t="inlineStr">
        <is>
          <t>adidas Regista 16 Jersey</t>
        </is>
      </c>
      <c r="D4061" t="inlineStr">
        <is>
          <t>adidas Mens Regista Jersey</t>
        </is>
      </c>
      <c r="E4061" s="2">
        <f>HYPERLINK("https://www.amazon.com/adidas-Regista-18-Jersey%E2%9D%97%EF%B8%8FShips-Directly/dp/B07BHL2RTX/ref=sr_1_8?keywords=adidas+Regista+16+Jersey&amp;qid=1695171233&amp;sr=8-8", "https://www.amazon.com/adidas-Regista-18-Jersey%E2%9D%97%EF%B8%8FShips-Directly/dp/B07BHL2RTX/ref=sr_1_8?keywords=adidas+Regista+16+Jersey&amp;qid=1695171233&amp;sr=8-8")</f>
        <v/>
      </c>
      <c r="F4061" t="inlineStr">
        <is>
          <t>B07BHL2RTX</t>
        </is>
      </c>
      <c r="G4061">
        <f>_xludf.IMAGE("https://www.soccerplususa.com/prodimages/32795-DEFAULT-l.jpg")</f>
        <v/>
      </c>
      <c r="H4061">
        <f>_xludf.IMAGE("https://m.media-amazon.com/images/I/710DBNFeOcL._AC_UL320_.jpg")</f>
        <v/>
      </c>
      <c r="K4061" t="inlineStr">
        <is>
          <t>17.0</t>
        </is>
      </c>
      <c r="L4061" t="n">
        <v>21.7</v>
      </c>
      <c r="M4061" s="1" t="inlineStr">
        <is>
          <t>27.65%</t>
        </is>
      </c>
      <c r="N4061" s="3" t="n">
        <v>27.65</v>
      </c>
      <c r="O4061" t="n">
        <v>5</v>
      </c>
      <c r="P4061" t="n">
        <v>2</v>
      </c>
      <c r="R4061" t="inlineStr">
        <is>
          <t>InStock</t>
        </is>
      </c>
      <c r="S4061" t="inlineStr">
        <is>
          <t>34.95</t>
        </is>
      </c>
      <c r="T4061" t="inlineStr">
        <is>
          <t>AP0535</t>
        </is>
      </c>
    </row>
    <row r="4062" hidden="1" ht="15.75" customHeight="1">
      <c r="A4062" s="2">
        <f>HYPERLINK("https://www.soccerplususa.com/adidas/adidas-core-18-training-top-33852", "https://www.soccerplususa.com/adidas/adidas-core-18-training-top-33852")</f>
        <v/>
      </c>
      <c r="B4062" t="inlineStr">
        <is>
          <t>undefined</t>
        </is>
      </c>
      <c r="C4062" t="inlineStr">
        <is>
          <t>adidas Core 18 Training Top</t>
        </is>
      </c>
      <c r="D4062" t="inlineStr">
        <is>
          <t>adidas Unisex-Child Soccer Core 18 Training Top</t>
        </is>
      </c>
      <c r="E4062" s="2">
        <f>HYPERLINK("https://www.amazon.com/adidas-Unisex-Soccer-Core18-Training/dp/B0716JC1ST/ref=sr_1_5?keywords=adidas+Core+18+Training+Top&amp;qid=1695171165&amp;sr=8-5", "https://www.amazon.com/adidas-Unisex-Soccer-Core18-Training/dp/B0716JC1ST/ref=sr_1_5?keywords=adidas+Core+18+Training+Top&amp;qid=1695171165&amp;sr=8-5")</f>
        <v/>
      </c>
      <c r="F4062" t="inlineStr">
        <is>
          <t>B0716JC1ST</t>
        </is>
      </c>
      <c r="G4062">
        <f>_xludf.IMAGE("https://www.soccerplususa.com/prodimages/33345-DEFAULT-l.jpg")</f>
        <v/>
      </c>
      <c r="H4062">
        <f>_xludf.IMAGE("https://m.media-amazon.com/images/I/71xiD+tXpEL._AC_UL320_.jpg")</f>
        <v/>
      </c>
      <c r="K4062" t="inlineStr">
        <is>
          <t>22.99</t>
        </is>
      </c>
      <c r="L4062" t="n">
        <v>29.28</v>
      </c>
      <c r="M4062" s="1" t="inlineStr">
        <is>
          <t>27.36%</t>
        </is>
      </c>
      <c r="N4062" s="3" t="n">
        <v>27.36</v>
      </c>
      <c r="O4062" t="n">
        <v>4.5</v>
      </c>
      <c r="P4062" t="n">
        <v>244</v>
      </c>
      <c r="R4062" t="inlineStr">
        <is>
          <t>InStock</t>
        </is>
      </c>
      <c r="S4062" t="inlineStr">
        <is>
          <t>30.95</t>
        </is>
      </c>
      <c r="T4062" t="inlineStr">
        <is>
          <t>CV4000</t>
        </is>
      </c>
    </row>
    <row r="4063" hidden="1" ht="15.75" customHeight="1">
      <c r="A4063" s="2">
        <f>HYPERLINK("https://www.soccerplususa.com/adidas/adidas-core-18-training-jersey-33847", "https://www.soccerplususa.com/adidas/adidas-core-18-training-jersey-33847")</f>
        <v/>
      </c>
      <c r="B4063" t="inlineStr">
        <is>
          <t>undefined</t>
        </is>
      </c>
      <c r="C4063" t="inlineStr">
        <is>
          <t>adidas Core 18 Training Jersey</t>
        </is>
      </c>
      <c r="D4063" t="inlineStr">
        <is>
          <t>adidas Men's Core 18 Training Jersey</t>
        </is>
      </c>
      <c r="E4063" s="2">
        <f>HYPERLINK("https://www.amazon.com/adidas-Core18-Jersey-White-Medium/dp/B0721VYW2R/ref=sr_1_1?keywords=adidas+Core+18+Training+Jersey&amp;qid=1695171175&amp;sr=8-1", "https://www.amazon.com/adidas-Core18-Jersey-White-Medium/dp/B0721VYW2R/ref=sr_1_1?keywords=adidas+Core+18+Training+Jersey&amp;qid=1695171175&amp;sr=8-1")</f>
        <v/>
      </c>
      <c r="F4063" t="inlineStr">
        <is>
          <t>B0721VYW2R</t>
        </is>
      </c>
      <c r="G4063">
        <f>_xludf.IMAGE("https://www.soccerplususa.com/prodimages/32787-DEFAULT-l.jpg")</f>
        <v/>
      </c>
      <c r="H4063">
        <f>_xludf.IMAGE("https://m.media-amazon.com/images/I/51Qfy9nv0PL._AC_UL320_.jpg")</f>
        <v/>
      </c>
      <c r="K4063" t="inlineStr">
        <is>
          <t>14.99</t>
        </is>
      </c>
      <c r="L4063" t="n">
        <v>18.99</v>
      </c>
      <c r="M4063" s="1" t="inlineStr">
        <is>
          <t>26.68%</t>
        </is>
      </c>
      <c r="N4063" s="3" t="n">
        <v>26.68</v>
      </c>
      <c r="O4063" t="n">
        <v>4.5</v>
      </c>
      <c r="P4063" t="n">
        <v>3246</v>
      </c>
      <c r="R4063" t="inlineStr">
        <is>
          <t>InStock</t>
        </is>
      </c>
      <c r="S4063" t="inlineStr">
        <is>
          <t>19.95</t>
        </is>
      </c>
      <c r="T4063" t="inlineStr">
        <is>
          <t>CV3452</t>
        </is>
      </c>
    </row>
    <row r="4064" hidden="1" ht="15.75" customHeight="1">
      <c r="A4064" s="2">
        <f>HYPERLINK("https://www.soccerplususa.com/adidas/adidas-regista-16-jersey-youth-4195", "https://www.soccerplususa.com/adidas/adidas-regista-16-jersey-youth-4195")</f>
        <v/>
      </c>
      <c r="B4064" t="inlineStr">
        <is>
          <t>undefined</t>
        </is>
      </c>
      <c r="C4064" t="inlineStr">
        <is>
          <t>adidas Regista 16 Jersey Youth</t>
        </is>
      </c>
      <c r="D4064" t="inlineStr">
        <is>
          <t>adidas Youth Regista 16 Short</t>
        </is>
      </c>
      <c r="E4064" s="2">
        <f>HYPERLINK("https://www.amazon.com/adidas-Youth-Regista-Short-White/dp/B01866F70M/ref=sr_1_2?keywords=adidas+Regista+16+Jersey+Youth&amp;qid=1695171236&amp;sr=8-2", "https://www.amazon.com/adidas-Youth-Regista-Short-White/dp/B01866F70M/ref=sr_1_2?keywords=adidas+Regista+16+Jersey+Youth&amp;qid=1695171236&amp;sr=8-2")</f>
        <v/>
      </c>
      <c r="F4064" t="inlineStr">
        <is>
          <t>B01866F70M</t>
        </is>
      </c>
      <c r="G4064">
        <f>_xludf.IMAGE("https://www.soccerplususa.com/prodimages/9533-DEFAULT-l.jpg")</f>
        <v/>
      </c>
      <c r="H4064">
        <f>_xludf.IMAGE("https://m.media-amazon.com/images/I/71e3xPA56PL._AC_UL320_.jpg")</f>
        <v/>
      </c>
      <c r="K4064" t="inlineStr">
        <is>
          <t>15.0</t>
        </is>
      </c>
      <c r="L4064" t="n">
        <v>18.95</v>
      </c>
      <c r="M4064" s="1" t="inlineStr">
        <is>
          <t>26.33%</t>
        </is>
      </c>
      <c r="N4064" s="3" t="n">
        <v>26.33</v>
      </c>
      <c r="O4064" t="n">
        <v>3.8</v>
      </c>
      <c r="P4064" t="n">
        <v>4</v>
      </c>
      <c r="R4064" t="inlineStr">
        <is>
          <t>InStock</t>
        </is>
      </c>
      <c r="S4064" t="inlineStr">
        <is>
          <t>30.0</t>
        </is>
      </c>
      <c r="T4064" t="inlineStr">
        <is>
          <t>AP1863</t>
        </is>
      </c>
    </row>
    <row r="4065" hidden="1" ht="15.75" customHeight="1">
      <c r="A4065" s="2">
        <f>HYPERLINK("https://www.soccerplususa.com/adidas/adidas-regista-16-jersey-youth-4152", "https://www.soccerplususa.com/adidas/adidas-regista-16-jersey-youth-4152")</f>
        <v/>
      </c>
      <c r="B4065" t="inlineStr">
        <is>
          <t>undefined</t>
        </is>
      </c>
      <c r="C4065" t="inlineStr">
        <is>
          <t>adidas Regista 16 Jersey Youth</t>
        </is>
      </c>
      <c r="D4065" t="inlineStr">
        <is>
          <t>adidas Youth Regista 16 Short</t>
        </is>
      </c>
      <c r="E4065" s="2">
        <f>HYPERLINK("https://www.amazon.com/adidas-Youth-Regista-Short-White/dp/B01866F70M/ref=sr_1_2?keywords=adidas+Regista+16+Jersey+Youth&amp;qid=1695171229&amp;sr=8-2", "https://www.amazon.com/adidas-Youth-Regista-Short-White/dp/B01866F70M/ref=sr_1_2?keywords=adidas+Regista+16+Jersey+Youth&amp;qid=1695171229&amp;sr=8-2")</f>
        <v/>
      </c>
      <c r="F4065" t="inlineStr">
        <is>
          <t>B01866F70M</t>
        </is>
      </c>
      <c r="G4065">
        <f>_xludf.IMAGE("https://www.soccerplususa.com/prodimages/7617-DEFAULT-l.jpg")</f>
        <v/>
      </c>
      <c r="H4065">
        <f>_xludf.IMAGE("https://m.media-amazon.com/images/I/71e3xPA56PL._AC_UL320_.jpg")</f>
        <v/>
      </c>
      <c r="K4065" t="inlineStr">
        <is>
          <t>15.0</t>
        </is>
      </c>
      <c r="L4065" t="n">
        <v>18.95</v>
      </c>
      <c r="M4065" s="1" t="inlineStr">
        <is>
          <t>26.33%</t>
        </is>
      </c>
      <c r="N4065" s="3" t="n">
        <v>26.33</v>
      </c>
      <c r="O4065" t="n">
        <v>3.8</v>
      </c>
      <c r="P4065" t="n">
        <v>4</v>
      </c>
      <c r="R4065" t="inlineStr">
        <is>
          <t>InStock</t>
        </is>
      </c>
      <c r="S4065" t="inlineStr">
        <is>
          <t>29.95</t>
        </is>
      </c>
      <c r="T4065" t="inlineStr">
        <is>
          <t>AP0543</t>
        </is>
      </c>
    </row>
    <row r="4066" hidden="1" ht="15.75" customHeight="1">
      <c r="A4066" s="2">
        <f>HYPERLINK("https://www.soccerplususa.com/new-balance/new-balance-sideline-jacket-41947", "https://www.soccerplususa.com/new-balance/new-balance-sideline-jacket-41947")</f>
        <v/>
      </c>
      <c r="B4066" t="inlineStr">
        <is>
          <t>undefined</t>
        </is>
      </c>
      <c r="C4066" t="inlineStr">
        <is>
          <t>New Balance Sideline Jacket</t>
        </is>
      </c>
      <c r="D4066" t="inlineStr">
        <is>
          <t>New Balance Men's Nb Heatloft Full Zip Jacket 22</t>
        </is>
      </c>
      <c r="E4066" s="2">
        <f>HYPERLINK("https://www.amazon.com/New-Balance-Mens-Black-Large/dp/B09M7QN2VJ/ref=sr_1_5?keywords=New+Balance+Sideline+Jacket&amp;qid=1695171146&amp;sr=8-5", "https://www.amazon.com/New-Balance-Mens-Black-Large/dp/B09M7QN2VJ/ref=sr_1_5?keywords=New+Balance+Sideline+Jacket&amp;qid=1695171146&amp;sr=8-5")</f>
        <v/>
      </c>
      <c r="F4066" t="inlineStr">
        <is>
          <t>B09M7QN2VJ</t>
        </is>
      </c>
      <c r="G4066">
        <f>_xludf.IMAGE("https://www.soccerplususa.com/prodimages//37530-BLACK-M.jpg")</f>
        <v/>
      </c>
      <c r="H4066">
        <f>_xludf.IMAGE("https://m.media-amazon.com/images/I/51L5mjAmdUL._AC_UL320_.jpg")</f>
        <v/>
      </c>
      <c r="K4066" t="inlineStr">
        <is>
          <t>71.49</t>
        </is>
      </c>
      <c r="L4066" t="n">
        <v>90.08</v>
      </c>
      <c r="M4066" s="1" t="inlineStr">
        <is>
          <t>26.00%</t>
        </is>
      </c>
      <c r="N4066" s="3" t="n">
        <v>26</v>
      </c>
      <c r="O4066" t="n">
        <v>4.7</v>
      </c>
      <c r="P4066" t="n">
        <v>4</v>
      </c>
      <c r="R4066" t="inlineStr">
        <is>
          <t>InStock</t>
        </is>
      </c>
      <c r="S4066" t="inlineStr">
        <is>
          <t>95.0</t>
        </is>
      </c>
      <c r="T4066" t="inlineStr">
        <is>
          <t>TMMJ718</t>
        </is>
      </c>
    </row>
    <row r="4067" hidden="1" ht="15.75" customHeight="1">
      <c r="A4067" s="2">
        <f>HYPERLINK("https://www.soccerplususa.com/puma/puma-teamfinal-21-graphic-jersey-42133", "https://www.soccerplususa.com/puma/puma-teamfinal-21-graphic-jersey-42133")</f>
        <v/>
      </c>
      <c r="B4067" t="inlineStr">
        <is>
          <t>undefined</t>
        </is>
      </c>
      <c r="C4067" t="inlineStr">
        <is>
          <t>Puma Teamfinal 21 Graphic Jersey</t>
        </is>
      </c>
      <c r="D4067" t="inlineStr">
        <is>
          <t>PUMA Unisex Youth Teamfinal 21 Graphic Jersey</t>
        </is>
      </c>
      <c r="E4067" s="2">
        <f>HYPERLINK("https://www.amazon.com/PUMA-TEAMFINAL-Graphic-Jersey-White/dp/B084ZXBJKK/ref=sr_1_2?keywords=Puma+Teamfinal+21+Graphic+Jersey&amp;qid=1695171174&amp;sr=8-2", "https://www.amazon.com/PUMA-TEAMFINAL-Graphic-Jersey-White/dp/B084ZXBJKK/ref=sr_1_2?keywords=Puma+Teamfinal+21+Graphic+Jersey&amp;qid=1695171174&amp;sr=8-2")</f>
        <v/>
      </c>
      <c r="F4067" t="inlineStr">
        <is>
          <t>B084ZXBJKK</t>
        </is>
      </c>
      <c r="G4067">
        <f>_xludf.IMAGE("https://www.soccerplususa.com/prodimages//37416-GRAY-M.jpg")</f>
        <v/>
      </c>
      <c r="H4067">
        <f>_xludf.IMAGE("https://m.media-amazon.com/images/I/81AkQRN7R3L._AC_UL320_.jpg")</f>
        <v/>
      </c>
      <c r="K4067" t="inlineStr">
        <is>
          <t>29.99</t>
        </is>
      </c>
      <c r="L4067" t="n">
        <v>37.55</v>
      </c>
      <c r="M4067" s="1" t="inlineStr">
        <is>
          <t>25.21%</t>
        </is>
      </c>
      <c r="N4067" s="3" t="n">
        <v>25.21</v>
      </c>
      <c r="O4067" t="n">
        <v>4.3</v>
      </c>
      <c r="P4067" t="n">
        <v>35</v>
      </c>
      <c r="R4067" t="inlineStr">
        <is>
          <t>InStock</t>
        </is>
      </c>
      <c r="S4067" t="inlineStr">
        <is>
          <t>39.95</t>
        </is>
      </c>
      <c r="T4067" t="inlineStr">
        <is>
          <t>704150-13</t>
        </is>
      </c>
    </row>
    <row r="4068" hidden="1" ht="15.75" customHeight="1">
      <c r="A4068" s="2">
        <f>HYPERLINK("https://www.soccerplususa.com/puma/puma-teamfinal-21-graphic-jersey-41907", "https://www.soccerplususa.com/puma/puma-teamfinal-21-graphic-jersey-41907")</f>
        <v/>
      </c>
      <c r="B4068" t="inlineStr">
        <is>
          <t>undefined</t>
        </is>
      </c>
      <c r="C4068" t="inlineStr">
        <is>
          <t>Puma Teamfinal 21 Graphic Jersey</t>
        </is>
      </c>
      <c r="D4068" t="inlineStr">
        <is>
          <t>PUMA Unisex Youth Teamfinal 21 Graphic Jersey</t>
        </is>
      </c>
      <c r="E4068" s="2">
        <f>HYPERLINK("https://www.amazon.com/PUMA-TEAMFINAL-Graphic-Jersey-White/dp/B084ZXBJKK/ref=sr_1_2?keywords=Puma+Teamfinal+21+Graphic+Jersey&amp;qid=1695171144&amp;sr=8-2", "https://www.amazon.com/PUMA-TEAMFINAL-Graphic-Jersey-White/dp/B084ZXBJKK/ref=sr_1_2?keywords=Puma+Teamfinal+21+Graphic+Jersey&amp;qid=1695171144&amp;sr=8-2")</f>
        <v/>
      </c>
      <c r="F4068" t="inlineStr">
        <is>
          <t>B084ZXBJKK</t>
        </is>
      </c>
      <c r="G4068">
        <f>_xludf.IMAGE("https://www.soccerplususa.com/prodimages//37409-NAVY-M.jpg")</f>
        <v/>
      </c>
      <c r="H4068">
        <f>_xludf.IMAGE("https://m.media-amazon.com/images/I/81AkQRN7R3L._AC_UL320_.jpg")</f>
        <v/>
      </c>
      <c r="K4068" t="inlineStr">
        <is>
          <t>29.99</t>
        </is>
      </c>
      <c r="L4068" t="n">
        <v>37.55</v>
      </c>
      <c r="M4068" s="1" t="inlineStr">
        <is>
          <t>25.21%</t>
        </is>
      </c>
      <c r="N4068" s="3" t="n">
        <v>25.21</v>
      </c>
      <c r="O4068" t="n">
        <v>4.3</v>
      </c>
      <c r="P4068" t="n">
        <v>35</v>
      </c>
      <c r="R4068" t="inlineStr">
        <is>
          <t>InStock</t>
        </is>
      </c>
      <c r="S4068" t="inlineStr">
        <is>
          <t>39.95</t>
        </is>
      </c>
      <c r="T4068" t="inlineStr">
        <is>
          <t>704150-06</t>
        </is>
      </c>
    </row>
    <row r="4069" hidden="1" ht="15.75" customHeight="1">
      <c r="A4069" s="2">
        <f>HYPERLINK("https://www.soccerplususa.com/puma/puma-teamfinal-21-graphic-jersey-42091", "https://www.soccerplususa.com/puma/puma-teamfinal-21-graphic-jersey-42091")</f>
        <v/>
      </c>
      <c r="B4069" t="inlineStr">
        <is>
          <t>undefined</t>
        </is>
      </c>
      <c r="C4069" t="inlineStr">
        <is>
          <t>Puma Teamfinal 21 Graphic Jersey</t>
        </is>
      </c>
      <c r="D4069" t="inlineStr">
        <is>
          <t>PUMA Unisex Youth Teamfinal 21 Graphic Jersey</t>
        </is>
      </c>
      <c r="E4069" s="2">
        <f>HYPERLINK("https://www.amazon.com/PUMA-TEAMFINAL-Graphic-Jersey-White/dp/B084ZXBJKK/ref=sr_1_2?keywords=Puma+Teamfinal+21+Graphic+Jersey&amp;qid=1695171145&amp;sr=8-2", "https://www.amazon.com/PUMA-TEAMFINAL-Graphic-Jersey-White/dp/B084ZXBJKK/ref=sr_1_2?keywords=Puma+Teamfinal+21+Graphic+Jersey&amp;qid=1695171145&amp;sr=8-2")</f>
        <v/>
      </c>
      <c r="F4069" t="inlineStr">
        <is>
          <t>B084ZXBJKK</t>
        </is>
      </c>
      <c r="G4069">
        <f>_xludf.IMAGE("https://www.soccerplususa.com/prodimages//37420-RED-M.jpg")</f>
        <v/>
      </c>
      <c r="H4069">
        <f>_xludf.IMAGE("https://m.media-amazon.com/images/I/81AkQRN7R3L._AC_UL320_.jpg")</f>
        <v/>
      </c>
      <c r="K4069" t="inlineStr">
        <is>
          <t>29.99</t>
        </is>
      </c>
      <c r="L4069" t="n">
        <v>37.55</v>
      </c>
      <c r="M4069" s="1" t="inlineStr">
        <is>
          <t>25.21%</t>
        </is>
      </c>
      <c r="N4069" s="3" t="n">
        <v>25.21</v>
      </c>
      <c r="O4069" t="n">
        <v>4.3</v>
      </c>
      <c r="P4069" t="n">
        <v>35</v>
      </c>
      <c r="R4069" t="inlineStr">
        <is>
          <t>InStock</t>
        </is>
      </c>
      <c r="S4069" t="inlineStr">
        <is>
          <t>39.95</t>
        </is>
      </c>
      <c r="T4069" t="inlineStr">
        <is>
          <t>704150-01</t>
        </is>
      </c>
    </row>
    <row r="4070" hidden="1" ht="15.75" customHeight="1">
      <c r="A4070" s="2">
        <f>HYPERLINK("https://www.soccerplususa.com/puma/puma-teamfinal-21-graphic-jersey-38698", "https://www.soccerplususa.com/puma/puma-teamfinal-21-graphic-jersey-38698")</f>
        <v/>
      </c>
      <c r="B4070" t="inlineStr">
        <is>
          <t>undefined</t>
        </is>
      </c>
      <c r="C4070" t="inlineStr">
        <is>
          <t>Puma Teamfinal 21 Graphic Jersey</t>
        </is>
      </c>
      <c r="D4070" t="inlineStr">
        <is>
          <t>PUMA Unisex Youth Teamfinal 21 Graphic Jersey</t>
        </is>
      </c>
      <c r="E4070" s="2">
        <f>HYPERLINK("https://www.amazon.com/PUMA-TEAMFINAL-Graphic-Jersey-White/dp/B084ZXBJKK/ref=sr_1_2?keywords=Puma+Teamfinal+21+Graphic+Jersey&amp;qid=1695171152&amp;sr=8-2", "https://www.amazon.com/PUMA-TEAMFINAL-Graphic-Jersey-White/dp/B084ZXBJKK/ref=sr_1_2?keywords=Puma+Teamfinal+21+Graphic+Jersey&amp;qid=1695171152&amp;sr=8-2")</f>
        <v/>
      </c>
      <c r="F4070" t="inlineStr">
        <is>
          <t>B084ZXBJKK</t>
        </is>
      </c>
      <c r="G4070">
        <f>_xludf.IMAGE("https://www.soccerplususa.com/prodimages//36790-Electric_Blue-M.jpg")</f>
        <v/>
      </c>
      <c r="H4070">
        <f>_xludf.IMAGE("https://m.media-amazon.com/images/I/81AkQRN7R3L._AC_UL320_.jpg")</f>
        <v/>
      </c>
      <c r="K4070" t="inlineStr">
        <is>
          <t>29.99</t>
        </is>
      </c>
      <c r="L4070" t="n">
        <v>37.55</v>
      </c>
      <c r="M4070" s="1" t="inlineStr">
        <is>
          <t>25.21%</t>
        </is>
      </c>
      <c r="N4070" s="3" t="n">
        <v>25.21</v>
      </c>
      <c r="O4070" t="n">
        <v>4.3</v>
      </c>
      <c r="P4070" t="n">
        <v>35</v>
      </c>
      <c r="R4070" t="inlineStr">
        <is>
          <t>InStock</t>
        </is>
      </c>
      <c r="S4070" t="inlineStr">
        <is>
          <t>39.95</t>
        </is>
      </c>
      <c r="T4070" t="inlineStr">
        <is>
          <t>704150-02</t>
        </is>
      </c>
    </row>
    <row r="4071" hidden="1" ht="15.75" customHeight="1">
      <c r="A4071" s="2">
        <f>HYPERLINK("https://www.soccerplususa.com/puma/puma-teamfinal-21-graphic-jersey-38700", "https://www.soccerplususa.com/puma/puma-teamfinal-21-graphic-jersey-38700")</f>
        <v/>
      </c>
      <c r="B4071" t="inlineStr">
        <is>
          <t>undefined</t>
        </is>
      </c>
      <c r="C4071" t="inlineStr">
        <is>
          <t>Puma Teamfinal 21 Graphic Jersey</t>
        </is>
      </c>
      <c r="D4071" t="inlineStr">
        <is>
          <t>PUMA Unisex Youth Teamfinal 21 Graphic Jersey</t>
        </is>
      </c>
      <c r="E4071" s="2">
        <f>HYPERLINK("https://www.amazon.com/PUMA-TEAMFINAL-Graphic-Jersey-White/dp/B084ZXBJKK/ref=sr_1_2?keywords=Puma+Teamfinal+21+Graphic+Jersey&amp;qid=1695171150&amp;sr=8-2", "https://www.amazon.com/PUMA-TEAMFINAL-Graphic-Jersey-White/dp/B084ZXBJKK/ref=sr_1_2?keywords=Puma+Teamfinal+21+Graphic+Jersey&amp;qid=1695171150&amp;sr=8-2")</f>
        <v/>
      </c>
      <c r="F4071" t="inlineStr">
        <is>
          <t>B084ZXBJKK</t>
        </is>
      </c>
      <c r="G4071">
        <f>_xludf.IMAGE("https://www.soccerplususa.com/prodimages//36789-WhiteGray-M.jpg")</f>
        <v/>
      </c>
      <c r="H4071">
        <f>_xludf.IMAGE("https://m.media-amazon.com/images/I/81AkQRN7R3L._AC_UL320_.jpg")</f>
        <v/>
      </c>
      <c r="K4071" t="inlineStr">
        <is>
          <t>29.99</t>
        </is>
      </c>
      <c r="L4071" t="n">
        <v>37.55</v>
      </c>
      <c r="M4071" s="1" t="inlineStr">
        <is>
          <t>25.21%</t>
        </is>
      </c>
      <c r="N4071" s="3" t="n">
        <v>25.21</v>
      </c>
      <c r="O4071" t="n">
        <v>4.3</v>
      </c>
      <c r="P4071" t="n">
        <v>35</v>
      </c>
      <c r="R4071" t="inlineStr">
        <is>
          <t>InStock</t>
        </is>
      </c>
      <c r="S4071" t="inlineStr">
        <is>
          <t>39.95</t>
        </is>
      </c>
      <c r="T4071" t="inlineStr">
        <is>
          <t>704150-04</t>
        </is>
      </c>
    </row>
    <row r="4072" hidden="1" ht="15.75" customHeight="1">
      <c r="A4072" s="2">
        <f>HYPERLINK("https://www.soccerplususa.com/puma/puma-teamfinal-21-graphic-jersey-42093", "https://www.soccerplususa.com/puma/puma-teamfinal-21-graphic-jersey-42093")</f>
        <v/>
      </c>
      <c r="B4072" t="inlineStr">
        <is>
          <t>undefined</t>
        </is>
      </c>
      <c r="C4072" t="inlineStr">
        <is>
          <t>Puma Teamfinal 21 Graphic Jersey</t>
        </is>
      </c>
      <c r="D4072" t="inlineStr">
        <is>
          <t>PUMA Unisex Youth Teamfinal 21 Graphic Jersey</t>
        </is>
      </c>
      <c r="E4072" s="2">
        <f>HYPERLINK("https://www.amazon.com/PUMA-TEAMFINAL-Graphic-Jersey-White/dp/B084ZXBJKK/ref=sr_1_2?keywords=Puma+Teamfinal+21+Graphic+Jersey&amp;qid=1695171154&amp;sr=8-2", "https://www.amazon.com/PUMA-TEAMFINAL-Graphic-Jersey-White/dp/B084ZXBJKK/ref=sr_1_2?keywords=Puma+Teamfinal+21+Graphic+Jersey&amp;qid=1695171154&amp;sr=8-2")</f>
        <v/>
      </c>
      <c r="F4072" t="inlineStr">
        <is>
          <t>B084ZXBJKK</t>
        </is>
      </c>
      <c r="G4072">
        <f>_xludf.IMAGE("https://www.soccerplususa.com/prodimages//37423-BLACK-M.jpg")</f>
        <v/>
      </c>
      <c r="H4072">
        <f>_xludf.IMAGE("https://m.media-amazon.com/images/I/81AkQRN7R3L._AC_UL320_.jpg")</f>
        <v/>
      </c>
      <c r="K4072" t="inlineStr">
        <is>
          <t>29.99</t>
        </is>
      </c>
      <c r="L4072" t="n">
        <v>37.55</v>
      </c>
      <c r="M4072" s="1" t="inlineStr">
        <is>
          <t>25.21%</t>
        </is>
      </c>
      <c r="N4072" s="3" t="n">
        <v>25.21</v>
      </c>
      <c r="O4072" t="n">
        <v>4.3</v>
      </c>
      <c r="P4072" t="n">
        <v>35</v>
      </c>
      <c r="R4072" t="inlineStr">
        <is>
          <t>InStock</t>
        </is>
      </c>
      <c r="S4072" t="inlineStr">
        <is>
          <t>39.95</t>
        </is>
      </c>
      <c r="T4072" t="inlineStr">
        <is>
          <t>704150-03</t>
        </is>
      </c>
    </row>
    <row r="4073" hidden="1" ht="15.75" customHeight="1">
      <c r="A4073" s="2">
        <f>HYPERLINK("https://www.soccerplususa.com/puma/puma-teamfinal-21-graphic-jersey-38602", "https://www.soccerplususa.com/puma/puma-teamfinal-21-graphic-jersey-38602")</f>
        <v/>
      </c>
      <c r="B4073" t="inlineStr">
        <is>
          <t>undefined</t>
        </is>
      </c>
      <c r="C4073" t="inlineStr">
        <is>
          <t>Puma Teamfinal 21 Graphic Jersey</t>
        </is>
      </c>
      <c r="D4073" t="inlineStr">
        <is>
          <t>PUMA Unisex Youth Teamfinal 21 Graphic Jersey</t>
        </is>
      </c>
      <c r="E4073" s="2">
        <f>HYPERLINK("https://www.amazon.com/PUMA-TEAMFINAL-Graphic-Jersey-White/dp/B084ZXBJKK/ref=sr_1_2?keywords=Puma+Teamfinal+21+Graphic+Jersey&amp;qid=1695171165&amp;sr=8-2", "https://www.amazon.com/PUMA-TEAMFINAL-Graphic-Jersey-White/dp/B084ZXBJKK/ref=sr_1_2?keywords=Puma+Teamfinal+21+Graphic+Jersey&amp;qid=1695171165&amp;sr=8-2")</f>
        <v/>
      </c>
      <c r="F4073" t="inlineStr">
        <is>
          <t>B084ZXBJKK</t>
        </is>
      </c>
      <c r="G4073">
        <f>_xludf.IMAGE("https://www.soccerplususa.com/prodimages//35266-YELLOW-M.jpg")</f>
        <v/>
      </c>
      <c r="H4073">
        <f>_xludf.IMAGE("https://m.media-amazon.com/images/I/81AkQRN7R3L._AC_UL320_.jpg")</f>
        <v/>
      </c>
      <c r="K4073" t="inlineStr">
        <is>
          <t>29.99</t>
        </is>
      </c>
      <c r="L4073" t="n">
        <v>37.55</v>
      </c>
      <c r="M4073" s="1" t="inlineStr">
        <is>
          <t>25.21%</t>
        </is>
      </c>
      <c r="N4073" s="3" t="n">
        <v>25.21</v>
      </c>
      <c r="O4073" t="n">
        <v>4.3</v>
      </c>
      <c r="P4073" t="n">
        <v>35</v>
      </c>
      <c r="R4073" t="inlineStr">
        <is>
          <t>InStock</t>
        </is>
      </c>
      <c r="S4073" t="inlineStr">
        <is>
          <t>39.95</t>
        </is>
      </c>
      <c r="T4073" t="inlineStr">
        <is>
          <t>704150-07</t>
        </is>
      </c>
    </row>
    <row r="4074" hidden="1" ht="15.75" customHeight="1">
      <c r="A4074" s="2">
        <f>HYPERLINK("https://www.soccerplususa.com/puma/puma-teamfinal-21-graphic-jersey-40618", "https://www.soccerplususa.com/puma/puma-teamfinal-21-graphic-jersey-40618")</f>
        <v/>
      </c>
      <c r="B4074" t="inlineStr">
        <is>
          <t>undefined</t>
        </is>
      </c>
      <c r="C4074" t="inlineStr">
        <is>
          <t>Puma Teamfinal 21 Graphic Jersey</t>
        </is>
      </c>
      <c r="D4074" t="inlineStr">
        <is>
          <t>PUMA Unisex Youth Teamfinal 21 Graphic Jersey</t>
        </is>
      </c>
      <c r="E4074" s="2">
        <f>HYPERLINK("https://www.amazon.com/PUMA-TEAMFINAL-Graphic-Jersey-White/dp/B084ZXBJKK/ref=sr_1_2?keywords=Puma+Teamfinal+21+Graphic+Jersey&amp;qid=1695171148&amp;sr=8-2", "https://www.amazon.com/PUMA-TEAMFINAL-Graphic-Jersey-White/dp/B084ZXBJKK/ref=sr_1_2?keywords=Puma+Teamfinal+21+Graphic+Jersey&amp;qid=1695171148&amp;sr=8-2")</f>
        <v/>
      </c>
      <c r="F4074" t="inlineStr">
        <is>
          <t>B084ZXBJKK</t>
        </is>
      </c>
      <c r="G4074">
        <f>_xludf.IMAGE("https://www.soccerplususa.com/prodimages//37414-Pepper_Green-M.jpg")</f>
        <v/>
      </c>
      <c r="H4074">
        <f>_xludf.IMAGE("https://m.media-amazon.com/images/I/81AkQRN7R3L._AC_UL320_.jpg")</f>
        <v/>
      </c>
      <c r="K4074" t="inlineStr">
        <is>
          <t>29.99</t>
        </is>
      </c>
      <c r="L4074" t="n">
        <v>37.55</v>
      </c>
      <c r="M4074" s="1" t="inlineStr">
        <is>
          <t>25.21%</t>
        </is>
      </c>
      <c r="N4074" s="3" t="n">
        <v>25.21</v>
      </c>
      <c r="O4074" t="n">
        <v>4.3</v>
      </c>
      <c r="P4074" t="n">
        <v>35</v>
      </c>
      <c r="R4074" t="inlineStr">
        <is>
          <t>InStock</t>
        </is>
      </c>
      <c r="S4074" t="inlineStr">
        <is>
          <t>39.95</t>
        </is>
      </c>
      <c r="T4074" t="inlineStr">
        <is>
          <t>704150-05</t>
        </is>
      </c>
    </row>
    <row r="4075" hidden="1" ht="15.75" customHeight="1">
      <c r="A4075" s="2">
        <f>HYPERLINK("https://www.soccerplususa.com/storelli-sports/storelli-bodyshield-sleeveless-undershirt-32102", "https://www.soccerplususa.com/storelli-sports/storelli-bodyshield-sleeveless-undershirt-32102")</f>
        <v/>
      </c>
      <c r="B4075" t="inlineStr">
        <is>
          <t>undefined</t>
        </is>
      </c>
      <c r="C4075" t="inlineStr">
        <is>
          <t>Storelli BodyShield Sleeveless Undershirt</t>
        </is>
      </c>
      <c r="D4075" t="inlineStr">
        <is>
          <t>Storelli Women's BodyShield Goalkeeper 3/4 Undershirt | Enhanced Chest and Rib Protection | Black | Medium</t>
        </is>
      </c>
      <c r="E4075" s="2">
        <f>HYPERLINK("https://www.amazon.com/Storelli-BodyShield-Goalkeeper-Undershirt-Protection/dp/B094SBFWNR/ref=sr_1_4?keywords=Storelli+BodyShield+Sleeveless+Undershirt&amp;qid=1695171181&amp;sr=8-4", "https://www.amazon.com/Storelli-BodyShield-Goalkeeper-Undershirt-Protection/dp/B094SBFWNR/ref=sr_1_4?keywords=Storelli+BodyShield+Sleeveless+Undershirt&amp;qid=1695171181&amp;sr=8-4")</f>
        <v/>
      </c>
      <c r="F4075" t="inlineStr">
        <is>
          <t>B094SBFWNR</t>
        </is>
      </c>
      <c r="G4075">
        <f>_xludf.IMAGE("https://www.soccerplususa.com/prodimages/2096-DEFAULT-l.jpg")</f>
        <v/>
      </c>
      <c r="H4075">
        <f>_xludf.IMAGE("https://m.media-amazon.com/images/I/61TTG+3j7fL._AC_UL320_.jpg")</f>
        <v/>
      </c>
      <c r="K4075" t="inlineStr">
        <is>
          <t>59.95</t>
        </is>
      </c>
      <c r="L4075" t="n">
        <v>74.98999999999999</v>
      </c>
      <c r="M4075" s="1" t="inlineStr">
        <is>
          <t>25.09%</t>
        </is>
      </c>
      <c r="N4075" s="3" t="n">
        <v>25.09</v>
      </c>
      <c r="O4075" t="n">
        <v>3.8</v>
      </c>
      <c r="P4075" t="n">
        <v>3</v>
      </c>
      <c r="R4075" t="inlineStr">
        <is>
          <t>InStock</t>
        </is>
      </c>
      <c r="S4075" t="inlineStr">
        <is>
          <t>undefined</t>
        </is>
      </c>
      <c r="T4075" t="inlineStr">
        <is>
          <t>BSFPTOPNSBK</t>
        </is>
      </c>
    </row>
    <row r="4076" hidden="1" ht="15.75" customHeight="1">
      <c r="A4076" s="2">
        <f>HYPERLINK("https://www.soccerplususa.com/adidas/adidas-tiro-13-jersey-8642", "https://www.soccerplususa.com/adidas/adidas-tiro-13-jersey-8642")</f>
        <v/>
      </c>
      <c r="B4076" t="inlineStr">
        <is>
          <t>undefined</t>
        </is>
      </c>
      <c r="C4076" t="inlineStr">
        <is>
          <t>adidas Tiro 13 Jersey</t>
        </is>
      </c>
      <c r="D4076" t="inlineStr">
        <is>
          <t>adidas Men's Tiro 13</t>
        </is>
      </c>
      <c r="E4076" s="2">
        <f>HYPERLINK("https://www.amazon.com/Adidas-Mens-Soccer-Shorts-White/dp/B00CCDMIJO/ref=sr_1_5?keywords=adidas+Tiro+13+Jersey&amp;qid=1695171197&amp;sr=8-5", "https://www.amazon.com/Adidas-Mens-Soccer-Shorts-White/dp/B00CCDMIJO/ref=sr_1_5?keywords=adidas+Tiro+13+Jersey&amp;qid=1695171197&amp;sr=8-5")</f>
        <v/>
      </c>
      <c r="F4076" t="inlineStr">
        <is>
          <t>B00CCDMIJO</t>
        </is>
      </c>
      <c r="G4076">
        <f>_xludf.IMAGE("https://www.soccerplususa.com/prodimages/3217-DEFAULT-l.jpg")</f>
        <v/>
      </c>
      <c r="H4076">
        <f>_xludf.IMAGE("https://m.media-amazon.com/images/I/71UZ2QjgXuL._AC_UL320_.jpg")</f>
        <v/>
      </c>
      <c r="K4076" t="inlineStr">
        <is>
          <t>20.0</t>
        </is>
      </c>
      <c r="L4076" t="n">
        <v>25</v>
      </c>
      <c r="M4076" s="1" t="inlineStr">
        <is>
          <t>25.00%</t>
        </is>
      </c>
      <c r="N4076" s="3" t="n">
        <v>25</v>
      </c>
      <c r="O4076" t="n">
        <v>4</v>
      </c>
      <c r="P4076" t="n">
        <v>1</v>
      </c>
      <c r="R4076" t="inlineStr">
        <is>
          <t>InStock</t>
        </is>
      </c>
      <c r="S4076" t="inlineStr">
        <is>
          <t>39.95</t>
        </is>
      </c>
      <c r="T4076" t="inlineStr">
        <is>
          <t>W53887</t>
        </is>
      </c>
    </row>
    <row r="4077" hidden="1" ht="15.75" customHeight="1">
      <c r="A4077" s="2">
        <f>HYPERLINK("https://www.soccerplususa.com/adidas/adidas-tiro-13-jersey-8992", "https://www.soccerplususa.com/adidas/adidas-tiro-13-jersey-8992")</f>
        <v/>
      </c>
      <c r="B4077" t="inlineStr">
        <is>
          <t>undefined</t>
        </is>
      </c>
      <c r="C4077" t="inlineStr">
        <is>
          <t>adidas Tiro 13 Jersey</t>
        </is>
      </c>
      <c r="D4077" t="inlineStr">
        <is>
          <t>adidas Men's Tiro 13</t>
        </is>
      </c>
      <c r="E4077" s="2">
        <f>HYPERLINK("https://www.amazon.com/Adidas-Mens-Soccer-Shorts-White/dp/B00CCDMIJO/ref=sr_1_5?keywords=adidas+Tiro+13+Jersey&amp;qid=1695171210&amp;sr=8-5", "https://www.amazon.com/Adidas-Mens-Soccer-Shorts-White/dp/B00CCDMIJO/ref=sr_1_5?keywords=adidas+Tiro+13+Jersey&amp;qid=1695171210&amp;sr=8-5")</f>
        <v/>
      </c>
      <c r="F4077" t="inlineStr">
        <is>
          <t>B00CCDMIJO</t>
        </is>
      </c>
      <c r="G4077">
        <f>_xludf.IMAGE("https://www.soccerplususa.com/prodimages/10768-DEFAULT-l.jpg")</f>
        <v/>
      </c>
      <c r="H4077">
        <f>_xludf.IMAGE("https://m.media-amazon.com/images/I/71UZ2QjgXuL._AC_UL320_.jpg")</f>
        <v/>
      </c>
      <c r="K4077" t="inlineStr">
        <is>
          <t>20.0</t>
        </is>
      </c>
      <c r="L4077" t="n">
        <v>25</v>
      </c>
      <c r="M4077" s="1" t="inlineStr">
        <is>
          <t>25.00%</t>
        </is>
      </c>
      <c r="N4077" s="3" t="n">
        <v>25</v>
      </c>
      <c r="O4077" t="n">
        <v>4</v>
      </c>
      <c r="P4077" t="n">
        <v>1</v>
      </c>
      <c r="R4077" t="inlineStr">
        <is>
          <t>InStock</t>
        </is>
      </c>
      <c r="S4077" t="inlineStr">
        <is>
          <t>39.95</t>
        </is>
      </c>
      <c r="T4077" t="inlineStr">
        <is>
          <t>Z20252</t>
        </is>
      </c>
    </row>
    <row r="4078" hidden="1" ht="15.75" customHeight="1">
      <c r="A4078" s="2">
        <f>HYPERLINK("https://www.soccerplususa.com/adidas/adidas-tiro-13-jersey-9163", "https://www.soccerplususa.com/adidas/adidas-tiro-13-jersey-9163")</f>
        <v/>
      </c>
      <c r="B4078" t="inlineStr">
        <is>
          <t>undefined</t>
        </is>
      </c>
      <c r="C4078" t="inlineStr">
        <is>
          <t>adidas Tiro 13 Jersey</t>
        </is>
      </c>
      <c r="D4078" t="inlineStr">
        <is>
          <t>adidas Men's Tiro 13</t>
        </is>
      </c>
      <c r="E4078" s="2">
        <f>HYPERLINK("https://www.amazon.com/Adidas-Mens-Soccer-Shorts-White/dp/B00CCDMIJO/ref=sr_1_5?keywords=adidas+Tiro+13+Jersey&amp;qid=1695171187&amp;sr=8-5", "https://www.amazon.com/Adidas-Mens-Soccer-Shorts-White/dp/B00CCDMIJO/ref=sr_1_5?keywords=adidas+Tiro+13+Jersey&amp;qid=1695171187&amp;sr=8-5")</f>
        <v/>
      </c>
      <c r="F4078" t="inlineStr">
        <is>
          <t>B00CCDMIJO</t>
        </is>
      </c>
      <c r="G4078">
        <f>_xludf.IMAGE("https://www.soccerplususa.com/prodimages/3224-DEFAULT-l.jpg")</f>
        <v/>
      </c>
      <c r="H4078">
        <f>_xludf.IMAGE("https://m.media-amazon.com/images/I/71UZ2QjgXuL._AC_UL320_.jpg")</f>
        <v/>
      </c>
      <c r="K4078" t="inlineStr">
        <is>
          <t>20.0</t>
        </is>
      </c>
      <c r="L4078" t="n">
        <v>25</v>
      </c>
      <c r="M4078" s="1" t="inlineStr">
        <is>
          <t>25.00%</t>
        </is>
      </c>
      <c r="N4078" s="3" t="n">
        <v>25</v>
      </c>
      <c r="O4078" t="n">
        <v>4</v>
      </c>
      <c r="P4078" t="n">
        <v>1</v>
      </c>
      <c r="R4078" t="inlineStr">
        <is>
          <t>InStock</t>
        </is>
      </c>
      <c r="S4078" t="inlineStr">
        <is>
          <t>39.95</t>
        </is>
      </c>
      <c r="T4078" t="inlineStr">
        <is>
          <t>Z69160</t>
        </is>
      </c>
    </row>
    <row r="4079" hidden="1" ht="15.75" customHeight="1">
      <c r="A4079" s="2">
        <f>HYPERLINK("https://www.soccerplususa.com/adidas/adidas-tiro-13-jersey-9163", "https://www.soccerplususa.com/adidas/adidas-tiro-13-jersey-9163")</f>
        <v/>
      </c>
      <c r="B4079" t="inlineStr">
        <is>
          <t>undefined</t>
        </is>
      </c>
      <c r="C4079" t="inlineStr">
        <is>
          <t>adidas Tiro 13 Jersey</t>
        </is>
      </c>
      <c r="D4079" t="inlineStr">
        <is>
          <t>adidas Men's Tiro 13 Short Cobalt/White XL 9</t>
        </is>
      </c>
      <c r="E4079" s="2">
        <f>HYPERLINK("https://www.amazon.com/Adidas-Short-Cobalt-White-XLarge/dp/B00CCDMP06/ref=sr_1_4?keywords=adidas+Tiro+13+Jersey&amp;qid=1695171187&amp;sr=8-4", "https://www.amazon.com/Adidas-Short-Cobalt-White-XLarge/dp/B00CCDMP06/ref=sr_1_4?keywords=adidas+Tiro+13+Jersey&amp;qid=1695171187&amp;sr=8-4")</f>
        <v/>
      </c>
      <c r="F4079" t="inlineStr">
        <is>
          <t>B00CCDMP06</t>
        </is>
      </c>
      <c r="G4079">
        <f>_xludf.IMAGE("https://www.soccerplususa.com/prodimages/3224-DEFAULT-l.jpg")</f>
        <v/>
      </c>
      <c r="H4079">
        <f>_xludf.IMAGE("https://m.media-amazon.com/images/I/71d34SMhNKL._AC_UL320_.jpg")</f>
        <v/>
      </c>
      <c r="K4079" t="inlineStr">
        <is>
          <t>20.0</t>
        </is>
      </c>
      <c r="L4079" t="n">
        <v>24.99</v>
      </c>
      <c r="M4079" s="1" t="inlineStr">
        <is>
          <t>24.95%</t>
        </is>
      </c>
      <c r="N4079" s="3" t="n">
        <v>24.95</v>
      </c>
      <c r="O4079" t="n">
        <v>5</v>
      </c>
      <c r="P4079" t="n">
        <v>1</v>
      </c>
      <c r="R4079" t="inlineStr">
        <is>
          <t>InStock</t>
        </is>
      </c>
      <c r="S4079" t="inlineStr">
        <is>
          <t>39.95</t>
        </is>
      </c>
      <c r="T4079" t="inlineStr">
        <is>
          <t>Z69160</t>
        </is>
      </c>
    </row>
    <row r="4080" hidden="1" ht="15.75" customHeight="1">
      <c r="A4080" s="2">
        <f>HYPERLINK("https://www.soccerplususa.com/adidas/adidas-tiro-13-jersey-8992", "https://www.soccerplususa.com/adidas/adidas-tiro-13-jersey-8992")</f>
        <v/>
      </c>
      <c r="B4080" t="inlineStr">
        <is>
          <t>undefined</t>
        </is>
      </c>
      <c r="C4080" t="inlineStr">
        <is>
          <t>adidas Tiro 13 Jersey</t>
        </is>
      </c>
      <c r="D4080" t="inlineStr">
        <is>
          <t>adidas Women's Tiro 13 Shorts</t>
        </is>
      </c>
      <c r="E4080" s="2">
        <f>HYPERLINK("https://www.amazon.com/Adidas-Womens-Shorts-Black-White/dp/B008J2PJI4/ref=sr_1_3?keywords=adidas+Tiro+13+Jersey&amp;qid=1695171210&amp;sr=8-3", "https://www.amazon.com/Adidas-Womens-Shorts-Black-White/dp/B008J2PJI4/ref=sr_1_3?keywords=adidas+Tiro+13+Jersey&amp;qid=1695171210&amp;sr=8-3")</f>
        <v/>
      </c>
      <c r="F4080" t="inlineStr">
        <is>
          <t>B008J2PJI4</t>
        </is>
      </c>
      <c r="G4080">
        <f>_xludf.IMAGE("https://www.soccerplususa.com/prodimages/10768-DEFAULT-l.jpg")</f>
        <v/>
      </c>
      <c r="H4080">
        <f>_xludf.IMAGE("https://m.media-amazon.com/images/I/713dL1h0iVL._AC_UL320_.jpg")</f>
        <v/>
      </c>
      <c r="K4080" t="inlineStr">
        <is>
          <t>20.0</t>
        </is>
      </c>
      <c r="L4080" t="n">
        <v>24.99</v>
      </c>
      <c r="M4080" s="1" t="inlineStr">
        <is>
          <t>24.95%</t>
        </is>
      </c>
      <c r="N4080" s="3" t="n">
        <v>24.95</v>
      </c>
      <c r="O4080" t="n">
        <v>4.7</v>
      </c>
      <c r="P4080" t="n">
        <v>4</v>
      </c>
      <c r="R4080" t="inlineStr">
        <is>
          <t>InStock</t>
        </is>
      </c>
      <c r="S4080" t="inlineStr">
        <is>
          <t>39.95</t>
        </is>
      </c>
      <c r="T4080" t="inlineStr">
        <is>
          <t>Z20252</t>
        </is>
      </c>
    </row>
    <row r="4081" hidden="1" ht="15.75" customHeight="1">
      <c r="A4081" s="2">
        <f>HYPERLINK("https://www.soccerplususa.com/adidas/adidas-tiro-13-jersey-9163", "https://www.soccerplususa.com/adidas/adidas-tiro-13-jersey-9163")</f>
        <v/>
      </c>
      <c r="B4081" t="inlineStr">
        <is>
          <t>undefined</t>
        </is>
      </c>
      <c r="C4081" t="inlineStr">
        <is>
          <t>adidas Tiro 13 Jersey</t>
        </is>
      </c>
      <c r="D4081" t="inlineStr">
        <is>
          <t>adidas Women's Tiro 13 Shorts</t>
        </is>
      </c>
      <c r="E4081" s="2">
        <f>HYPERLINK("https://www.amazon.com/Adidas-Womens-Shorts-Black-White/dp/B008J2PJI4/ref=sr_1_3?keywords=adidas+Tiro+13+Jersey&amp;qid=1695171187&amp;sr=8-3", "https://www.amazon.com/Adidas-Womens-Shorts-Black-White/dp/B008J2PJI4/ref=sr_1_3?keywords=adidas+Tiro+13+Jersey&amp;qid=1695171187&amp;sr=8-3")</f>
        <v/>
      </c>
      <c r="F4081" t="inlineStr">
        <is>
          <t>B008J2PJI4</t>
        </is>
      </c>
      <c r="G4081">
        <f>_xludf.IMAGE("https://www.soccerplususa.com/prodimages/3224-DEFAULT-l.jpg")</f>
        <v/>
      </c>
      <c r="H4081">
        <f>_xludf.IMAGE("https://m.media-amazon.com/images/I/713dL1h0iVL._AC_UL320_.jpg")</f>
        <v/>
      </c>
      <c r="K4081" t="inlineStr">
        <is>
          <t>20.0</t>
        </is>
      </c>
      <c r="L4081" t="n">
        <v>24.99</v>
      </c>
      <c r="M4081" s="1" t="inlineStr">
        <is>
          <t>24.95%</t>
        </is>
      </c>
      <c r="N4081" s="3" t="n">
        <v>24.95</v>
      </c>
      <c r="O4081" t="n">
        <v>4.7</v>
      </c>
      <c r="P4081" t="n">
        <v>4</v>
      </c>
      <c r="R4081" t="inlineStr">
        <is>
          <t>InStock</t>
        </is>
      </c>
      <c r="S4081" t="inlineStr">
        <is>
          <t>39.95</t>
        </is>
      </c>
      <c r="T4081" t="inlineStr">
        <is>
          <t>Z69160</t>
        </is>
      </c>
    </row>
    <row r="4082" hidden="1" ht="15.75" customHeight="1">
      <c r="A4082" s="2">
        <f>HYPERLINK("https://www.soccerplususa.com/adidas/adidas-tiro-13-jersey-8992", "https://www.soccerplususa.com/adidas/adidas-tiro-13-jersey-8992")</f>
        <v/>
      </c>
      <c r="B4082" t="inlineStr">
        <is>
          <t>undefined</t>
        </is>
      </c>
      <c r="C4082" t="inlineStr">
        <is>
          <t>adidas Tiro 13 Jersey</t>
        </is>
      </c>
      <c r="D4082" t="inlineStr">
        <is>
          <t>adidas Men's Tiro 13 Short Cobalt/White XL 9</t>
        </is>
      </c>
      <c r="E4082" s="2">
        <f>HYPERLINK("https://www.amazon.com/Adidas-Short-Cobalt-White-XLarge/dp/B00CCDMP06/ref=sr_1_4?keywords=adidas+Tiro+13+Jersey&amp;qid=1695171210&amp;sr=8-4", "https://www.amazon.com/Adidas-Short-Cobalt-White-XLarge/dp/B00CCDMP06/ref=sr_1_4?keywords=adidas+Tiro+13+Jersey&amp;qid=1695171210&amp;sr=8-4")</f>
        <v/>
      </c>
      <c r="F4082" t="inlineStr">
        <is>
          <t>B00CCDMP06</t>
        </is>
      </c>
      <c r="G4082">
        <f>_xludf.IMAGE("https://www.soccerplususa.com/prodimages/10768-DEFAULT-l.jpg")</f>
        <v/>
      </c>
      <c r="H4082">
        <f>_xludf.IMAGE("https://m.media-amazon.com/images/I/71d34SMhNKL._AC_UL320_.jpg")</f>
        <v/>
      </c>
      <c r="K4082" t="inlineStr">
        <is>
          <t>20.0</t>
        </is>
      </c>
      <c r="L4082" t="n">
        <v>24.99</v>
      </c>
      <c r="M4082" s="1" t="inlineStr">
        <is>
          <t>24.95%</t>
        </is>
      </c>
      <c r="N4082" s="3" t="n">
        <v>24.95</v>
      </c>
      <c r="O4082" t="n">
        <v>5</v>
      </c>
      <c r="P4082" t="n">
        <v>1</v>
      </c>
      <c r="R4082" t="inlineStr">
        <is>
          <t>InStock</t>
        </is>
      </c>
      <c r="S4082" t="inlineStr">
        <is>
          <t>39.95</t>
        </is>
      </c>
      <c r="T4082" t="inlineStr">
        <is>
          <t>Z20252</t>
        </is>
      </c>
    </row>
    <row r="4083" hidden="1" ht="15.75" customHeight="1">
      <c r="A4083" s="2">
        <f>HYPERLINK("https://www.soccerplususa.com/adidas/adidas-tiro-13-jersey-8642", "https://www.soccerplususa.com/adidas/adidas-tiro-13-jersey-8642")</f>
        <v/>
      </c>
      <c r="B4083" t="inlineStr">
        <is>
          <t>undefined</t>
        </is>
      </c>
      <c r="C4083" t="inlineStr">
        <is>
          <t>adidas Tiro 13 Jersey</t>
        </is>
      </c>
      <c r="D4083" t="inlineStr">
        <is>
          <t>adidas Women's Tiro 13 Shorts</t>
        </is>
      </c>
      <c r="E4083" s="2">
        <f>HYPERLINK("https://www.amazon.com/Adidas-Womens-Shorts-Black-White/dp/B008J2PJI4/ref=sr_1_3?keywords=adidas+Tiro+13+Jersey&amp;qid=1695171197&amp;sr=8-3", "https://www.amazon.com/Adidas-Womens-Shorts-Black-White/dp/B008J2PJI4/ref=sr_1_3?keywords=adidas+Tiro+13+Jersey&amp;qid=1695171197&amp;sr=8-3")</f>
        <v/>
      </c>
      <c r="F4083" t="inlineStr">
        <is>
          <t>B008J2PJI4</t>
        </is>
      </c>
      <c r="G4083">
        <f>_xludf.IMAGE("https://www.soccerplususa.com/prodimages/3217-DEFAULT-l.jpg")</f>
        <v/>
      </c>
      <c r="H4083">
        <f>_xludf.IMAGE("https://m.media-amazon.com/images/I/713dL1h0iVL._AC_UL320_.jpg")</f>
        <v/>
      </c>
      <c r="K4083" t="inlineStr">
        <is>
          <t>20.0</t>
        </is>
      </c>
      <c r="L4083" t="n">
        <v>24.99</v>
      </c>
      <c r="M4083" s="1" t="inlineStr">
        <is>
          <t>24.95%</t>
        </is>
      </c>
      <c r="N4083" s="3" t="n">
        <v>24.95</v>
      </c>
      <c r="O4083" t="n">
        <v>4.7</v>
      </c>
      <c r="P4083" t="n">
        <v>4</v>
      </c>
      <c r="R4083" t="inlineStr">
        <is>
          <t>InStock</t>
        </is>
      </c>
      <c r="S4083" t="inlineStr">
        <is>
          <t>39.95</t>
        </is>
      </c>
      <c r="T4083" t="inlineStr">
        <is>
          <t>W53887</t>
        </is>
      </c>
    </row>
    <row r="4084" hidden="1" ht="15.75" customHeight="1">
      <c r="A4084" s="2">
        <f>HYPERLINK("https://www.soccerplususa.com/adidas/adidas-tiro-13-jersey-8642", "https://www.soccerplususa.com/adidas/adidas-tiro-13-jersey-8642")</f>
        <v/>
      </c>
      <c r="B4084" t="inlineStr">
        <is>
          <t>undefined</t>
        </is>
      </c>
      <c r="C4084" t="inlineStr">
        <is>
          <t>adidas Tiro 13 Jersey</t>
        </is>
      </c>
      <c r="D4084" t="inlineStr">
        <is>
          <t>adidas Men's Tiro 13 Short Cobalt/White XL 9</t>
        </is>
      </c>
      <c r="E4084" s="2">
        <f>HYPERLINK("https://www.amazon.com/Adidas-Short-Cobalt-White-XLarge/dp/B00CCDMP06/ref=sr_1_4?keywords=adidas+Tiro+13+Jersey&amp;qid=1695171197&amp;sr=8-4", "https://www.amazon.com/Adidas-Short-Cobalt-White-XLarge/dp/B00CCDMP06/ref=sr_1_4?keywords=adidas+Tiro+13+Jersey&amp;qid=1695171197&amp;sr=8-4")</f>
        <v/>
      </c>
      <c r="F4084" t="inlineStr">
        <is>
          <t>B00CCDMP06</t>
        </is>
      </c>
      <c r="G4084">
        <f>_xludf.IMAGE("https://www.soccerplususa.com/prodimages/3217-DEFAULT-l.jpg")</f>
        <v/>
      </c>
      <c r="H4084">
        <f>_xludf.IMAGE("https://m.media-amazon.com/images/I/71d34SMhNKL._AC_UL320_.jpg")</f>
        <v/>
      </c>
      <c r="K4084" t="inlineStr">
        <is>
          <t>20.0</t>
        </is>
      </c>
      <c r="L4084" t="n">
        <v>24.99</v>
      </c>
      <c r="M4084" s="1" t="inlineStr">
        <is>
          <t>24.95%</t>
        </is>
      </c>
      <c r="N4084" s="3" t="n">
        <v>24.95</v>
      </c>
      <c r="O4084" t="n">
        <v>5</v>
      </c>
      <c r="P4084" t="n">
        <v>1</v>
      </c>
      <c r="R4084" t="inlineStr">
        <is>
          <t>InStock</t>
        </is>
      </c>
      <c r="S4084" t="inlineStr">
        <is>
          <t>39.95</t>
        </is>
      </c>
      <c r="T4084" t="inlineStr">
        <is>
          <t>W53887</t>
        </is>
      </c>
    </row>
    <row r="4085" hidden="1" ht="15.75" customHeight="1">
      <c r="A4085" s="2">
        <f>HYPERLINK("https://www.soccerplususa.com/adidas/adidas-regista-16-jersey-4147", "https://www.soccerplususa.com/adidas/adidas-regista-16-jersey-4147")</f>
        <v/>
      </c>
      <c r="B4085" t="inlineStr">
        <is>
          <t>undefined</t>
        </is>
      </c>
      <c r="C4085" t="inlineStr">
        <is>
          <t>adidas Regista 16 Jersey</t>
        </is>
      </c>
      <c r="D4085" t="inlineStr">
        <is>
          <t>adidas Mens Regista Jersey</t>
        </is>
      </c>
      <c r="E4085" s="2">
        <f>HYPERLINK("https://www.amazon.com/adidas-Regista-18-Jersey%E2%9D%97%EF%B8%8FShips-Directly/dp/B07BHL2RTX/ref=sr_1_8?keywords=adidas+Regista+16+Jersey&amp;qid=1695171233&amp;sr=8-8", "https://www.amazon.com/adidas-Regista-18-Jersey%E2%9D%97%EF%B8%8FShips-Directly/dp/B07BHL2RTX/ref=sr_1_8?keywords=adidas+Regista+16+Jersey&amp;qid=1695171233&amp;sr=8-8")</f>
        <v/>
      </c>
      <c r="F4085" t="inlineStr">
        <is>
          <t>B07BHL2RTX</t>
        </is>
      </c>
      <c r="G4085">
        <f>_xludf.IMAGE("https://www.soccerplususa.com/prodimages/7616-DEFAULT-l.jpg")</f>
        <v/>
      </c>
      <c r="H4085">
        <f>_xludf.IMAGE("https://m.media-amazon.com/images/I/710DBNFeOcL._AC_UL320_.jpg")</f>
        <v/>
      </c>
      <c r="K4085" t="inlineStr">
        <is>
          <t>17.5</t>
        </is>
      </c>
      <c r="L4085" t="n">
        <v>21.7</v>
      </c>
      <c r="M4085" s="1" t="inlineStr">
        <is>
          <t>24.00%</t>
        </is>
      </c>
      <c r="N4085" s="3" t="n">
        <v>24</v>
      </c>
      <c r="O4085" t="n">
        <v>5</v>
      </c>
      <c r="P4085" t="n">
        <v>2</v>
      </c>
      <c r="R4085" t="inlineStr">
        <is>
          <t>InStock</t>
        </is>
      </c>
      <c r="S4085" t="inlineStr">
        <is>
          <t>34.95</t>
        </is>
      </c>
      <c r="T4085" t="inlineStr">
        <is>
          <t>AP0529</t>
        </is>
      </c>
    </row>
    <row r="4086" hidden="1" ht="15.75" customHeight="1">
      <c r="A4086" s="2">
        <f>HYPERLINK("https://www.soccerplususa.com/adidas/adidas-tiro-17-jersey-4869", "https://www.soccerplususa.com/adidas/adidas-tiro-17-jersey-4869")</f>
        <v/>
      </c>
      <c r="B4086" t="inlineStr">
        <is>
          <t>undefined</t>
        </is>
      </c>
      <c r="C4086" t="inlineStr">
        <is>
          <t>adidas Tiro 17 Jersey</t>
        </is>
      </c>
      <c r="D4086" t="inlineStr">
        <is>
          <t>adidas Womens Tiro 17 Jersey</t>
        </is>
      </c>
      <c r="E4086" s="2">
        <f>HYPERLINK("https://www.amazon.com/adidas-Womens-Embellished-T-Shirt-Medium/dp/B06XX4BHD2/ref=sr_1_6?keywords=adidas+Tiro+17+Jersey&amp;qid=1695171236&amp;sr=8-6", "https://www.amazon.com/adidas-Womens-Embellished-T-Shirt-Medium/dp/B06XX4BHD2/ref=sr_1_6?keywords=adidas+Tiro+17+Jersey&amp;qid=1695171236&amp;sr=8-6")</f>
        <v/>
      </c>
      <c r="F4086" t="inlineStr">
        <is>
          <t>B06XX4BHD2</t>
        </is>
      </c>
      <c r="G4086">
        <f>_xludf.IMAGE("https://www.soccerplususa.com/prodimages/7451-DEFAULT-l.jpg")</f>
        <v/>
      </c>
      <c r="H4086">
        <f>_xludf.IMAGE("https://m.media-amazon.com/images/I/51mgSEt736L._AC_UL320_.jpg")</f>
        <v/>
      </c>
      <c r="K4086" t="inlineStr">
        <is>
          <t>20.0</t>
        </is>
      </c>
      <c r="L4086" t="n">
        <v>24.74</v>
      </c>
      <c r="M4086" s="1" t="inlineStr">
        <is>
          <t>23.70%</t>
        </is>
      </c>
      <c r="N4086" s="3" t="n">
        <v>23.7</v>
      </c>
      <c r="O4086" t="n">
        <v>5</v>
      </c>
      <c r="P4086" t="n">
        <v>6</v>
      </c>
      <c r="R4086" t="inlineStr">
        <is>
          <t>InStock</t>
        </is>
      </c>
      <c r="S4086" t="inlineStr">
        <is>
          <t>39.95</t>
        </is>
      </c>
      <c r="T4086" t="inlineStr">
        <is>
          <t>BK5437</t>
        </is>
      </c>
    </row>
    <row r="4087" hidden="1" ht="15.75" customHeight="1">
      <c r="A4087" s="2">
        <f>HYPERLINK("https://www.soccerplususa.com/adidas/adidas-tiro-17-jersey-4871", "https://www.soccerplususa.com/adidas/adidas-tiro-17-jersey-4871")</f>
        <v/>
      </c>
      <c r="B4087" t="inlineStr">
        <is>
          <t>undefined</t>
        </is>
      </c>
      <c r="C4087" t="inlineStr">
        <is>
          <t>adidas Tiro 17 Jersey</t>
        </is>
      </c>
      <c r="D4087" t="inlineStr">
        <is>
          <t>adidas Womens Tiro 17 Jersey</t>
        </is>
      </c>
      <c r="E4087" s="2">
        <f>HYPERLINK("https://www.amazon.com/adidas-Womens-Embellished-T-Shirt-Medium/dp/B06XX4BHD2/ref=sr_1_5?keywords=adidas+Tiro+17+Jersey&amp;qid=1695171224&amp;sr=8-5", "https://www.amazon.com/adidas-Womens-Embellished-T-Shirt-Medium/dp/B06XX4BHD2/ref=sr_1_5?keywords=adidas+Tiro+17+Jersey&amp;qid=1695171224&amp;sr=8-5")</f>
        <v/>
      </c>
      <c r="F4087" t="inlineStr">
        <is>
          <t>B06XX4BHD2</t>
        </is>
      </c>
      <c r="G4087">
        <f>_xludf.IMAGE("https://www.soccerplususa.com/prodimages/31717-DEFAULT-l.jpg")</f>
        <v/>
      </c>
      <c r="H4087">
        <f>_xludf.IMAGE("https://m.media-amazon.com/images/I/51mgSEt736L._AC_UL320_.jpg")</f>
        <v/>
      </c>
      <c r="K4087" t="inlineStr">
        <is>
          <t>20.0</t>
        </is>
      </c>
      <c r="L4087" t="n">
        <v>24.74</v>
      </c>
      <c r="M4087" s="1" t="inlineStr">
        <is>
          <t>23.70%</t>
        </is>
      </c>
      <c r="N4087" s="3" t="n">
        <v>23.7</v>
      </c>
      <c r="O4087" t="n">
        <v>5</v>
      </c>
      <c r="P4087" t="n">
        <v>6</v>
      </c>
      <c r="R4087" t="inlineStr">
        <is>
          <t>InStock</t>
        </is>
      </c>
      <c r="S4087" t="inlineStr">
        <is>
          <t>39.95</t>
        </is>
      </c>
      <c r="T4087" t="inlineStr">
        <is>
          <t>BK5439</t>
        </is>
      </c>
    </row>
    <row r="4088" hidden="1" ht="15.75" customHeight="1">
      <c r="A4088" s="2">
        <f>HYPERLINK("https://www.soccerplususa.com/adidas/adidas-tiro-15-jersey-youth-7891", "https://www.soccerplususa.com/adidas/adidas-tiro-15-jersey-youth-7891")</f>
        <v/>
      </c>
      <c r="B4088" t="inlineStr">
        <is>
          <t>undefined</t>
        </is>
      </c>
      <c r="C4088" t="inlineStr">
        <is>
          <t>adidas Tiro 15 Jersey Youth</t>
        </is>
      </c>
      <c r="D4088" t="inlineStr">
        <is>
          <t>adidas Boys' Alphaskin Tiro Youth Jersey</t>
        </is>
      </c>
      <c r="E4088" s="2">
        <f>HYPERLINK("https://www.amazon.com/adidas-Alphaskin-Youth-Jersey-X-Large/dp/B07DXQYZG1/ref=sr_1_3?keywords=adidas+Tiro+15+Jersey+Youth&amp;qid=1695171218&amp;sr=8-3", "https://www.amazon.com/adidas-Alphaskin-Youth-Jersey-X-Large/dp/B07DXQYZG1/ref=sr_1_3?keywords=adidas+Tiro+15+Jersey+Youth&amp;qid=1695171218&amp;sr=8-3")</f>
        <v/>
      </c>
      <c r="F4088" t="inlineStr">
        <is>
          <t>B07DXQYZG1</t>
        </is>
      </c>
      <c r="G4088">
        <f>_xludf.IMAGE("https://www.soccerplususa.com/prodimages/6931-DEFAULT-l.jpg")</f>
        <v/>
      </c>
      <c r="H4088">
        <f>_xludf.IMAGE("https://m.media-amazon.com/images/I/51FrkChU33L._AC_UL320_.jpg")</f>
        <v/>
      </c>
      <c r="K4088" t="inlineStr">
        <is>
          <t>11.38</t>
        </is>
      </c>
      <c r="L4088" t="n">
        <v>14.04</v>
      </c>
      <c r="M4088" s="1" t="inlineStr">
        <is>
          <t>23.37%</t>
        </is>
      </c>
      <c r="N4088" s="3" t="n">
        <v>23.37</v>
      </c>
      <c r="O4088" t="n">
        <v>4.9</v>
      </c>
      <c r="P4088" t="n">
        <v>40</v>
      </c>
      <c r="R4088" t="inlineStr">
        <is>
          <t>InStock</t>
        </is>
      </c>
      <c r="S4088" t="inlineStr">
        <is>
          <t>34.95</t>
        </is>
      </c>
      <c r="T4088" t="inlineStr">
        <is>
          <t>S22374</t>
        </is>
      </c>
    </row>
    <row r="4089" hidden="1" ht="15.75" customHeight="1">
      <c r="A4089" s="2">
        <f>HYPERLINK("https://www.soccerplususa.com/under-armour/under-armour-cold-gear-armour-crew-youth-33312", "https://www.soccerplususa.com/under-armour/under-armour-cold-gear-armour-crew-youth-33312")</f>
        <v/>
      </c>
      <c r="B4089" t="inlineStr">
        <is>
          <t>undefined</t>
        </is>
      </c>
      <c r="C4089" t="inlineStr">
        <is>
          <t>Under Armour Cold Gear Armour Crew Youth</t>
        </is>
      </c>
      <c r="D4089" t="inlineStr">
        <is>
          <t>Under Armour Boys' ColdGear Leggings</t>
        </is>
      </c>
      <c r="E4089" s="2">
        <f>HYPERLINK("https://www.amazon.com/Under-Armour-ColdGear-Leggings-Heather/dp/B07YXLT8YY/ref=sr_1_2?keywords=Under+Armour+Cold+Gear+Armour+Crew+Youth&amp;qid=1695171168&amp;sr=8-2", "https://www.amazon.com/Under-Armour-ColdGear-Leggings-Heather/dp/B07YXLT8YY/ref=sr_1_2?keywords=Under+Armour+Cold+Gear+Armour+Crew+Youth&amp;qid=1695171168&amp;sr=8-2")</f>
        <v/>
      </c>
      <c r="F4089" t="inlineStr">
        <is>
          <t>B07YXLT8YY</t>
        </is>
      </c>
      <c r="G4089">
        <f>_xludf.IMAGE("https://www.soccerplususa.com/prodimages/5584-DEFAULT-l.jpg")</f>
        <v/>
      </c>
      <c r="H4089">
        <f>_xludf.IMAGE("https://m.media-amazon.com/images/I/61931HB1b1L._AC_UL320_.jpg")</f>
        <v/>
      </c>
      <c r="K4089" t="inlineStr">
        <is>
          <t>39.95</t>
        </is>
      </c>
      <c r="L4089" t="n">
        <v>48.97</v>
      </c>
      <c r="M4089" s="1" t="inlineStr">
        <is>
          <t>22.58%</t>
        </is>
      </c>
      <c r="N4089" s="3" t="n">
        <v>22.58</v>
      </c>
      <c r="O4089" t="n">
        <v>4.8</v>
      </c>
      <c r="P4089" t="n">
        <v>696</v>
      </c>
      <c r="R4089" t="inlineStr">
        <is>
          <t>InStock</t>
        </is>
      </c>
      <c r="S4089" t="inlineStr">
        <is>
          <t>undefined</t>
        </is>
      </c>
      <c r="T4089" t="inlineStr">
        <is>
          <t>1288344-001</t>
        </is>
      </c>
    </row>
    <row r="4090" hidden="1" ht="15.75" customHeight="1">
      <c r="A4090" s="2">
        <f>HYPERLINK("https://www.soccerplususa.com/under-armour/under-armour-cold-gear-armour-mock-youth-33311", "https://www.soccerplususa.com/under-armour/under-armour-cold-gear-armour-mock-youth-33311")</f>
        <v/>
      </c>
      <c r="B4090" t="inlineStr">
        <is>
          <t>undefined</t>
        </is>
      </c>
      <c r="C4090" t="inlineStr">
        <is>
          <t>Under Armour Cold Gear Armour Mock Youth</t>
        </is>
      </c>
      <c r="D4090" t="inlineStr">
        <is>
          <t>Under Armour Boys' ColdGear Leggings</t>
        </is>
      </c>
      <c r="E4090" s="2">
        <f>HYPERLINK("https://www.amazon.com/Under-Armour-ColdGear-Leggings-Heather/dp/B07YXLT8YY/ref=sr_1_10?keywords=Under+Armour+Cold+Gear+Armour+Mock+Youth&amp;qid=1695171169&amp;sr=8-10", "https://www.amazon.com/Under-Armour-ColdGear-Leggings-Heather/dp/B07YXLT8YY/ref=sr_1_10?keywords=Under+Armour+Cold+Gear+Armour+Mock+Youth&amp;qid=1695171169&amp;sr=8-10")</f>
        <v/>
      </c>
      <c r="F4090" t="inlineStr">
        <is>
          <t>B07YXLT8YY</t>
        </is>
      </c>
      <c r="G4090">
        <f>_xludf.IMAGE("https://www.soccerplususa.com/prodimages/5585-DEFAULT-l.jpg")</f>
        <v/>
      </c>
      <c r="H4090">
        <f>_xludf.IMAGE("https://m.media-amazon.com/images/I/61931HB1b1L._AC_UL320_.jpg")</f>
        <v/>
      </c>
      <c r="K4090" t="inlineStr">
        <is>
          <t>39.95</t>
        </is>
      </c>
      <c r="L4090" t="n">
        <v>48.97</v>
      </c>
      <c r="M4090" s="1" t="inlineStr">
        <is>
          <t>22.58%</t>
        </is>
      </c>
      <c r="N4090" s="3" t="n">
        <v>22.58</v>
      </c>
      <c r="O4090" t="n">
        <v>4.8</v>
      </c>
      <c r="P4090" t="n">
        <v>696</v>
      </c>
      <c r="R4090" t="inlineStr">
        <is>
          <t>InStock</t>
        </is>
      </c>
      <c r="S4090" t="inlineStr">
        <is>
          <t>undefined</t>
        </is>
      </c>
      <c r="T4090" t="inlineStr">
        <is>
          <t>1288343-100</t>
        </is>
      </c>
    </row>
    <row r="4091" hidden="1" ht="15.75" customHeight="1">
      <c r="A4091" s="2">
        <f>HYPERLINK("https://www.soccerplususa.com/under-armour/under-armour-cold-gear-armour-mock-youth-33310", "https://www.soccerplususa.com/under-armour/under-armour-cold-gear-armour-mock-youth-33310")</f>
        <v/>
      </c>
      <c r="B4091" t="inlineStr">
        <is>
          <t>undefined</t>
        </is>
      </c>
      <c r="C4091" t="inlineStr">
        <is>
          <t>Under Armour Cold Gear Armour Mock Youth</t>
        </is>
      </c>
      <c r="D4091" t="inlineStr">
        <is>
          <t>Under Armour Boys' ColdGear Leggings</t>
        </is>
      </c>
      <c r="E4091" s="2">
        <f>HYPERLINK("https://www.amazon.com/Under-Armour-ColdGear-Leggings-Heather/dp/B07YXLT8YY/ref=sr_1_8?keywords=Under+Armour+Cold+Gear+Armour+Mock+Youth&amp;qid=1695171174&amp;sr=8-8", "https://www.amazon.com/Under-Armour-ColdGear-Leggings-Heather/dp/B07YXLT8YY/ref=sr_1_8?keywords=Under+Armour+Cold+Gear+Armour+Mock+Youth&amp;qid=1695171174&amp;sr=8-8")</f>
        <v/>
      </c>
      <c r="F4091" t="inlineStr">
        <is>
          <t>B07YXLT8YY</t>
        </is>
      </c>
      <c r="G4091">
        <f>_xludf.IMAGE("https://www.soccerplususa.com/prodimages/5586-DEFAULT-l.jpg")</f>
        <v/>
      </c>
      <c r="H4091">
        <f>_xludf.IMAGE("https://m.media-amazon.com/images/I/61931HB1b1L._AC_UL320_.jpg")</f>
        <v/>
      </c>
      <c r="K4091" t="inlineStr">
        <is>
          <t>39.95</t>
        </is>
      </c>
      <c r="L4091" t="n">
        <v>48.97</v>
      </c>
      <c r="M4091" s="1" t="inlineStr">
        <is>
          <t>22.58%</t>
        </is>
      </c>
      <c r="N4091" s="3" t="n">
        <v>22.58</v>
      </c>
      <c r="O4091" t="n">
        <v>4.8</v>
      </c>
      <c r="P4091" t="n">
        <v>696</v>
      </c>
      <c r="R4091" t="inlineStr">
        <is>
          <t>InStock</t>
        </is>
      </c>
      <c r="S4091" t="inlineStr">
        <is>
          <t>undefined</t>
        </is>
      </c>
      <c r="T4091" t="inlineStr">
        <is>
          <t>1288343-001</t>
        </is>
      </c>
    </row>
    <row r="4092" hidden="1" ht="15.75" customHeight="1">
      <c r="A4092" s="2">
        <f>HYPERLINK("https://www.soccerplususa.com/adidas/adidas-tiro-19-training-jacket-33996", "https://www.soccerplususa.com/adidas/adidas-tiro-19-training-jacket-33996")</f>
        <v/>
      </c>
      <c r="B4092" t="inlineStr">
        <is>
          <t>undefined</t>
        </is>
      </c>
      <c r="C4092" t="inlineStr">
        <is>
          <t>adidas Tiro 19 Training Jacket</t>
        </is>
      </c>
      <c r="D4092" t="inlineStr">
        <is>
          <t>adidas Men's Tiro 19 Warm Jacket</t>
        </is>
      </c>
      <c r="E4092" s="2">
        <f>HYPERLINK("https://www.amazon.com/adidas-Jacket-Small-Black-White/dp/B07KBC9Y6G/ref=sr_1_8?keywords=adidas+Tiro+19+Training+Jacket&amp;qid=1695171209&amp;sr=8-8", "https://www.amazon.com/adidas-Jacket-Small-Black-White/dp/B07KBC9Y6G/ref=sr_1_8?keywords=adidas+Tiro+19+Training+Jacket&amp;qid=1695171209&amp;sr=8-8")</f>
        <v/>
      </c>
      <c r="F4092" t="inlineStr">
        <is>
          <t>B07KBC9Y6G</t>
        </is>
      </c>
      <c r="G4092">
        <f>_xludf.IMAGE("https://www.soccerplususa.com/prodimages/8018-DEFAULT-l.jpg")</f>
        <v/>
      </c>
      <c r="H4092">
        <f>_xludf.IMAGE("https://m.media-amazon.com/images/I/61ToIcKY3SL._AC_UL320_.jpg")</f>
        <v/>
      </c>
      <c r="K4092" t="inlineStr">
        <is>
          <t>49.0</t>
        </is>
      </c>
      <c r="L4092" t="n">
        <v>59.99</v>
      </c>
      <c r="M4092" s="1" t="inlineStr">
        <is>
          <t>22.43%</t>
        </is>
      </c>
      <c r="N4092" s="3" t="n">
        <v>22.43</v>
      </c>
      <c r="O4092" t="n">
        <v>4.5</v>
      </c>
      <c r="P4092" t="n">
        <v>69</v>
      </c>
      <c r="R4092" t="inlineStr">
        <is>
          <t>InStock</t>
        </is>
      </c>
      <c r="S4092" t="inlineStr">
        <is>
          <t>64.95</t>
        </is>
      </c>
      <c r="T4092" t="inlineStr">
        <is>
          <t>DT5272</t>
        </is>
      </c>
    </row>
    <row r="4093" hidden="1" ht="15.75" customHeight="1">
      <c r="A4093" s="2">
        <f>HYPERLINK("https://www.soccerplususa.com/adidas/adidas-tiro-19-training-jacket-33866", "https://www.soccerplususa.com/adidas/adidas-tiro-19-training-jacket-33866")</f>
        <v/>
      </c>
      <c r="B4093" t="inlineStr">
        <is>
          <t>undefined</t>
        </is>
      </c>
      <c r="C4093" t="inlineStr">
        <is>
          <t>adidas Tiro 19 Training Jacket</t>
        </is>
      </c>
      <c r="D4093" t="inlineStr">
        <is>
          <t>adidas Men's Tiro 19 Warm Jacket</t>
        </is>
      </c>
      <c r="E4093" s="2">
        <f>HYPERLINK("https://www.amazon.com/adidas-Jacket-Small-Black-White/dp/B07KBC9Y6G/ref=sr_1_8?keywords=adidas+Tiro+19+Training+Jacket&amp;qid=1695171181&amp;sr=8-8", "https://www.amazon.com/adidas-Jacket-Small-Black-White/dp/B07KBC9Y6G/ref=sr_1_8?keywords=adidas+Tiro+19+Training+Jacket&amp;qid=1695171181&amp;sr=8-8")</f>
        <v/>
      </c>
      <c r="F4093" t="inlineStr">
        <is>
          <t>B07KBC9Y6G</t>
        </is>
      </c>
      <c r="G4093">
        <f>_xludf.IMAGE("https://www.soccerplususa.com/prodimages/8017-DEFAULT-l.jpg")</f>
        <v/>
      </c>
      <c r="H4093">
        <f>_xludf.IMAGE("https://m.media-amazon.com/images/I/61ToIcKY3SL._AC_UL320_.jpg")</f>
        <v/>
      </c>
      <c r="K4093" t="inlineStr">
        <is>
          <t>49.0</t>
        </is>
      </c>
      <c r="L4093" t="n">
        <v>59.99</v>
      </c>
      <c r="M4093" s="1" t="inlineStr">
        <is>
          <t>22.43%</t>
        </is>
      </c>
      <c r="N4093" s="3" t="n">
        <v>22.43</v>
      </c>
      <c r="O4093" t="n">
        <v>4.5</v>
      </c>
      <c r="P4093" t="n">
        <v>69</v>
      </c>
      <c r="R4093" t="inlineStr">
        <is>
          <t>InStock</t>
        </is>
      </c>
      <c r="S4093" t="inlineStr">
        <is>
          <t>64.95</t>
        </is>
      </c>
      <c r="T4093" t="inlineStr">
        <is>
          <t>D95953</t>
        </is>
      </c>
    </row>
    <row r="4094" hidden="1" ht="15.75" customHeight="1">
      <c r="A4094" s="2">
        <f>HYPERLINK("https://www.soccerplususa.com/nike/nike-academy-18-jacket-34570", "https://www.soccerplususa.com/nike/nike-academy-18-jacket-34570")</f>
        <v/>
      </c>
      <c r="B4094" t="inlineStr">
        <is>
          <t>undefined</t>
        </is>
      </c>
      <c r="C4094" t="inlineStr">
        <is>
          <t>Nike Academy 18 Jacket</t>
        </is>
      </c>
      <c r="D4094" t="inlineStr">
        <is>
          <t>Nike Youth Dry Academy 18 Track Jacket (Black) Size Youth</t>
        </is>
      </c>
      <c r="E4094" s="2">
        <f>HYPERLINK("https://www.amazon.com/NIKE-Youth-Academy-Jacket-Medium/dp/B079JZMVMP/ref=sr_1_2?keywords=Nike+Academy+18+Jacket&amp;qid=1695171165&amp;sr=8-2", "https://www.amazon.com/NIKE-Youth-Academy-Jacket-Medium/dp/B079JZMVMP/ref=sr_1_2?keywords=Nike+Academy+18+Jacket&amp;qid=1695171165&amp;sr=8-2")</f>
        <v/>
      </c>
      <c r="F4094" t="inlineStr">
        <is>
          <t>B079JZMVMP</t>
        </is>
      </c>
      <c r="G4094">
        <f>_xludf.IMAGE("https://www.soccerplususa.com/prodimages/30940-DEFAULT-l.jpg")</f>
        <v/>
      </c>
      <c r="H4094">
        <f>_xludf.IMAGE("https://m.media-amazon.com/images/I/91AsQuYQnIL._AC_UL320_.jpg")</f>
        <v/>
      </c>
      <c r="K4094" t="inlineStr">
        <is>
          <t>44.99</t>
        </is>
      </c>
      <c r="L4094" t="n">
        <v>55</v>
      </c>
      <c r="M4094" s="1" t="inlineStr">
        <is>
          <t>22.25%</t>
        </is>
      </c>
      <c r="N4094" s="3" t="n">
        <v>22.25</v>
      </c>
      <c r="O4094" t="n">
        <v>3.5</v>
      </c>
      <c r="P4094" t="n">
        <v>36</v>
      </c>
      <c r="R4094" t="inlineStr">
        <is>
          <t>InStock</t>
        </is>
      </c>
      <c r="S4094" t="inlineStr">
        <is>
          <t>54.95</t>
        </is>
      </c>
      <c r="T4094" t="inlineStr">
        <is>
          <t>893701-010</t>
        </is>
      </c>
    </row>
    <row r="4095" hidden="1" ht="15.75" customHeight="1">
      <c r="A4095" s="2">
        <f>HYPERLINK("https://www.soccerplususa.com/nike/nike-academy-18-jacket-34570", "https://www.soccerplususa.com/nike/nike-academy-18-jacket-34570")</f>
        <v/>
      </c>
      <c r="B4095" t="inlineStr">
        <is>
          <t>undefined</t>
        </is>
      </c>
      <c r="C4095" t="inlineStr">
        <is>
          <t>Nike Academy 18 Jacket</t>
        </is>
      </c>
      <c r="D4095" t="inlineStr">
        <is>
          <t>Nike Youth Dry Academy 18 Track Jacket (Black) Size Youth</t>
        </is>
      </c>
      <c r="E4095" s="2">
        <f>HYPERLINK("https://www.amazon.com/NIKE-Youth-Academy-Track-Jacket/dp/B079JYTT6W/ref=sr_1_1?keywords=Nike+Academy+18+Jacket&amp;qid=1695171165&amp;sr=8-1", "https://www.amazon.com/NIKE-Youth-Academy-Track-Jacket/dp/B079JYTT6W/ref=sr_1_1?keywords=Nike+Academy+18+Jacket&amp;qid=1695171165&amp;sr=8-1")</f>
        <v/>
      </c>
      <c r="F4095" t="inlineStr">
        <is>
          <t>B079JYTT6W</t>
        </is>
      </c>
      <c r="G4095">
        <f>_xludf.IMAGE("https://www.soccerplususa.com/prodimages/30940-DEFAULT-l.jpg")</f>
        <v/>
      </c>
      <c r="H4095">
        <f>_xludf.IMAGE("https://m.media-amazon.com/images/I/91AsQuYQnIL._AC_UL320_.jpg")</f>
        <v/>
      </c>
      <c r="K4095" t="inlineStr">
        <is>
          <t>44.99</t>
        </is>
      </c>
      <c r="L4095" t="n">
        <v>55</v>
      </c>
      <c r="M4095" s="1" t="inlineStr">
        <is>
          <t>22.25%</t>
        </is>
      </c>
      <c r="N4095" s="3" t="n">
        <v>22.25</v>
      </c>
      <c r="O4095" t="n">
        <v>4</v>
      </c>
      <c r="P4095" t="n">
        <v>34</v>
      </c>
      <c r="R4095" t="inlineStr">
        <is>
          <t>InStock</t>
        </is>
      </c>
      <c r="S4095" t="inlineStr">
        <is>
          <t>54.95</t>
        </is>
      </c>
      <c r="T4095" t="inlineStr">
        <is>
          <t>893701-010</t>
        </is>
      </c>
    </row>
    <row r="4096" hidden="1" ht="15.75" customHeight="1">
      <c r="A4096" s="2">
        <f>HYPERLINK("https://www.soccerplususa.com/nike/nike-academy-18-jacket-34570", "https://www.soccerplususa.com/nike/nike-academy-18-jacket-34570")</f>
        <v/>
      </c>
      <c r="B4096" t="inlineStr">
        <is>
          <t>undefined</t>
        </is>
      </c>
      <c r="C4096" t="inlineStr">
        <is>
          <t>Nike Academy 18 Jacket</t>
        </is>
      </c>
      <c r="D4096" t="inlineStr">
        <is>
          <t>Nike Boys Academy 18 Hoodie</t>
        </is>
      </c>
      <c r="E4096" s="2">
        <f>HYPERLINK("https://www.amazon.com/Nike-Boys-Academy-Hoodie-University/dp/B079K18Y7K/ref=sr_1_9?keywords=Nike+Academy+18+Jacket&amp;qid=1695171165&amp;sr=8-9", "https://www.amazon.com/Nike-Boys-Academy-Hoodie-University/dp/B079K18Y7K/ref=sr_1_9?keywords=Nike+Academy+18+Jacket&amp;qid=1695171165&amp;sr=8-9")</f>
        <v/>
      </c>
      <c r="F4096" t="inlineStr">
        <is>
          <t>B079K18Y7K</t>
        </is>
      </c>
      <c r="G4096">
        <f>_xludf.IMAGE("https://www.soccerplususa.com/prodimages/30940-DEFAULT-l.jpg")</f>
        <v/>
      </c>
      <c r="H4096">
        <f>_xludf.IMAGE("https://m.media-amazon.com/images/I/71pP4kPmcSL._AC_UL320_.jpg")</f>
        <v/>
      </c>
      <c r="K4096" t="inlineStr">
        <is>
          <t>44.99</t>
        </is>
      </c>
      <c r="L4096" t="n">
        <v>54.99</v>
      </c>
      <c r="M4096" s="1" t="inlineStr">
        <is>
          <t>22.23%</t>
        </is>
      </c>
      <c r="N4096" s="3" t="n">
        <v>22.23</v>
      </c>
      <c r="O4096" t="n">
        <v>4.5</v>
      </c>
      <c r="P4096" t="n">
        <v>672</v>
      </c>
      <c r="R4096" t="inlineStr">
        <is>
          <t>InStock</t>
        </is>
      </c>
      <c r="S4096" t="inlineStr">
        <is>
          <t>54.95</t>
        </is>
      </c>
      <c r="T4096" t="inlineStr">
        <is>
          <t>893701-010</t>
        </is>
      </c>
    </row>
    <row r="4097" hidden="1" ht="15.75" customHeight="1">
      <c r="A4097" s="2">
        <f>HYPERLINK("https://www.soccerplususa.com/adidas/adidas-tiro-19-training-jacket-youth-33998", "https://www.soccerplususa.com/adidas/adidas-tiro-19-training-jacket-youth-33998")</f>
        <v/>
      </c>
      <c r="B4097" t="inlineStr">
        <is>
          <t>undefined</t>
        </is>
      </c>
      <c r="C4097" t="inlineStr">
        <is>
          <t>adidas Tiro 19 Training Jacket Youth</t>
        </is>
      </c>
      <c r="D4097" t="inlineStr">
        <is>
          <t>adidas mens Youth Tiro 17 Soccer Training Jacket</t>
        </is>
      </c>
      <c r="E4097" s="2">
        <f>HYPERLINK("https://www.amazon.com/Adidas-Soccer-Training-Jacket-Red-Black-White/dp/B01MG8Q0PJ/ref=sr_1_3?keywords=adidas+Tiro+19+Training+Jacket+Youth&amp;qid=1695171164&amp;sr=8-3", "https://www.amazon.com/Adidas-Soccer-Training-Jacket-Red-Black-White/dp/B01MG8Q0PJ/ref=sr_1_3?keywords=adidas+Tiro+19+Training+Jacket+Youth&amp;qid=1695171164&amp;sr=8-3")</f>
        <v/>
      </c>
      <c r="F4097" t="inlineStr">
        <is>
          <t>B01MG8Q0PJ</t>
        </is>
      </c>
      <c r="G4097">
        <f>_xludf.IMAGE("https://www.soccerplususa.com/prodimages/7897-DEFAULT-l.jpg")</f>
        <v/>
      </c>
      <c r="H4097">
        <f>_xludf.IMAGE("https://m.media-amazon.com/images/I/71vhAIEa4+L._AC_UL320_.jpg")</f>
        <v/>
      </c>
      <c r="K4097" t="inlineStr">
        <is>
          <t>45.0</t>
        </is>
      </c>
      <c r="L4097" t="n">
        <v>54.95</v>
      </c>
      <c r="M4097" s="1" t="inlineStr">
        <is>
          <t>22.11%</t>
        </is>
      </c>
      <c r="N4097" s="3" t="n">
        <v>22.11</v>
      </c>
      <c r="O4097" t="n">
        <v>3.6</v>
      </c>
      <c r="P4097" t="n">
        <v>37</v>
      </c>
      <c r="R4097" t="inlineStr">
        <is>
          <t>InStock</t>
        </is>
      </c>
      <c r="S4097" t="inlineStr">
        <is>
          <t>59.95</t>
        </is>
      </c>
      <c r="T4097" t="inlineStr">
        <is>
          <t>DT5276</t>
        </is>
      </c>
    </row>
    <row r="4098" hidden="1" ht="15.75" customHeight="1">
      <c r="A4098" s="2">
        <f>HYPERLINK("https://www.soccerplususa.com/adidas/adidas-tiro-19-training-jacket-youth-33858", "https://www.soccerplususa.com/adidas/adidas-tiro-19-training-jacket-youth-33858")</f>
        <v/>
      </c>
      <c r="B4098" t="inlineStr">
        <is>
          <t>undefined</t>
        </is>
      </c>
      <c r="C4098" t="inlineStr">
        <is>
          <t>adidas Tiro 19 Training Jacket Youth</t>
        </is>
      </c>
      <c r="D4098" t="inlineStr">
        <is>
          <t>adidas mens Youth Tiro 17 Soccer Training Jacket</t>
        </is>
      </c>
      <c r="E4098" s="2">
        <f>HYPERLINK("https://www.amazon.com/Adidas-Soccer-Training-Jacket-Red-Black-White/dp/B01MG8Q0PJ/ref=sr_1_7?keywords=adidas+Tiro+19+Training+Jacket+Youth&amp;qid=1695171168&amp;sr=8-7", "https://www.amazon.com/Adidas-Soccer-Training-Jacket-Red-Black-White/dp/B01MG8Q0PJ/ref=sr_1_7?keywords=adidas+Tiro+19+Training+Jacket+Youth&amp;qid=1695171168&amp;sr=8-7")</f>
        <v/>
      </c>
      <c r="F4098" t="inlineStr">
        <is>
          <t>B01MG8Q0PJ</t>
        </is>
      </c>
      <c r="G4098">
        <f>_xludf.IMAGE("https://www.soccerplususa.com/prodimages/8020-DEFAULT-l.jpg")</f>
        <v/>
      </c>
      <c r="H4098">
        <f>_xludf.IMAGE("https://m.media-amazon.com/images/I/71vhAIEa4+L._AC_UL320_.jpg")</f>
        <v/>
      </c>
      <c r="K4098" t="inlineStr">
        <is>
          <t>45.0</t>
        </is>
      </c>
      <c r="L4098" t="n">
        <v>54.95</v>
      </c>
      <c r="M4098" s="1" t="inlineStr">
        <is>
          <t>22.11%</t>
        </is>
      </c>
      <c r="N4098" s="3" t="n">
        <v>22.11</v>
      </c>
      <c r="O4098" t="n">
        <v>3.6</v>
      </c>
      <c r="P4098" t="n">
        <v>37</v>
      </c>
      <c r="R4098" t="inlineStr">
        <is>
          <t>InStock</t>
        </is>
      </c>
      <c r="S4098" t="inlineStr">
        <is>
          <t>59.95</t>
        </is>
      </c>
      <c r="T4098" t="inlineStr">
        <is>
          <t>D95922</t>
        </is>
      </c>
    </row>
    <row r="4099" hidden="1" ht="15.75" customHeight="1">
      <c r="A4099" s="2">
        <f>HYPERLINK("https://www.soccerplususa.com/puma/puma-liga-jersey-youth-37885", "https://www.soccerplususa.com/puma/puma-liga-jersey-youth-37885")</f>
        <v/>
      </c>
      <c r="B4099" t="inlineStr">
        <is>
          <t>undefined</t>
        </is>
      </c>
      <c r="C4099" t="inlineStr">
        <is>
          <t>Puma Liga Jersey Youth</t>
        </is>
      </c>
      <c r="D4099" t="inlineStr">
        <is>
          <t>PUMA Unisex Youth Liga Jersey Core, Cyber Yellow/Black, M</t>
        </is>
      </c>
      <c r="E4099" s="2">
        <f>HYPERLINK("https://www.amazon.com/PUMA-Jersey-Cyber-Yellowpuma-Black/dp/B07KWYYR1G/ref=sr_1_8?keywords=Puma+Liga+Jersey+Youth&amp;qid=1695171154&amp;sr=8-8", "https://www.amazon.com/PUMA-Jersey-Cyber-Yellowpuma-Black/dp/B07KWYYR1G/ref=sr_1_8?keywords=Puma+Liga+Jersey+Youth&amp;qid=1695171154&amp;sr=8-8")</f>
        <v/>
      </c>
      <c r="F4099" t="inlineStr">
        <is>
          <t>B07KWYYR1G</t>
        </is>
      </c>
      <c r="G4099">
        <f>_xludf.IMAGE("https://www.soccerplususa.com/prodimages//36779-REDWHITE-M.jpg")</f>
        <v/>
      </c>
      <c r="H4099">
        <f>_xludf.IMAGE("https://m.media-amazon.com/images/I/61vDxC4BEBL._AC_UL320_.jpg")</f>
        <v/>
      </c>
      <c r="K4099" t="inlineStr">
        <is>
          <t>20.99</t>
        </is>
      </c>
      <c r="L4099" t="n">
        <v>25.5</v>
      </c>
      <c r="M4099" s="1" t="inlineStr">
        <is>
          <t>21.49%</t>
        </is>
      </c>
      <c r="N4099" s="3" t="n">
        <v>21.49</v>
      </c>
      <c r="O4099" t="n">
        <v>3.2</v>
      </c>
      <c r="P4099" t="n">
        <v>17</v>
      </c>
      <c r="R4099" t="inlineStr">
        <is>
          <t>InStock</t>
        </is>
      </c>
      <c r="S4099" t="inlineStr">
        <is>
          <t>27.95</t>
        </is>
      </c>
      <c r="T4099" t="inlineStr">
        <is>
          <t>703418-01</t>
        </is>
      </c>
    </row>
    <row r="4100" hidden="1" ht="15.75" customHeight="1">
      <c r="A4100" s="2">
        <f>HYPERLINK("https://www.soccerplususa.com/puma/puma-liga-jersey-youth-37886", "https://www.soccerplususa.com/puma/puma-liga-jersey-youth-37886")</f>
        <v/>
      </c>
      <c r="B4100" t="inlineStr">
        <is>
          <t>undefined</t>
        </is>
      </c>
      <c r="C4100" t="inlineStr">
        <is>
          <t>Puma Liga Jersey Youth</t>
        </is>
      </c>
      <c r="D4100" t="inlineStr">
        <is>
          <t>PUMA Unisex Youth Liga Jersey Core, Cyber Yellow/Black, M</t>
        </is>
      </c>
      <c r="E4100" s="2">
        <f>HYPERLINK("https://www.amazon.com/PUMA-Jersey-Cyber-Yellowpuma-Black/dp/B07KWYYR1G/ref=sr_1_8?keywords=Puma+Liga+Jersey+Youth&amp;qid=1695171188&amp;sr=8-8", "https://www.amazon.com/PUMA-Jersey-Cyber-Yellowpuma-Black/dp/B07KWYYR1G/ref=sr_1_8?keywords=Puma+Liga+Jersey+Youth&amp;qid=1695171188&amp;sr=8-8")</f>
        <v/>
      </c>
      <c r="F4100" t="inlineStr">
        <is>
          <t>B07KWYYR1G</t>
        </is>
      </c>
      <c r="G4100">
        <f>_xludf.IMAGE("https://www.soccerplususa.com/prodimages//35271-NAVYWHITE-M.jpg")</f>
        <v/>
      </c>
      <c r="H4100">
        <f>_xludf.IMAGE("https://m.media-amazon.com/images/I/61vDxC4BEBL._AC_UL320_.jpg")</f>
        <v/>
      </c>
      <c r="K4100" t="inlineStr">
        <is>
          <t>20.99</t>
        </is>
      </c>
      <c r="L4100" t="n">
        <v>25.5</v>
      </c>
      <c r="M4100" s="1" t="inlineStr">
        <is>
          <t>21.49%</t>
        </is>
      </c>
      <c r="N4100" s="3" t="n">
        <v>21.49</v>
      </c>
      <c r="O4100" t="n">
        <v>3.2</v>
      </c>
      <c r="P4100" t="n">
        <v>17</v>
      </c>
      <c r="R4100" t="inlineStr">
        <is>
          <t>InStock</t>
        </is>
      </c>
      <c r="S4100" t="inlineStr">
        <is>
          <t>27.95</t>
        </is>
      </c>
      <c r="T4100" t="inlineStr">
        <is>
          <t>703418-06</t>
        </is>
      </c>
    </row>
    <row r="4101" hidden="1" ht="15.75" customHeight="1">
      <c r="A4101" s="2">
        <f>HYPERLINK("https://www.soccerplususa.com/puma/puma-liga-jersey-youth-39601", "https://www.soccerplususa.com/puma/puma-liga-jersey-youth-39601")</f>
        <v/>
      </c>
      <c r="B4101" t="inlineStr">
        <is>
          <t>undefined</t>
        </is>
      </c>
      <c r="C4101" t="inlineStr">
        <is>
          <t>Puma Liga Jersey Youth</t>
        </is>
      </c>
      <c r="D4101" t="inlineStr">
        <is>
          <t>PUMA Unisex Youth Liga Jersey Core, Cyber Yellow/Black, M</t>
        </is>
      </c>
      <c r="E4101" s="2">
        <f>HYPERLINK("https://www.amazon.com/PUMA-Jersey-Cyber-Yellowpuma-Black/dp/B07KWYYR1G/ref=sr_1_8?keywords=Puma+Liga+Jersey+Youth&amp;qid=1695171161&amp;sr=8-8", "https://www.amazon.com/PUMA-Jersey-Cyber-Yellowpuma-Black/dp/B07KWYYR1G/ref=sr_1_8?keywords=Puma+Liga+Jersey+Youth&amp;qid=1695171161&amp;sr=8-8")</f>
        <v/>
      </c>
      <c r="F4101" t="inlineStr">
        <is>
          <t>B07KWYYR1G</t>
        </is>
      </c>
      <c r="G4101">
        <f>_xludf.IMAGE("https://www.soccerplususa.com/prodimages//36796-WHITE-M.jpg")</f>
        <v/>
      </c>
      <c r="H4101">
        <f>_xludf.IMAGE("https://m.media-amazon.com/images/I/61vDxC4BEBL._AC_UL320_.jpg")</f>
        <v/>
      </c>
      <c r="K4101" t="inlineStr">
        <is>
          <t>20.99</t>
        </is>
      </c>
      <c r="L4101" t="n">
        <v>25.5</v>
      </c>
      <c r="M4101" s="1" t="inlineStr">
        <is>
          <t>21.49%</t>
        </is>
      </c>
      <c r="N4101" s="3" t="n">
        <v>21.49</v>
      </c>
      <c r="O4101" t="n">
        <v>3.2</v>
      </c>
      <c r="P4101" t="n">
        <v>17</v>
      </c>
      <c r="R4101" t="inlineStr">
        <is>
          <t>InStock</t>
        </is>
      </c>
      <c r="S4101" t="inlineStr">
        <is>
          <t>27.95</t>
        </is>
      </c>
      <c r="T4101" t="inlineStr">
        <is>
          <t>703418-14</t>
        </is>
      </c>
    </row>
    <row r="4102" hidden="1" ht="15.75" customHeight="1">
      <c r="A4102" s="2">
        <f>HYPERLINK("https://www.soccerplususa.com/new-balance/new-balance-sideline-jacket-41947", "https://www.soccerplususa.com/new-balance/new-balance-sideline-jacket-41947")</f>
        <v/>
      </c>
      <c r="B4102" t="inlineStr">
        <is>
          <t>undefined</t>
        </is>
      </c>
      <c r="C4102" t="inlineStr">
        <is>
          <t>New Balance Sideline Jacket</t>
        </is>
      </c>
      <c r="D4102" t="inlineStr">
        <is>
          <t>New Balance Women's Impact Run Water Defy Jacket</t>
        </is>
      </c>
      <c r="E4102" s="2">
        <f>HYPERLINK("https://www.amazon.com/New-Balance-Womens-Impact-Jacket/dp/B09251LW64/ref=sr_1_10?keywords=New+Balance+Sideline+Jacket&amp;qid=1695171146&amp;sr=8-10", "https://www.amazon.com/New-Balance-Womens-Impact-Jacket/dp/B09251LW64/ref=sr_1_10?keywords=New+Balance+Sideline+Jacket&amp;qid=1695171146&amp;sr=8-10")</f>
        <v/>
      </c>
      <c r="F4102" t="inlineStr">
        <is>
          <t>B09251LW64</t>
        </is>
      </c>
      <c r="G4102">
        <f>_xludf.IMAGE("https://www.soccerplususa.com/prodimages//37530-BLACK-M.jpg")</f>
        <v/>
      </c>
      <c r="H4102">
        <f>_xludf.IMAGE("https://m.media-amazon.com/images/I/814uwog7nKL._AC_UL320_.jpg")</f>
        <v/>
      </c>
      <c r="K4102" t="inlineStr">
        <is>
          <t>71.49</t>
        </is>
      </c>
      <c r="L4102" t="n">
        <v>86.7</v>
      </c>
      <c r="M4102" s="1" t="inlineStr">
        <is>
          <t>21.28%</t>
        </is>
      </c>
      <c r="N4102" s="3" t="n">
        <v>21.28</v>
      </c>
      <c r="O4102" t="n">
        <v>5</v>
      </c>
      <c r="P4102" t="n">
        <v>1</v>
      </c>
      <c r="R4102" t="inlineStr">
        <is>
          <t>InStock</t>
        </is>
      </c>
      <c r="S4102" t="inlineStr">
        <is>
          <t>95.0</t>
        </is>
      </c>
      <c r="T4102" t="inlineStr">
        <is>
          <t>TMMJ718</t>
        </is>
      </c>
    </row>
    <row r="4103" hidden="1" ht="15.75" customHeight="1">
      <c r="A4103" s="2">
        <f>HYPERLINK("https://www.soccerplususa.com/nike/nike-academy-drill-top-youth-43256", "https://www.soccerplususa.com/nike/nike-academy-drill-top-youth-43256")</f>
        <v/>
      </c>
      <c r="B4103" t="inlineStr">
        <is>
          <t>undefined</t>
        </is>
      </c>
      <c r="C4103" t="inlineStr">
        <is>
          <t>Nike Academy Drill Top Youth</t>
        </is>
      </c>
      <c r="D4103" t="inlineStr">
        <is>
          <t>Nike Men's Dry Academy 18 Drill Football Top (Green Spark/Pine Green/White, XL)</t>
        </is>
      </c>
      <c r="E4103" s="2">
        <f>HYPERLINK("https://www.amazon.com/Nike-Academy-Drill-Football-Green/dp/B078SS9Z6C/ref=sr_1_8?keywords=Nike+Academy+Drill+Top+Youth&amp;qid=1695171160&amp;sr=8-8", "https://www.amazon.com/Nike-Academy-Drill-Football-Green/dp/B078SS9Z6C/ref=sr_1_8?keywords=Nike+Academy+Drill+Top+Youth&amp;qid=1695171160&amp;sr=8-8")</f>
        <v/>
      </c>
      <c r="F4103" t="inlineStr">
        <is>
          <t>B078SS9Z6C</t>
        </is>
      </c>
      <c r="G4103">
        <f>_xludf.IMAGE("https://www.soccerplususa.com/prodimages//35431-BLACKWHITE-M.jpg")</f>
        <v/>
      </c>
      <c r="H4103">
        <f>_xludf.IMAGE("https://m.media-amazon.com/images/I/716sSQrItBL._AC_UL320_.jpg")</f>
        <v/>
      </c>
      <c r="K4103" t="inlineStr">
        <is>
          <t>49.95</t>
        </is>
      </c>
      <c r="L4103" t="n">
        <v>60</v>
      </c>
      <c r="M4103" s="1" t="inlineStr">
        <is>
          <t>20.12%</t>
        </is>
      </c>
      <c r="N4103" s="3" t="n">
        <v>20.12</v>
      </c>
      <c r="O4103" t="n">
        <v>4.8</v>
      </c>
      <c r="P4103" t="n">
        <v>12</v>
      </c>
      <c r="R4103" t="inlineStr">
        <is>
          <t>InStock</t>
        </is>
      </c>
      <c r="S4103" t="inlineStr">
        <is>
          <t>undefined</t>
        </is>
      </c>
      <c r="T4103" t="inlineStr">
        <is>
          <t>CW6112-010</t>
        </is>
      </c>
    </row>
    <row r="4104" hidden="1" ht="15.75" customHeight="1">
      <c r="A4104" s="2">
        <f>HYPERLINK("https://www.soccerplususa.com/under-armour/under-armour-coldgear-mock-womens-33129", "https://www.soccerplususa.com/under-armour/under-armour-coldgear-mock-womens-33129")</f>
        <v/>
      </c>
      <c r="B4104" t="inlineStr">
        <is>
          <t>undefined</t>
        </is>
      </c>
      <c r="C4104" t="inlineStr">
        <is>
          <t>Under Armour Coldgear Mock Women's</t>
        </is>
      </c>
      <c r="D4104" t="inlineStr">
        <is>
          <t>Under Armour Women's Authentics ColdGear ¼ Zip T-Shirt</t>
        </is>
      </c>
      <c r="E4104" s="2">
        <f>HYPERLINK("https://www.amazon.com/Under-Armour-Authentics-ColdGear-T-Shirt/dp/B08LMTDNBF/ref=sr_1_4?keywords=Under+Armour+Coldgear+Mock+Women%27s&amp;qid=1695171175&amp;sr=8-4", "https://www.amazon.com/Under-Armour-Authentics-ColdGear-T-Shirt/dp/B08LMTDNBF/ref=sr_1_4?keywords=Under+Armour+Coldgear+Mock+Women%27s&amp;qid=1695171175&amp;sr=8-4")</f>
        <v/>
      </c>
      <c r="F4104" t="inlineStr">
        <is>
          <t>B08LMTDNBF</t>
        </is>
      </c>
      <c r="G4104">
        <f>_xludf.IMAGE("https://www.soccerplususa.com/prodimages/2365-DEFAULT-l.jpg")</f>
        <v/>
      </c>
      <c r="H4104">
        <f>_xludf.IMAGE("https://m.media-amazon.com/images/I/41ePEpa2GyL._AC_UL320_.jpg")</f>
        <v/>
      </c>
      <c r="K4104" t="inlineStr">
        <is>
          <t>49.95</t>
        </is>
      </c>
      <c r="L4104" t="n">
        <v>59.99</v>
      </c>
      <c r="M4104" s="1" t="inlineStr">
        <is>
          <t>20.10%</t>
        </is>
      </c>
      <c r="N4104" s="3" t="n">
        <v>20.1</v>
      </c>
      <c r="O4104" t="n">
        <v>4.6</v>
      </c>
      <c r="P4104" t="n">
        <v>60</v>
      </c>
      <c r="R4104" t="inlineStr">
        <is>
          <t>InStock</t>
        </is>
      </c>
      <c r="S4104" t="inlineStr">
        <is>
          <t>undefined</t>
        </is>
      </c>
      <c r="T4104" t="inlineStr">
        <is>
          <t>1215968-100</t>
        </is>
      </c>
    </row>
    <row r="4105" hidden="1" ht="15.75" customHeight="1">
      <c r="A4105" s="2">
        <f>HYPERLINK("https://www.soccerplususa.com/adidas/adidas-regista-14-jersey-youth-6072", "https://www.soccerplususa.com/adidas/adidas-regista-14-jersey-youth-6072")</f>
        <v/>
      </c>
      <c r="B4105" t="inlineStr">
        <is>
          <t>undefined</t>
        </is>
      </c>
      <c r="C4105" t="inlineStr">
        <is>
          <t>adidas Regista 14 Jersey Youth</t>
        </is>
      </c>
      <c r="D4105" t="inlineStr">
        <is>
          <t>adidas Youth/Men's Climacool Regista 14 Soccer Jersey (Cobalt|White/Small)</t>
        </is>
      </c>
      <c r="E4105" s="2">
        <f>HYPERLINK("https://www.amazon.com/Adidas-Climacool-Regista-Soccer-Jersey/dp/B00GWNLPCQ/ref=sr_1_4?keywords=adidas+Regista+14+Jersey+Youth&amp;qid=1695171215&amp;sr=8-4", "https://www.amazon.com/Adidas-Climacool-Regista-Soccer-Jersey/dp/B00GWNLPCQ/ref=sr_1_4?keywords=adidas+Regista+14+Jersey+Youth&amp;qid=1695171215&amp;sr=8-4")</f>
        <v/>
      </c>
      <c r="F4105" t="inlineStr">
        <is>
          <t>B00GWNLPCQ</t>
        </is>
      </c>
      <c r="G4105">
        <f>_xludf.IMAGE("https://www.soccerplususa.com/prodimages/31720-DEFAULT-l.jpg")</f>
        <v/>
      </c>
      <c r="H4105">
        <f>_xludf.IMAGE("https://m.media-amazon.com/images/I/610nKY0QmSL._AC_UL320_.jpg")</f>
        <v/>
      </c>
      <c r="K4105" t="inlineStr">
        <is>
          <t>20.0</t>
        </is>
      </c>
      <c r="L4105" t="n">
        <v>23.99</v>
      </c>
      <c r="M4105" s="1" t="inlineStr">
        <is>
          <t>19.95%</t>
        </is>
      </c>
      <c r="N4105" s="3" t="n">
        <v>19.95</v>
      </c>
      <c r="O4105" t="n">
        <v>5</v>
      </c>
      <c r="P4105" t="n">
        <v>1</v>
      </c>
      <c r="R4105" t="inlineStr">
        <is>
          <t>InStock</t>
        </is>
      </c>
      <c r="S4105" t="inlineStr">
        <is>
          <t>39.95</t>
        </is>
      </c>
      <c r="T4105" t="inlineStr">
        <is>
          <t>F50034</t>
        </is>
      </c>
    </row>
    <row r="4106" hidden="1" ht="15.75" customHeight="1">
      <c r="A4106" s="2">
        <f>HYPERLINK("https://www.soccerplususa.com/adidas/adidas-regista-14-jersey-youth-6677", "https://www.soccerplususa.com/adidas/adidas-regista-14-jersey-youth-6677")</f>
        <v/>
      </c>
      <c r="B4106" t="inlineStr">
        <is>
          <t>undefined</t>
        </is>
      </c>
      <c r="C4106" t="inlineStr">
        <is>
          <t>adidas Regista 14 Jersey Youth</t>
        </is>
      </c>
      <c r="D4106" t="inlineStr">
        <is>
          <t>adidas Youth/Men's Climacool Regista 14 Soccer Jersey (Cobalt|White/Small)</t>
        </is>
      </c>
      <c r="E4106" s="2">
        <f>HYPERLINK("https://www.amazon.com/Adidas-Climacool-Regista-Soccer-Jersey/dp/B00GWNLPCQ/ref=sr_1_4?keywords=adidas+Regista+14+Jersey+Youth&amp;qid=1695171214&amp;sr=8-4", "https://www.amazon.com/Adidas-Climacool-Regista-Soccer-Jersey/dp/B00GWNLPCQ/ref=sr_1_4?keywords=adidas+Regista+14+Jersey+Youth&amp;qid=1695171214&amp;sr=8-4")</f>
        <v/>
      </c>
      <c r="F4106" t="inlineStr">
        <is>
          <t>B00GWNLPCQ</t>
        </is>
      </c>
      <c r="G4106">
        <f>_xludf.IMAGE("https://www.soccerplususa.com/prodimages/32791-DEFAULT-l.jpg")</f>
        <v/>
      </c>
      <c r="H4106">
        <f>_xludf.IMAGE("https://m.media-amazon.com/images/I/610nKY0QmSL._AC_UL320_.jpg")</f>
        <v/>
      </c>
      <c r="K4106" t="inlineStr">
        <is>
          <t>20.0</t>
        </is>
      </c>
      <c r="L4106" t="n">
        <v>23.99</v>
      </c>
      <c r="M4106" s="1" t="inlineStr">
        <is>
          <t>19.95%</t>
        </is>
      </c>
      <c r="N4106" s="3" t="n">
        <v>19.95</v>
      </c>
      <c r="O4106" t="n">
        <v>5</v>
      </c>
      <c r="P4106" t="n">
        <v>1</v>
      </c>
      <c r="R4106" t="inlineStr">
        <is>
          <t>InStock</t>
        </is>
      </c>
      <c r="S4106" t="inlineStr">
        <is>
          <t>39.95</t>
        </is>
      </c>
      <c r="T4106" t="inlineStr">
        <is>
          <t>G70837</t>
        </is>
      </c>
    </row>
    <row r="4107" hidden="1" ht="15.75" customHeight="1">
      <c r="A4107" s="2">
        <f>HYPERLINK("https://www.soccerplususa.com/adidas/adidas-regista-14-jersey-youth-6073", "https://www.soccerplususa.com/adidas/adidas-regista-14-jersey-youth-6073")</f>
        <v/>
      </c>
      <c r="B4107" t="inlineStr">
        <is>
          <t>undefined</t>
        </is>
      </c>
      <c r="C4107" t="inlineStr">
        <is>
          <t>adidas Regista 14 Jersey Youth</t>
        </is>
      </c>
      <c r="D4107" t="inlineStr">
        <is>
          <t>adidas Youth/Men's Climacool Regista 14 Soccer Jersey (Cobalt|White/Small)</t>
        </is>
      </c>
      <c r="E4107" s="2">
        <f>HYPERLINK("https://www.amazon.com/Adidas-Climacool-Regista-Soccer-Jersey/dp/B00GWNLPCQ/ref=sr_1_4?keywords=adidas+Regista+14+Jersey+Youth&amp;qid=1695171211&amp;sr=8-4", "https://www.amazon.com/Adidas-Climacool-Regista-Soccer-Jersey/dp/B00GWNLPCQ/ref=sr_1_4?keywords=adidas+Regista+14+Jersey+Youth&amp;qid=1695171211&amp;sr=8-4")</f>
        <v/>
      </c>
      <c r="F4107" t="inlineStr">
        <is>
          <t>B00GWNLPCQ</t>
        </is>
      </c>
      <c r="G4107">
        <f>_xludf.IMAGE("https://www.soccerplususa.com/prodimages/32794-DEFAULT-l.jpg")</f>
        <v/>
      </c>
      <c r="H4107">
        <f>_xludf.IMAGE("https://m.media-amazon.com/images/I/610nKY0QmSL._AC_UL320_.jpg")</f>
        <v/>
      </c>
      <c r="K4107" t="inlineStr">
        <is>
          <t>20.0</t>
        </is>
      </c>
      <c r="L4107" t="n">
        <v>23.99</v>
      </c>
      <c r="M4107" s="1" t="inlineStr">
        <is>
          <t>19.95%</t>
        </is>
      </c>
      <c r="N4107" s="3" t="n">
        <v>19.95</v>
      </c>
      <c r="O4107" t="n">
        <v>5</v>
      </c>
      <c r="P4107" t="n">
        <v>1</v>
      </c>
      <c r="R4107" t="inlineStr">
        <is>
          <t>InStock</t>
        </is>
      </c>
      <c r="S4107" t="inlineStr">
        <is>
          <t>39.95</t>
        </is>
      </c>
      <c r="T4107" t="inlineStr">
        <is>
          <t>F50035</t>
        </is>
      </c>
    </row>
    <row r="4108" hidden="1" ht="15.75" customHeight="1">
      <c r="A4108" s="2">
        <f>HYPERLINK("https://www.soccerplususa.com/puma/puma-liga-jersey-37883", "https://www.soccerplususa.com/puma/puma-liga-jersey-37883")</f>
        <v/>
      </c>
      <c r="B4108" t="inlineStr">
        <is>
          <t>undefined</t>
        </is>
      </c>
      <c r="C4108" t="inlineStr">
        <is>
          <t>Puma Liga Jersey</t>
        </is>
      </c>
      <c r="D4108" t="inlineStr">
        <is>
          <t>PUMA Men's Liga Training Jersey</t>
        </is>
      </c>
      <c r="E4108" s="2">
        <f>HYPERLINK("https://www.amazon.com/PUMA-Mens-Training-Jersey-White/dp/B07DYB6JB7/ref=sr_1_8?keywords=Puma+Liga+Jersey&amp;qid=1695171159&amp;sr=8-8", "https://www.amazon.com/PUMA-Mens-Training-Jersey-White/dp/B07DYB6JB7/ref=sr_1_8?keywords=Puma+Liga+Jersey&amp;qid=1695171159&amp;sr=8-8")</f>
        <v/>
      </c>
      <c r="F4108" t="inlineStr">
        <is>
          <t>B07DYB6JB7</t>
        </is>
      </c>
      <c r="G4108">
        <f>_xludf.IMAGE("https://www.soccerplususa.com/prodimages//36780-REDWHITE-M.jpg")</f>
        <v/>
      </c>
      <c r="H4108">
        <f>_xludf.IMAGE("https://m.media-amazon.com/images/I/51zmfGeYYZL._AC_UL320_.jpg")</f>
        <v/>
      </c>
      <c r="K4108" t="inlineStr">
        <is>
          <t>27.95</t>
        </is>
      </c>
      <c r="L4108" t="n">
        <v>33.47</v>
      </c>
      <c r="M4108" s="1" t="inlineStr">
        <is>
          <t>19.75%</t>
        </is>
      </c>
      <c r="N4108" s="3" t="n">
        <v>19.75</v>
      </c>
      <c r="O4108" t="n">
        <v>4.6</v>
      </c>
      <c r="P4108" t="n">
        <v>242</v>
      </c>
      <c r="R4108" t="inlineStr">
        <is>
          <t>InStock</t>
        </is>
      </c>
      <c r="S4108" t="inlineStr">
        <is>
          <t>undefined</t>
        </is>
      </c>
      <c r="T4108" t="inlineStr">
        <is>
          <t>703417-01</t>
        </is>
      </c>
    </row>
    <row r="4109" hidden="1" ht="15.75" customHeight="1">
      <c r="A4109" s="2">
        <f>HYPERLINK("https://www.soccerplususa.com/nike/nike-academy-18-jacket-34570", "https://www.soccerplususa.com/nike/nike-academy-18-jacket-34570")</f>
        <v/>
      </c>
      <c r="B4109" t="inlineStr">
        <is>
          <t>undefined</t>
        </is>
      </c>
      <c r="C4109" t="inlineStr">
        <is>
          <t>Nike Academy 18 Jacket</t>
        </is>
      </c>
      <c r="D4109" t="inlineStr">
        <is>
          <t>Men's Nike Dry Academy18 Football Jacket</t>
        </is>
      </c>
      <c r="E4109" s="2">
        <f>HYPERLINK("https://www.amazon.com/Nike-Academy18-Football-Jacket-Anthracite/dp/B079JWH66W/ref=sr_1_10?keywords=Nike+Academy+18+Jacket&amp;qid=1695171165&amp;sr=8-10", "https://www.amazon.com/Nike-Academy18-Football-Jacket-Anthracite/dp/B079JWH66W/ref=sr_1_10?keywords=Nike+Academy+18+Jacket&amp;qid=1695171165&amp;sr=8-10")</f>
        <v/>
      </c>
      <c r="F4109" t="inlineStr">
        <is>
          <t>B079JWH66W</t>
        </is>
      </c>
      <c r="G4109">
        <f>_xludf.IMAGE("https://www.soccerplususa.com/prodimages/30940-DEFAULT-l.jpg")</f>
        <v/>
      </c>
      <c r="H4109">
        <f>_xludf.IMAGE("https://m.media-amazon.com/images/I/8152gVymWCL._AC_UL320_.jpg")</f>
        <v/>
      </c>
      <c r="K4109" t="inlineStr">
        <is>
          <t>44.99</t>
        </is>
      </c>
      <c r="L4109" t="n">
        <v>53.79</v>
      </c>
      <c r="M4109" s="1" t="inlineStr">
        <is>
          <t>19.56%</t>
        </is>
      </c>
      <c r="N4109" s="3" t="n">
        <v>19.56</v>
      </c>
      <c r="O4109" t="n">
        <v>4.4</v>
      </c>
      <c r="P4109" t="n">
        <v>1577</v>
      </c>
      <c r="R4109" t="inlineStr">
        <is>
          <t>InStock</t>
        </is>
      </c>
      <c r="S4109" t="inlineStr">
        <is>
          <t>54.95</t>
        </is>
      </c>
      <c r="T4109" t="inlineStr">
        <is>
          <t>893701-010</t>
        </is>
      </c>
    </row>
    <row r="4110" hidden="1" ht="15.75" customHeight="1">
      <c r="A4110" s="2">
        <f>HYPERLINK("https://www.soccerplususa.com/adidas/adidas-condivo-14-training-top-36188", "https://www.soccerplususa.com/adidas/adidas-condivo-14-training-top-36188")</f>
        <v/>
      </c>
      <c r="B4110" t="inlineStr">
        <is>
          <t>undefined</t>
        </is>
      </c>
      <c r="C4110" t="inlineStr">
        <is>
          <t>adidas Condivo 14 Training Top</t>
        </is>
      </c>
      <c r="D4110" t="inlineStr">
        <is>
          <t>adidas Women's Condivo 22 Training Top</t>
        </is>
      </c>
      <c r="E4110" s="2">
        <f>HYPERLINK("https://www.amazon.com/adidas-Womens-Condivo-Training-Medium/dp/B09HJKW33X/ref=sr_1_4?keywords=adidas+Condivo+14+Training+Top&amp;qid=1695171163&amp;sr=8-4", "https://www.amazon.com/adidas-Womens-Condivo-Training-Medium/dp/B09HJKW33X/ref=sr_1_4?keywords=adidas+Condivo+14+Training+Top&amp;qid=1695171163&amp;sr=8-4")</f>
        <v/>
      </c>
      <c r="F4110" t="inlineStr">
        <is>
          <t>B09HJKW33X</t>
        </is>
      </c>
      <c r="G4110">
        <f>_xludf.IMAGE("https://www.soccerplususa.com/prodimages/10436-DEFAULT-l.jpg")</f>
        <v/>
      </c>
      <c r="H4110">
        <f>_xludf.IMAGE("https://m.media-amazon.com/images/I/51809whMXpL._MCnd_AC_UL320_.jpg")</f>
        <v/>
      </c>
      <c r="K4110" t="inlineStr">
        <is>
          <t>30.0</t>
        </is>
      </c>
      <c r="L4110" t="n">
        <v>35.75</v>
      </c>
      <c r="M4110" s="1" t="inlineStr">
        <is>
          <t>19.17%</t>
        </is>
      </c>
      <c r="N4110" s="3" t="n">
        <v>19.17</v>
      </c>
      <c r="O4110" t="n">
        <v>5</v>
      </c>
      <c r="P4110" t="n">
        <v>4</v>
      </c>
      <c r="R4110" t="inlineStr">
        <is>
          <t>InStock</t>
        </is>
      </c>
      <c r="S4110" t="inlineStr">
        <is>
          <t>59.95</t>
        </is>
      </c>
      <c r="T4110" t="inlineStr">
        <is>
          <t>G80802</t>
        </is>
      </c>
    </row>
    <row r="4111" hidden="1" ht="15.75" customHeight="1">
      <c r="A4111" s="2">
        <f>HYPERLINK("https://www.soccerplususa.com/new-balance/new-balance-thermal-half-zip-top-womens-39182", "https://www.soccerplususa.com/new-balance/new-balance-thermal-half-zip-top-womens-39182")</f>
        <v/>
      </c>
      <c r="B4111" t="inlineStr">
        <is>
          <t>undefined</t>
        </is>
      </c>
      <c r="C4111" t="inlineStr">
        <is>
          <t>New Balance Thermal Half Zip Top Women's</t>
        </is>
      </c>
      <c r="D4111" t="inlineStr">
        <is>
          <t>New Balance Women's Nb Heat Grid Half Zip 21</t>
        </is>
      </c>
      <c r="E4111" s="2">
        <f>HYPERLINK("https://www.amazon.com/New-Balance-Womens-Standard-Impact/dp/B08NM3HPRS/ref=sr_1_1?keywords=New+Balance+Thermal+Half+Zip+Top+Womens&amp;qid=1695171153&amp;sr=8-1", "https://www.amazon.com/New-Balance-Womens-Standard-Impact/dp/B08NM3HPRS/ref=sr_1_1?keywords=New+Balance+Thermal+Half+Zip+Top+Womens&amp;qid=1695171153&amp;sr=8-1")</f>
        <v/>
      </c>
      <c r="F4111" t="inlineStr">
        <is>
          <t>B08NM3HPRS</t>
        </is>
      </c>
      <c r="G4111">
        <f>_xludf.IMAGE("https://www.soccerplususa.com/prodimages/35277-DEFAULT-l.jpg")</f>
        <v/>
      </c>
      <c r="H4111">
        <f>_xludf.IMAGE("https://m.media-amazon.com/images/I/51TadRYhR4S._AC_UL320_.jpg")</f>
        <v/>
      </c>
      <c r="K4111" t="inlineStr">
        <is>
          <t>48.99</t>
        </is>
      </c>
      <c r="L4111" t="n">
        <v>57.84</v>
      </c>
      <c r="M4111" s="1" t="inlineStr">
        <is>
          <t>18.06%</t>
        </is>
      </c>
      <c r="N4111" s="3" t="n">
        <v>18.06</v>
      </c>
      <c r="O4111" t="n">
        <v>5</v>
      </c>
      <c r="P4111" t="n">
        <v>14</v>
      </c>
      <c r="R4111" t="inlineStr">
        <is>
          <t>InStock</t>
        </is>
      </c>
      <c r="S4111" t="inlineStr">
        <is>
          <t>65.0</t>
        </is>
      </c>
      <c r="T4111" t="inlineStr">
        <is>
          <t>TMWT725</t>
        </is>
      </c>
    </row>
    <row r="4112" hidden="1" ht="15.75" customHeight="1">
      <c r="A4112" s="2">
        <f>HYPERLINK("https://www.soccerplususa.com/adidas/adidas-regista-16-jersey-4149", "https://www.soccerplususa.com/adidas/adidas-regista-16-jersey-4149")</f>
        <v/>
      </c>
      <c r="B4112" t="inlineStr">
        <is>
          <t>undefined</t>
        </is>
      </c>
      <c r="C4112" t="inlineStr">
        <is>
          <t>adidas Regista 16 Jersey</t>
        </is>
      </c>
      <c r="D4112" t="inlineStr">
        <is>
          <t>adidas mens Regista 18 Jersey</t>
        </is>
      </c>
      <c r="E4112" s="2">
        <f>HYPERLINK("https://www.amazon.com/adidas-Regista-Jersey-Soccer-White-Bold/dp/B078LJ1RTZ/ref=sr_1_7?keywords=adidas+Regista+16+Jersey&amp;qid=1695171233&amp;sr=8-7", "https://www.amazon.com/adidas-Regista-Jersey-Soccer-White-Bold/dp/B078LJ1RTZ/ref=sr_1_7?keywords=adidas+Regista+16+Jersey&amp;qid=1695171233&amp;sr=8-7")</f>
        <v/>
      </c>
      <c r="F4112" t="inlineStr">
        <is>
          <t>B078LJ1RTZ</t>
        </is>
      </c>
      <c r="G4112">
        <f>_xludf.IMAGE("https://www.soccerplususa.com/prodimages/32795-DEFAULT-l.jpg")</f>
        <v/>
      </c>
      <c r="H4112">
        <f>_xludf.IMAGE("https://m.media-amazon.com/images/I/418ed8POJFL._AC_UL320_.jpg")</f>
        <v/>
      </c>
      <c r="K4112" t="inlineStr">
        <is>
          <t>17.0</t>
        </is>
      </c>
      <c r="L4112" t="n">
        <v>19.95</v>
      </c>
      <c r="M4112" s="1" t="inlineStr">
        <is>
          <t>17.35%</t>
        </is>
      </c>
      <c r="N4112" s="3" t="n">
        <v>17.35</v>
      </c>
      <c r="O4112" t="n">
        <v>5</v>
      </c>
      <c r="P4112" t="n">
        <v>1</v>
      </c>
      <c r="R4112" t="inlineStr">
        <is>
          <t>InStock</t>
        </is>
      </c>
      <c r="S4112" t="inlineStr">
        <is>
          <t>34.95</t>
        </is>
      </c>
      <c r="T4112" t="inlineStr">
        <is>
          <t>AP0535</t>
        </is>
      </c>
    </row>
    <row r="4113" hidden="1" ht="15.75" customHeight="1">
      <c r="A4113" s="2">
        <f>HYPERLINK("https://www.soccerplususa.com/adidas/adidas-tiro-17-jersey-4868", "https://www.soccerplususa.com/adidas/adidas-tiro-17-jersey-4868")</f>
        <v/>
      </c>
      <c r="B4113" t="inlineStr">
        <is>
          <t>undefined</t>
        </is>
      </c>
      <c r="C4113" t="inlineStr">
        <is>
          <t>adidas Tiro 17 Jersey</t>
        </is>
      </c>
      <c r="D4113" t="inlineStr">
        <is>
          <t>adidas Men's Tiro 23 Jersey</t>
        </is>
      </c>
      <c r="E4113" s="2">
        <f>HYPERLINK("https://www.amazon.com/adidas-Jersey-Shirt-Black-X-Small/dp/B09YG5GTJB/ref=sr_1_2?keywords=adidas+Tiro+17+Jersey&amp;qid=1695171228&amp;sr=8-2", "https://www.amazon.com/adidas-Jersey-Shirt-Black-X-Small/dp/B09YG5GTJB/ref=sr_1_2?keywords=adidas+Tiro+17+Jersey&amp;qid=1695171228&amp;sr=8-2")</f>
        <v/>
      </c>
      <c r="F4113" t="inlineStr">
        <is>
          <t>B09YG5GTJB</t>
        </is>
      </c>
      <c r="G4113">
        <f>_xludf.IMAGE("https://www.soccerplususa.com/prodimages/32792-DEFAULT-l.jpg")</f>
        <v/>
      </c>
      <c r="H4113">
        <f>_xludf.IMAGE("https://m.media-amazon.com/images/I/410bSxr-tiL._AC_UL320_.jpg")</f>
        <v/>
      </c>
      <c r="K4113" t="inlineStr">
        <is>
          <t>29.99</t>
        </is>
      </c>
      <c r="L4113" t="n">
        <v>35</v>
      </c>
      <c r="M4113" s="1" t="inlineStr">
        <is>
          <t>16.71%</t>
        </is>
      </c>
      <c r="N4113" s="3" t="n">
        <v>16.71</v>
      </c>
      <c r="O4113" t="n">
        <v>4.6</v>
      </c>
      <c r="P4113" t="n">
        <v>46</v>
      </c>
      <c r="R4113" t="inlineStr">
        <is>
          <t>InStock</t>
        </is>
      </c>
      <c r="S4113" t="inlineStr">
        <is>
          <t>39.95</t>
        </is>
      </c>
      <c r="T4113" t="inlineStr">
        <is>
          <t>BK5435</t>
        </is>
      </c>
    </row>
    <row r="4114" hidden="1" ht="15.75" customHeight="1">
      <c r="A4114" s="2">
        <f>HYPERLINK("https://www.soccerplususa.com/adidas/adidas-tiro-17-jersey-womens-4818", "https://www.soccerplususa.com/adidas/adidas-tiro-17-jersey-womens-4818")</f>
        <v/>
      </c>
      <c r="B4114" t="inlineStr">
        <is>
          <t>undefined</t>
        </is>
      </c>
      <c r="C4114" t="inlineStr">
        <is>
          <t>adidas Tiro 17 Jersey Women's</t>
        </is>
      </c>
      <c r="D4114" t="inlineStr">
        <is>
          <t>adidas Tiro 19 Jersey- Women's Soccer M Dark Grey/White</t>
        </is>
      </c>
      <c r="E4114" s="2">
        <f>HYPERLINK("https://www.amazon.com/adidas-Jersey-Womens-Soccer-White/dp/B07H3VS5D7/ref=sr_1_9?keywords=adidas+Tiro+17+Jersey+Women%27s&amp;qid=1695171228&amp;sr=8-9", "https://www.amazon.com/adidas-Jersey-Womens-Soccer-White/dp/B07H3VS5D7/ref=sr_1_9?keywords=adidas+Tiro+17+Jersey+Women%27s&amp;qid=1695171228&amp;sr=8-9")</f>
        <v/>
      </c>
      <c r="F4114" t="inlineStr">
        <is>
          <t>B07H3VS5D7</t>
        </is>
      </c>
      <c r="G4114">
        <f>_xludf.IMAGE("https://www.soccerplususa.com/prodimages/33189-DEFAULT-l.jpg")</f>
        <v/>
      </c>
      <c r="H4114">
        <f>_xludf.IMAGE("https://m.media-amazon.com/images/I/61ASNTLz-dL._AC_UL320_.jpg")</f>
        <v/>
      </c>
      <c r="K4114" t="inlineStr">
        <is>
          <t>30.0</t>
        </is>
      </c>
      <c r="L4114" t="n">
        <v>34.98</v>
      </c>
      <c r="M4114" s="1" t="inlineStr">
        <is>
          <t>16.60%</t>
        </is>
      </c>
      <c r="N4114" s="3" t="n">
        <v>16.6</v>
      </c>
      <c r="O4114" t="n">
        <v>5</v>
      </c>
      <c r="P4114" t="n">
        <v>3</v>
      </c>
      <c r="R4114" t="inlineStr">
        <is>
          <t>InStock</t>
        </is>
      </c>
      <c r="S4114" t="inlineStr">
        <is>
          <t>39.95</t>
        </is>
      </c>
      <c r="T4114" t="inlineStr">
        <is>
          <t>BJ9095</t>
        </is>
      </c>
    </row>
    <row r="4115" hidden="1" ht="15.75" customHeight="1">
      <c r="A4115" s="2">
        <f>HYPERLINK("https://www.soccerplususa.com/puma/puma-liga-jersey-37884", "https://www.soccerplususa.com/puma/puma-liga-jersey-37884")</f>
        <v/>
      </c>
      <c r="B4115" t="inlineStr">
        <is>
          <t>undefined</t>
        </is>
      </c>
      <c r="C4115" t="inlineStr">
        <is>
          <t>Puma Liga Jersey</t>
        </is>
      </c>
      <c r="D4115" t="inlineStr">
        <is>
          <t>PUMA Men's Liga Long Sleeve Jersey</t>
        </is>
      </c>
      <c r="E4115" s="2">
        <f>HYPERLINK("https://www.amazon.com/PUMA-Jersey-Sleeve-Electric-Lemonadewhite/dp/B07892Y29D/ref=sr_1_5?keywords=Puma+Liga+Jersey&amp;qid=1695171168&amp;sr=8-5", "https://www.amazon.com/PUMA-Jersey-Sleeve-Electric-Lemonadewhite/dp/B07892Y29D/ref=sr_1_5?keywords=Puma+Liga+Jersey&amp;qid=1695171168&amp;sr=8-5")</f>
        <v/>
      </c>
      <c r="F4115" t="inlineStr">
        <is>
          <t>B07892Y29D</t>
        </is>
      </c>
      <c r="G4115">
        <f>_xludf.IMAGE("https://www.soccerplususa.com/prodimages//35270-NAVYWHITE-M.jpg")</f>
        <v/>
      </c>
      <c r="H4115">
        <f>_xludf.IMAGE("https://m.media-amazon.com/images/I/81o8g03CC7S._AC_UL320_.jpg")</f>
        <v/>
      </c>
      <c r="K4115" t="inlineStr">
        <is>
          <t>20.99</t>
        </is>
      </c>
      <c r="L4115" t="n">
        <v>24.37</v>
      </c>
      <c r="M4115" s="1" t="inlineStr">
        <is>
          <t>16.10%</t>
        </is>
      </c>
      <c r="N4115" s="3" t="n">
        <v>16.1</v>
      </c>
      <c r="O4115" t="n">
        <v>4.5</v>
      </c>
      <c r="P4115" t="n">
        <v>410</v>
      </c>
      <c r="R4115" t="inlineStr">
        <is>
          <t>InStock</t>
        </is>
      </c>
      <c r="S4115" t="inlineStr">
        <is>
          <t>27.95</t>
        </is>
      </c>
      <c r="T4115" t="inlineStr">
        <is>
          <t>703417-06</t>
        </is>
      </c>
    </row>
    <row r="4116" hidden="1" ht="15.75" customHeight="1">
      <c r="A4116" s="2">
        <f>HYPERLINK("https://www.soccerplususa.com/new-balance/new-balance-thermal-half-zip-top-womens-39182", "https://www.soccerplususa.com/new-balance/new-balance-thermal-half-zip-top-womens-39182")</f>
        <v/>
      </c>
      <c r="B4116" t="inlineStr">
        <is>
          <t>undefined</t>
        </is>
      </c>
      <c r="C4116" t="inlineStr">
        <is>
          <t>New Balance Thermal Half Zip Top Women's</t>
        </is>
      </c>
      <c r="D4116" t="inlineStr">
        <is>
          <t>New Balance Women's Q Speed Shift Half Zip</t>
        </is>
      </c>
      <c r="E4116" s="2">
        <f>HYPERLINK("https://www.amazon.com/New-Balance-Womens-Speed-Medium/dp/B09ZPW2HGB/ref=sr_1_6?keywords=New+Balance+Thermal+Half+Zip+Top+Womens&amp;qid=1695171153&amp;sr=8-6", "https://www.amazon.com/New-Balance-Womens-Speed-Medium/dp/B09ZPW2HGB/ref=sr_1_6?keywords=New+Balance+Thermal+Half+Zip+Top+Womens&amp;qid=1695171153&amp;sr=8-6")</f>
        <v/>
      </c>
      <c r="F4116" t="inlineStr">
        <is>
          <t>B09ZPW2HGB</t>
        </is>
      </c>
      <c r="G4116">
        <f>_xludf.IMAGE("https://www.soccerplususa.com/prodimages/35277-DEFAULT-l.jpg")</f>
        <v/>
      </c>
      <c r="H4116">
        <f>_xludf.IMAGE("https://m.media-amazon.com/images/I/91YxsuNY8kL._AC_UL320_.jpg")</f>
        <v/>
      </c>
      <c r="K4116" t="inlineStr">
        <is>
          <t>48.99</t>
        </is>
      </c>
      <c r="L4116" t="n">
        <v>56.76</v>
      </c>
      <c r="M4116" s="1" t="inlineStr">
        <is>
          <t>15.86%</t>
        </is>
      </c>
      <c r="N4116" s="3" t="n">
        <v>15.86</v>
      </c>
      <c r="O4116" t="n">
        <v>5</v>
      </c>
      <c r="P4116" t="n">
        <v>1</v>
      </c>
      <c r="R4116" t="inlineStr">
        <is>
          <t>InStock</t>
        </is>
      </c>
      <c r="S4116" t="inlineStr">
        <is>
          <t>65.0</t>
        </is>
      </c>
      <c r="T4116" t="inlineStr">
        <is>
          <t>TMWT725</t>
        </is>
      </c>
    </row>
    <row r="4117" hidden="1" ht="15.75" customHeight="1">
      <c r="A4117" s="2">
        <f>HYPERLINK("https://www.soccerplususa.com/nike/nike-challenge-jersey-22798", "https://www.soccerplususa.com/nike/nike-challenge-jersey-22798")</f>
        <v/>
      </c>
      <c r="B4117" t="inlineStr">
        <is>
          <t>undefined</t>
        </is>
      </c>
      <c r="C4117" t="inlineStr">
        <is>
          <t>Nike Challenge Jersey</t>
        </is>
      </c>
      <c r="D4117" t="inlineStr">
        <is>
          <t>Nike Challenge II Soccer Jersey White Womens</t>
        </is>
      </c>
      <c r="E4117" s="2">
        <f>HYPERLINK("https://www.amazon.com/Nike-Challenge-Soccer-Jersey-Womens/dp/B087WNLLV9/ref=sr_1_2?keywords=Nike+Challenge+Jersey&amp;qid=1695171194&amp;sr=8-2", "https://www.amazon.com/Nike-Challenge-Soccer-Jersey-Womens/dp/B087WNLLV9/ref=sr_1_2?keywords=Nike+Challenge+Jersey&amp;qid=1695171194&amp;sr=8-2")</f>
        <v/>
      </c>
      <c r="F4117" t="inlineStr">
        <is>
          <t>B087WNLLV9</t>
        </is>
      </c>
      <c r="G4117">
        <f>_xludf.IMAGE("https://www.soccerplususa.com/prodimages/32879-DEFAULT-l.jpg")</f>
        <v/>
      </c>
      <c r="H4117">
        <f>_xludf.IMAGE("https://m.media-amazon.com/images/I/517wx+xrFML._AC_UL320_.jpg")</f>
        <v/>
      </c>
      <c r="K4117" t="inlineStr">
        <is>
          <t>25.99</t>
        </is>
      </c>
      <c r="L4117" t="n">
        <v>29.99</v>
      </c>
      <c r="M4117" s="1" t="inlineStr">
        <is>
          <t>15.39%</t>
        </is>
      </c>
      <c r="N4117" s="3" t="n">
        <v>15.39</v>
      </c>
      <c r="O4117" t="n">
        <v>4.7</v>
      </c>
      <c r="P4117" t="n">
        <v>20</v>
      </c>
      <c r="R4117" t="inlineStr">
        <is>
          <t>InStock</t>
        </is>
      </c>
      <c r="S4117" t="inlineStr">
        <is>
          <t>34.95</t>
        </is>
      </c>
      <c r="T4117" t="inlineStr">
        <is>
          <t>645500-419</t>
        </is>
      </c>
    </row>
    <row r="4118" hidden="1" ht="15.75" customHeight="1">
      <c r="A4118" s="2">
        <f>HYPERLINK("https://www.soccerplususa.com/nike/nike-challenge-jersey-22798", "https://www.soccerplususa.com/nike/nike-challenge-jersey-22798")</f>
        <v/>
      </c>
      <c r="B4118" t="inlineStr">
        <is>
          <t>undefined</t>
        </is>
      </c>
      <c r="C4118" t="inlineStr">
        <is>
          <t>Nike Challenge Jersey</t>
        </is>
      </c>
      <c r="D4118" t="inlineStr">
        <is>
          <t>Nike Challenge Youth Soccer Training Jersey</t>
        </is>
      </c>
      <c r="E4118" s="2">
        <f>HYPERLINK("https://www.amazon.com/Challenge-Short-Sleeve-Jersey-BLACK-FOOTBALL/dp/B00SLRI14Q/ref=sr_1_6?keywords=Nike+Challenge+Jersey&amp;qid=1695171194&amp;sr=8-6", "https://www.amazon.com/Challenge-Short-Sleeve-Jersey-BLACK-FOOTBALL/dp/B00SLRI14Q/ref=sr_1_6?keywords=Nike+Challenge+Jersey&amp;qid=1695171194&amp;sr=8-6")</f>
        <v/>
      </c>
      <c r="F4118" t="inlineStr">
        <is>
          <t>B00SLRI14Q</t>
        </is>
      </c>
      <c r="G4118">
        <f>_xludf.IMAGE("https://www.soccerplususa.com/prodimages/32879-DEFAULT-l.jpg")</f>
        <v/>
      </c>
      <c r="H4118">
        <f>_xludf.IMAGE("https://m.media-amazon.com/images/I/51kFfarZ0HL._AC_UL320_.jpg")</f>
        <v/>
      </c>
      <c r="K4118" t="inlineStr">
        <is>
          <t>25.99</t>
        </is>
      </c>
      <c r="L4118" t="n">
        <v>29.99</v>
      </c>
      <c r="M4118" s="1" t="inlineStr">
        <is>
          <t>15.39%</t>
        </is>
      </c>
      <c r="N4118" s="3" t="n">
        <v>15.39</v>
      </c>
      <c r="O4118" t="n">
        <v>5</v>
      </c>
      <c r="P4118" t="n">
        <v>3</v>
      </c>
      <c r="R4118" t="inlineStr">
        <is>
          <t>InStock</t>
        </is>
      </c>
      <c r="S4118" t="inlineStr">
        <is>
          <t>34.95</t>
        </is>
      </c>
      <c r="T4118" t="inlineStr">
        <is>
          <t>645500-419</t>
        </is>
      </c>
    </row>
    <row r="4119" hidden="1" ht="15.75" customHeight="1">
      <c r="A4119" s="2">
        <f>HYPERLINK("https://www.soccerplususa.com/nike/nike-epic-training-jacket-youth-24431", "https://www.soccerplususa.com/nike/nike-epic-training-jacket-youth-24431")</f>
        <v/>
      </c>
      <c r="B4119" t="inlineStr">
        <is>
          <t>undefined</t>
        </is>
      </c>
      <c r="C4119" t="inlineStr">
        <is>
          <t>Nike Epic Training Jacket Youth</t>
        </is>
      </c>
      <c r="D4119" t="inlineStr">
        <is>
          <t>Nike Epic Women's Training Track Jacket</t>
        </is>
      </c>
      <c r="E4119" s="2">
        <f>HYPERLINK("https://www.amazon.com/Nike-Training-Jacket-Female-X-Small/dp/B076V4HM6F/ref=sr_1_8?keywords=Nike+Epic+Training+Jacket+Youth&amp;qid=1695171179&amp;sr=8-8", "https://www.amazon.com/Nike-Training-Jacket-Female-X-Small/dp/B076V4HM6F/ref=sr_1_8?keywords=Nike+Epic+Training+Jacket+Youth&amp;qid=1695171179&amp;sr=8-8")</f>
        <v/>
      </c>
      <c r="F4119" t="inlineStr">
        <is>
          <t>B076V4HM6F</t>
        </is>
      </c>
      <c r="G4119">
        <f>_xludf.IMAGE("https://www.soccerplususa.com/prodimages/6288-DEFAULT-l.jpg")</f>
        <v/>
      </c>
      <c r="H4119">
        <f>_xludf.IMAGE("https://m.media-amazon.com/images/I/515dzHWcfwL._AC_UL320_.jpg")</f>
        <v/>
      </c>
      <c r="K4119" t="inlineStr">
        <is>
          <t>36.99</t>
        </is>
      </c>
      <c r="L4119" t="n">
        <v>42.46</v>
      </c>
      <c r="M4119" s="1" t="inlineStr">
        <is>
          <t>14.79%</t>
        </is>
      </c>
      <c r="N4119" s="3" t="n">
        <v>14.79</v>
      </c>
      <c r="O4119" t="n">
        <v>5</v>
      </c>
      <c r="P4119" t="n">
        <v>4</v>
      </c>
      <c r="R4119" t="inlineStr">
        <is>
          <t>InStock</t>
        </is>
      </c>
      <c r="S4119" t="inlineStr">
        <is>
          <t>49.95</t>
        </is>
      </c>
      <c r="T4119" t="inlineStr">
        <is>
          <t>836306-494</t>
        </is>
      </c>
    </row>
    <row r="4120" hidden="1" ht="15.75" customHeight="1">
      <c r="A4120" s="2">
        <f>HYPERLINK("https://www.soccerplususa.com/adidas/adidas-tiro-17-training-jersey-4924", "https://www.soccerplususa.com/adidas/adidas-tiro-17-training-jersey-4924")</f>
        <v/>
      </c>
      <c r="B4120" t="inlineStr">
        <is>
          <t>undefined</t>
        </is>
      </c>
      <c r="C4120" t="inlineStr">
        <is>
          <t>adidas Tiro 17 Training Jersey</t>
        </is>
      </c>
      <c r="D4120" t="inlineStr">
        <is>
          <t>adidas Men's Tiro 21 Training Jersey</t>
        </is>
      </c>
      <c r="E4120" s="2">
        <f>HYPERLINK("https://www.amazon.com/adidas-Training-Jersey-Black-Medium/dp/B087785299/ref=sr_1_2?keywords=adidas+Tiro+17+Training+Jersey&amp;qid=1695171226&amp;sr=8-2", "https://www.amazon.com/adidas-Training-Jersey-Black-Medium/dp/B087785299/ref=sr_1_2?keywords=adidas+Tiro+17+Training+Jersey&amp;qid=1695171226&amp;sr=8-2")</f>
        <v/>
      </c>
      <c r="F4120" t="inlineStr">
        <is>
          <t>B087785299</t>
        </is>
      </c>
      <c r="G4120">
        <f>_xludf.IMAGE("https://www.soccerplususa.com/prodimages/6626-DEFAULT-l.jpg")</f>
        <v/>
      </c>
      <c r="H4120">
        <f>_xludf.IMAGE("https://m.media-amazon.com/images/I/41o+9cIOzqL._AC_UL320_.jpg")</f>
        <v/>
      </c>
      <c r="K4120" t="inlineStr">
        <is>
          <t>26.21</t>
        </is>
      </c>
      <c r="L4120" t="n">
        <v>29.99</v>
      </c>
      <c r="M4120" s="1" t="inlineStr">
        <is>
          <t>14.42%</t>
        </is>
      </c>
      <c r="N4120" s="3" t="n">
        <v>14.42</v>
      </c>
      <c r="O4120" t="n">
        <v>4.6</v>
      </c>
      <c r="P4120" t="n">
        <v>1018</v>
      </c>
      <c r="R4120" t="inlineStr">
        <is>
          <t>InStock</t>
        </is>
      </c>
      <c r="S4120" t="inlineStr">
        <is>
          <t>34.95</t>
        </is>
      </c>
      <c r="T4120" t="inlineStr">
        <is>
          <t>BQ2806</t>
        </is>
      </c>
    </row>
    <row r="4121" hidden="1" ht="15.75" customHeight="1">
      <c r="A4121" s="2">
        <f>HYPERLINK("https://www.soccerplususa.com/adidas/adidas-regista-16-jersey-4147", "https://www.soccerplususa.com/adidas/adidas-regista-16-jersey-4147")</f>
        <v/>
      </c>
      <c r="B4121" t="inlineStr">
        <is>
          <t>undefined</t>
        </is>
      </c>
      <c r="C4121" t="inlineStr">
        <is>
          <t>adidas Regista 16 Jersey</t>
        </is>
      </c>
      <c r="D4121" t="inlineStr">
        <is>
          <t>adidas mens Regista 18 Jersey</t>
        </is>
      </c>
      <c r="E4121" s="2">
        <f>HYPERLINK("https://www.amazon.com/adidas-Regista-Jersey-Soccer-White-Bold/dp/B078LJ1RTZ/ref=sr_1_7?keywords=adidas+Regista+16+Jersey&amp;qid=1695171233&amp;sr=8-7", "https://www.amazon.com/adidas-Regista-Jersey-Soccer-White-Bold/dp/B078LJ1RTZ/ref=sr_1_7?keywords=adidas+Regista+16+Jersey&amp;qid=1695171233&amp;sr=8-7")</f>
        <v/>
      </c>
      <c r="F4121" t="inlineStr">
        <is>
          <t>B078LJ1RTZ</t>
        </is>
      </c>
      <c r="G4121">
        <f>_xludf.IMAGE("https://www.soccerplususa.com/prodimages/7616-DEFAULT-l.jpg")</f>
        <v/>
      </c>
      <c r="H4121">
        <f>_xludf.IMAGE("https://m.media-amazon.com/images/I/418ed8POJFL._AC_UL320_.jpg")</f>
        <v/>
      </c>
      <c r="K4121" t="inlineStr">
        <is>
          <t>17.5</t>
        </is>
      </c>
      <c r="L4121" t="n">
        <v>19.95</v>
      </c>
      <c r="M4121" s="1" t="inlineStr">
        <is>
          <t>14.00%</t>
        </is>
      </c>
      <c r="N4121" s="3" t="n">
        <v>14</v>
      </c>
      <c r="O4121" t="n">
        <v>5</v>
      </c>
      <c r="P4121" t="n">
        <v>1</v>
      </c>
      <c r="R4121" t="inlineStr">
        <is>
          <t>InStock</t>
        </is>
      </c>
      <c r="S4121" t="inlineStr">
        <is>
          <t>34.95</t>
        </is>
      </c>
      <c r="T4121" t="inlineStr">
        <is>
          <t>AP0529</t>
        </is>
      </c>
    </row>
    <row r="4122" hidden="1" ht="15.75" customHeight="1">
      <c r="A4122" s="2">
        <f>HYPERLINK("https://www.soccerplususa.com/adidas/adidas-tabela-18-jersey-womens-33807", "https://www.soccerplususa.com/adidas/adidas-tabela-18-jersey-womens-33807")</f>
        <v/>
      </c>
      <c r="B4122" t="inlineStr">
        <is>
          <t>undefined</t>
        </is>
      </c>
      <c r="C4122" t="inlineStr">
        <is>
          <t>adidas Tabela 18 Jersey Women's</t>
        </is>
      </c>
      <c r="D4122" t="inlineStr">
        <is>
          <t>adidas Womens Tabela 18 Soccer Jersey</t>
        </is>
      </c>
      <c r="E4122" s="2">
        <f>HYPERLINK("https://www.amazon.com/adidas-Tabela-Jersey-Womens-Orange-White/dp/B078LC9D2M/ref=sr_1_1?keywords=adidas+Tabela+18+Jersey+Womens&amp;qid=1695171168&amp;sr=8-1", "https://www.amazon.com/adidas-Tabela-Jersey-Womens-Orange-White/dp/B078LC9D2M/ref=sr_1_1?keywords=adidas+Tabela+18+Jersey+Womens&amp;qid=1695171168&amp;sr=8-1")</f>
        <v/>
      </c>
      <c r="F4122" t="inlineStr">
        <is>
          <t>B078LC9D2M</t>
        </is>
      </c>
      <c r="G4122">
        <f>_xludf.IMAGE("https://www.soccerplususa.com/prodimages/35357-DEFAULT-l.jpg")</f>
        <v/>
      </c>
      <c r="H4122">
        <f>_xludf.IMAGE("https://m.media-amazon.com/images/I/51t07DGO0oL._AC_UL320_.jpg")</f>
        <v/>
      </c>
      <c r="K4122" t="inlineStr">
        <is>
          <t>21.99</t>
        </is>
      </c>
      <c r="L4122" t="n">
        <v>25</v>
      </c>
      <c r="M4122" s="1" t="inlineStr">
        <is>
          <t>13.69%</t>
        </is>
      </c>
      <c r="N4122" s="3" t="n">
        <v>13.69</v>
      </c>
      <c r="O4122" t="n">
        <v>4.6</v>
      </c>
      <c r="P4122" t="n">
        <v>135</v>
      </c>
      <c r="R4122" t="inlineStr">
        <is>
          <t>InStock</t>
        </is>
      </c>
      <c r="S4122" t="inlineStr">
        <is>
          <t>29.95</t>
        </is>
      </c>
      <c r="T4122" t="inlineStr">
        <is>
          <t>CE8933</t>
        </is>
      </c>
    </row>
    <row r="4123" hidden="1" ht="15.75" customHeight="1">
      <c r="A4123" s="2">
        <f>HYPERLINK("https://www.soccerplususa.com/adidas/adidas-tabela-18-jersey-womens-33806", "https://www.soccerplususa.com/adidas/adidas-tabela-18-jersey-womens-33806")</f>
        <v/>
      </c>
      <c r="B4123" t="inlineStr">
        <is>
          <t>undefined</t>
        </is>
      </c>
      <c r="C4123" t="inlineStr">
        <is>
          <t>adidas Tabela 18 Jersey Women's</t>
        </is>
      </c>
      <c r="D4123" t="inlineStr">
        <is>
          <t>adidas Womens Tabela 18 Soccer Jersey</t>
        </is>
      </c>
      <c r="E4123" s="2">
        <f>HYPERLINK("https://www.amazon.com/adidas-Tabela-Jersey-Womens-Orange-White/dp/B078LC9D2M/ref=sr_1_1?keywords=adidas+Tabela+18+Jersey+Womens&amp;qid=1695171171&amp;sr=8-1", "https://www.amazon.com/adidas-Tabela-Jersey-Womens-Orange-White/dp/B078LC9D2M/ref=sr_1_1?keywords=adidas+Tabela+18+Jersey+Womens&amp;qid=1695171171&amp;sr=8-1")</f>
        <v/>
      </c>
      <c r="F4123" t="inlineStr">
        <is>
          <t>B078LC9D2M</t>
        </is>
      </c>
      <c r="G4123">
        <f>_xludf.IMAGE("https://www.soccerplususa.com/prodimages/35358-DEFAULT-l.jpg")</f>
        <v/>
      </c>
      <c r="H4123">
        <f>_xludf.IMAGE("https://m.media-amazon.com/images/I/51t07DGO0oL._AC_UL320_.jpg")</f>
        <v/>
      </c>
      <c r="K4123" t="inlineStr">
        <is>
          <t>21.99</t>
        </is>
      </c>
      <c r="L4123" t="n">
        <v>25</v>
      </c>
      <c r="M4123" s="1" t="inlineStr">
        <is>
          <t>13.69%</t>
        </is>
      </c>
      <c r="N4123" s="3" t="n">
        <v>13.69</v>
      </c>
      <c r="O4123" t="n">
        <v>4.6</v>
      </c>
      <c r="P4123" t="n">
        <v>135</v>
      </c>
      <c r="R4123" t="inlineStr">
        <is>
          <t>InStock</t>
        </is>
      </c>
      <c r="S4123" t="inlineStr">
        <is>
          <t>29.95</t>
        </is>
      </c>
      <c r="T4123" t="inlineStr">
        <is>
          <t>CE8932</t>
        </is>
      </c>
    </row>
    <row r="4124" hidden="1" ht="15.75" customHeight="1">
      <c r="A4124" s="2">
        <f>HYPERLINK("https://www.soccerplususa.com/nike/nike-striker-iv-jersey-36828", "https://www.soccerplususa.com/nike/nike-striker-iv-jersey-36828")</f>
        <v/>
      </c>
      <c r="B4124" t="inlineStr">
        <is>
          <t>undefined</t>
        </is>
      </c>
      <c r="C4124" t="inlineStr">
        <is>
          <t>Nike Striker IV Jersey</t>
        </is>
      </c>
      <c r="D4124" t="inlineStr">
        <is>
          <t>Nike Short-Sleeve Striker III Us Jersey [White/White/Black]</t>
        </is>
      </c>
      <c r="E4124" s="2">
        <f>HYPERLINK("https://www.amazon.com/Short-Sleeve-Striker-Jersey-WHITE-BLACK/dp/B00AX6IGZ2/ref=sr_1_3?keywords=Nike+Striker+IV+Jersey&amp;qid=1695171155&amp;sr=8-3", "https://www.amazon.com/Short-Sleeve-Striker-Jersey-WHITE-BLACK/dp/B00AX6IGZ2/ref=sr_1_3?keywords=Nike+Striker+IV+Jersey&amp;qid=1695171155&amp;sr=8-3")</f>
        <v/>
      </c>
      <c r="F4124" t="inlineStr">
        <is>
          <t>B00AX6IGZ2</t>
        </is>
      </c>
      <c r="G4124">
        <f>_xludf.IMAGE("https://www.soccerplususa.com/prodimages/32887-DEFAULT-l.jpg")</f>
        <v/>
      </c>
      <c r="H4124">
        <f>_xludf.IMAGE("https://m.media-amazon.com/images/I/31BgPqXbPbL._AC_UL320_.jpg")</f>
        <v/>
      </c>
      <c r="K4124" t="inlineStr">
        <is>
          <t>21.99</t>
        </is>
      </c>
      <c r="L4124" t="n">
        <v>24.99</v>
      </c>
      <c r="M4124" s="1" t="inlineStr">
        <is>
          <t>13.64%</t>
        </is>
      </c>
      <c r="N4124" s="3" t="n">
        <v>13.64</v>
      </c>
      <c r="O4124" t="n">
        <v>5</v>
      </c>
      <c r="P4124" t="n">
        <v>1</v>
      </c>
      <c r="R4124" t="inlineStr">
        <is>
          <t>InStock</t>
        </is>
      </c>
      <c r="S4124" t="inlineStr">
        <is>
          <t>29.95</t>
        </is>
      </c>
      <c r="T4124" t="inlineStr">
        <is>
          <t>725898-692</t>
        </is>
      </c>
    </row>
    <row r="4125" hidden="1" ht="15.75" customHeight="1">
      <c r="A4125" s="2">
        <f>HYPERLINK("https://www.soccerplususa.com/adidas/adidas-regista-14-jersey-6065", "https://www.soccerplususa.com/adidas/adidas-regista-14-jersey-6065")</f>
        <v/>
      </c>
      <c r="B4125" t="inlineStr">
        <is>
          <t>undefined</t>
        </is>
      </c>
      <c r="C4125" t="inlineStr">
        <is>
          <t>adidas Regista 14 Jersey</t>
        </is>
      </c>
      <c r="D4125" t="inlineStr">
        <is>
          <t>adidas Regista 18 Jersey</t>
        </is>
      </c>
      <c r="E4125" s="2">
        <f>HYPERLINK("https://www.amazon.com/adidas-Regista-Jersey-Juniors-White-Bold/dp/B078LC816M/ref=sr_1_10?keywords=adidas+Regista+14+Jersey&amp;qid=1695171215&amp;sr=8-10", "https://www.amazon.com/adidas-Regista-Jersey-Juniors-White-Bold/dp/B078LC816M/ref=sr_1_10?keywords=adidas+Regista+14+Jersey&amp;qid=1695171215&amp;sr=8-10")</f>
        <v/>
      </c>
      <c r="F4125" t="inlineStr">
        <is>
          <t>B078LC816M</t>
        </is>
      </c>
      <c r="G4125">
        <f>_xludf.IMAGE("https://www.soccerplususa.com/prodimages/32793-DEFAULT-l.jpg")</f>
        <v/>
      </c>
      <c r="H4125">
        <f>_xludf.IMAGE("https://m.media-amazon.com/images/I/51yG-+TbhAL._AC_UL320_.jpg")</f>
        <v/>
      </c>
      <c r="K4125" t="inlineStr">
        <is>
          <t>22.0</t>
        </is>
      </c>
      <c r="L4125" t="n">
        <v>24.99</v>
      </c>
      <c r="M4125" s="1" t="inlineStr">
        <is>
          <t>13.59%</t>
        </is>
      </c>
      <c r="N4125" s="3" t="n">
        <v>13.59</v>
      </c>
      <c r="O4125" t="n">
        <v>4.4</v>
      </c>
      <c r="P4125" t="n">
        <v>107</v>
      </c>
      <c r="R4125" t="inlineStr">
        <is>
          <t>InStock</t>
        </is>
      </c>
      <c r="S4125" t="inlineStr">
        <is>
          <t>44.95</t>
        </is>
      </c>
      <c r="T4125" t="inlineStr">
        <is>
          <t>F50009</t>
        </is>
      </c>
    </row>
    <row r="4126" hidden="1" ht="15.75" customHeight="1">
      <c r="A4126" s="2">
        <f>HYPERLINK("https://www.soccerplususa.com/adidas/adidas-regista-14-jersey-6065", "https://www.soccerplususa.com/adidas/adidas-regista-14-jersey-6065")</f>
        <v/>
      </c>
      <c r="B4126" t="inlineStr">
        <is>
          <t>undefined</t>
        </is>
      </c>
      <c r="C4126" t="inlineStr">
        <is>
          <t>adidas Regista 14 Jersey</t>
        </is>
      </c>
      <c r="D4126" t="inlineStr">
        <is>
          <t>adidas Mens Climacool Regista 14 Short</t>
        </is>
      </c>
      <c r="E4126" s="2">
        <f>HYPERLINK("https://www.amazon.com/Adidas-Climacool-Regista-Short-Small/dp/B00GVA0RTM/ref=sr_1_5?keywords=adidas+Regista+14+Jersey&amp;qid=1695171215&amp;sr=8-5", "https://www.amazon.com/Adidas-Climacool-Regista-Short-Small/dp/B00GVA0RTM/ref=sr_1_5?keywords=adidas+Regista+14+Jersey&amp;qid=1695171215&amp;sr=8-5")</f>
        <v/>
      </c>
      <c r="F4126" t="inlineStr">
        <is>
          <t>B00GVA0RTM</t>
        </is>
      </c>
      <c r="G4126">
        <f>_xludf.IMAGE("https://www.soccerplususa.com/prodimages/32793-DEFAULT-l.jpg")</f>
        <v/>
      </c>
      <c r="H4126">
        <f>_xludf.IMAGE("https://m.media-amazon.com/images/I/51wfQQhR5RL._AC_UL320_.jpg")</f>
        <v/>
      </c>
      <c r="K4126" t="inlineStr">
        <is>
          <t>22.0</t>
        </is>
      </c>
      <c r="L4126" t="n">
        <v>24.99</v>
      </c>
      <c r="M4126" s="1" t="inlineStr">
        <is>
          <t>13.59%</t>
        </is>
      </c>
      <c r="N4126" s="3" t="n">
        <v>13.59</v>
      </c>
      <c r="O4126" t="n">
        <v>3.5</v>
      </c>
      <c r="P4126" t="n">
        <v>6</v>
      </c>
      <c r="R4126" t="inlineStr">
        <is>
          <t>InStock</t>
        </is>
      </c>
      <c r="S4126" t="inlineStr">
        <is>
          <t>44.95</t>
        </is>
      </c>
      <c r="T4126" t="inlineStr">
        <is>
          <t>F50009</t>
        </is>
      </c>
    </row>
    <row r="4127" hidden="1" ht="15.75" customHeight="1">
      <c r="A4127" s="2">
        <f>HYPERLINK("https://www.soccerplususa.com/under-armour/under-armour-cold-gear-armour-mock-youth-33311", "https://www.soccerplususa.com/under-armour/under-armour-cold-gear-armour-mock-youth-33311")</f>
        <v/>
      </c>
      <c r="B4127" t="inlineStr">
        <is>
          <t>undefined</t>
        </is>
      </c>
      <c r="C4127" t="inlineStr">
        <is>
          <t>Under Armour Cold Gear Armour Mock Youth</t>
        </is>
      </c>
      <c r="D4127" t="inlineStr">
        <is>
          <t>Under Armour Men's ColdGear Compression Mock</t>
        </is>
      </c>
      <c r="E4127" s="2">
        <f>HYPERLINK("https://www.amazon.com/Under-Armour-ColdGear-Compression-Black/dp/B08LPM6J1C/ref=sr_1_7?keywords=Under+Armour+Cold+Gear+Armour+Mock+Youth&amp;qid=1695171169&amp;sr=8-7", "https://www.amazon.com/Under-Armour-ColdGear-Compression-Black/dp/B08LPM6J1C/ref=sr_1_7?keywords=Under+Armour+Cold+Gear+Armour+Mock+Youth&amp;qid=1695171169&amp;sr=8-7")</f>
        <v/>
      </c>
      <c r="F4127" t="inlineStr">
        <is>
          <t>B08LPM6J1C</t>
        </is>
      </c>
      <c r="G4127">
        <f>_xludf.IMAGE("https://www.soccerplususa.com/prodimages/5585-DEFAULT-l.jpg")</f>
        <v/>
      </c>
      <c r="H4127">
        <f>_xludf.IMAGE("https://m.media-amazon.com/images/I/71OiO5xp7oL._AC_UL320_.jpg")</f>
        <v/>
      </c>
      <c r="K4127" t="inlineStr">
        <is>
          <t>39.95</t>
        </is>
      </c>
      <c r="L4127" t="n">
        <v>45</v>
      </c>
      <c r="M4127" s="1" t="inlineStr">
        <is>
          <t>12.64%</t>
        </is>
      </c>
      <c r="N4127" s="3" t="n">
        <v>12.64</v>
      </c>
      <c r="O4127" t="n">
        <v>4.7</v>
      </c>
      <c r="P4127" t="n">
        <v>2091</v>
      </c>
      <c r="R4127" t="inlineStr">
        <is>
          <t>InStock</t>
        </is>
      </c>
      <c r="S4127" t="inlineStr">
        <is>
          <t>undefined</t>
        </is>
      </c>
      <c r="T4127" t="inlineStr">
        <is>
          <t>1288343-100</t>
        </is>
      </c>
    </row>
    <row r="4128" hidden="1" ht="15.75" customHeight="1">
      <c r="A4128" s="2">
        <f>HYPERLINK("https://www.soccerplususa.com/under-armour/under-armour-cold-gear-armour-mock-youth-33310", "https://www.soccerplususa.com/under-armour/under-armour-cold-gear-armour-mock-youth-33310")</f>
        <v/>
      </c>
      <c r="B4128" t="inlineStr">
        <is>
          <t>undefined</t>
        </is>
      </c>
      <c r="C4128" t="inlineStr">
        <is>
          <t>Under Armour Cold Gear Armour Mock Youth</t>
        </is>
      </c>
      <c r="D4128" t="inlineStr">
        <is>
          <t>Under Armour Men's ColdGear Compression Mock</t>
        </is>
      </c>
      <c r="E4128" s="2">
        <f>HYPERLINK("https://www.amazon.com/Under-Armour-ColdGear-Compression-Black/dp/B08LPM6J1C/ref=sr_1_5?keywords=Under+Armour+Cold+Gear+Armour+Mock+Youth&amp;qid=1695171174&amp;sr=8-5", "https://www.amazon.com/Under-Armour-ColdGear-Compression-Black/dp/B08LPM6J1C/ref=sr_1_5?keywords=Under+Armour+Cold+Gear+Armour+Mock+Youth&amp;qid=1695171174&amp;sr=8-5")</f>
        <v/>
      </c>
      <c r="F4128" t="inlineStr">
        <is>
          <t>B08LPM6J1C</t>
        </is>
      </c>
      <c r="G4128">
        <f>_xludf.IMAGE("https://www.soccerplususa.com/prodimages/5586-DEFAULT-l.jpg")</f>
        <v/>
      </c>
      <c r="H4128">
        <f>_xludf.IMAGE("https://m.media-amazon.com/images/I/71OiO5xp7oL._AC_UL320_.jpg")</f>
        <v/>
      </c>
      <c r="K4128" t="inlineStr">
        <is>
          <t>39.95</t>
        </is>
      </c>
      <c r="L4128" t="n">
        <v>45</v>
      </c>
      <c r="M4128" s="1" t="inlineStr">
        <is>
          <t>12.64%</t>
        </is>
      </c>
      <c r="N4128" s="3" t="n">
        <v>12.64</v>
      </c>
      <c r="O4128" t="n">
        <v>4.7</v>
      </c>
      <c r="P4128" t="n">
        <v>2091</v>
      </c>
      <c r="R4128" t="inlineStr">
        <is>
          <t>InStock</t>
        </is>
      </c>
      <c r="S4128" t="inlineStr">
        <is>
          <t>undefined</t>
        </is>
      </c>
      <c r="T4128" t="inlineStr">
        <is>
          <t>1288343-001</t>
        </is>
      </c>
    </row>
    <row r="4129" hidden="1" ht="15.75" customHeight="1">
      <c r="A4129" s="2">
        <f>HYPERLINK("https://www.soccerplususa.com/adidas/adidas-tiro-19-training-jacket-33866", "https://www.soccerplususa.com/adidas/adidas-tiro-19-training-jacket-33866")</f>
        <v/>
      </c>
      <c r="B4129" t="inlineStr">
        <is>
          <t>undefined</t>
        </is>
      </c>
      <c r="C4129" t="inlineStr">
        <is>
          <t>adidas Tiro 19 Training Jacket</t>
        </is>
      </c>
      <c r="D4129" t="inlineStr">
        <is>
          <t>adidas mens Youth Tiro 17 Soccer Training Jacket</t>
        </is>
      </c>
      <c r="E4129" s="2">
        <f>HYPERLINK("https://www.amazon.com/Adidas-Soccer-Training-Jacket-Red-Black-White/dp/B01MG8Q0PJ/ref=sr_1_7?keywords=adidas+Tiro+19+Training+Jacket&amp;qid=1695171181&amp;sr=8-7", "https://www.amazon.com/Adidas-Soccer-Training-Jacket-Red-Black-White/dp/B01MG8Q0PJ/ref=sr_1_7?keywords=adidas+Tiro+19+Training+Jacket&amp;qid=1695171181&amp;sr=8-7")</f>
        <v/>
      </c>
      <c r="F4129" t="inlineStr">
        <is>
          <t>B01MG8Q0PJ</t>
        </is>
      </c>
      <c r="G4129">
        <f>_xludf.IMAGE("https://www.soccerplususa.com/prodimages/8017-DEFAULT-l.jpg")</f>
        <v/>
      </c>
      <c r="H4129">
        <f>_xludf.IMAGE("https://m.media-amazon.com/images/I/71vhAIEa4+L._AC_UL320_.jpg")</f>
        <v/>
      </c>
      <c r="K4129" t="inlineStr">
        <is>
          <t>49.0</t>
        </is>
      </c>
      <c r="L4129" t="n">
        <v>54.95</v>
      </c>
      <c r="M4129" s="1" t="inlineStr">
        <is>
          <t>12.14%</t>
        </is>
      </c>
      <c r="N4129" s="3" t="n">
        <v>12.14</v>
      </c>
      <c r="O4129" t="n">
        <v>3.6</v>
      </c>
      <c r="P4129" t="n">
        <v>37</v>
      </c>
      <c r="R4129" t="inlineStr">
        <is>
          <t>InStock</t>
        </is>
      </c>
      <c r="S4129" t="inlineStr">
        <is>
          <t>64.95</t>
        </is>
      </c>
      <c r="T4129" t="inlineStr">
        <is>
          <t>D95953</t>
        </is>
      </c>
    </row>
    <row r="4130" hidden="1" ht="15.75" customHeight="1">
      <c r="A4130" s="2">
        <f>HYPERLINK("https://www.soccerplususa.com/adidas/adidas-tiro-19-training-jacket-33996", "https://www.soccerplususa.com/adidas/adidas-tiro-19-training-jacket-33996")</f>
        <v/>
      </c>
      <c r="B4130" t="inlineStr">
        <is>
          <t>undefined</t>
        </is>
      </c>
      <c r="C4130" t="inlineStr">
        <is>
          <t>adidas Tiro 19 Training Jacket</t>
        </is>
      </c>
      <c r="D4130" t="inlineStr">
        <is>
          <t>adidas mens Youth Tiro 17 Soccer Training Jacket</t>
        </is>
      </c>
      <c r="E4130" s="2">
        <f>HYPERLINK("https://www.amazon.com/Adidas-Soccer-Training-Jacket-Red-Black-White/dp/B01MG8Q0PJ/ref=sr_1_7?keywords=adidas+Tiro+19+Training+Jacket&amp;qid=1695171209&amp;sr=8-7", "https://www.amazon.com/Adidas-Soccer-Training-Jacket-Red-Black-White/dp/B01MG8Q0PJ/ref=sr_1_7?keywords=adidas+Tiro+19+Training+Jacket&amp;qid=1695171209&amp;sr=8-7")</f>
        <v/>
      </c>
      <c r="F4130" t="inlineStr">
        <is>
          <t>B01MG8Q0PJ</t>
        </is>
      </c>
      <c r="G4130">
        <f>_xludf.IMAGE("https://www.soccerplususa.com/prodimages/8018-DEFAULT-l.jpg")</f>
        <v/>
      </c>
      <c r="H4130">
        <f>_xludf.IMAGE("https://m.media-amazon.com/images/I/71vhAIEa4+L._AC_UL320_.jpg")</f>
        <v/>
      </c>
      <c r="K4130" t="inlineStr">
        <is>
          <t>49.0</t>
        </is>
      </c>
      <c r="L4130" t="n">
        <v>54.95</v>
      </c>
      <c r="M4130" s="1" t="inlineStr">
        <is>
          <t>12.14%</t>
        </is>
      </c>
      <c r="N4130" s="3" t="n">
        <v>12.14</v>
      </c>
      <c r="O4130" t="n">
        <v>3.6</v>
      </c>
      <c r="P4130" t="n">
        <v>37</v>
      </c>
      <c r="R4130" t="inlineStr">
        <is>
          <t>InStock</t>
        </is>
      </c>
      <c r="S4130" t="inlineStr">
        <is>
          <t>64.95</t>
        </is>
      </c>
      <c r="T4130" t="inlineStr">
        <is>
          <t>DT5272</t>
        </is>
      </c>
    </row>
    <row r="4131" hidden="1" ht="15.75" customHeight="1">
      <c r="A4131" s="2">
        <f>HYPERLINK("https://www.soccerplususa.com/puma/puma-teamfinal-21-graphic-jersey-youth-42095", "https://www.soccerplususa.com/puma/puma-teamfinal-21-graphic-jersey-youth-42095")</f>
        <v/>
      </c>
      <c r="B4131" t="inlineStr">
        <is>
          <t>undefined</t>
        </is>
      </c>
      <c r="C4131" t="inlineStr">
        <is>
          <t>Puma Teamfinal 21 Graphic Jersey Youth</t>
        </is>
      </c>
      <c r="D4131" t="inlineStr">
        <is>
          <t>PUMA Unisex Youth Teamfinal 21 Graphic Jersey</t>
        </is>
      </c>
      <c r="E4131" s="2">
        <f>HYPERLINK("https://www.amazon.com/PUMA-TEAMFINAL-Graphic-Jersey-White/dp/B084ZXCDZZ/ref=sr_1_1?keywords=Puma+Teamfinal+21+Graphic+Jersey+Youth&amp;qid=1695171148&amp;sr=8-1", "https://www.amazon.com/PUMA-TEAMFINAL-Graphic-Jersey-White/dp/B084ZXCDZZ/ref=sr_1_1?keywords=Puma+Teamfinal+21+Graphic+Jersey+Youth&amp;qid=1695171148&amp;sr=8-1")</f>
        <v/>
      </c>
      <c r="F4131" t="inlineStr">
        <is>
          <t>B084ZXCDZZ</t>
        </is>
      </c>
      <c r="G4131">
        <f>_xludf.IMAGE("https://www.soccerplususa.com/prodimages//37424-BLACK-M.jpg")</f>
        <v/>
      </c>
      <c r="H4131">
        <f>_xludf.IMAGE("https://m.media-amazon.com/images/I/71QNgNqxdUL._AC_UL320_.jpg")</f>
        <v/>
      </c>
      <c r="K4131" t="inlineStr">
        <is>
          <t>29.99</t>
        </is>
      </c>
      <c r="L4131" t="n">
        <v>33.62</v>
      </c>
      <c r="M4131" s="1" t="inlineStr">
        <is>
          <t>12.10%</t>
        </is>
      </c>
      <c r="N4131" s="3" t="n">
        <v>12.1</v>
      </c>
      <c r="O4131" t="n">
        <v>4.3</v>
      </c>
      <c r="P4131" t="n">
        <v>35</v>
      </c>
      <c r="R4131" t="inlineStr">
        <is>
          <t>InStock</t>
        </is>
      </c>
      <c r="S4131" t="inlineStr">
        <is>
          <t>39.95</t>
        </is>
      </c>
      <c r="T4131" t="inlineStr">
        <is>
          <t>704369-03</t>
        </is>
      </c>
    </row>
    <row r="4132" hidden="1" ht="15.75" customHeight="1">
      <c r="A4132" s="2">
        <f>HYPERLINK("https://www.soccerplususa.com/puma/puma-teamfinal-21-graphic-jersey-youth-41908", "https://www.soccerplususa.com/puma/puma-teamfinal-21-graphic-jersey-youth-41908")</f>
        <v/>
      </c>
      <c r="B4132" t="inlineStr">
        <is>
          <t>undefined</t>
        </is>
      </c>
      <c r="C4132" t="inlineStr">
        <is>
          <t>Puma Teamfinal 21 Graphic Jersey Youth</t>
        </is>
      </c>
      <c r="D4132" t="inlineStr">
        <is>
          <t>PUMA Unisex Youth Teamfinal 21 Graphic Jersey</t>
        </is>
      </c>
      <c r="E4132" s="2">
        <f>HYPERLINK("https://www.amazon.com/PUMA-TEAMFINAL-Graphic-Jersey-White/dp/B084ZXCDZZ/ref=sr_1_1?keywords=Puma+Teamfinal+21+Graphic+Jersey+Youth&amp;qid=1695171144&amp;sr=8-1", "https://www.amazon.com/PUMA-TEAMFINAL-Graphic-Jersey-White/dp/B084ZXCDZZ/ref=sr_1_1?keywords=Puma+Teamfinal+21+Graphic+Jersey+Youth&amp;qid=1695171144&amp;sr=8-1")</f>
        <v/>
      </c>
      <c r="F4132" t="inlineStr">
        <is>
          <t>B084ZXCDZZ</t>
        </is>
      </c>
      <c r="G4132">
        <f>_xludf.IMAGE("https://www.soccerplususa.com/prodimages//37410-NAVY-M.jpg")</f>
        <v/>
      </c>
      <c r="H4132">
        <f>_xludf.IMAGE("https://m.media-amazon.com/images/I/71QNgNqxdUL._AC_UL320_.jpg")</f>
        <v/>
      </c>
      <c r="K4132" t="inlineStr">
        <is>
          <t>29.99</t>
        </is>
      </c>
      <c r="L4132" t="n">
        <v>33.62</v>
      </c>
      <c r="M4132" s="1" t="inlineStr">
        <is>
          <t>12.10%</t>
        </is>
      </c>
      <c r="N4132" s="3" t="n">
        <v>12.1</v>
      </c>
      <c r="O4132" t="n">
        <v>4.3</v>
      </c>
      <c r="P4132" t="n">
        <v>35</v>
      </c>
      <c r="R4132" t="inlineStr">
        <is>
          <t>InStock</t>
        </is>
      </c>
      <c r="S4132" t="inlineStr">
        <is>
          <t>39.95</t>
        </is>
      </c>
      <c r="T4132" t="inlineStr">
        <is>
          <t>704369-06</t>
        </is>
      </c>
    </row>
    <row r="4133" hidden="1" ht="15.75" customHeight="1">
      <c r="A4133" s="2">
        <f>HYPERLINK("https://www.soccerplususa.com/puma/puma-teamfinal-21-graphic-jersey-youth-42092", "https://www.soccerplususa.com/puma/puma-teamfinal-21-graphic-jersey-youth-42092")</f>
        <v/>
      </c>
      <c r="B4133" t="inlineStr">
        <is>
          <t>undefined</t>
        </is>
      </c>
      <c r="C4133" t="inlineStr">
        <is>
          <t>Puma Teamfinal 21 Graphic Jersey Youth</t>
        </is>
      </c>
      <c r="D4133" t="inlineStr">
        <is>
          <t>PUMA Unisex Youth Teamfinal 21 Graphic Jersey</t>
        </is>
      </c>
      <c r="E4133" s="2">
        <f>HYPERLINK("https://www.amazon.com/PUMA-TEAMFINAL-Graphic-Jersey-White/dp/B084ZXCDZZ/ref=sr_1_1?keywords=Puma+Teamfinal+21+Graphic+Jersey+Youth&amp;qid=1695171145&amp;sr=8-1", "https://www.amazon.com/PUMA-TEAMFINAL-Graphic-Jersey-White/dp/B084ZXCDZZ/ref=sr_1_1?keywords=Puma+Teamfinal+21+Graphic+Jersey+Youth&amp;qid=1695171145&amp;sr=8-1")</f>
        <v/>
      </c>
      <c r="F4133" t="inlineStr">
        <is>
          <t>B084ZXCDZZ</t>
        </is>
      </c>
      <c r="G4133">
        <f>_xludf.IMAGE("https://www.soccerplususa.com/prodimages//37421-RED-M.jpg")</f>
        <v/>
      </c>
      <c r="H4133">
        <f>_xludf.IMAGE("https://m.media-amazon.com/images/I/71QNgNqxdUL._AC_UL320_.jpg")</f>
        <v/>
      </c>
      <c r="K4133" t="inlineStr">
        <is>
          <t>29.99</t>
        </is>
      </c>
      <c r="L4133" t="n">
        <v>33.62</v>
      </c>
      <c r="M4133" s="1" t="inlineStr">
        <is>
          <t>12.10%</t>
        </is>
      </c>
      <c r="N4133" s="3" t="n">
        <v>12.1</v>
      </c>
      <c r="O4133" t="n">
        <v>4.3</v>
      </c>
      <c r="P4133" t="n">
        <v>35</v>
      </c>
      <c r="R4133" t="inlineStr">
        <is>
          <t>InStock</t>
        </is>
      </c>
      <c r="S4133" t="inlineStr">
        <is>
          <t>39.95</t>
        </is>
      </c>
      <c r="T4133" t="inlineStr">
        <is>
          <t>704369-01</t>
        </is>
      </c>
    </row>
    <row r="4134" hidden="1" ht="15.75" customHeight="1">
      <c r="A4134" s="2">
        <f>HYPERLINK("https://www.soccerplususa.com/puma/puma-teamfinal-21-graphic-jersey-youth-38699", "https://www.soccerplususa.com/puma/puma-teamfinal-21-graphic-jersey-youth-38699")</f>
        <v/>
      </c>
      <c r="B4134" t="inlineStr">
        <is>
          <t>undefined</t>
        </is>
      </c>
      <c r="C4134" t="inlineStr">
        <is>
          <t>Puma Teamfinal 21 Graphic Jersey Youth</t>
        </is>
      </c>
      <c r="D4134" t="inlineStr">
        <is>
          <t>PUMA Unisex Youth Teamfinal 21 Graphic Jersey</t>
        </is>
      </c>
      <c r="E4134" s="2">
        <f>HYPERLINK("https://www.amazon.com/PUMA-TEAMFINAL-Graphic-Jersey-White/dp/B084ZXCDZZ/ref=sr_1_1?keywords=Puma+Teamfinal+21+Graphic+Jersey+Youth&amp;qid=1695171153&amp;sr=8-1", "https://www.amazon.com/PUMA-TEAMFINAL-Graphic-Jersey-White/dp/B084ZXCDZZ/ref=sr_1_1?keywords=Puma+Teamfinal+21+Graphic+Jersey+Youth&amp;qid=1695171153&amp;sr=8-1")</f>
        <v/>
      </c>
      <c r="F4134" t="inlineStr">
        <is>
          <t>B084ZXCDZZ</t>
        </is>
      </c>
      <c r="G4134">
        <f>_xludf.IMAGE("https://www.soccerplususa.com/prodimages//36783-WhiteGray-M.jpg")</f>
        <v/>
      </c>
      <c r="H4134">
        <f>_xludf.IMAGE("https://m.media-amazon.com/images/I/71QNgNqxdUL._AC_UL320_.jpg")</f>
        <v/>
      </c>
      <c r="K4134" t="inlineStr">
        <is>
          <t>29.99</t>
        </is>
      </c>
      <c r="L4134" t="n">
        <v>33.62</v>
      </c>
      <c r="M4134" s="1" t="inlineStr">
        <is>
          <t>12.10%</t>
        </is>
      </c>
      <c r="N4134" s="3" t="n">
        <v>12.1</v>
      </c>
      <c r="O4134" t="n">
        <v>4.3</v>
      </c>
      <c r="P4134" t="n">
        <v>35</v>
      </c>
      <c r="R4134" t="inlineStr">
        <is>
          <t>InStock</t>
        </is>
      </c>
      <c r="S4134" t="inlineStr">
        <is>
          <t>39.95</t>
        </is>
      </c>
      <c r="T4134" t="inlineStr">
        <is>
          <t>704369-04</t>
        </is>
      </c>
    </row>
    <row r="4135" hidden="1" ht="15.75" customHeight="1">
      <c r="A4135" s="2">
        <f>HYPERLINK("https://www.soccerplususa.com/puma/puma-teamfinal-21-graphic-jersey-youth-40619", "https://www.soccerplususa.com/puma/puma-teamfinal-21-graphic-jersey-youth-40619")</f>
        <v/>
      </c>
      <c r="B4135" t="inlineStr">
        <is>
          <t>undefined</t>
        </is>
      </c>
      <c r="C4135" t="inlineStr">
        <is>
          <t>Puma Teamfinal 21 Graphic Jersey Youth</t>
        </is>
      </c>
      <c r="D4135" t="inlineStr">
        <is>
          <t>PUMA Unisex Youth Teamfinal 21 Graphic Jersey</t>
        </is>
      </c>
      <c r="E4135" s="2">
        <f>HYPERLINK("https://www.amazon.com/PUMA-TEAMFINAL-Graphic-Jersey-White/dp/B084ZXCDZZ/ref=sr_1_1?keywords=Puma+Teamfinal+21+Graphic+Jersey+Youth&amp;qid=1695171149&amp;sr=8-1", "https://www.amazon.com/PUMA-TEAMFINAL-Graphic-Jersey-White/dp/B084ZXCDZZ/ref=sr_1_1?keywords=Puma+Teamfinal+21+Graphic+Jersey+Youth&amp;qid=1695171149&amp;sr=8-1")</f>
        <v/>
      </c>
      <c r="F4135" t="inlineStr">
        <is>
          <t>B084ZXCDZZ</t>
        </is>
      </c>
      <c r="G4135">
        <f>_xludf.IMAGE("https://www.soccerplususa.com/prodimages//37415-Pepper_Green-M.jpg")</f>
        <v/>
      </c>
      <c r="H4135">
        <f>_xludf.IMAGE("https://m.media-amazon.com/images/I/71QNgNqxdUL._AC_UL320_.jpg")</f>
        <v/>
      </c>
      <c r="K4135" t="inlineStr">
        <is>
          <t>29.99</t>
        </is>
      </c>
      <c r="L4135" t="n">
        <v>33.62</v>
      </c>
      <c r="M4135" s="1" t="inlineStr">
        <is>
          <t>12.10%</t>
        </is>
      </c>
      <c r="N4135" s="3" t="n">
        <v>12.1</v>
      </c>
      <c r="O4135" t="n">
        <v>4.3</v>
      </c>
      <c r="P4135" t="n">
        <v>35</v>
      </c>
      <c r="R4135" t="inlineStr">
        <is>
          <t>InStock</t>
        </is>
      </c>
      <c r="S4135" t="inlineStr">
        <is>
          <t>39.95</t>
        </is>
      </c>
      <c r="T4135" t="inlineStr">
        <is>
          <t>704369-05</t>
        </is>
      </c>
    </row>
    <row r="4136" hidden="1" ht="15.75" customHeight="1">
      <c r="A4136" s="2">
        <f>HYPERLINK("https://www.soccerplususa.com/puma/puma-teamfinal-21-graphic-jersey-youth-42132", "https://www.soccerplususa.com/puma/puma-teamfinal-21-graphic-jersey-youth-42132")</f>
        <v/>
      </c>
      <c r="B4136" t="inlineStr">
        <is>
          <t>undefined</t>
        </is>
      </c>
      <c r="C4136" t="inlineStr">
        <is>
          <t>Puma Teamfinal 21 Graphic Jersey Youth</t>
        </is>
      </c>
      <c r="D4136" t="inlineStr">
        <is>
          <t>PUMA Unisex Youth Teamfinal 21 Graphic Jersey</t>
        </is>
      </c>
      <c r="E4136" s="2">
        <f>HYPERLINK("https://www.amazon.com/PUMA-TEAMFINAL-Graphic-Jersey-White/dp/B084ZXCDZZ/ref=sr_1_1?keywords=Puma+Teamfinal+21+Graphic+Jersey+Youth&amp;qid=1695171148&amp;sr=8-1", "https://www.amazon.com/PUMA-TEAMFINAL-Graphic-Jersey-White/dp/B084ZXCDZZ/ref=sr_1_1?keywords=Puma+Teamfinal+21+Graphic+Jersey+Youth&amp;qid=1695171148&amp;sr=8-1")</f>
        <v/>
      </c>
      <c r="F4136" t="inlineStr">
        <is>
          <t>B084ZXCDZZ</t>
        </is>
      </c>
      <c r="G4136">
        <f>_xludf.IMAGE("https://www.soccerplususa.com/prodimages//37417-GRAY-M.jpg")</f>
        <v/>
      </c>
      <c r="H4136">
        <f>_xludf.IMAGE("https://m.media-amazon.com/images/I/71QNgNqxdUL._AC_UL320_.jpg")</f>
        <v/>
      </c>
      <c r="K4136" t="inlineStr">
        <is>
          <t>29.99</t>
        </is>
      </c>
      <c r="L4136" t="n">
        <v>33.62</v>
      </c>
      <c r="M4136" s="1" t="inlineStr">
        <is>
          <t>12.10%</t>
        </is>
      </c>
      <c r="N4136" s="3" t="n">
        <v>12.1</v>
      </c>
      <c r="O4136" t="n">
        <v>4.3</v>
      </c>
      <c r="P4136" t="n">
        <v>35</v>
      </c>
      <c r="R4136" t="inlineStr">
        <is>
          <t>InStock</t>
        </is>
      </c>
      <c r="S4136" t="inlineStr">
        <is>
          <t>39.95</t>
        </is>
      </c>
      <c r="T4136" t="inlineStr">
        <is>
          <t>704369-13</t>
        </is>
      </c>
    </row>
    <row r="4137" hidden="1" ht="15.75" customHeight="1">
      <c r="A4137" s="2">
        <f>HYPERLINK("https://www.soccerplususa.com/puma/puma-teamfinal-21-graphic-jersey-youth-38697", "https://www.soccerplususa.com/puma/puma-teamfinal-21-graphic-jersey-youth-38697")</f>
        <v/>
      </c>
      <c r="B4137" t="inlineStr">
        <is>
          <t>undefined</t>
        </is>
      </c>
      <c r="C4137" t="inlineStr">
        <is>
          <t>Puma Teamfinal 21 Graphic Jersey Youth</t>
        </is>
      </c>
      <c r="D4137" t="inlineStr">
        <is>
          <t>PUMA Unisex Youth Teamfinal 21 Graphic Jersey</t>
        </is>
      </c>
      <c r="E4137" s="2">
        <f>HYPERLINK("https://www.amazon.com/PUMA-TEAMFINAL-Graphic-Jersey-White/dp/B084ZXCDZZ/ref=sr_1_1?keywords=Puma+Teamfinal+21+Graphic+Jersey+Youth&amp;qid=1695171156&amp;sr=8-1", "https://www.amazon.com/PUMA-TEAMFINAL-Graphic-Jersey-White/dp/B084ZXCDZZ/ref=sr_1_1?keywords=Puma+Teamfinal+21+Graphic+Jersey+Youth&amp;qid=1695171156&amp;sr=8-1")</f>
        <v/>
      </c>
      <c r="F4137" t="inlineStr">
        <is>
          <t>B084ZXCDZZ</t>
        </is>
      </c>
      <c r="G4137">
        <f>_xludf.IMAGE("https://www.soccerplususa.com/prodimages//36781-Electric_Blue-M.jpg")</f>
        <v/>
      </c>
      <c r="H4137">
        <f>_xludf.IMAGE("https://m.media-amazon.com/images/I/71QNgNqxdUL._AC_UL320_.jpg")</f>
        <v/>
      </c>
      <c r="K4137" t="inlineStr">
        <is>
          <t>29.99</t>
        </is>
      </c>
      <c r="L4137" t="n">
        <v>33.62</v>
      </c>
      <c r="M4137" s="1" t="inlineStr">
        <is>
          <t>12.10%</t>
        </is>
      </c>
      <c r="N4137" s="3" t="n">
        <v>12.1</v>
      </c>
      <c r="O4137" t="n">
        <v>4.3</v>
      </c>
      <c r="P4137" t="n">
        <v>35</v>
      </c>
      <c r="R4137" t="inlineStr">
        <is>
          <t>InStock</t>
        </is>
      </c>
      <c r="S4137" t="inlineStr">
        <is>
          <t>39.95</t>
        </is>
      </c>
      <c r="T4137" t="inlineStr">
        <is>
          <t>704369-02</t>
        </is>
      </c>
    </row>
    <row r="4138" hidden="1" ht="15.75" customHeight="1">
      <c r="A4138" s="2">
        <f>HYPERLINK("https://www.soccerplususa.com/adidas/adidas-tiro-19-all-weather-jacket-33860", "https://www.soccerplususa.com/adidas/adidas-tiro-19-all-weather-jacket-33860")</f>
        <v/>
      </c>
      <c r="B4138" t="inlineStr">
        <is>
          <t>undefined</t>
        </is>
      </c>
      <c r="C4138" t="inlineStr">
        <is>
          <t>adidas Tiro 19 All Weather Jacket</t>
        </is>
      </c>
      <c r="D4138" t="inlineStr">
        <is>
          <t>adidas Boys Tiro 19 All Weather Jacket</t>
        </is>
      </c>
      <c r="E4138" s="2">
        <f>HYPERLINK("https://www.amazon.com/adidas-Soccer-Weather-Jackets-Medium/dp/B07JYNMC8M/ref=sr_1_4?keywords=adidas+Tiro+19+All+Weather+Jacket&amp;qid=1695171164&amp;sr=8-4", "https://www.amazon.com/adidas-Soccer-Weather-Jackets-Medium/dp/B07JYNMC8M/ref=sr_1_4?keywords=adidas+Tiro+19+All+Weather+Jacket&amp;qid=1695171164&amp;sr=8-4")</f>
        <v/>
      </c>
      <c r="F4138" t="inlineStr">
        <is>
          <t>B07JYNMC8M</t>
        </is>
      </c>
      <c r="G4138">
        <f>_xludf.IMAGE("https://www.soccerplususa.com/prodimages/7914-DEFAULT-l.jpg")</f>
        <v/>
      </c>
      <c r="H4138">
        <f>_xludf.IMAGE("https://m.media-amazon.com/images/I/61RM8+TKm0L._AC_UL320_.jpg")</f>
        <v/>
      </c>
      <c r="K4138" t="inlineStr">
        <is>
          <t>66.99</t>
        </is>
      </c>
      <c r="L4138" t="n">
        <v>74.98999999999999</v>
      </c>
      <c r="M4138" s="1" t="inlineStr">
        <is>
          <t>11.94%</t>
        </is>
      </c>
      <c r="N4138" s="3" t="n">
        <v>11.94</v>
      </c>
      <c r="O4138" t="n">
        <v>1</v>
      </c>
      <c r="P4138" t="n">
        <v>3</v>
      </c>
      <c r="R4138" t="inlineStr">
        <is>
          <t>InStock</t>
        </is>
      </c>
      <c r="S4138" t="inlineStr">
        <is>
          <t>89.95</t>
        </is>
      </c>
      <c r="T4138" t="inlineStr">
        <is>
          <t>D95937</t>
        </is>
      </c>
    </row>
    <row r="4139" hidden="1" ht="15.75" customHeight="1">
      <c r="A4139" s="2">
        <f>HYPERLINK("https://www.soccerplususa.com/adidas/adidas-tiro-13-jersey-youth-8932", "https://www.soccerplususa.com/adidas/adidas-tiro-13-jersey-youth-8932")</f>
        <v/>
      </c>
      <c r="B4139" t="inlineStr">
        <is>
          <t>undefined</t>
        </is>
      </c>
      <c r="C4139" t="inlineStr">
        <is>
          <t>adidas Tiro 13 Jersey Youth</t>
        </is>
      </c>
      <c r="D4139" t="inlineStr">
        <is>
          <t>adidas Youth Climacool Tiro 13 Short X-Large Red/White</t>
        </is>
      </c>
      <c r="E4139" s="2">
        <f>HYPERLINK("https://www.amazon.com/Adidas-Youth-Climacool-Short-X-Large/dp/B008K9WJY8/ref=sr_1_2?keywords=adidas+Tiro+13+Jersey+Youth&amp;qid=1695171191&amp;sr=8-2", "https://www.amazon.com/Adidas-Youth-Climacool-Short-X-Large/dp/B008K9WJY8/ref=sr_1_2?keywords=adidas+Tiro+13+Jersey+Youth&amp;qid=1695171191&amp;sr=8-2")</f>
        <v/>
      </c>
      <c r="F4139" t="inlineStr">
        <is>
          <t>B008K9WJY8</t>
        </is>
      </c>
      <c r="G4139">
        <f>_xludf.IMAGE("https://www.soccerplususa.com/prodimages/3219-DEFAULT-l.jpg")</f>
        <v/>
      </c>
      <c r="H4139">
        <f>_xludf.IMAGE("https://m.media-amazon.com/images/I/81Efdr+CzrL._AC_UL320_.jpg")</f>
        <v/>
      </c>
      <c r="K4139" t="inlineStr">
        <is>
          <t>17.0</t>
        </is>
      </c>
      <c r="L4139" t="n">
        <v>18.99</v>
      </c>
      <c r="M4139" s="1" t="inlineStr">
        <is>
          <t>11.71%</t>
        </is>
      </c>
      <c r="N4139" s="3" t="n">
        <v>11.71</v>
      </c>
      <c r="O4139" t="n">
        <v>5</v>
      </c>
      <c r="P4139" t="n">
        <v>1</v>
      </c>
      <c r="R4139" t="inlineStr">
        <is>
          <t>InStock</t>
        </is>
      </c>
      <c r="S4139" t="inlineStr">
        <is>
          <t>34.95</t>
        </is>
      </c>
      <c r="T4139" t="inlineStr">
        <is>
          <t>X58022</t>
        </is>
      </c>
    </row>
    <row r="4140" hidden="1" ht="15.75" customHeight="1">
      <c r="A4140" s="2">
        <f>HYPERLINK("https://www.soccerplususa.com/adidas/adidas-tiro-13-jersey-youth-9168", "https://www.soccerplususa.com/adidas/adidas-tiro-13-jersey-youth-9168")</f>
        <v/>
      </c>
      <c r="B4140" t="inlineStr">
        <is>
          <t>undefined</t>
        </is>
      </c>
      <c r="C4140" t="inlineStr">
        <is>
          <t>adidas Tiro 13 Jersey Youth</t>
        </is>
      </c>
      <c r="D4140" t="inlineStr">
        <is>
          <t>adidas Youth Climacool Tiro 13 Short X-Large Red/White</t>
        </is>
      </c>
      <c r="E4140" s="2">
        <f>HYPERLINK("https://www.amazon.com/Adidas-Youth-Climacool-Short-X-Large/dp/B008K9WJY8/ref=sr_1_2?keywords=adidas+Tiro+13+Jersey+Youth&amp;qid=1695171197&amp;sr=8-2", "https://www.amazon.com/Adidas-Youth-Climacool-Short-X-Large/dp/B008K9WJY8/ref=sr_1_2?keywords=adidas+Tiro+13+Jersey+Youth&amp;qid=1695171197&amp;sr=8-2")</f>
        <v/>
      </c>
      <c r="F4140" t="inlineStr">
        <is>
          <t>B008K9WJY8</t>
        </is>
      </c>
      <c r="G4140">
        <f>_xludf.IMAGE("https://www.soccerplususa.com/prodimages/3221-DEFAULT-l.jpg")</f>
        <v/>
      </c>
      <c r="H4140">
        <f>_xludf.IMAGE("https://m.media-amazon.com/images/I/81Efdr+CzrL._AC_UL320_.jpg")</f>
        <v/>
      </c>
      <c r="K4140" t="inlineStr">
        <is>
          <t>17.0</t>
        </is>
      </c>
      <c r="L4140" t="n">
        <v>18.99</v>
      </c>
      <c r="M4140" s="1" t="inlineStr">
        <is>
          <t>11.71%</t>
        </is>
      </c>
      <c r="N4140" s="3" t="n">
        <v>11.71</v>
      </c>
      <c r="O4140" t="n">
        <v>5</v>
      </c>
      <c r="P4140" t="n">
        <v>1</v>
      </c>
      <c r="R4140" t="inlineStr">
        <is>
          <t>InStock</t>
        </is>
      </c>
      <c r="S4140" t="inlineStr">
        <is>
          <t>34.95</t>
        </is>
      </c>
      <c r="T4140" t="inlineStr">
        <is>
          <t>Z71497</t>
        </is>
      </c>
    </row>
    <row r="4141" hidden="1" ht="15.75" customHeight="1">
      <c r="A4141" s="2">
        <f>HYPERLINK("https://www.soccerplususa.com/adidas/adidas-tiro-13-jersey-youth-9166", "https://www.soccerplususa.com/adidas/adidas-tiro-13-jersey-youth-9166")</f>
        <v/>
      </c>
      <c r="B4141" t="inlineStr">
        <is>
          <t>undefined</t>
        </is>
      </c>
      <c r="C4141" t="inlineStr">
        <is>
          <t>adidas Tiro 13 Jersey Youth</t>
        </is>
      </c>
      <c r="D4141" t="inlineStr">
        <is>
          <t>adidas Youth Climacool Tiro 13 Short X-Large Red/White</t>
        </is>
      </c>
      <c r="E4141" s="2">
        <f>HYPERLINK("https://www.amazon.com/Adidas-Youth-Climacool-Short-X-Large/dp/B008K9WJY8/ref=sr_1_2?keywords=adidas+Tiro+13+Jersey+Youth&amp;qid=1695171198&amp;sr=8-2", "https://www.amazon.com/Adidas-Youth-Climacool-Short-X-Large/dp/B008K9WJY8/ref=sr_1_2?keywords=adidas+Tiro+13+Jersey+Youth&amp;qid=1695171198&amp;sr=8-2")</f>
        <v/>
      </c>
      <c r="F4141" t="inlineStr">
        <is>
          <t>B008K9WJY8</t>
        </is>
      </c>
      <c r="G4141">
        <f>_xludf.IMAGE("https://www.soccerplususa.com/prodimages/3220-DEFAULT-l.jpg")</f>
        <v/>
      </c>
      <c r="H4141">
        <f>_xludf.IMAGE("https://m.media-amazon.com/images/I/81Efdr+CzrL._AC_UL320_.jpg")</f>
        <v/>
      </c>
      <c r="K4141" t="inlineStr">
        <is>
          <t>17.0</t>
        </is>
      </c>
      <c r="L4141" t="n">
        <v>18.99</v>
      </c>
      <c r="M4141" s="1" t="inlineStr">
        <is>
          <t>11.71%</t>
        </is>
      </c>
      <c r="N4141" s="3" t="n">
        <v>11.71</v>
      </c>
      <c r="O4141" t="n">
        <v>5</v>
      </c>
      <c r="P4141" t="n">
        <v>1</v>
      </c>
      <c r="R4141" t="inlineStr">
        <is>
          <t>InStock</t>
        </is>
      </c>
      <c r="S4141" t="inlineStr">
        <is>
          <t>34.95</t>
        </is>
      </c>
      <c r="T4141" t="inlineStr">
        <is>
          <t>Z71495</t>
        </is>
      </c>
    </row>
    <row r="4142" hidden="1" ht="15.75" customHeight="1">
      <c r="A4142" s="2">
        <f>HYPERLINK("https://www.soccerplususa.com/adidas/adidas-tabela-18-jersey-5113", "https://www.soccerplususa.com/adidas/adidas-tabela-18-jersey-5113")</f>
        <v/>
      </c>
      <c r="B4142" t="inlineStr">
        <is>
          <t>undefined</t>
        </is>
      </c>
      <c r="C4142" t="inlineStr">
        <is>
          <t>adidas Tabela 18 Jersey</t>
        </is>
      </c>
      <c r="D4142" t="inlineStr">
        <is>
          <t>adidas Youth Tabela 18 Jersey</t>
        </is>
      </c>
      <c r="E4142" s="2">
        <f>HYPERLINK("https://www.amazon.com/adidas-TABELA-Jersey-Y%E2%9D%97%EF%B8%8FShips-Directly/dp/B078LCB4LK/ref=sr_1_8?keywords=adidas+Tabela+18+Jersey&amp;qid=1695171233&amp;sr=8-8", "https://www.amazon.com/adidas-TABELA-Jersey-Y%E2%9D%97%EF%B8%8FShips-Directly/dp/B078LCB4LK/ref=sr_1_8?keywords=adidas+Tabela+18+Jersey&amp;qid=1695171233&amp;sr=8-8")</f>
        <v/>
      </c>
      <c r="F4142" t="inlineStr">
        <is>
          <t>B078LCB4LK</t>
        </is>
      </c>
      <c r="G4142">
        <f>_xludf.IMAGE("https://www.soccerplususa.com/prodimages//31723-BLACK-M.jpg")</f>
        <v/>
      </c>
      <c r="H4142">
        <f>_xludf.IMAGE("https://m.media-amazon.com/images/I/61G-4wd3sCL._AC_UL320_.jpg")</f>
        <v/>
      </c>
      <c r="K4142" t="inlineStr">
        <is>
          <t>21.99</t>
        </is>
      </c>
      <c r="L4142" t="n">
        <v>24.47</v>
      </c>
      <c r="M4142" s="1" t="inlineStr">
        <is>
          <t>11.28%</t>
        </is>
      </c>
      <c r="N4142" s="3" t="n">
        <v>11.28</v>
      </c>
      <c r="O4142" t="n">
        <v>1.8</v>
      </c>
      <c r="P4142" t="n">
        <v>2</v>
      </c>
      <c r="R4142" t="inlineStr">
        <is>
          <t>InStock</t>
        </is>
      </c>
      <c r="S4142" t="inlineStr">
        <is>
          <t>29.95</t>
        </is>
      </c>
      <c r="T4142" t="inlineStr">
        <is>
          <t>CE8934</t>
        </is>
      </c>
    </row>
    <row r="4143" hidden="1" ht="15.75" customHeight="1">
      <c r="A4143" s="2">
        <f>HYPERLINK("https://www.soccerplususa.com/adidas/adidas-condivo-18-storm-jacket-4941", "https://www.soccerplususa.com/adidas/adidas-condivo-18-storm-jacket-4941")</f>
        <v/>
      </c>
      <c r="B4143" t="inlineStr">
        <is>
          <t>undefined</t>
        </is>
      </c>
      <c r="C4143" t="inlineStr">
        <is>
          <t>adidas Condivo 18 Storm Jacket</t>
        </is>
      </c>
      <c r="D4143" t="inlineStr">
        <is>
          <t>adidas Condivo 18 Storm Jacket</t>
        </is>
      </c>
      <c r="E4143" s="2">
        <f>HYPERLINK("https://www.amazon.com/adidas-CON18-STRM-Jacket%E2%9D%97%EF%B8%8FShips-Directly/dp/B078LYY948/ref=sr_1_1?keywords=adidas+Condivo+18+Storm+Jacket&amp;qid=1695171222&amp;sr=8-1", "https://www.amazon.com/adidas-CON18-STRM-Jacket%E2%9D%97%EF%B8%8FShips-Directly/dp/B078LYY948/ref=sr_1_1?keywords=adidas+Condivo+18+Storm+Jacket&amp;qid=1695171222&amp;sr=8-1")</f>
        <v/>
      </c>
      <c r="F4143" t="inlineStr">
        <is>
          <t>B078LYY948</t>
        </is>
      </c>
      <c r="G4143">
        <f>_xludf.IMAGE("https://www.soccerplususa.com/prodimages/5712-DEFAULT-l.jpg")</f>
        <v/>
      </c>
      <c r="H4143">
        <f>_xludf.IMAGE("https://m.media-amazon.com/images/I/41600zWbPHL._MCnd_AC_UL320_.jpg")</f>
        <v/>
      </c>
      <c r="K4143" t="inlineStr">
        <is>
          <t>89.99</t>
        </is>
      </c>
      <c r="L4143" t="n">
        <v>99.98999999999999</v>
      </c>
      <c r="M4143" s="1" t="inlineStr">
        <is>
          <t>11.11%</t>
        </is>
      </c>
      <c r="N4143" s="3" t="n">
        <v>11.11</v>
      </c>
      <c r="O4143" t="n">
        <v>4.2</v>
      </c>
      <c r="P4143" t="n">
        <v>41</v>
      </c>
      <c r="R4143" t="inlineStr">
        <is>
          <t>InStock</t>
        </is>
      </c>
      <c r="S4143" t="inlineStr">
        <is>
          <t>119.95</t>
        </is>
      </c>
      <c r="T4143" t="inlineStr">
        <is>
          <t>BQ6548</t>
        </is>
      </c>
    </row>
    <row r="4144" hidden="1" ht="15.75" customHeight="1">
      <c r="A4144" s="2">
        <f>HYPERLINK("https://www.soccerplususa.com/adidas/adidas-condivo-21-training-top-youth-41951", "https://www.soccerplususa.com/adidas/adidas-condivo-21-training-top-youth-41951")</f>
        <v/>
      </c>
      <c r="B4144" t="inlineStr">
        <is>
          <t>undefined</t>
        </is>
      </c>
      <c r="C4144" t="inlineStr">
        <is>
          <t>adidas Condivo 21 Training Top Youth</t>
        </is>
      </c>
      <c r="D4144" t="inlineStr">
        <is>
          <t>adidas Condivo 21 Training Top</t>
        </is>
      </c>
      <c r="E4144" s="2">
        <f>HYPERLINK("https://www.amazon.com/adidas-Condivo-Training-Top-Black-White/dp/B08XFZP9PJ/ref=sr_1_2?keywords=adidas+Condivo+21+Training+Top+Youth&amp;qid=1695171160&amp;sr=8-2", "https://www.amazon.com/adidas-Condivo-Training-Top-Black-White/dp/B08XFZP9PJ/ref=sr_1_2?keywords=adidas+Condivo+21+Training+Top+Youth&amp;qid=1695171160&amp;sr=8-2")</f>
        <v/>
      </c>
      <c r="F4144" t="inlineStr">
        <is>
          <t>B08XFZP9PJ</t>
        </is>
      </c>
      <c r="G4144">
        <f>_xludf.IMAGE("https://www.soccerplususa.com/prodimages//36793-GREYWHITE-M.jpg")</f>
        <v/>
      </c>
      <c r="H4144">
        <f>_xludf.IMAGE("https://m.media-amazon.com/images/I/51aT9dU2t5L._AC_UL320_.jpg")</f>
        <v/>
      </c>
      <c r="K4144" t="inlineStr">
        <is>
          <t>44.99</t>
        </is>
      </c>
      <c r="L4144" t="n">
        <v>49.98</v>
      </c>
      <c r="M4144" s="1" t="inlineStr">
        <is>
          <t>11.09%</t>
        </is>
      </c>
      <c r="N4144" s="3" t="n">
        <v>11.09</v>
      </c>
      <c r="O4144" t="n">
        <v>4.7</v>
      </c>
      <c r="P4144" t="n">
        <v>10</v>
      </c>
      <c r="R4144" t="inlineStr">
        <is>
          <t>InStock</t>
        </is>
      </c>
      <c r="S4144" t="inlineStr">
        <is>
          <t>59.95</t>
        </is>
      </c>
      <c r="T4144" t="inlineStr">
        <is>
          <t>GP1901</t>
        </is>
      </c>
    </row>
    <row r="4145" hidden="1" ht="15.75" customHeight="1">
      <c r="A4145" s="2">
        <f>HYPERLINK("https://www.soccerplususa.com/adidas/adidas-tiro-19-training-jacket-youth-33858", "https://www.soccerplususa.com/adidas/adidas-tiro-19-training-jacket-youth-33858")</f>
        <v/>
      </c>
      <c r="B4145" t="inlineStr">
        <is>
          <t>undefined</t>
        </is>
      </c>
      <c r="C4145" t="inlineStr">
        <is>
          <t>adidas Tiro 19 Training Jacket Youth</t>
        </is>
      </c>
      <c r="D4145" t="inlineStr">
        <is>
          <t>adidas Tiro19 Youth Training Jacket</t>
        </is>
      </c>
      <c r="E4145" s="2">
        <f>HYPERLINK("https://www.amazon.com/adidas-DT5276-TIRO19-TR-JKTY/dp/B07H3VS4M6/ref=sr_1_8?keywords=adidas+Tiro+19+Training+Jacket+Youth&amp;qid=1695171168&amp;sr=8-8", "https://www.amazon.com/adidas-DT5276-TIRO19-TR-JKTY/dp/B07H3VS4M6/ref=sr_1_8?keywords=adidas+Tiro+19+Training+Jacket+Youth&amp;qid=1695171168&amp;sr=8-8")</f>
        <v/>
      </c>
      <c r="F4145" t="inlineStr">
        <is>
          <t>B07H3VS4M6</t>
        </is>
      </c>
      <c r="G4145">
        <f>_xludf.IMAGE("https://www.soccerplususa.com/prodimages/8020-DEFAULT-l.jpg")</f>
        <v/>
      </c>
      <c r="H4145">
        <f>_xludf.IMAGE("https://m.media-amazon.com/images/I/41j90cyk9hL._AC_UL320_.jpg")</f>
        <v/>
      </c>
      <c r="K4145" t="inlineStr">
        <is>
          <t>45.0</t>
        </is>
      </c>
      <c r="L4145" t="n">
        <v>49.99</v>
      </c>
      <c r="M4145" s="1" t="inlineStr">
        <is>
          <t>11.09%</t>
        </is>
      </c>
      <c r="N4145" s="3" t="n">
        <v>11.09</v>
      </c>
      <c r="O4145" t="n">
        <v>5</v>
      </c>
      <c r="P4145" t="n">
        <v>5</v>
      </c>
      <c r="R4145" t="inlineStr">
        <is>
          <t>InStock</t>
        </is>
      </c>
      <c r="S4145" t="inlineStr">
        <is>
          <t>59.95</t>
        </is>
      </c>
      <c r="T4145" t="inlineStr">
        <is>
          <t>D95922</t>
        </is>
      </c>
    </row>
    <row r="4146" hidden="1" ht="15.75" customHeight="1">
      <c r="A4146" s="2">
        <f>HYPERLINK("https://www.soccerplususa.com/adidas/adidas-tiro-19-training-jacket-youth-33998", "https://www.soccerplususa.com/adidas/adidas-tiro-19-training-jacket-youth-33998")</f>
        <v/>
      </c>
      <c r="B4146" t="inlineStr">
        <is>
          <t>undefined</t>
        </is>
      </c>
      <c r="C4146" t="inlineStr">
        <is>
          <t>adidas Tiro 19 Training Jacket Youth</t>
        </is>
      </c>
      <c r="D4146" t="inlineStr">
        <is>
          <t>adidas Tiro19 Youth Training Jacket</t>
        </is>
      </c>
      <c r="E4146" s="2">
        <f>HYPERLINK("https://www.amazon.com/adidas-DT5276-TIRO19-TR-JKTY/dp/B07H3VS4M6/ref=sr_1_4?keywords=adidas+Tiro+19+Training+Jacket+Youth&amp;qid=1695171164&amp;sr=8-4", "https://www.amazon.com/adidas-DT5276-TIRO19-TR-JKTY/dp/B07H3VS4M6/ref=sr_1_4?keywords=adidas+Tiro+19+Training+Jacket+Youth&amp;qid=1695171164&amp;sr=8-4")</f>
        <v/>
      </c>
      <c r="F4146" t="inlineStr">
        <is>
          <t>B07H3VS4M6</t>
        </is>
      </c>
      <c r="G4146">
        <f>_xludf.IMAGE("https://www.soccerplususa.com/prodimages/7897-DEFAULT-l.jpg")</f>
        <v/>
      </c>
      <c r="H4146">
        <f>_xludf.IMAGE("https://m.media-amazon.com/images/I/41j90cyk9hL._AC_UL320_.jpg")</f>
        <v/>
      </c>
      <c r="K4146" t="inlineStr">
        <is>
          <t>45.0</t>
        </is>
      </c>
      <c r="L4146" t="n">
        <v>49.99</v>
      </c>
      <c r="M4146" s="1" t="inlineStr">
        <is>
          <t>11.09%</t>
        </is>
      </c>
      <c r="N4146" s="3" t="n">
        <v>11.09</v>
      </c>
      <c r="O4146" t="n">
        <v>5</v>
      </c>
      <c r="P4146" t="n">
        <v>5</v>
      </c>
      <c r="R4146" t="inlineStr">
        <is>
          <t>InStock</t>
        </is>
      </c>
      <c r="S4146" t="inlineStr">
        <is>
          <t>59.95</t>
        </is>
      </c>
      <c r="T4146" t="inlineStr">
        <is>
          <t>DT5276</t>
        </is>
      </c>
    </row>
    <row r="4147" hidden="1" ht="15.75" customHeight="1">
      <c r="A4147" s="2">
        <f>HYPERLINK("https://www.soccerplususa.com/adidas/adidas-regista-14-jersey-6672", "https://www.soccerplususa.com/adidas/adidas-regista-14-jersey-6672")</f>
        <v/>
      </c>
      <c r="B4147" t="inlineStr">
        <is>
          <t>undefined</t>
        </is>
      </c>
      <c r="C4147" t="inlineStr">
        <is>
          <t>adidas Regista 14 Jersey</t>
        </is>
      </c>
      <c r="D4147" t="inlineStr">
        <is>
          <t>adidas Regista 18 Jersey</t>
        </is>
      </c>
      <c r="E4147" s="2">
        <f>HYPERLINK("https://www.amazon.com/adidas-Regista-Jersey-Juniors-White-Bold/dp/B078LC816M/ref=sr_1_10?keywords=adidas+Regista+14+Jersey&amp;qid=1695171217&amp;sr=8-10", "https://www.amazon.com/adidas-Regista-Jersey-Juniors-White-Bold/dp/B078LC816M/ref=sr_1_10?keywords=adidas+Regista+14+Jersey&amp;qid=1695171217&amp;sr=8-10")</f>
        <v/>
      </c>
      <c r="F4147" t="inlineStr">
        <is>
          <t>B078LC816M</t>
        </is>
      </c>
      <c r="G4147">
        <f>_xludf.IMAGE("https://www.soccerplususa.com/prodimages/10435-DEFAULT-l.jpg")</f>
        <v/>
      </c>
      <c r="H4147">
        <f>_xludf.IMAGE("https://m.media-amazon.com/images/I/51yG-+TbhAL._AC_UL320_.jpg")</f>
        <v/>
      </c>
      <c r="K4147" t="inlineStr">
        <is>
          <t>22.5</t>
        </is>
      </c>
      <c r="L4147" t="n">
        <v>24.99</v>
      </c>
      <c r="M4147" s="1" t="inlineStr">
        <is>
          <t>11.07%</t>
        </is>
      </c>
      <c r="N4147" s="3" t="n">
        <v>11.07</v>
      </c>
      <c r="O4147" t="n">
        <v>4.4</v>
      </c>
      <c r="P4147" t="n">
        <v>107</v>
      </c>
      <c r="R4147" t="inlineStr">
        <is>
          <t>InStock</t>
        </is>
      </c>
      <c r="S4147" t="inlineStr">
        <is>
          <t>44.95</t>
        </is>
      </c>
      <c r="T4147" t="inlineStr">
        <is>
          <t>G70830</t>
        </is>
      </c>
    </row>
    <row r="4148" hidden="1" ht="15.75" customHeight="1">
      <c r="A4148" s="2">
        <f>HYPERLINK("https://www.soccerplususa.com/adidas/adidas-regista-14-jersey-6067", "https://www.soccerplususa.com/adidas/adidas-regista-14-jersey-6067")</f>
        <v/>
      </c>
      <c r="B4148" t="inlineStr">
        <is>
          <t>undefined</t>
        </is>
      </c>
      <c r="C4148" t="inlineStr">
        <is>
          <t>adidas Regista 14 Jersey</t>
        </is>
      </c>
      <c r="D4148" t="inlineStr">
        <is>
          <t>adidas Regista 18 Jersey</t>
        </is>
      </c>
      <c r="E4148" s="2">
        <f>HYPERLINK("https://www.amazon.com/adidas-Regista-Jersey-Juniors-White-Bold/dp/B078LC816M/ref=sr_1_10?keywords=adidas+Regista+14+Jersey&amp;qid=1695171231&amp;sr=8-10", "https://www.amazon.com/adidas-Regista-Jersey-Juniors-White-Bold/dp/B078LC816M/ref=sr_1_10?keywords=adidas+Regista+14+Jersey&amp;qid=1695171231&amp;sr=8-10")</f>
        <v/>
      </c>
      <c r="F4148" t="inlineStr">
        <is>
          <t>B078LC816M</t>
        </is>
      </c>
      <c r="G4148">
        <f>_xludf.IMAGE("https://www.soccerplususa.com/prodimages/10329-DEFAULT-l.jpg")</f>
        <v/>
      </c>
      <c r="H4148">
        <f>_xludf.IMAGE("https://m.media-amazon.com/images/I/51yG-+TbhAL._AC_UL320_.jpg")</f>
        <v/>
      </c>
      <c r="K4148" t="inlineStr">
        <is>
          <t>22.5</t>
        </is>
      </c>
      <c r="L4148" t="n">
        <v>24.99</v>
      </c>
      <c r="M4148" s="1" t="inlineStr">
        <is>
          <t>11.07%</t>
        </is>
      </c>
      <c r="N4148" s="3" t="n">
        <v>11.07</v>
      </c>
      <c r="O4148" t="n">
        <v>4.4</v>
      </c>
      <c r="P4148" t="n">
        <v>107</v>
      </c>
      <c r="R4148" t="inlineStr">
        <is>
          <t>InStock</t>
        </is>
      </c>
      <c r="S4148" t="inlineStr">
        <is>
          <t>44.95</t>
        </is>
      </c>
      <c r="T4148" t="inlineStr">
        <is>
          <t>F50011</t>
        </is>
      </c>
    </row>
    <row r="4149" hidden="1" ht="15.75" customHeight="1">
      <c r="A4149" s="2">
        <f>HYPERLINK("https://www.soccerplususa.com/adidas/adidas-regista-14-jersey-6672", "https://www.soccerplususa.com/adidas/adidas-regista-14-jersey-6672")</f>
        <v/>
      </c>
      <c r="B4149" t="inlineStr">
        <is>
          <t>undefined</t>
        </is>
      </c>
      <c r="C4149" t="inlineStr">
        <is>
          <t>adidas Regista 14 Jersey</t>
        </is>
      </c>
      <c r="D4149" t="inlineStr">
        <is>
          <t>adidas Mens Climacool Regista 14 Short</t>
        </is>
      </c>
      <c r="E4149" s="2">
        <f>HYPERLINK("https://www.amazon.com/Adidas-Climacool-Regista-Short-Small/dp/B00GVA0RTM/ref=sr_1_5?keywords=adidas+Regista+14+Jersey&amp;qid=1695171217&amp;sr=8-5", "https://www.amazon.com/Adidas-Climacool-Regista-Short-Small/dp/B00GVA0RTM/ref=sr_1_5?keywords=adidas+Regista+14+Jersey&amp;qid=1695171217&amp;sr=8-5")</f>
        <v/>
      </c>
      <c r="F4149" t="inlineStr">
        <is>
          <t>B00GVA0RTM</t>
        </is>
      </c>
      <c r="G4149">
        <f>_xludf.IMAGE("https://www.soccerplususa.com/prodimages/10435-DEFAULT-l.jpg")</f>
        <v/>
      </c>
      <c r="H4149">
        <f>_xludf.IMAGE("https://m.media-amazon.com/images/I/51wfQQhR5RL._AC_UL320_.jpg")</f>
        <v/>
      </c>
      <c r="K4149" t="inlineStr">
        <is>
          <t>22.5</t>
        </is>
      </c>
      <c r="L4149" t="n">
        <v>24.99</v>
      </c>
      <c r="M4149" s="1" t="inlineStr">
        <is>
          <t>11.07%</t>
        </is>
      </c>
      <c r="N4149" s="3" t="n">
        <v>11.07</v>
      </c>
      <c r="O4149" t="n">
        <v>3.5</v>
      </c>
      <c r="P4149" t="n">
        <v>6</v>
      </c>
      <c r="R4149" t="inlineStr">
        <is>
          <t>InStock</t>
        </is>
      </c>
      <c r="S4149" t="inlineStr">
        <is>
          <t>44.95</t>
        </is>
      </c>
      <c r="T4149" t="inlineStr">
        <is>
          <t>G70830</t>
        </is>
      </c>
    </row>
    <row r="4150" hidden="1" ht="15.75" customHeight="1">
      <c r="A4150" s="2">
        <f>HYPERLINK("https://www.soccerplususa.com/adidas/adidas-regista-14-jersey-6067", "https://www.soccerplususa.com/adidas/adidas-regista-14-jersey-6067")</f>
        <v/>
      </c>
      <c r="B4150" t="inlineStr">
        <is>
          <t>undefined</t>
        </is>
      </c>
      <c r="C4150" t="inlineStr">
        <is>
          <t>adidas Regista 14 Jersey</t>
        </is>
      </c>
      <c r="D4150" t="inlineStr">
        <is>
          <t>adidas Mens Climacool Regista 14 Short</t>
        </is>
      </c>
      <c r="E4150" s="2">
        <f>HYPERLINK("https://www.amazon.com/Adidas-Climacool-Regista-Short-Small/dp/B00GVA0RTM/ref=sr_1_5?keywords=adidas+Regista+14+Jersey&amp;qid=1695171231&amp;sr=8-5", "https://www.amazon.com/Adidas-Climacool-Regista-Short-Small/dp/B00GVA0RTM/ref=sr_1_5?keywords=adidas+Regista+14+Jersey&amp;qid=1695171231&amp;sr=8-5")</f>
        <v/>
      </c>
      <c r="F4150" t="inlineStr">
        <is>
          <t>B00GVA0RTM</t>
        </is>
      </c>
      <c r="G4150">
        <f>_xludf.IMAGE("https://www.soccerplususa.com/prodimages/10329-DEFAULT-l.jpg")</f>
        <v/>
      </c>
      <c r="H4150">
        <f>_xludf.IMAGE("https://m.media-amazon.com/images/I/51wfQQhR5RL._AC_UL320_.jpg")</f>
        <v/>
      </c>
      <c r="K4150" t="inlineStr">
        <is>
          <t>22.5</t>
        </is>
      </c>
      <c r="L4150" t="n">
        <v>24.99</v>
      </c>
      <c r="M4150" s="1" t="inlineStr">
        <is>
          <t>11.07%</t>
        </is>
      </c>
      <c r="N4150" s="3" t="n">
        <v>11.07</v>
      </c>
      <c r="O4150" t="n">
        <v>3.5</v>
      </c>
      <c r="P4150" t="n">
        <v>6</v>
      </c>
      <c r="R4150" t="inlineStr">
        <is>
          <t>InStock</t>
        </is>
      </c>
      <c r="S4150" t="inlineStr">
        <is>
          <t>44.95</t>
        </is>
      </c>
      <c r="T4150" t="inlineStr">
        <is>
          <t>F50011</t>
        </is>
      </c>
    </row>
    <row r="4151" hidden="1" ht="15.75" customHeight="1">
      <c r="A4151" s="2">
        <f>HYPERLINK("https://www.soccerplususa.com/puma/puma-liga-training-jacket-youth-35521", "https://www.soccerplususa.com/puma/puma-liga-training-jacket-youth-35521")</f>
        <v/>
      </c>
      <c r="B4151" t="inlineStr">
        <is>
          <t>undefined</t>
        </is>
      </c>
      <c r="C4151" t="inlineStr">
        <is>
          <t>Puma Liga Training Jacket Youth</t>
        </is>
      </c>
      <c r="D4151" t="inlineStr">
        <is>
          <t>PUMA Unisex Youth Liga Casuals Padded Jacket</t>
        </is>
      </c>
      <c r="E4151" s="2">
        <f>HYPERLINK("https://www.amazon.com/PUMA-Casuals-Padded-Jacket-Peacoat/dp/B07B869FVX/ref=sr_1_8?keywords=Puma+Liga+Training+Jacket+Youth&amp;qid=1695171158&amp;sr=8-8", "https://www.amazon.com/PUMA-Casuals-Padded-Jacket-Peacoat/dp/B07B869FVX/ref=sr_1_8?keywords=Puma+Liga+Training+Jacket+Youth&amp;qid=1695171158&amp;sr=8-8")</f>
        <v/>
      </c>
      <c r="F4151" t="inlineStr">
        <is>
          <t>B07B869FVX</t>
        </is>
      </c>
      <c r="G4151">
        <f>_xludf.IMAGE("https://www.soccerplususa.com/prodimages/32219-DEFAULT-l.jpg")</f>
        <v/>
      </c>
      <c r="H4151">
        <f>_xludf.IMAGE("https://m.media-amazon.com/images/I/814gO7Ro+EL._AC_UL320_.jpg")</f>
        <v/>
      </c>
      <c r="K4151" t="inlineStr">
        <is>
          <t>45.0</t>
        </is>
      </c>
      <c r="L4151" t="n">
        <v>49.95</v>
      </c>
      <c r="M4151" s="1" t="inlineStr">
        <is>
          <t>11.00%</t>
        </is>
      </c>
      <c r="N4151" s="3" t="n">
        <v>11</v>
      </c>
      <c r="O4151" t="n">
        <v>3.9</v>
      </c>
      <c r="P4151" t="n">
        <v>31</v>
      </c>
      <c r="R4151" t="inlineStr">
        <is>
          <t>InStock</t>
        </is>
      </c>
      <c r="S4151" t="inlineStr">
        <is>
          <t>59.95</t>
        </is>
      </c>
      <c r="T4151" t="inlineStr">
        <is>
          <t>655688-02</t>
        </is>
      </c>
    </row>
    <row r="4152" hidden="1" ht="15.75" customHeight="1">
      <c r="A4152" s="2">
        <f>HYPERLINK("https://www.soccerplususa.com/adidas/adidas-tiro-19-training-top-youth-33999", "https://www.soccerplususa.com/adidas/adidas-tiro-19-training-top-youth-33999")</f>
        <v/>
      </c>
      <c r="B4152" t="inlineStr">
        <is>
          <t>undefined</t>
        </is>
      </c>
      <c r="C4152" t="inlineStr">
        <is>
          <t>adidas Tiro 19 Training Top Youth</t>
        </is>
      </c>
      <c r="D4152" t="inlineStr">
        <is>
          <t>adidas Tiro 19 Youth Warm Top Soccer Jacket</t>
        </is>
      </c>
      <c r="E4152" s="2">
        <f>HYPERLINK("https://www.amazon.com/adidas-Youth-Soccer-Jacket-Medium/dp/B07JBBM66J/ref=sr_1_1?keywords=adidas+Tiro+19+Training+Top+Youth&amp;qid=1695171166&amp;sr=8-1", "https://www.amazon.com/adidas-Youth-Soccer-Jacket-Medium/dp/B07JBBM66J/ref=sr_1_1?keywords=adidas+Tiro+19+Training+Top+Youth&amp;qid=1695171166&amp;sr=8-1")</f>
        <v/>
      </c>
      <c r="F4152" t="inlineStr">
        <is>
          <t>B07JBBM66J</t>
        </is>
      </c>
      <c r="G4152">
        <f>_xludf.IMAGE("https://www.soccerplususa.com/prodimages/31273-DEFAULT-l.jpg")</f>
        <v/>
      </c>
      <c r="H4152">
        <f>_xludf.IMAGE("https://m.media-amazon.com/images/I/5115MWy0jsL._AC_UL320_.jpg")</f>
        <v/>
      </c>
      <c r="K4152" t="inlineStr">
        <is>
          <t>41.0</t>
        </is>
      </c>
      <c r="L4152" t="n">
        <v>45.5</v>
      </c>
      <c r="M4152" s="1" t="inlineStr">
        <is>
          <t>10.98%</t>
        </is>
      </c>
      <c r="N4152" s="3" t="n">
        <v>10.98</v>
      </c>
      <c r="O4152" t="n">
        <v>4.4</v>
      </c>
      <c r="P4152" t="n">
        <v>17</v>
      </c>
      <c r="R4152" t="inlineStr">
        <is>
          <t>InStock</t>
        </is>
      </c>
      <c r="S4152" t="inlineStr">
        <is>
          <t>54.95</t>
        </is>
      </c>
      <c r="T4152" t="inlineStr">
        <is>
          <t>DT5281</t>
        </is>
      </c>
    </row>
    <row r="4153" hidden="1" ht="15.75" customHeight="1">
      <c r="A4153" s="2">
        <f>HYPERLINK("https://www.soccerplususa.com/adidas/adidas-tiro-19-training-top-youth-34015", "https://www.soccerplususa.com/adidas/adidas-tiro-19-training-top-youth-34015")</f>
        <v/>
      </c>
      <c r="B4153" t="inlineStr">
        <is>
          <t>undefined</t>
        </is>
      </c>
      <c r="C4153" t="inlineStr">
        <is>
          <t>adidas Tiro 19 Training Top Youth</t>
        </is>
      </c>
      <c r="D4153" t="inlineStr">
        <is>
          <t>adidas Tiro 19 Youth Warm Top Soccer Jacket</t>
        </is>
      </c>
      <c r="E4153" s="2">
        <f>HYPERLINK("https://www.amazon.com/adidas-Youth-Soccer-Jacket-Medium/dp/B07JBBM66J/ref=sr_1_1?keywords=adidas+Tiro+19+Training+Top+Youth&amp;qid=1695171196&amp;sr=8-1", "https://www.amazon.com/adidas-Youth-Soccer-Jacket-Medium/dp/B07JBBM66J/ref=sr_1_1?keywords=adidas+Tiro+19+Training+Top+Youth&amp;qid=1695171196&amp;sr=8-1")</f>
        <v/>
      </c>
      <c r="F4153" t="inlineStr">
        <is>
          <t>B07JBBM66J</t>
        </is>
      </c>
      <c r="G4153">
        <f>_xludf.IMAGE("https://www.soccerplususa.com/prodimages/7901-DEFAULT-l.jpg")</f>
        <v/>
      </c>
      <c r="H4153">
        <f>_xludf.IMAGE("https://m.media-amazon.com/images/I/5115MWy0jsL._AC_UL320_.jpg")</f>
        <v/>
      </c>
      <c r="K4153" t="inlineStr">
        <is>
          <t>41.0</t>
        </is>
      </c>
      <c r="L4153" t="n">
        <v>45.5</v>
      </c>
      <c r="M4153" s="1" t="inlineStr">
        <is>
          <t>10.98%</t>
        </is>
      </c>
      <c r="N4153" s="3" t="n">
        <v>10.98</v>
      </c>
      <c r="O4153" t="n">
        <v>4.4</v>
      </c>
      <c r="P4153" t="n">
        <v>17</v>
      </c>
      <c r="R4153" t="inlineStr">
        <is>
          <t>InStock</t>
        </is>
      </c>
      <c r="S4153" t="inlineStr">
        <is>
          <t>54.95</t>
        </is>
      </c>
      <c r="T4153" t="inlineStr">
        <is>
          <t>DW4798</t>
        </is>
      </c>
    </row>
    <row r="4154" hidden="1" ht="15.75" customHeight="1">
      <c r="A4154" s="2">
        <f>HYPERLINK("https://www.soccerplususa.com/under-armour/under-armour-coldgear-mock-womens-33129", "https://www.soccerplususa.com/under-armour/under-armour-coldgear-mock-womens-33129")</f>
        <v/>
      </c>
      <c r="B4154" t="inlineStr">
        <is>
          <t>undefined</t>
        </is>
      </c>
      <c r="C4154" t="inlineStr">
        <is>
          <t>Under Armour Coldgear Mock Women's</t>
        </is>
      </c>
      <c r="D4154" t="inlineStr">
        <is>
          <t>Under Armour Women's ColdGear Compression Leggings</t>
        </is>
      </c>
      <c r="E4154" s="2">
        <f>HYPERLINK("https://www.amazon.com/Under-Armour-ColdGear-Authentic-Compression/dp/B00GPG6NU4/ref=sr_1_5?keywords=Under+Armour+Coldgear+Mock+Women%27s&amp;qid=1695171175&amp;sr=8-5", "https://www.amazon.com/Under-Armour-ColdGear-Authentic-Compression/dp/B00GPG6NU4/ref=sr_1_5?keywords=Under+Armour+Coldgear+Mock+Women%27s&amp;qid=1695171175&amp;sr=8-5")</f>
        <v/>
      </c>
      <c r="F4154" t="inlineStr">
        <is>
          <t>B00GPG6NU4</t>
        </is>
      </c>
      <c r="G4154">
        <f>_xludf.IMAGE("https://www.soccerplususa.com/prodimages/2365-DEFAULT-l.jpg")</f>
        <v/>
      </c>
      <c r="H4154">
        <f>_xludf.IMAGE("https://m.media-amazon.com/images/I/41qbEH1SatL._AC_UL320_.jpg")</f>
        <v/>
      </c>
      <c r="K4154" t="inlineStr">
        <is>
          <t>49.95</t>
        </is>
      </c>
      <c r="L4154" t="n">
        <v>54.95</v>
      </c>
      <c r="M4154" s="1" t="inlineStr">
        <is>
          <t>10.01%</t>
        </is>
      </c>
      <c r="N4154" s="3" t="n">
        <v>10.01</v>
      </c>
      <c r="O4154" t="n">
        <v>4.6</v>
      </c>
      <c r="P4154" t="n">
        <v>6070</v>
      </c>
      <c r="R4154" t="inlineStr">
        <is>
          <t>InStock</t>
        </is>
      </c>
      <c r="S4154" t="inlineStr">
        <is>
          <t>undefined</t>
        </is>
      </c>
      <c r="T4154" t="inlineStr">
        <is>
          <t>1215968-100</t>
        </is>
      </c>
    </row>
    <row r="4155" hidden="1" ht="15.75" customHeight="1">
      <c r="A4155" s="2">
        <f>HYPERLINK("https://www.soccerplususa.com/under-armour/under-armour-coldgear-authentics-mock-womens-44305", "https://www.soccerplususa.com/under-armour/under-armour-coldgear-authentics-mock-womens-44305")</f>
        <v/>
      </c>
      <c r="B4155" t="inlineStr">
        <is>
          <t>undefined</t>
        </is>
      </c>
      <c r="C4155" t="inlineStr">
        <is>
          <t>Under Armour ColdGear Authentics Mock Women's</t>
        </is>
      </c>
      <c r="D4155" t="inlineStr">
        <is>
          <t>Under Armour Women's Authentics ColdGear ¼ Zip T-Shirt</t>
        </is>
      </c>
      <c r="E4155" s="2">
        <f>HYPERLINK("https://www.amazon.com/Under-Armour-Authentics-ColdGear-T-Shirt/dp/B08LMTDNBF/ref=sr_1_3?keywords=Under+Armour+ColdGear+Authentics+Mock+Womens&amp;qid=1695171151&amp;sr=8-3", "https://www.amazon.com/Under-Armour-Authentics-ColdGear-T-Shirt/dp/B08LMTDNBF/ref=sr_1_3?keywords=Under+Armour+ColdGear+Authentics+Mock+Womens&amp;qid=1695171151&amp;sr=8-3")</f>
        <v/>
      </c>
      <c r="F4155" t="inlineStr">
        <is>
          <t>B08LMTDNBF</t>
        </is>
      </c>
      <c r="G4155">
        <f>_xludf.IMAGE("https://www.soccerplususa.com/prodimages//36058-WHITE-M.jpg")</f>
        <v/>
      </c>
      <c r="H4155">
        <f>_xludf.IMAGE("https://m.media-amazon.com/images/I/41ePEpa2GyL._AC_UL320_.jpg")</f>
        <v/>
      </c>
      <c r="K4155" t="inlineStr">
        <is>
          <t>54.95</t>
        </is>
      </c>
      <c r="L4155" t="n">
        <v>59.99</v>
      </c>
      <c r="M4155" s="1" t="inlineStr">
        <is>
          <t>9.17%</t>
        </is>
      </c>
      <c r="N4155" s="3" t="n">
        <v>9.17</v>
      </c>
      <c r="O4155" t="n">
        <v>4.6</v>
      </c>
      <c r="P4155" t="n">
        <v>60</v>
      </c>
      <c r="R4155" t="inlineStr">
        <is>
          <t>InStock</t>
        </is>
      </c>
      <c r="S4155" t="inlineStr">
        <is>
          <t>undefined</t>
        </is>
      </c>
      <c r="T4155" t="inlineStr">
        <is>
          <t>1368702-100</t>
        </is>
      </c>
    </row>
    <row r="4156" hidden="1" ht="15.75" customHeight="1">
      <c r="A4156" s="2">
        <f>HYPERLINK("https://www.soccerplususa.com/under-armour/under-armour-coldgear-authentics-mock-womens-44304", "https://www.soccerplususa.com/under-armour/under-armour-coldgear-authentics-mock-womens-44304")</f>
        <v/>
      </c>
      <c r="B4156" t="inlineStr">
        <is>
          <t>undefined</t>
        </is>
      </c>
      <c r="C4156" t="inlineStr">
        <is>
          <t>Under Armour ColdGear Authentics Mock Women's</t>
        </is>
      </c>
      <c r="D4156" t="inlineStr">
        <is>
          <t>Under Armour Women's Authentics ColdGear ¼ Zip T-Shirt</t>
        </is>
      </c>
      <c r="E4156" s="2">
        <f>HYPERLINK("https://www.amazon.com/Under-Armour-Authentics-ColdGear-T-Shirt/dp/B08LMTDNBF/ref=sr_1_3?keywords=Under+Armour+ColdGear+Authentics+Mock+Womens&amp;qid=1695171145&amp;sr=8-3", "https://www.amazon.com/Under-Armour-Authentics-ColdGear-T-Shirt/dp/B08LMTDNBF/ref=sr_1_3?keywords=Under+Armour+ColdGear+Authentics+Mock+Womens&amp;qid=1695171145&amp;sr=8-3")</f>
        <v/>
      </c>
      <c r="F4156" t="inlineStr">
        <is>
          <t>B08LMTDNBF</t>
        </is>
      </c>
      <c r="G4156">
        <f>_xludf.IMAGE("https://www.soccerplususa.com/prodimages//36059-BLACK-M.jpg")</f>
        <v/>
      </c>
      <c r="H4156">
        <f>_xludf.IMAGE("https://m.media-amazon.com/images/I/41ePEpa2GyL._AC_UL320_.jpg")</f>
        <v/>
      </c>
      <c r="K4156" t="inlineStr">
        <is>
          <t>54.95</t>
        </is>
      </c>
      <c r="L4156" t="n">
        <v>59.99</v>
      </c>
      <c r="M4156" s="1" t="inlineStr">
        <is>
          <t>9.17%</t>
        </is>
      </c>
      <c r="N4156" s="3" t="n">
        <v>9.17</v>
      </c>
      <c r="O4156" t="n">
        <v>4.6</v>
      </c>
      <c r="P4156" t="n">
        <v>60</v>
      </c>
      <c r="R4156" t="inlineStr">
        <is>
          <t>InStock</t>
        </is>
      </c>
      <c r="S4156" t="inlineStr">
        <is>
          <t>undefined</t>
        </is>
      </c>
      <c r="T4156" t="inlineStr">
        <is>
          <t>1368702-001</t>
        </is>
      </c>
    </row>
    <row r="4157" hidden="1" ht="15.75" customHeight="1">
      <c r="A4157" s="2">
        <f>HYPERLINK("https://www.soccerplususa.com/adidas/adidas-tiro-17-jersey-youth-4820", "https://www.soccerplususa.com/adidas/adidas-tiro-17-jersey-youth-4820")</f>
        <v/>
      </c>
      <c r="B4157" t="inlineStr">
        <is>
          <t>undefined</t>
        </is>
      </c>
      <c r="C4157" t="inlineStr">
        <is>
          <t>adidas Tiro 17 Jersey Youth</t>
        </is>
      </c>
      <c r="D4157" t="inlineStr">
        <is>
          <t>adidas Mens Tiro 17 Jersey Black/White S</t>
        </is>
      </c>
      <c r="E4157" s="2">
        <f>HYPERLINK("https://www.amazon.com/Adidas-Mens-Jersey-Black-White/dp/B01N64GCZ6/ref=sr_1_2?keywords=adidas+Tiro+17+Jersey+Youth&amp;qid=1695171227&amp;sr=8-2", "https://www.amazon.com/Adidas-Mens-Jersey-Black-White/dp/B01N64GCZ6/ref=sr_1_2?keywords=adidas+Tiro+17+Jersey+Youth&amp;qid=1695171227&amp;sr=8-2")</f>
        <v/>
      </c>
      <c r="F4157" t="inlineStr">
        <is>
          <t>B01N64GCZ6</t>
        </is>
      </c>
      <c r="G4157">
        <f>_xludf.IMAGE("https://www.soccerplususa.com/prodimages/9820-DEFAULT-l.jpg")</f>
        <v/>
      </c>
      <c r="H4157">
        <f>_xludf.IMAGE("https://m.media-amazon.com/images/I/61WO-O2xDLL._AC_UL320_.jpg")</f>
        <v/>
      </c>
      <c r="K4157" t="inlineStr">
        <is>
          <t>17.5</t>
        </is>
      </c>
      <c r="L4157" t="n">
        <v>19.07</v>
      </c>
      <c r="M4157" s="1" t="inlineStr">
        <is>
          <t>8.97%</t>
        </is>
      </c>
      <c r="N4157" s="3" t="n">
        <v>8.970000000000001</v>
      </c>
      <c r="O4157" t="n">
        <v>4.3</v>
      </c>
      <c r="P4157" t="n">
        <v>8</v>
      </c>
      <c r="R4157" t="inlineStr">
        <is>
          <t>InStock</t>
        </is>
      </c>
      <c r="S4157" t="inlineStr">
        <is>
          <t>34.95</t>
        </is>
      </c>
      <c r="T4157" t="inlineStr">
        <is>
          <t>BJ9111</t>
        </is>
      </c>
    </row>
    <row r="4158" hidden="1" ht="15.75" customHeight="1">
      <c r="A4158" s="2">
        <f>HYPERLINK("https://www.soccerplususa.com/nike/nike-academy-18-jacket-34570", "https://www.soccerplususa.com/nike/nike-academy-18-jacket-34570")</f>
        <v/>
      </c>
      <c r="B4158" t="inlineStr">
        <is>
          <t>undefined</t>
        </is>
      </c>
      <c r="C4158" t="inlineStr">
        <is>
          <t>Nike Academy 18 Jacket</t>
        </is>
      </c>
      <c r="D4158" t="inlineStr">
        <is>
          <t>Nike Boys' Academy 18 Track Jacket</t>
        </is>
      </c>
      <c r="E4158" s="2">
        <f>HYPERLINK("https://www.amazon.com/Nike-Academy-Track-Jacket-Yellow/dp/B079K1PJC3/ref=sr_1_5?keywords=Nike+Academy+18+Jacket&amp;qid=1695171165&amp;sr=8-5", "https://www.amazon.com/Nike-Academy-Track-Jacket-Yellow/dp/B079K1PJC3/ref=sr_1_5?keywords=Nike+Academy+18+Jacket&amp;qid=1695171165&amp;sr=8-5")</f>
        <v/>
      </c>
      <c r="F4158" t="inlineStr">
        <is>
          <t>B079K1PJC3</t>
        </is>
      </c>
      <c r="G4158">
        <f>_xludf.IMAGE("https://www.soccerplususa.com/prodimages/30940-DEFAULT-l.jpg")</f>
        <v/>
      </c>
      <c r="H4158">
        <f>_xludf.IMAGE("https://m.media-amazon.com/images/I/91O9qUcPcsL._AC_UL320_.jpg")</f>
        <v/>
      </c>
      <c r="K4158" t="inlineStr">
        <is>
          <t>44.99</t>
        </is>
      </c>
      <c r="L4158" t="n">
        <v>49</v>
      </c>
      <c r="M4158" s="1" t="inlineStr">
        <is>
          <t>8.91%</t>
        </is>
      </c>
      <c r="N4158" s="3" t="n">
        <v>8.91</v>
      </c>
      <c r="O4158" t="n">
        <v>4.1</v>
      </c>
      <c r="P4158" t="n">
        <v>220</v>
      </c>
      <c r="R4158" t="inlineStr">
        <is>
          <t>InStock</t>
        </is>
      </c>
      <c r="S4158" t="inlineStr">
        <is>
          <t>54.95</t>
        </is>
      </c>
      <c r="T4158" t="inlineStr">
        <is>
          <t>893701-010</t>
        </is>
      </c>
    </row>
    <row r="4159" hidden="1" ht="15.75" customHeight="1">
      <c r="A4159" s="2">
        <f>HYPERLINK("https://www.soccerplususa.com/adidas/adidas-tiro-17-jersey-womens-4818", "https://www.soccerplususa.com/adidas/adidas-tiro-17-jersey-womens-4818")</f>
        <v/>
      </c>
      <c r="B4159" t="inlineStr">
        <is>
          <t>undefined</t>
        </is>
      </c>
      <c r="C4159" t="inlineStr">
        <is>
          <t>adidas Tiro 17 Jersey Women's</t>
        </is>
      </c>
      <c r="D4159" t="inlineStr">
        <is>
          <t>adidas Tiro 19 Jersey- Women's Soccer L Dark Grey/White</t>
        </is>
      </c>
      <c r="E4159" s="2">
        <f>HYPERLINK("https://www.amazon.com/adidas-Jersey-Womens-Soccer-White/dp/B07H3VHQNW/ref=sr_1_8?keywords=adidas+Tiro+17+Jersey+Women%27s&amp;qid=1695171228&amp;sr=8-8", "https://www.amazon.com/adidas-Jersey-Womens-Soccer-White/dp/B07H3VHQNW/ref=sr_1_8?keywords=adidas+Tiro+17+Jersey+Women%27s&amp;qid=1695171228&amp;sr=8-8")</f>
        <v/>
      </c>
      <c r="F4159" t="inlineStr">
        <is>
          <t>B07H3VHQNW</t>
        </is>
      </c>
      <c r="G4159">
        <f>_xludf.IMAGE("https://www.soccerplususa.com/prodimages/33189-DEFAULT-l.jpg")</f>
        <v/>
      </c>
      <c r="H4159">
        <f>_xludf.IMAGE("https://m.media-amazon.com/images/I/61ASNTLz-dL._AC_UL320_.jpg")</f>
        <v/>
      </c>
      <c r="K4159" t="inlineStr">
        <is>
          <t>30.0</t>
        </is>
      </c>
      <c r="L4159" t="n">
        <v>32.67</v>
      </c>
      <c r="M4159" s="1" t="inlineStr">
        <is>
          <t>8.90%</t>
        </is>
      </c>
      <c r="N4159" s="3" t="n">
        <v>8.9</v>
      </c>
      <c r="O4159" t="n">
        <v>5</v>
      </c>
      <c r="P4159" t="n">
        <v>1</v>
      </c>
      <c r="R4159" t="inlineStr">
        <is>
          <t>InStock</t>
        </is>
      </c>
      <c r="S4159" t="inlineStr">
        <is>
          <t>39.95</t>
        </is>
      </c>
      <c r="T4159" t="inlineStr">
        <is>
          <t>BJ9095</t>
        </is>
      </c>
    </row>
    <row r="4160" hidden="1" ht="15.75" customHeight="1">
      <c r="A4160" s="2">
        <f>HYPERLINK("https://www.soccerplususa.com/adidas/adidas-core-18-training-top-33852", "https://www.soccerplususa.com/adidas/adidas-core-18-training-top-33852")</f>
        <v/>
      </c>
      <c r="B4160" t="inlineStr">
        <is>
          <t>undefined</t>
        </is>
      </c>
      <c r="C4160" t="inlineStr">
        <is>
          <t>adidas Core 18 Training Top</t>
        </is>
      </c>
      <c r="D4160" t="inlineStr">
        <is>
          <t>adidas Men's Core 18 Training Top</t>
        </is>
      </c>
      <c r="E4160" s="2">
        <f>HYPERLINK("https://www.amazon.com/adidas-Core18-Training-Power-White/dp/B073H8C1L2/ref=sr_1_1?keywords=adidas+Core+18+Training+Top&amp;qid=1695171165&amp;sr=8-1", "https://www.amazon.com/adidas-Core18-Training-Power-White/dp/B073H8C1L2/ref=sr_1_1?keywords=adidas+Core+18+Training+Top&amp;qid=1695171165&amp;sr=8-1")</f>
        <v/>
      </c>
      <c r="F4160" t="inlineStr">
        <is>
          <t>B073H8C1L2</t>
        </is>
      </c>
      <c r="G4160">
        <f>_xludf.IMAGE("https://www.soccerplususa.com/prodimages/33345-DEFAULT-l.jpg")</f>
        <v/>
      </c>
      <c r="H4160">
        <f>_xludf.IMAGE("https://m.media-amazon.com/images/I/51nbttt-bJL._AC_UL320_.jpg")</f>
        <v/>
      </c>
      <c r="K4160" t="inlineStr">
        <is>
          <t>22.99</t>
        </is>
      </c>
      <c r="L4160" t="n">
        <v>24.99</v>
      </c>
      <c r="M4160" s="1" t="inlineStr">
        <is>
          <t>8.70%</t>
        </is>
      </c>
      <c r="N4160" s="3" t="n">
        <v>8.699999999999999</v>
      </c>
      <c r="O4160" t="n">
        <v>4.5</v>
      </c>
      <c r="P4160" t="n">
        <v>491</v>
      </c>
      <c r="R4160" t="inlineStr">
        <is>
          <t>InStock</t>
        </is>
      </c>
      <c r="S4160" t="inlineStr">
        <is>
          <t>30.95</t>
        </is>
      </c>
      <c r="T4160" t="inlineStr">
        <is>
          <t>CV4000</t>
        </is>
      </c>
    </row>
    <row r="4161" hidden="1" ht="15.75" customHeight="1">
      <c r="A4161" s="2">
        <f>HYPERLINK("https://www.soccerplususa.com/puma/puma-liga-casual-padded-jacket-37830", "https://www.soccerplususa.com/puma/puma-liga-casual-padded-jacket-37830")</f>
        <v/>
      </c>
      <c r="B4161" t="inlineStr">
        <is>
          <t>undefined</t>
        </is>
      </c>
      <c r="C4161" t="inlineStr">
        <is>
          <t>Puma Liga Casual Padded Jacket</t>
        </is>
      </c>
      <c r="D4161" t="inlineStr">
        <is>
          <t>PUMA Men's Teamliga Padded Jacket</t>
        </is>
      </c>
      <c r="E4161" s="2">
        <f>HYPERLINK("https://www.amazon.com/PUMA-TeamLIGA-Padded-Jacket-Black/dp/B091DF1938/ref=sr_1_8?keywords=Puma+Liga+Casual+Padded+Jacket&amp;qid=1695171170&amp;sr=8-8", "https://www.amazon.com/PUMA-TeamLIGA-Padded-Jacket-Black/dp/B091DF1938/ref=sr_1_8?keywords=Puma+Liga+Casual+Padded+Jacket&amp;qid=1695171170&amp;sr=8-8")</f>
        <v/>
      </c>
      <c r="F4161" t="inlineStr">
        <is>
          <t>B091DF1938</t>
        </is>
      </c>
      <c r="G4161">
        <f>_xludf.IMAGE("https://www.soccerplususa.com/prodimages/32203-DEFAULT-l.jpg")</f>
        <v/>
      </c>
      <c r="H4161">
        <f>_xludf.IMAGE("https://m.media-amazon.com/images/I/71qaflwB4QL._AC_UL320_.jpg")</f>
        <v/>
      </c>
      <c r="K4161" t="inlineStr">
        <is>
          <t>82.49</t>
        </is>
      </c>
      <c r="L4161" t="n">
        <v>89.5</v>
      </c>
      <c r="M4161" s="1" t="inlineStr">
        <is>
          <t>8.50%</t>
        </is>
      </c>
      <c r="N4161" s="3" t="n">
        <v>8.5</v>
      </c>
      <c r="O4161" t="n">
        <v>4.3</v>
      </c>
      <c r="P4161" t="n">
        <v>14</v>
      </c>
      <c r="R4161" t="inlineStr">
        <is>
          <t>InStock</t>
        </is>
      </c>
      <c r="S4161" t="inlineStr">
        <is>
          <t>109.95</t>
        </is>
      </c>
      <c r="T4161" t="inlineStr">
        <is>
          <t>655301-01</t>
        </is>
      </c>
    </row>
    <row r="4162" hidden="1" ht="15.75" customHeight="1">
      <c r="A4162" s="2">
        <f>HYPERLINK("https://www.soccerplususa.com/nike/nike-epic-training-jacket-youth-24431", "https://www.soccerplususa.com/nike/nike-epic-training-jacket-youth-24431")</f>
        <v/>
      </c>
      <c r="B4162" t="inlineStr">
        <is>
          <t>undefined</t>
        </is>
      </c>
      <c r="C4162" t="inlineStr">
        <is>
          <t>Nike Epic Training Jacket Youth</t>
        </is>
      </c>
      <c r="D4162" t="inlineStr">
        <is>
          <t>Nike Epic Training Jacket Youth Youth</t>
        </is>
      </c>
      <c r="E4162" s="2">
        <f>HYPERLINK("https://www.amazon.com/NIKE-Training-Jacket-Scarlet-X-Large/dp/B0773TDNZ6/ref=sr_1_1?keywords=Nike+Epic+Training+Jacket+Youth&amp;qid=1695171179&amp;sr=8-1", "https://www.amazon.com/NIKE-Training-Jacket-Scarlet-X-Large/dp/B0773TDNZ6/ref=sr_1_1?keywords=Nike+Epic+Training+Jacket+Youth&amp;qid=1695171179&amp;sr=8-1")</f>
        <v/>
      </c>
      <c r="F4162" t="inlineStr">
        <is>
          <t>B0773TDNZ6</t>
        </is>
      </c>
      <c r="G4162">
        <f>_xludf.IMAGE("https://www.soccerplususa.com/prodimages/6288-DEFAULT-l.jpg")</f>
        <v/>
      </c>
      <c r="H4162">
        <f>_xludf.IMAGE("https://m.media-amazon.com/images/I/61JShaVUQJL._AC_UL320_.jpg")</f>
        <v/>
      </c>
      <c r="K4162" t="inlineStr">
        <is>
          <t>36.99</t>
        </is>
      </c>
      <c r="L4162" t="n">
        <v>40.07</v>
      </c>
      <c r="M4162" s="1" t="inlineStr">
        <is>
          <t>8.33%</t>
        </is>
      </c>
      <c r="N4162" s="3" t="n">
        <v>8.33</v>
      </c>
      <c r="O4162" t="n">
        <v>4.5</v>
      </c>
      <c r="P4162" t="n">
        <v>12</v>
      </c>
      <c r="R4162" t="inlineStr">
        <is>
          <t>InStock</t>
        </is>
      </c>
      <c r="S4162" t="inlineStr">
        <is>
          <t>49.95</t>
        </is>
      </c>
      <c r="T4162" t="inlineStr">
        <is>
          <t>836306-494</t>
        </is>
      </c>
    </row>
    <row r="4163" hidden="1" ht="15.75" customHeight="1">
      <c r="A4163" s="2">
        <f>HYPERLINK("https://www.soccerplususa.com/adidas/adidas-tiro-19-training-jacket-33919", "https://www.soccerplususa.com/adidas/adidas-tiro-19-training-jacket-33919")</f>
        <v/>
      </c>
      <c r="B4163" t="inlineStr">
        <is>
          <t>undefined</t>
        </is>
      </c>
      <c r="C4163" t="inlineStr">
        <is>
          <t>adidas Tiro 19 Training Jacket</t>
        </is>
      </c>
      <c r="D4163" t="inlineStr">
        <is>
          <t>adidas Tiro 19 Adult Training Jacket (TIRO19-JACKET)</t>
        </is>
      </c>
      <c r="E4163" s="2">
        <f>HYPERLINK("https://www.amazon.com/adidas-Mens-Training-Jackets-White/dp/B07H3VS11S/ref=sr_1_1?keywords=adidas+Tiro+19+Training+Jacket&amp;qid=1695171165&amp;sr=8-1", "https://www.amazon.com/adidas-Mens-Training-Jackets-White/dp/B07H3VS11S/ref=sr_1_1?keywords=adidas+Tiro+19+Training+Jacket&amp;qid=1695171165&amp;sr=8-1")</f>
        <v/>
      </c>
      <c r="F4163" t="inlineStr">
        <is>
          <t>B07H3VS11S</t>
        </is>
      </c>
      <c r="G4163">
        <f>_xludf.IMAGE("https://www.soccerplususa.com/prodimages/7895-DEFAULT-l.jpg")</f>
        <v/>
      </c>
      <c r="H4163">
        <f>_xludf.IMAGE("https://m.media-amazon.com/images/I/6106Puy+7xL._AC_UL320_.jpg")</f>
        <v/>
      </c>
      <c r="K4163" t="inlineStr">
        <is>
          <t>49.0</t>
        </is>
      </c>
      <c r="L4163" t="n">
        <v>52.98</v>
      </c>
      <c r="M4163" s="1" t="inlineStr">
        <is>
          <t>8.12%</t>
        </is>
      </c>
      <c r="N4163" s="3" t="n">
        <v>8.119999999999999</v>
      </c>
      <c r="O4163" t="n">
        <v>4.7</v>
      </c>
      <c r="P4163" t="n">
        <v>1515</v>
      </c>
      <c r="R4163" t="inlineStr">
        <is>
          <t>InStock</t>
        </is>
      </c>
      <c r="S4163" t="inlineStr">
        <is>
          <t>64.95</t>
        </is>
      </c>
      <c r="T4163" t="inlineStr">
        <is>
          <t>DJ2594</t>
        </is>
      </c>
    </row>
    <row r="4164" hidden="1" ht="15.75" customHeight="1">
      <c r="A4164" s="2">
        <f>HYPERLINK("https://www.soccerplususa.com/adidas/adidas-tiro-19-training-jacket-33866", "https://www.soccerplususa.com/adidas/adidas-tiro-19-training-jacket-33866")</f>
        <v/>
      </c>
      <c r="B4164" t="inlineStr">
        <is>
          <t>undefined</t>
        </is>
      </c>
      <c r="C4164" t="inlineStr">
        <is>
          <t>adidas Tiro 19 Training Jacket</t>
        </is>
      </c>
      <c r="D4164" t="inlineStr">
        <is>
          <t>adidas Tiro 19 Adult Training Jacket (TIRO19-JACKET)</t>
        </is>
      </c>
      <c r="E4164" s="2">
        <f>HYPERLINK("https://www.amazon.com/adidas-Mens-Training-Jackets-White/dp/B07H3VS11S/ref=sr_1_1?keywords=adidas+Tiro+19+Training+Jacket&amp;qid=1695171181&amp;sr=8-1", "https://www.amazon.com/adidas-Mens-Training-Jackets-White/dp/B07H3VS11S/ref=sr_1_1?keywords=adidas+Tiro+19+Training+Jacket&amp;qid=1695171181&amp;sr=8-1")</f>
        <v/>
      </c>
      <c r="F4164" t="inlineStr">
        <is>
          <t>B07H3VS11S</t>
        </is>
      </c>
      <c r="G4164">
        <f>_xludf.IMAGE("https://www.soccerplususa.com/prodimages/8017-DEFAULT-l.jpg")</f>
        <v/>
      </c>
      <c r="H4164">
        <f>_xludf.IMAGE("https://m.media-amazon.com/images/I/6106Puy+7xL._AC_UL320_.jpg")</f>
        <v/>
      </c>
      <c r="K4164" t="inlineStr">
        <is>
          <t>49.0</t>
        </is>
      </c>
      <c r="L4164" t="n">
        <v>52.98</v>
      </c>
      <c r="M4164" s="1" t="inlineStr">
        <is>
          <t>8.12%</t>
        </is>
      </c>
      <c r="N4164" s="3" t="n">
        <v>8.119999999999999</v>
      </c>
      <c r="O4164" t="n">
        <v>4.7</v>
      </c>
      <c r="P4164" t="n">
        <v>1515</v>
      </c>
      <c r="R4164" t="inlineStr">
        <is>
          <t>InStock</t>
        </is>
      </c>
      <c r="S4164" t="inlineStr">
        <is>
          <t>64.95</t>
        </is>
      </c>
      <c r="T4164" t="inlineStr">
        <is>
          <t>D95953</t>
        </is>
      </c>
    </row>
    <row r="4165" hidden="1" ht="15.75" customHeight="1">
      <c r="A4165" s="2">
        <f>HYPERLINK("https://www.soccerplususa.com/adidas/adidas-tiro-19-training-jacket-33996", "https://www.soccerplususa.com/adidas/adidas-tiro-19-training-jacket-33996")</f>
        <v/>
      </c>
      <c r="B4165" t="inlineStr">
        <is>
          <t>undefined</t>
        </is>
      </c>
      <c r="C4165" t="inlineStr">
        <is>
          <t>adidas Tiro 19 Training Jacket</t>
        </is>
      </c>
      <c r="D4165" t="inlineStr">
        <is>
          <t>adidas Tiro 19 Adult Training Jacket (TIRO19-JACKET)</t>
        </is>
      </c>
      <c r="E4165" s="2">
        <f>HYPERLINK("https://www.amazon.com/adidas-Mens-Training-Jackets-White/dp/B07H3VS11S/ref=sr_1_1?keywords=adidas+Tiro+19+Training+Jacket&amp;qid=1695171209&amp;sr=8-1", "https://www.amazon.com/adidas-Mens-Training-Jackets-White/dp/B07H3VS11S/ref=sr_1_1?keywords=adidas+Tiro+19+Training+Jacket&amp;qid=1695171209&amp;sr=8-1")</f>
        <v/>
      </c>
      <c r="F4165" t="inlineStr">
        <is>
          <t>B07H3VS11S</t>
        </is>
      </c>
      <c r="G4165">
        <f>_xludf.IMAGE("https://www.soccerplususa.com/prodimages/8018-DEFAULT-l.jpg")</f>
        <v/>
      </c>
      <c r="H4165">
        <f>_xludf.IMAGE("https://m.media-amazon.com/images/I/6106Puy+7xL._AC_UL320_.jpg")</f>
        <v/>
      </c>
      <c r="K4165" t="inlineStr">
        <is>
          <t>49.0</t>
        </is>
      </c>
      <c r="L4165" t="n">
        <v>52.98</v>
      </c>
      <c r="M4165" s="1" t="inlineStr">
        <is>
          <t>8.12%</t>
        </is>
      </c>
      <c r="N4165" s="3" t="n">
        <v>8.119999999999999</v>
      </c>
      <c r="O4165" t="n">
        <v>4.7</v>
      </c>
      <c r="P4165" t="n">
        <v>1515</v>
      </c>
      <c r="R4165" t="inlineStr">
        <is>
          <t>InStock</t>
        </is>
      </c>
      <c r="S4165" t="inlineStr">
        <is>
          <t>64.95</t>
        </is>
      </c>
      <c r="T4165" t="inlineStr">
        <is>
          <t>DT5272</t>
        </is>
      </c>
    </row>
    <row r="4166" hidden="1" ht="15.75" customHeight="1">
      <c r="A4166" s="2">
        <f>HYPERLINK("https://www.soccerplususa.com/nike/nike-tiempo-premier-jersey-25073", "https://www.soccerplususa.com/nike/nike-tiempo-premier-jersey-25073")</f>
        <v/>
      </c>
      <c r="B4166" t="inlineStr">
        <is>
          <t>undefined</t>
        </is>
      </c>
      <c r="C4166" t="inlineStr">
        <is>
          <t>Nike Tiempo Premier Jersey</t>
        </is>
      </c>
      <c r="D4166" t="inlineStr">
        <is>
          <t>Nike Youth Dry Tiempo Prem S/S Soccer Jersey 894114-010 (Large, Black/White)</t>
        </is>
      </c>
      <c r="E4166" s="2">
        <f>HYPERLINK("https://www.amazon.com/Nike-Tiempo-Soccer-Jersey-894114-010/dp/B07MVM5NHG/ref=sr_1_7?keywords=Nike+Tiempo+Premier+Jersey&amp;qid=1695171172&amp;sr=8-7", "https://www.amazon.com/Nike-Tiempo-Soccer-Jersey-894114-010/dp/B07MVM5NHG/ref=sr_1_7?keywords=Nike+Tiempo+Premier+Jersey&amp;qid=1695171172&amp;sr=8-7")</f>
        <v/>
      </c>
      <c r="F4166" t="inlineStr">
        <is>
          <t>B07MVM5NHG</t>
        </is>
      </c>
      <c r="G4166">
        <f>_xludf.IMAGE("https://www.soccerplususa.com/prodimages/31750-DEFAULT-l.jpg")</f>
        <v/>
      </c>
      <c r="H4166">
        <f>_xludf.IMAGE("https://m.media-amazon.com/images/I/61HWQtd3KOL._AC_UL320_.jpg")</f>
        <v/>
      </c>
      <c r="K4166" t="inlineStr">
        <is>
          <t>18.49</t>
        </is>
      </c>
      <c r="L4166" t="n">
        <v>19.99</v>
      </c>
      <c r="M4166" s="1" t="inlineStr">
        <is>
          <t>8.11%</t>
        </is>
      </c>
      <c r="N4166" s="3" t="n">
        <v>8.109999999999999</v>
      </c>
      <c r="O4166" t="n">
        <v>5</v>
      </c>
      <c r="P4166" t="n">
        <v>1</v>
      </c>
      <c r="R4166" t="inlineStr">
        <is>
          <t>InStock</t>
        </is>
      </c>
      <c r="S4166" t="inlineStr">
        <is>
          <t>23.95</t>
        </is>
      </c>
      <c r="T4166" t="inlineStr">
        <is>
          <t>894293-101</t>
        </is>
      </c>
    </row>
    <row r="4167" hidden="1" ht="15.75" customHeight="1">
      <c r="A4167" s="2">
        <f>HYPERLINK("https://www.soccerplususa.com/puma/puma-liga-jersey-37883", "https://www.soccerplususa.com/puma/puma-liga-jersey-37883")</f>
        <v/>
      </c>
      <c r="B4167" t="inlineStr">
        <is>
          <t>undefined</t>
        </is>
      </c>
      <c r="C4167" t="inlineStr">
        <is>
          <t>Puma Liga Jersey</t>
        </is>
      </c>
      <c r="D4167" t="inlineStr">
        <is>
          <t>PUMA Men's Teamliga Jersey</t>
        </is>
      </c>
      <c r="E4167" s="2">
        <f>HYPERLINK("https://www.amazon.com/PUMA-TeamLIGA-Jersey-Peacoat-White/dp/B091DHCJVM/ref=sr_1_1?keywords=Puma+Liga+Jersey&amp;qid=1695171159&amp;sr=8-1", "https://www.amazon.com/PUMA-TeamLIGA-Jersey-Peacoat-White/dp/B091DHCJVM/ref=sr_1_1?keywords=Puma+Liga+Jersey&amp;qid=1695171159&amp;sr=8-1")</f>
        <v/>
      </c>
      <c r="F4167" t="inlineStr">
        <is>
          <t>B091DHCJVM</t>
        </is>
      </c>
      <c r="G4167">
        <f>_xludf.IMAGE("https://www.soccerplususa.com/prodimages//36780-REDWHITE-M.jpg")</f>
        <v/>
      </c>
      <c r="H4167">
        <f>_xludf.IMAGE("https://m.media-amazon.com/images/I/81lxrWQaicS._AC_UL320_.jpg")</f>
        <v/>
      </c>
      <c r="K4167" t="inlineStr">
        <is>
          <t>27.95</t>
        </is>
      </c>
      <c r="L4167" t="n">
        <v>29.88</v>
      </c>
      <c r="M4167" s="1" t="inlineStr">
        <is>
          <t>6.91%</t>
        </is>
      </c>
      <c r="N4167" s="3" t="n">
        <v>6.91</v>
      </c>
      <c r="O4167" t="n">
        <v>4.5</v>
      </c>
      <c r="P4167" t="n">
        <v>282</v>
      </c>
      <c r="R4167" t="inlineStr">
        <is>
          <t>InStock</t>
        </is>
      </c>
      <c r="S4167" t="inlineStr">
        <is>
          <t>undefined</t>
        </is>
      </c>
      <c r="T4167" t="inlineStr">
        <is>
          <t>703417-01</t>
        </is>
      </c>
    </row>
    <row r="4168" hidden="1" ht="15.75" customHeight="1">
      <c r="A4168" s="2">
        <f>HYPERLINK("https://www.soccerplususa.com/puma/puma-liga-training-jacket-35519", "https://www.soccerplususa.com/puma/puma-liga-training-jacket-35519")</f>
        <v/>
      </c>
      <c r="B4168" t="inlineStr">
        <is>
          <t>undefined</t>
        </is>
      </c>
      <c r="C4168" t="inlineStr">
        <is>
          <t>Puma Liga Training Jacket</t>
        </is>
      </c>
      <c r="D4168" t="inlineStr">
        <is>
          <t>PUMA Men's Liga Training Rain Jacket</t>
        </is>
      </c>
      <c r="E4168" s="2">
        <f>HYPERLINK("https://www.amazon.com/PUMA-Training-Jacket-Black-White/dp/B07DY9HZBP/ref=sr_1_8?keywords=Puma+Liga+Training+Jacket&amp;qid=1695171164&amp;sr=8-8", "https://www.amazon.com/PUMA-Training-Jacket-Black-White/dp/B07DY9HZBP/ref=sr_1_8?keywords=Puma+Liga+Training+Jacket&amp;qid=1695171164&amp;sr=8-8")</f>
        <v/>
      </c>
      <c r="F4168" t="inlineStr">
        <is>
          <t>B07DY9HZBP</t>
        </is>
      </c>
      <c r="G4168">
        <f>_xludf.IMAGE("https://www.soccerplususa.com/prodimages/32207-DEFAULT-l.jpg")</f>
        <v/>
      </c>
      <c r="H4168">
        <f>_xludf.IMAGE("https://m.media-amazon.com/images/I/81LmNBkmtXL._AC_UL320_.jpg")</f>
        <v/>
      </c>
      <c r="K4168" t="inlineStr">
        <is>
          <t>45.0</t>
        </is>
      </c>
      <c r="L4168" t="n">
        <v>48.08</v>
      </c>
      <c r="M4168" s="1" t="inlineStr">
        <is>
          <t>6.84%</t>
        </is>
      </c>
      <c r="N4168" s="3" t="n">
        <v>6.84</v>
      </c>
      <c r="O4168" t="n">
        <v>4.4</v>
      </c>
      <c r="P4168" t="n">
        <v>40</v>
      </c>
      <c r="R4168" t="inlineStr">
        <is>
          <t>InStock</t>
        </is>
      </c>
      <c r="S4168" t="inlineStr">
        <is>
          <t>59.95</t>
        </is>
      </c>
      <c r="T4168" t="inlineStr">
        <is>
          <t>655687-02</t>
        </is>
      </c>
    </row>
    <row r="4169" hidden="1" ht="15.75" customHeight="1">
      <c r="A4169" s="2">
        <f>HYPERLINK("https://www.soccerplususa.com/puma/puma-liga-training-jacket-youth-35521", "https://www.soccerplususa.com/puma/puma-liga-training-jacket-youth-35521")</f>
        <v/>
      </c>
      <c r="B4169" t="inlineStr">
        <is>
          <t>undefined</t>
        </is>
      </c>
      <c r="C4169" t="inlineStr">
        <is>
          <t>Puma Liga Training Jacket Youth</t>
        </is>
      </c>
      <c r="D4169" t="inlineStr">
        <is>
          <t>PUMA Men's Liga Training Rain Jacket</t>
        </is>
      </c>
      <c r="E4169" s="2">
        <f>HYPERLINK("https://www.amazon.com/PUMA-Training-Jacket-Black-White/dp/B07DY9HZBP/ref=sr_1_10?keywords=Puma+Liga+Training+Jacket+Youth&amp;qid=1695171158&amp;sr=8-10", "https://www.amazon.com/PUMA-Training-Jacket-Black-White/dp/B07DY9HZBP/ref=sr_1_10?keywords=Puma+Liga+Training+Jacket+Youth&amp;qid=1695171158&amp;sr=8-10")</f>
        <v/>
      </c>
      <c r="F4169" t="inlineStr">
        <is>
          <t>B07DY9HZBP</t>
        </is>
      </c>
      <c r="G4169">
        <f>_xludf.IMAGE("https://www.soccerplususa.com/prodimages/32219-DEFAULT-l.jpg")</f>
        <v/>
      </c>
      <c r="H4169">
        <f>_xludf.IMAGE("https://m.media-amazon.com/images/I/81LmNBkmtXL._AC_UL320_.jpg")</f>
        <v/>
      </c>
      <c r="K4169" t="inlineStr">
        <is>
          <t>45.0</t>
        </is>
      </c>
      <c r="L4169" t="n">
        <v>48.08</v>
      </c>
      <c r="M4169" s="1" t="inlineStr">
        <is>
          <t>6.84%</t>
        </is>
      </c>
      <c r="N4169" s="3" t="n">
        <v>6.84</v>
      </c>
      <c r="O4169" t="n">
        <v>4.4</v>
      </c>
      <c r="P4169" t="n">
        <v>40</v>
      </c>
      <c r="R4169" t="inlineStr">
        <is>
          <t>InStock</t>
        </is>
      </c>
      <c r="S4169" t="inlineStr">
        <is>
          <t>59.95</t>
        </is>
      </c>
      <c r="T4169" t="inlineStr">
        <is>
          <t>655688-02</t>
        </is>
      </c>
    </row>
    <row r="4170" hidden="1" ht="15.75" customHeight="1">
      <c r="A4170" s="2">
        <f>HYPERLINK("https://www.soccerplususa.com/adidas/adidas-tabela-14-jersey-6151", "https://www.soccerplususa.com/adidas/adidas-tabela-14-jersey-6151")</f>
        <v/>
      </c>
      <c r="B4170" t="inlineStr">
        <is>
          <t>undefined</t>
        </is>
      </c>
      <c r="C4170" t="inlineStr">
        <is>
          <t>adidas Tabela 14 Jersey</t>
        </is>
      </c>
      <c r="D4170" t="inlineStr">
        <is>
          <t>adidas Kids' Tabela 23 Jersey</t>
        </is>
      </c>
      <c r="E4170" s="2">
        <f>HYPERLINK("https://www.amazon.com/adidas-Tabela-Jersey-Black-White/dp/B09YG6J77F/ref=sr_1_4?keywords=adidas+Tabela+14+Jersey&amp;qid=1695171220&amp;sr=8-4", "https://www.amazon.com/adidas-Tabela-Jersey-Black-White/dp/B09YG6J77F/ref=sr_1_4?keywords=adidas+Tabela+14+Jersey&amp;qid=1695171220&amp;sr=8-4")</f>
        <v/>
      </c>
      <c r="F4170" t="inlineStr">
        <is>
          <t>B09YG6J77F</t>
        </is>
      </c>
      <c r="G4170">
        <f>_xludf.IMAGE("https://www.soccerplususa.com/prodimages/4588-DEFAULT-l.jpg")</f>
        <v/>
      </c>
      <c r="H4170">
        <f>_xludf.IMAGE("https://m.media-amazon.com/images/I/71v3s6ZRHCL._AC_UL320_.jpg")</f>
        <v/>
      </c>
      <c r="K4170" t="inlineStr">
        <is>
          <t>17.5</t>
        </is>
      </c>
      <c r="L4170" t="n">
        <v>18.55</v>
      </c>
      <c r="M4170" s="1" t="inlineStr">
        <is>
          <t>6.00%</t>
        </is>
      </c>
      <c r="N4170" s="3" t="n">
        <v>6</v>
      </c>
      <c r="O4170" t="n">
        <v>4.8</v>
      </c>
      <c r="P4170" t="n">
        <v>31</v>
      </c>
      <c r="R4170" t="inlineStr">
        <is>
          <t>InStock</t>
        </is>
      </c>
      <c r="S4170" t="inlineStr">
        <is>
          <t>34.95</t>
        </is>
      </c>
      <c r="T4170" t="inlineStr">
        <is>
          <t>F84835</t>
        </is>
      </c>
    </row>
    <row r="4171" hidden="1" ht="15.75" customHeight="1">
      <c r="A4171" s="2">
        <f>HYPERLINK("https://www.soccerplususa.com/adidas/adidas-tabela-14-jersey-6078", "https://www.soccerplususa.com/adidas/adidas-tabela-14-jersey-6078")</f>
        <v/>
      </c>
      <c r="B4171" t="inlineStr">
        <is>
          <t>undefined</t>
        </is>
      </c>
      <c r="C4171" t="inlineStr">
        <is>
          <t>adidas Tabela 14 Jersey</t>
        </is>
      </c>
      <c r="D4171" t="inlineStr">
        <is>
          <t>adidas Kids' Tabela 23 Jersey</t>
        </is>
      </c>
      <c r="E4171" s="2">
        <f>HYPERLINK("https://www.amazon.com/adidas-Tabela-Jersey-Black-White/dp/B09YG6J77F/ref=sr_1_4?keywords=adidas+Tabela+14+Jersey&amp;qid=1695171215&amp;sr=8-4", "https://www.amazon.com/adidas-Tabela-Jersey-Black-White/dp/B09YG6J77F/ref=sr_1_4?keywords=adidas+Tabela+14+Jersey&amp;qid=1695171215&amp;sr=8-4")</f>
        <v/>
      </c>
      <c r="F4171" t="inlineStr">
        <is>
          <t>B09YG6J77F</t>
        </is>
      </c>
      <c r="G4171">
        <f>_xludf.IMAGE("https://www.soccerplususa.com/prodimages/4489-DEFAULT-l.jpg")</f>
        <v/>
      </c>
      <c r="H4171">
        <f>_xludf.IMAGE("https://m.media-amazon.com/images/I/71v3s6ZRHCL._AC_UL320_.jpg")</f>
        <v/>
      </c>
      <c r="K4171" t="inlineStr">
        <is>
          <t>17.5</t>
        </is>
      </c>
      <c r="L4171" t="n">
        <v>18.55</v>
      </c>
      <c r="M4171" s="1" t="inlineStr">
        <is>
          <t>6.00%</t>
        </is>
      </c>
      <c r="N4171" s="3" t="n">
        <v>6</v>
      </c>
      <c r="O4171" t="n">
        <v>4.8</v>
      </c>
      <c r="P4171" t="n">
        <v>31</v>
      </c>
      <c r="R4171" t="inlineStr">
        <is>
          <t>InStock</t>
        </is>
      </c>
      <c r="S4171" t="inlineStr">
        <is>
          <t>34.95</t>
        </is>
      </c>
      <c r="T4171" t="inlineStr">
        <is>
          <t>F50269</t>
        </is>
      </c>
    </row>
    <row r="4172" hidden="1" ht="15.75" customHeight="1">
      <c r="A4172" s="2">
        <f>HYPERLINK("https://www.soccerplususa.com/adidas/adidas-tabela-14-jersey-6082", "https://www.soccerplususa.com/adidas/adidas-tabela-14-jersey-6082")</f>
        <v/>
      </c>
      <c r="B4172" t="inlineStr">
        <is>
          <t>undefined</t>
        </is>
      </c>
      <c r="C4172" t="inlineStr">
        <is>
          <t>adidas Tabela 14 Jersey</t>
        </is>
      </c>
      <c r="D4172" t="inlineStr">
        <is>
          <t>adidas Kids' Tabela 23 Jersey</t>
        </is>
      </c>
      <c r="E4172" s="2">
        <f>HYPERLINK("https://www.amazon.com/adidas-Tabela-Jersey-Black-White/dp/B09YG6J77F/ref=sr_1_1?keywords=adidas+Tabela+14+Jersey&amp;qid=1695171211&amp;sr=8-1", "https://www.amazon.com/adidas-Tabela-Jersey-Black-White/dp/B09YG6J77F/ref=sr_1_1?keywords=adidas+Tabela+14+Jersey&amp;qid=1695171211&amp;sr=8-1")</f>
        <v/>
      </c>
      <c r="F4172" t="inlineStr">
        <is>
          <t>B09YG6J77F</t>
        </is>
      </c>
      <c r="G4172">
        <f>_xludf.IMAGE("https://www.soccerplususa.com/prodimages/2638-DEFAULT-l.jpg")</f>
        <v/>
      </c>
      <c r="H4172">
        <f>_xludf.IMAGE("https://m.media-amazon.com/images/I/71v3s6ZRHCL._AC_UL320_.jpg")</f>
        <v/>
      </c>
      <c r="K4172" t="inlineStr">
        <is>
          <t>17.5</t>
        </is>
      </c>
      <c r="L4172" t="n">
        <v>18.55</v>
      </c>
      <c r="M4172" s="1" t="inlineStr">
        <is>
          <t>6.00%</t>
        </is>
      </c>
      <c r="N4172" s="3" t="n">
        <v>6</v>
      </c>
      <c r="O4172" t="n">
        <v>4.8</v>
      </c>
      <c r="P4172" t="n">
        <v>31</v>
      </c>
      <c r="R4172" t="inlineStr">
        <is>
          <t>InStock</t>
        </is>
      </c>
      <c r="S4172" t="inlineStr">
        <is>
          <t>34.95</t>
        </is>
      </c>
      <c r="T4172" t="inlineStr">
        <is>
          <t>F50284</t>
        </is>
      </c>
    </row>
    <row r="4173" hidden="1" ht="15.75" customHeight="1">
      <c r="A4173" s="2">
        <f>HYPERLINK("https://www.soccerplususa.com/under-armour/under-armour-coldgear-armour-fitted-mock-41592", "https://www.soccerplususa.com/under-armour/under-armour-coldgear-armour-fitted-mock-41592")</f>
        <v/>
      </c>
      <c r="B4173" t="inlineStr">
        <is>
          <t>undefined</t>
        </is>
      </c>
      <c r="C4173" t="inlineStr">
        <is>
          <t>Under Armour ColdGear Armour Fitted Mock</t>
        </is>
      </c>
      <c r="D4173" t="inlineStr">
        <is>
          <t>Under Armour Men's Tac Mock Coldgear Infrared Base T-shirt</t>
        </is>
      </c>
      <c r="E4173" s="2">
        <f>HYPERLINK("https://www.amazon.com/Under-Armour-ColdGear-Infrared-T-Shirt/dp/B08LP2D9VJ/ref=sr_1_10?keywords=Under+Armour+ColdGear+Armour+Fitted+Mock&amp;qid=1695171146&amp;sr=8-10", "https://www.amazon.com/Under-Armour-ColdGear-Infrared-T-Shirt/dp/B08LP2D9VJ/ref=sr_1_10?keywords=Under+Armour+ColdGear+Armour+Fitted+Mock&amp;qid=1695171146&amp;sr=8-10")</f>
        <v/>
      </c>
      <c r="F4173" t="inlineStr">
        <is>
          <t>B08LP2D9VJ</t>
        </is>
      </c>
      <c r="G4173">
        <f>_xludf.IMAGE("https://www.soccerplususa.com/prodimages//36795-BLACK-M.jpg")</f>
        <v/>
      </c>
      <c r="H4173">
        <f>_xludf.IMAGE("https://m.media-amazon.com/images/I/41sc0RZTJ0L._AC_UL320_.jpg")</f>
        <v/>
      </c>
      <c r="K4173" t="inlineStr">
        <is>
          <t>54.95</t>
        </is>
      </c>
      <c r="L4173" t="n">
        <v>58.22</v>
      </c>
      <c r="M4173" s="1" t="inlineStr">
        <is>
          <t>5.95%</t>
        </is>
      </c>
      <c r="N4173" s="3" t="n">
        <v>5.95</v>
      </c>
      <c r="O4173" t="n">
        <v>4.2</v>
      </c>
      <c r="P4173" t="n">
        <v>14</v>
      </c>
      <c r="R4173" t="inlineStr">
        <is>
          <t>InStock</t>
        </is>
      </c>
      <c r="S4173" t="inlineStr">
        <is>
          <t>undefined</t>
        </is>
      </c>
      <c r="T4173" t="inlineStr">
        <is>
          <t>1366066-001</t>
        </is>
      </c>
    </row>
    <row r="4174" hidden="1" ht="15.75" customHeight="1">
      <c r="A4174" s="2">
        <f>HYPERLINK("https://www.soccerplususa.com/under-armour/under-armour-coldgear-ls-mock-32981", "https://www.soccerplususa.com/under-armour/under-armour-coldgear-ls-mock-32981")</f>
        <v/>
      </c>
      <c r="B4174" t="inlineStr">
        <is>
          <t>undefined</t>
        </is>
      </c>
      <c r="C4174" t="inlineStr">
        <is>
          <t>Under Armour Coldgear LS Mock</t>
        </is>
      </c>
      <c r="D4174" t="inlineStr">
        <is>
          <t>Under Armour Men's ColdGear Fitted Mock</t>
        </is>
      </c>
      <c r="E4174" s="2">
        <f>HYPERLINK("https://www.amazon.com/Under-Armour-ColdGear-Fitted-Medium/dp/B08LNZ74C7/ref=sr_1_3?keywords=Under+Armour+Coldgear+LS+Mock&amp;qid=1695171172&amp;sr=8-3", "https://www.amazon.com/Under-Armour-ColdGear-Fitted-Medium/dp/B08LNZ74C7/ref=sr_1_3?keywords=Under+Armour+Coldgear+LS+Mock&amp;qid=1695171172&amp;sr=8-3")</f>
        <v/>
      </c>
      <c r="F4174" t="inlineStr">
        <is>
          <t>B08LNZ74C7</t>
        </is>
      </c>
      <c r="G4174">
        <f>_xludf.IMAGE("https://www.soccerplususa.com/prodimages/467-DEFAULT-l.jpg")</f>
        <v/>
      </c>
      <c r="H4174">
        <f>_xludf.IMAGE("https://m.media-amazon.com/images/I/41kGm2fUC1L._AC_UL320_.jpg")</f>
        <v/>
      </c>
      <c r="K4174" t="inlineStr">
        <is>
          <t>34.95</t>
        </is>
      </c>
      <c r="L4174" t="n">
        <v>36.99</v>
      </c>
      <c r="M4174" s="1" t="inlineStr">
        <is>
          <t>5.84%</t>
        </is>
      </c>
      <c r="N4174" s="3" t="n">
        <v>5.84</v>
      </c>
      <c r="O4174" t="n">
        <v>4.7</v>
      </c>
      <c r="P4174" t="n">
        <v>2138</v>
      </c>
      <c r="R4174" t="inlineStr">
        <is>
          <t>InStock</t>
        </is>
      </c>
      <c r="S4174" t="inlineStr">
        <is>
          <t>44.95</t>
        </is>
      </c>
      <c r="T4174" t="inlineStr">
        <is>
          <t>1000512-100</t>
        </is>
      </c>
    </row>
    <row r="4175" hidden="1" ht="15.75" customHeight="1">
      <c r="A4175" s="2">
        <f>HYPERLINK("https://www.soccerplususa.com/adidas/adidas-tabela-18-jersey-youth-5111", "https://www.soccerplususa.com/adidas/adidas-tabela-18-jersey-youth-5111")</f>
        <v/>
      </c>
      <c r="B4175" t="inlineStr">
        <is>
          <t>undefined</t>
        </is>
      </c>
      <c r="C4175" t="inlineStr">
        <is>
          <t>adidas Tabela 18 Jersey Youth</t>
        </is>
      </c>
      <c r="D4175" t="inlineStr">
        <is>
          <t>adidas Youth Tabela 18 Jersey</t>
        </is>
      </c>
      <c r="E4175" s="2">
        <f>HYPERLINK("https://www.amazon.com/adidas-TABELA-Jersey-Y%E2%9D%97%EF%B8%8FShips-Directly/dp/B078LCB4LK/ref=sr_1_2?keywords=adidas+Tabela+18+Jersey+Youth&amp;qid=1695171222&amp;sr=8-2", "https://www.amazon.com/adidas-TABELA-Jersey-Y%E2%9D%97%EF%B8%8FShips-Directly/dp/B078LCB4LK/ref=sr_1_2?keywords=adidas+Tabela+18+Jersey+Youth&amp;qid=1695171222&amp;sr=8-2")</f>
        <v/>
      </c>
      <c r="F4175" t="inlineStr">
        <is>
          <t>B078LCB4LK</t>
        </is>
      </c>
      <c r="G4175">
        <f>_xludf.IMAGE("https://www.soccerplususa.com/prodimages//31714-YELLOW-M.jpg")</f>
        <v/>
      </c>
      <c r="H4175">
        <f>_xludf.IMAGE("https://m.media-amazon.com/images/I/61G-4wd3sCL._AC_UL320_.jpg")</f>
        <v/>
      </c>
      <c r="K4175" t="inlineStr">
        <is>
          <t>18.99</t>
        </is>
      </c>
      <c r="L4175" t="n">
        <v>19.99</v>
      </c>
      <c r="M4175" s="1" t="inlineStr">
        <is>
          <t>5.27%</t>
        </is>
      </c>
      <c r="N4175" s="3" t="n">
        <v>5.27</v>
      </c>
      <c r="O4175" t="n">
        <v>1.8</v>
      </c>
      <c r="P4175" t="n">
        <v>2</v>
      </c>
      <c r="R4175" t="inlineStr">
        <is>
          <t>InStock</t>
        </is>
      </c>
      <c r="S4175" t="inlineStr">
        <is>
          <t>24.95</t>
        </is>
      </c>
      <c r="T4175" t="inlineStr">
        <is>
          <t>CE8921</t>
        </is>
      </c>
    </row>
    <row r="4176" hidden="1" ht="15.75" customHeight="1">
      <c r="A4176" s="2">
        <f>HYPERLINK("https://www.soccerplususa.com/nike/nike-tiempo-premier-jersey-34605", "https://www.soccerplususa.com/nike/nike-tiempo-premier-jersey-34605")</f>
        <v/>
      </c>
      <c r="B4176" t="inlineStr">
        <is>
          <t>undefined</t>
        </is>
      </c>
      <c r="C4176" t="inlineStr">
        <is>
          <t>Nike Tiempo Premier Jersey</t>
        </is>
      </c>
      <c r="D4176" t="inlineStr">
        <is>
          <t>Nike Youth Dry Tiempo Prem S/S Soccer Jersey 894114-010 (Large, Black/White)</t>
        </is>
      </c>
      <c r="E4176" s="2">
        <f>HYPERLINK("https://www.amazon.com/Nike-Tiempo-Soccer-Jersey-894114-010/dp/B07MVM5NHG/ref=sr_1_7?keywords=Nike+Tiempo+Premier+Jersey&amp;qid=1695171160&amp;sr=8-7", "https://www.amazon.com/Nike-Tiempo-Soccer-Jersey-894114-010/dp/B07MVM5NHG/ref=sr_1_7?keywords=Nike+Tiempo+Premier+Jersey&amp;qid=1695171160&amp;sr=8-7")</f>
        <v/>
      </c>
      <c r="F4176" t="inlineStr">
        <is>
          <t>B07MVM5NHG</t>
        </is>
      </c>
      <c r="G4176">
        <f>_xludf.IMAGE("https://www.soccerplususa.com/prodimages/32883-DEFAULT-l.jpg")</f>
        <v/>
      </c>
      <c r="H4176">
        <f>_xludf.IMAGE("https://m.media-amazon.com/images/I/61HWQtd3KOL._AC_UL320_.jpg")</f>
        <v/>
      </c>
      <c r="K4176" t="inlineStr">
        <is>
          <t>18.99</t>
        </is>
      </c>
      <c r="L4176" t="n">
        <v>19.99</v>
      </c>
      <c r="M4176" s="1" t="inlineStr">
        <is>
          <t>5.27%</t>
        </is>
      </c>
      <c r="N4176" s="3" t="n">
        <v>5.27</v>
      </c>
      <c r="O4176" t="n">
        <v>5</v>
      </c>
      <c r="P4176" t="n">
        <v>1</v>
      </c>
      <c r="R4176" t="inlineStr">
        <is>
          <t>InStock</t>
        </is>
      </c>
      <c r="S4176" t="inlineStr">
        <is>
          <t>23.95</t>
        </is>
      </c>
      <c r="T4176" t="inlineStr">
        <is>
          <t>894293-692</t>
        </is>
      </c>
    </row>
    <row r="4177" hidden="1" ht="15.75" customHeight="1">
      <c r="A4177" s="2">
        <f>HYPERLINK("https://www.soccerplususa.com/nike/nike-tiempo-premier-jersey-34604", "https://www.soccerplususa.com/nike/nike-tiempo-premier-jersey-34604")</f>
        <v/>
      </c>
      <c r="B4177" t="inlineStr">
        <is>
          <t>undefined</t>
        </is>
      </c>
      <c r="C4177" t="inlineStr">
        <is>
          <t>Nike Tiempo Premier Jersey</t>
        </is>
      </c>
      <c r="D4177" t="inlineStr">
        <is>
          <t>Nike Youth Dry Tiempo Prem S/S Soccer Jersey 894114-010 (Large, Black/White)</t>
        </is>
      </c>
      <c r="E4177" s="2">
        <f>HYPERLINK("https://www.amazon.com/Nike-Tiempo-Soccer-Jersey-894114-010/dp/B07MVM5NHG/ref=sr_1_7?keywords=Nike+Tiempo+Premier+Jersey&amp;qid=1695171163&amp;sr=8-7", "https://www.amazon.com/Nike-Tiempo-Soccer-Jersey-894114-010/dp/B07MVM5NHG/ref=sr_1_7?keywords=Nike+Tiempo+Premier+Jersey&amp;qid=1695171163&amp;sr=8-7")</f>
        <v/>
      </c>
      <c r="F4177" t="inlineStr">
        <is>
          <t>B07MVM5NHG</t>
        </is>
      </c>
      <c r="G4177">
        <f>_xludf.IMAGE("https://www.soccerplususa.com/prodimages/32882-DEFAULT-l.jpg")</f>
        <v/>
      </c>
      <c r="H4177">
        <f>_xludf.IMAGE("https://m.media-amazon.com/images/I/61HWQtd3KOL._AC_UL320_.jpg")</f>
        <v/>
      </c>
      <c r="K4177" t="inlineStr">
        <is>
          <t>18.99</t>
        </is>
      </c>
      <c r="L4177" t="n">
        <v>19.97</v>
      </c>
      <c r="M4177" s="1" t="inlineStr">
        <is>
          <t>5.16%</t>
        </is>
      </c>
      <c r="N4177" s="3" t="n">
        <v>5.16</v>
      </c>
      <c r="O4177" t="n">
        <v>5</v>
      </c>
      <c r="P4177" t="n">
        <v>1</v>
      </c>
      <c r="R4177" t="inlineStr">
        <is>
          <t>InStock</t>
        </is>
      </c>
      <c r="S4177" t="inlineStr">
        <is>
          <t>23.95</t>
        </is>
      </c>
      <c r="T4177" t="inlineStr">
        <is>
          <t>894293-448</t>
        </is>
      </c>
    </row>
    <row r="4178" hidden="1" ht="15.75" customHeight="1">
      <c r="A4178" s="2">
        <f>HYPERLINK("https://www.soccerplususa.com/adidas/adidas-tabela-14-jersey-6152", "https://www.soccerplususa.com/adidas/adidas-tabela-14-jersey-6152")</f>
        <v/>
      </c>
      <c r="B4178" t="inlineStr">
        <is>
          <t>undefined</t>
        </is>
      </c>
      <c r="C4178" t="inlineStr">
        <is>
          <t>adidas Tabela 14 Jersey</t>
        </is>
      </c>
      <c r="D4178" t="inlineStr">
        <is>
          <t>adidas Kids' Tabela 23 Jersey</t>
        </is>
      </c>
      <c r="E4178" s="2">
        <f>HYPERLINK("https://www.amazon.com/adidas-Tabela-Jersey-Black-White/dp/B09YG6J77F/ref=sr_1_4?keywords=adidas+Tabela+14+Jersey&amp;qid=1695171217&amp;sr=8-4", "https://www.amazon.com/adidas-Tabela-Jersey-Black-White/dp/B09YG6J77F/ref=sr_1_4?keywords=adidas+Tabela+14+Jersey&amp;qid=1695171217&amp;sr=8-4")</f>
        <v/>
      </c>
      <c r="F4178" t="inlineStr">
        <is>
          <t>B09YG6J77F</t>
        </is>
      </c>
      <c r="G4178">
        <f>_xludf.IMAGE("https://www.soccerplususa.com/prodimages/4589-DEFAULT-l.jpg")</f>
        <v/>
      </c>
      <c r="H4178">
        <f>_xludf.IMAGE("https://m.media-amazon.com/images/I/71v3s6ZRHCL._AC_UL320_.jpg")</f>
        <v/>
      </c>
      <c r="K4178" t="inlineStr">
        <is>
          <t>17.5</t>
        </is>
      </c>
      <c r="L4178" t="n">
        <v>18.27</v>
      </c>
      <c r="M4178" s="1" t="inlineStr">
        <is>
          <t>4.40%</t>
        </is>
      </c>
      <c r="N4178" s="3" t="n">
        <v>4.4</v>
      </c>
      <c r="O4178" t="n">
        <v>4.8</v>
      </c>
      <c r="P4178" t="n">
        <v>31</v>
      </c>
      <c r="R4178" t="inlineStr">
        <is>
          <t>InStock</t>
        </is>
      </c>
      <c r="S4178" t="inlineStr">
        <is>
          <t>34.95</t>
        </is>
      </c>
      <c r="T4178" t="inlineStr">
        <is>
          <t>F84836</t>
        </is>
      </c>
    </row>
    <row r="4179" hidden="1" ht="15.75" customHeight="1">
      <c r="A4179" s="2">
        <f>HYPERLINK("https://www.soccerplususa.com/storelli-sports/storelli-bodyshield-sleeveless-undershirt-32102", "https://www.soccerplususa.com/storelli-sports/storelli-bodyshield-sleeveless-undershirt-32102")</f>
        <v/>
      </c>
      <c r="B4179" t="inlineStr">
        <is>
          <t>undefined</t>
        </is>
      </c>
      <c r="C4179" t="inlineStr">
        <is>
          <t>Storelli BodyShield Sleeveless Undershirt</t>
        </is>
      </c>
      <c r="D4179" t="inlineStr">
        <is>
          <t>Storelli BodyShield Goalkeeper Light Matchday 3/4 Undershirt | Lightweight Compression Soccer Shirt</t>
        </is>
      </c>
      <c r="E4179" s="2">
        <f>HYPERLINK("https://www.amazon.com/Storelli-BodyShield-Lightweight-Compression-Anti-Abrasion/dp/B08CL13GXK/ref=sr_1_3?keywords=Storelli+BodyShield+Sleeveless+Undershirt&amp;qid=1695171181&amp;sr=8-3", "https://www.amazon.com/Storelli-BodyShield-Lightweight-Compression-Anti-Abrasion/dp/B08CL13GXK/ref=sr_1_3?keywords=Storelli+BodyShield+Sleeveless+Undershirt&amp;qid=1695171181&amp;sr=8-3")</f>
        <v/>
      </c>
      <c r="F4179" t="inlineStr">
        <is>
          <t>B08CL13GXK</t>
        </is>
      </c>
      <c r="G4179">
        <f>_xludf.IMAGE("https://www.soccerplususa.com/prodimages/2096-DEFAULT-l.jpg")</f>
        <v/>
      </c>
      <c r="H4179">
        <f>_xludf.IMAGE("https://m.media-amazon.com/images/I/61JeDq7f4wL._AC_UL320_.jpg")</f>
        <v/>
      </c>
      <c r="K4179" t="inlineStr">
        <is>
          <t>59.95</t>
        </is>
      </c>
      <c r="L4179" t="n">
        <v>62.46</v>
      </c>
      <c r="M4179" s="1" t="inlineStr">
        <is>
          <t>4.19%</t>
        </is>
      </c>
      <c r="N4179" s="3" t="n">
        <v>4.19</v>
      </c>
      <c r="O4179" t="n">
        <v>4.9</v>
      </c>
      <c r="P4179" t="n">
        <v>24</v>
      </c>
      <c r="R4179" t="inlineStr">
        <is>
          <t>InStock</t>
        </is>
      </c>
      <c r="S4179" t="inlineStr">
        <is>
          <t>undefined</t>
        </is>
      </c>
      <c r="T4179" t="inlineStr">
        <is>
          <t>BSFPTOPNSBK</t>
        </is>
      </c>
    </row>
    <row r="4180" hidden="1" ht="15.75" customHeight="1">
      <c r="A4180" s="2">
        <f>HYPERLINK("https://www.soccerplususa.com/new-balance/new-balance-sideline-jacket-41947", "https://www.soccerplususa.com/new-balance/new-balance-sideline-jacket-41947")</f>
        <v/>
      </c>
      <c r="B4180" t="inlineStr">
        <is>
          <t>undefined</t>
        </is>
      </c>
      <c r="C4180" t="inlineStr">
        <is>
          <t>New Balance Sideline Jacket</t>
        </is>
      </c>
      <c r="D4180" t="inlineStr">
        <is>
          <t>New Balance Women's NB Heatloft Athletic Jacket, Deep Olive Green, Medium</t>
        </is>
      </c>
      <c r="E4180" s="2">
        <f>HYPERLINK("https://www.amazon.com/New-Balance-Womens-Athletic-Jacket/dp/B09M7PQ2HM/ref=sr_1_4?keywords=New+Balance+Sideline+Jacket&amp;qid=1695171146&amp;sr=8-4", "https://www.amazon.com/New-Balance-Womens-Athletic-Jacket/dp/B09M7PQ2HM/ref=sr_1_4?keywords=New+Balance+Sideline+Jacket&amp;qid=1695171146&amp;sr=8-4")</f>
        <v/>
      </c>
      <c r="F4180" t="inlineStr">
        <is>
          <t>B09M7PQ2HM</t>
        </is>
      </c>
      <c r="G4180">
        <f>_xludf.IMAGE("https://www.soccerplususa.com/prodimages//37530-BLACK-M.jpg")</f>
        <v/>
      </c>
      <c r="H4180">
        <f>_xludf.IMAGE("https://m.media-amazon.com/images/I/71zXyDOs8TL._AC_UL320_.jpg")</f>
        <v/>
      </c>
      <c r="K4180" t="inlineStr">
        <is>
          <t>71.49</t>
        </is>
      </c>
      <c r="L4180" t="n">
        <v>74.48</v>
      </c>
      <c r="M4180" s="1" t="inlineStr">
        <is>
          <t>4.18%</t>
        </is>
      </c>
      <c r="N4180" s="3" t="n">
        <v>4.18</v>
      </c>
      <c r="O4180" t="n">
        <v>5</v>
      </c>
      <c r="P4180" t="n">
        <v>1</v>
      </c>
      <c r="R4180" t="inlineStr">
        <is>
          <t>InStock</t>
        </is>
      </c>
      <c r="S4180" t="inlineStr">
        <is>
          <t>95.0</t>
        </is>
      </c>
      <c r="T4180" t="inlineStr">
        <is>
          <t>TMMJ718</t>
        </is>
      </c>
    </row>
    <row r="4181" hidden="1" ht="15.75" customHeight="1">
      <c r="A4181" s="2">
        <f>HYPERLINK("https://www.soccerplususa.com/adidas/adidas-core-18-training-top-33852", "https://www.soccerplususa.com/adidas/adidas-core-18-training-top-33852")</f>
        <v/>
      </c>
      <c r="B4181" t="inlineStr">
        <is>
          <t>undefined</t>
        </is>
      </c>
      <c r="C4181" t="inlineStr">
        <is>
          <t>adidas Core 18 Training Top</t>
        </is>
      </c>
      <c r="D4181" t="inlineStr">
        <is>
          <t>adidas Women's Core 18 Training Pants</t>
        </is>
      </c>
      <c r="E4181" s="2">
        <f>HYPERLINK("https://www.amazon.com/adidas-Core18-Training-Pants-XX-Small/dp/B0721VRWM9/ref=sr_1_2?keywords=adidas+Core+18+Training+Top&amp;qid=1695171165&amp;sr=8-2", "https://www.amazon.com/adidas-Core18-Training-Pants-XX-Small/dp/B0721VRWM9/ref=sr_1_2?keywords=adidas+Core+18+Training+Top&amp;qid=1695171165&amp;sr=8-2")</f>
        <v/>
      </c>
      <c r="F4181" t="inlineStr">
        <is>
          <t>B0721VRWM9</t>
        </is>
      </c>
      <c r="G4181">
        <f>_xludf.IMAGE("https://www.soccerplususa.com/prodimages/33345-DEFAULT-l.jpg")</f>
        <v/>
      </c>
      <c r="H4181">
        <f>_xludf.IMAGE("https://m.media-amazon.com/images/I/71hjyjSAC1L._AC_UL320_.jpg")</f>
        <v/>
      </c>
      <c r="K4181" t="inlineStr">
        <is>
          <t>22.99</t>
        </is>
      </c>
      <c r="L4181" t="n">
        <v>23.95</v>
      </c>
      <c r="M4181" s="1" t="inlineStr">
        <is>
          <t>4.18%</t>
        </is>
      </c>
      <c r="N4181" s="3" t="n">
        <v>4.18</v>
      </c>
      <c r="O4181" t="n">
        <v>4.5</v>
      </c>
      <c r="P4181" t="n">
        <v>1417</v>
      </c>
      <c r="R4181" t="inlineStr">
        <is>
          <t>InStock</t>
        </is>
      </c>
      <c r="S4181" t="inlineStr">
        <is>
          <t>30.95</t>
        </is>
      </c>
      <c r="T4181" t="inlineStr">
        <is>
          <t>CV4000</t>
        </is>
      </c>
    </row>
    <row r="4182" hidden="1" ht="15.75" customHeight="1">
      <c r="A4182" s="2">
        <f>HYPERLINK("https://www.soccerplususa.com/under-armour/under-armour-coldgear-mock-womens-33129", "https://www.soccerplususa.com/under-armour/under-armour-coldgear-mock-womens-33129")</f>
        <v/>
      </c>
      <c r="B4182" t="inlineStr">
        <is>
          <t>undefined</t>
        </is>
      </c>
      <c r="C4182" t="inlineStr">
        <is>
          <t>Under Armour Coldgear Mock Women's</t>
        </is>
      </c>
      <c r="D4182" t="inlineStr">
        <is>
          <t>Under Armour Women's Tac Mock Cofgear Infrared Base T-Shirt</t>
        </is>
      </c>
      <c r="E4182" s="2">
        <f>HYPERLINK("https://www.amazon.com/Under-Armour-CofGear-Infrared-T-Shirt/dp/B08LMZDG84/ref=sr_1_7?keywords=Under+Armour+Coldgear+Mock+Women%27s&amp;qid=1695171175&amp;sr=8-7", "https://www.amazon.com/Under-Armour-CofGear-Infrared-T-Shirt/dp/B08LMZDG84/ref=sr_1_7?keywords=Under+Armour+Coldgear+Mock+Women%27s&amp;qid=1695171175&amp;sr=8-7")</f>
        <v/>
      </c>
      <c r="F4182" t="inlineStr">
        <is>
          <t>B08LMZDG84</t>
        </is>
      </c>
      <c r="G4182">
        <f>_xludf.IMAGE("https://www.soccerplususa.com/prodimages/2365-DEFAULT-l.jpg")</f>
        <v/>
      </c>
      <c r="H4182">
        <f>_xludf.IMAGE("https://m.media-amazon.com/images/I/71NbiMW72EL._AC_UL320_.jpg")</f>
        <v/>
      </c>
      <c r="K4182" t="inlineStr">
        <is>
          <t>49.95</t>
        </is>
      </c>
      <c r="L4182" t="n">
        <v>52</v>
      </c>
      <c r="M4182" s="1" t="inlineStr">
        <is>
          <t>4.10%</t>
        </is>
      </c>
      <c r="N4182" s="3" t="n">
        <v>4.1</v>
      </c>
      <c r="O4182" t="n">
        <v>5</v>
      </c>
      <c r="P4182" t="n">
        <v>1</v>
      </c>
      <c r="R4182" t="inlineStr">
        <is>
          <t>InStock</t>
        </is>
      </c>
      <c r="S4182" t="inlineStr">
        <is>
          <t>undefined</t>
        </is>
      </c>
      <c r="T4182" t="inlineStr">
        <is>
          <t>1215968-100</t>
        </is>
      </c>
    </row>
    <row r="4183" hidden="1" ht="15.75" customHeight="1">
      <c r="A4183" s="2">
        <f>HYPERLINK("https://www.soccerplususa.com/new-balance/new-balance-thermal-half-zip-top-womens-39182", "https://www.soccerplususa.com/new-balance/new-balance-thermal-half-zip-top-womens-39182")</f>
        <v/>
      </c>
      <c r="B4183" t="inlineStr">
        <is>
          <t>undefined</t>
        </is>
      </c>
      <c r="C4183" t="inlineStr">
        <is>
          <t>New Balance Thermal Half Zip Top Women's</t>
        </is>
      </c>
      <c r="D4183" t="inlineStr">
        <is>
          <t>New Balance Women's Boylston Half Zip</t>
        </is>
      </c>
      <c r="E4183" s="2">
        <f>HYPERLINK("https://www.amazon.com/New-Balance-Womens-Boylston-Black/dp/B00DJTLBCU/ref=sr_1_10?keywords=New+Balance+Thermal+Half+Zip+Top+Womens&amp;qid=1695171153&amp;sr=8-10", "https://www.amazon.com/New-Balance-Womens-Boylston-Black/dp/B00DJTLBCU/ref=sr_1_10?keywords=New+Balance+Thermal+Half+Zip+Top+Womens&amp;qid=1695171153&amp;sr=8-10")</f>
        <v/>
      </c>
      <c r="F4183" t="inlineStr">
        <is>
          <t>B00DJTLBCU</t>
        </is>
      </c>
      <c r="G4183">
        <f>_xludf.IMAGE("https://www.soccerplususa.com/prodimages/35277-DEFAULT-l.jpg")</f>
        <v/>
      </c>
      <c r="H4183">
        <f>_xludf.IMAGE("https://m.media-amazon.com/images/I/91dkwTAuSwL._AC_UL320_.jpg")</f>
        <v/>
      </c>
      <c r="K4183" t="inlineStr">
        <is>
          <t>48.99</t>
        </is>
      </c>
      <c r="L4183" t="n">
        <v>51</v>
      </c>
      <c r="M4183" s="1" t="inlineStr">
        <is>
          <t>4.10%</t>
        </is>
      </c>
      <c r="N4183" s="3" t="n">
        <v>4.1</v>
      </c>
      <c r="O4183" t="n">
        <v>4</v>
      </c>
      <c r="P4183" t="n">
        <v>3</v>
      </c>
      <c r="R4183" t="inlineStr">
        <is>
          <t>InStock</t>
        </is>
      </c>
      <c r="S4183" t="inlineStr">
        <is>
          <t>65.0</t>
        </is>
      </c>
      <c r="T4183" t="inlineStr">
        <is>
          <t>TMWT725</t>
        </is>
      </c>
    </row>
    <row r="4184" hidden="1" ht="15.75" customHeight="1">
      <c r="A4184" s="2">
        <f>HYPERLINK("https://www.soccerplususa.com/adidas/adidas-tiro-21-track-jacket-41183", "https://www.soccerplususa.com/adidas/adidas-tiro-21-track-jacket-41183")</f>
        <v/>
      </c>
      <c r="B4184" t="inlineStr">
        <is>
          <t>undefined</t>
        </is>
      </c>
      <c r="C4184" t="inlineStr">
        <is>
          <t>adidas Tiro 21 Track Jacket</t>
        </is>
      </c>
      <c r="D4184" t="inlineStr">
        <is>
          <t>adidas Tiro '21 Winterized Track Jacket Black/Solar Gold LG</t>
        </is>
      </c>
      <c r="E4184" s="2">
        <f>HYPERLINK("https://www.amazon.com/adidas-Winterized-Track-Jacket-Black/dp/B08LF4SYHW/ref=sr_1_8?keywords=adidas+Tiro+21+Track+Jacket&amp;qid=1695171147&amp;sr=8-8", "https://www.amazon.com/adidas-Winterized-Track-Jacket-Black/dp/B08LF4SYHW/ref=sr_1_8?keywords=adidas+Tiro+21+Track+Jacket&amp;qid=1695171147&amp;sr=8-8")</f>
        <v/>
      </c>
      <c r="F4184" t="inlineStr">
        <is>
          <t>B08LF4SYHW</t>
        </is>
      </c>
      <c r="G4184">
        <f>_xludf.IMAGE("https://www.soccerplususa.com/prodimages//36165-BLACKWHITE-M.jpg")</f>
        <v/>
      </c>
      <c r="H4184">
        <f>_xludf.IMAGE("https://m.media-amazon.com/images/I/71Fk6GQlYML._AC_UL320_.jpg")</f>
        <v/>
      </c>
      <c r="K4184" t="inlineStr">
        <is>
          <t>50.0</t>
        </is>
      </c>
      <c r="L4184" t="n">
        <v>51.95</v>
      </c>
      <c r="M4184" s="1" t="inlineStr">
        <is>
          <t>3.90%</t>
        </is>
      </c>
      <c r="N4184" s="3" t="n">
        <v>3.9</v>
      </c>
      <c r="O4184" t="n">
        <v>4.6</v>
      </c>
      <c r="P4184" t="n">
        <v>2</v>
      </c>
      <c r="R4184" t="inlineStr">
        <is>
          <t>InStock</t>
        </is>
      </c>
      <c r="S4184" t="inlineStr">
        <is>
          <t>undefined</t>
        </is>
      </c>
      <c r="T4184" t="inlineStr">
        <is>
          <t>GM7319</t>
        </is>
      </c>
    </row>
    <row r="4185" hidden="1" ht="15.75" customHeight="1">
      <c r="A4185" s="2">
        <f>HYPERLINK("https://www.soccerplususa.com/new-balance/new-balance-sideline-jacket-41947", "https://www.soccerplususa.com/new-balance/new-balance-sideline-jacket-41947")</f>
        <v/>
      </c>
      <c r="B4185" t="inlineStr">
        <is>
          <t>undefined</t>
        </is>
      </c>
      <c r="C4185" t="inlineStr">
        <is>
          <t>New Balance Sideline Jacket</t>
        </is>
      </c>
      <c r="D4185" t="inlineStr">
        <is>
          <t>New Balance Men's Impact Run Packable Jacket</t>
        </is>
      </c>
      <c r="E4185" s="2">
        <f>HYPERLINK("https://www.amazon.com/New-Balance-Impact-Jacket-XX-Large/dp/B0924YLPFM/ref=sr_1_2?keywords=New+Balance+Sideline+Jacket&amp;qid=1695171146&amp;sr=8-2", "https://www.amazon.com/New-Balance-Impact-Jacket-XX-Large/dp/B0924YLPFM/ref=sr_1_2?keywords=New+Balance+Sideline+Jacket&amp;qid=1695171146&amp;sr=8-2")</f>
        <v/>
      </c>
      <c r="F4185" t="inlineStr">
        <is>
          <t>B0924YLPFM</t>
        </is>
      </c>
      <c r="G4185">
        <f>_xludf.IMAGE("https://www.soccerplususa.com/prodimages//37530-BLACK-M.jpg")</f>
        <v/>
      </c>
      <c r="H4185">
        <f>_xludf.IMAGE("https://m.media-amazon.com/images/I/71gzFIDMsAL._AC_UL320_.jpg")</f>
        <v/>
      </c>
      <c r="K4185" t="inlineStr">
        <is>
          <t>71.49</t>
        </is>
      </c>
      <c r="L4185" t="n">
        <v>74.26000000000001</v>
      </c>
      <c r="M4185" s="1" t="inlineStr">
        <is>
          <t>3.87%</t>
        </is>
      </c>
      <c r="N4185" s="3" t="n">
        <v>3.87</v>
      </c>
      <c r="O4185" t="n">
        <v>3.7</v>
      </c>
      <c r="P4185" t="n">
        <v>14</v>
      </c>
      <c r="R4185" t="inlineStr">
        <is>
          <t>InStock</t>
        </is>
      </c>
      <c r="S4185" t="inlineStr">
        <is>
          <t>95.0</t>
        </is>
      </c>
      <c r="T4185" t="inlineStr">
        <is>
          <t>TMMJ718</t>
        </is>
      </c>
    </row>
    <row r="4186" hidden="1" ht="15.75" customHeight="1">
      <c r="A4186" s="2">
        <f>HYPERLINK("https://www.soccerplususa.com/puma/puma-liga-training-rain-jacket-youth-35518", "https://www.soccerplususa.com/puma/puma-liga-training-rain-jacket-youth-35518")</f>
        <v/>
      </c>
      <c r="B4186" t="inlineStr">
        <is>
          <t>undefined</t>
        </is>
      </c>
      <c r="C4186" t="inlineStr">
        <is>
          <t>Puma Liga Training Rain Jacket Youth</t>
        </is>
      </c>
      <c r="D4186" t="inlineStr">
        <is>
          <t>PUMA Unisex-Youth Liga Training Fleece Jacket</t>
        </is>
      </c>
      <c r="E4186" s="2">
        <f>HYPERLINK("https://www.amazon.com/PUMA-Training-Fleece-X-Large-Black-Puma/dp/B07B8CCKHG/ref=sr_1_4?keywords=Puma+Liga+Training+Rain+Jacket+Youth&amp;qid=1695171159&amp;sr=8-4", "https://www.amazon.com/PUMA-Training-Fleece-X-Large-Black-Puma/dp/B07B8CCKHG/ref=sr_1_4?keywords=Puma+Liga+Training+Rain+Jacket+Youth&amp;qid=1695171159&amp;sr=8-4")</f>
        <v/>
      </c>
      <c r="F4186" t="inlineStr">
        <is>
          <t>B07B8CCKHG</t>
        </is>
      </c>
      <c r="G4186">
        <f>_xludf.IMAGE("https://www.soccerplususa.com/prodimages/13113-DEFAULT-l.jpg")</f>
        <v/>
      </c>
      <c r="H4186">
        <f>_xludf.IMAGE("https://m.media-amazon.com/images/I/51od9y5GiJL._AC_UL320_.jpg")</f>
        <v/>
      </c>
      <c r="K4186" t="inlineStr">
        <is>
          <t>59.95</t>
        </is>
      </c>
      <c r="L4186" t="n">
        <v>62.12</v>
      </c>
      <c r="M4186" s="1" t="inlineStr">
        <is>
          <t>3.62%</t>
        </is>
      </c>
      <c r="N4186" s="3" t="n">
        <v>3.62</v>
      </c>
      <c r="O4186" t="n">
        <v>3.7</v>
      </c>
      <c r="P4186" t="n">
        <v>23</v>
      </c>
      <c r="R4186" t="inlineStr">
        <is>
          <t>InStock</t>
        </is>
      </c>
      <c r="S4186" t="inlineStr">
        <is>
          <t>undefined</t>
        </is>
      </c>
      <c r="T4186" t="inlineStr">
        <is>
          <t>655660-03</t>
        </is>
      </c>
    </row>
    <row r="4187" hidden="1" ht="15.75" customHeight="1">
      <c r="A4187" s="2">
        <f>HYPERLINK("https://www.soccerplususa.com/adidas/adidas-tiro-17-jersey-33798", "https://www.soccerplususa.com/adidas/adidas-tiro-17-jersey-33798")</f>
        <v/>
      </c>
      <c r="B4187" t="inlineStr">
        <is>
          <t>undefined</t>
        </is>
      </c>
      <c r="C4187" t="inlineStr">
        <is>
          <t>adidas Tiro 17 Jersey</t>
        </is>
      </c>
      <c r="D4187" t="inlineStr">
        <is>
          <t>adidas Womens Tiro 17 Jersey</t>
        </is>
      </c>
      <c r="E4187" s="2">
        <f>HYPERLINK("https://www.amazon.com/adidas-Womens-Embellished-T-Shirt-Medium/dp/B06XX4BHD2/ref=sr_1_5?keywords=adidas+Tiro+17+Jersey&amp;qid=1695171166&amp;sr=8-5", "https://www.amazon.com/adidas-Womens-Embellished-T-Shirt-Medium/dp/B06XX4BHD2/ref=sr_1_5?keywords=adidas+Tiro+17+Jersey&amp;qid=1695171166&amp;sr=8-5")</f>
        <v/>
      </c>
      <c r="F4187" t="inlineStr">
        <is>
          <t>B06XX4BHD2</t>
        </is>
      </c>
      <c r="G4187">
        <f>_xludf.IMAGE("https://www.soccerplususa.com/prodimages/7452-DEFAULT-l.jpg")</f>
        <v/>
      </c>
      <c r="H4187">
        <f>_xludf.IMAGE("https://m.media-amazon.com/images/I/51mgSEt736L._AC_UL320_.jpg")</f>
        <v/>
      </c>
      <c r="K4187" t="inlineStr">
        <is>
          <t>23.97</t>
        </is>
      </c>
      <c r="L4187" t="n">
        <v>24.74</v>
      </c>
      <c r="M4187" s="1" t="inlineStr">
        <is>
          <t>3.21%</t>
        </is>
      </c>
      <c r="N4187" s="3" t="n">
        <v>3.21</v>
      </c>
      <c r="O4187" t="n">
        <v>5</v>
      </c>
      <c r="P4187" t="n">
        <v>6</v>
      </c>
      <c r="R4187" t="inlineStr">
        <is>
          <t>InStock</t>
        </is>
      </c>
      <c r="S4187" t="inlineStr">
        <is>
          <t>39.95</t>
        </is>
      </c>
      <c r="T4187" t="inlineStr">
        <is>
          <t>BS4216</t>
        </is>
      </c>
    </row>
    <row r="4188" hidden="1" ht="15.75" customHeight="1">
      <c r="A4188" s="2">
        <f>HYPERLINK("https://www.soccerplususa.com/adidas/adidas-condivo-21-training-top-womens-41950", "https://www.soccerplususa.com/adidas/adidas-condivo-21-training-top-womens-41950")</f>
        <v/>
      </c>
      <c r="B4188" t="inlineStr">
        <is>
          <t>undefined</t>
        </is>
      </c>
      <c r="C4188" t="inlineStr">
        <is>
          <t>adidas Condivo 21 Training Top Women's</t>
        </is>
      </c>
      <c r="D4188" t="inlineStr">
        <is>
          <t>adidas Condivo 21 Training Top</t>
        </is>
      </c>
      <c r="E4188" s="2">
        <f>HYPERLINK("https://www.amazon.com/adidas-Condivo-Training-Top-Black-White/dp/B08XFZP9PJ/ref=sr_1_1?keywords=adidas+Condivo+21+Training+Top+Womens&amp;qid=1695171149&amp;sr=8-1", "https://www.amazon.com/adidas-Condivo-Training-Top-Black-White/dp/B08XFZP9PJ/ref=sr_1_1?keywords=adidas+Condivo+21+Training+Top+Womens&amp;qid=1695171149&amp;sr=8-1")</f>
        <v/>
      </c>
      <c r="F4188" t="inlineStr">
        <is>
          <t>B08XFZP9PJ</t>
        </is>
      </c>
      <c r="G4188">
        <f>_xludf.IMAGE("https://www.soccerplususa.com/prodimages//37061-GREYWHITE-M.jpg")</f>
        <v/>
      </c>
      <c r="H4188">
        <f>_xludf.IMAGE("https://m.media-amazon.com/images/I/51aT9dU2t5L._AC_UL320_.jpg")</f>
        <v/>
      </c>
      <c r="K4188" t="inlineStr">
        <is>
          <t>48.49</t>
        </is>
      </c>
      <c r="L4188" t="n">
        <v>49.98</v>
      </c>
      <c r="M4188" s="1" t="inlineStr">
        <is>
          <t>3.07%</t>
        </is>
      </c>
      <c r="N4188" s="3" t="n">
        <v>3.07</v>
      </c>
      <c r="O4188" t="n">
        <v>4.7</v>
      </c>
      <c r="P4188" t="n">
        <v>10</v>
      </c>
      <c r="R4188" t="inlineStr">
        <is>
          <t>InStock</t>
        </is>
      </c>
      <c r="S4188" t="inlineStr">
        <is>
          <t>64.95</t>
        </is>
      </c>
      <c r="T4188" t="inlineStr">
        <is>
          <t>GP1902</t>
        </is>
      </c>
    </row>
    <row r="4189" hidden="1" ht="15.75" customHeight="1">
      <c r="A4189" s="2">
        <f>HYPERLINK("https://www.soccerplususa.com/adidas/adidas-tabela-14-jersey-6151", "https://www.soccerplususa.com/adidas/adidas-tabela-14-jersey-6151")</f>
        <v/>
      </c>
      <c r="B4189" t="inlineStr">
        <is>
          <t>undefined</t>
        </is>
      </c>
      <c r="C4189" t="inlineStr">
        <is>
          <t>adidas Tabela 14 Jersey</t>
        </is>
      </c>
      <c r="D4189" t="inlineStr">
        <is>
          <t>adidas Womens Tabela 18 Soccer Jersey</t>
        </is>
      </c>
      <c r="E4189" s="2">
        <f>HYPERLINK("https://www.amazon.com/adidas-TABELA-18-Jersey-W/dp/B078LKGV12/ref=sr_1_6?keywords=adidas+Tabela+14+Jersey&amp;qid=1695171220&amp;sr=8-6", "https://www.amazon.com/adidas-TABELA-18-Jersey-W/dp/B078LKGV12/ref=sr_1_6?keywords=adidas+Tabela+14+Jersey&amp;qid=1695171220&amp;sr=8-6")</f>
        <v/>
      </c>
      <c r="F4189" t="inlineStr">
        <is>
          <t>B078LKGV12</t>
        </is>
      </c>
      <c r="G4189">
        <f>_xludf.IMAGE("https://www.soccerplususa.com/prodimages/4588-DEFAULT-l.jpg")</f>
        <v/>
      </c>
      <c r="H4189">
        <f>_xludf.IMAGE("https://m.media-amazon.com/images/I/61ya9ZWdpuL._AC_UL320_.jpg")</f>
        <v/>
      </c>
      <c r="K4189" t="inlineStr">
        <is>
          <t>17.5</t>
        </is>
      </c>
      <c r="L4189" t="n">
        <v>17.95</v>
      </c>
      <c r="M4189" s="1" t="inlineStr">
        <is>
          <t>2.57%</t>
        </is>
      </c>
      <c r="N4189" s="3" t="n">
        <v>2.57</v>
      </c>
      <c r="O4189" t="n">
        <v>4.6</v>
      </c>
      <c r="P4189" t="n">
        <v>135</v>
      </c>
      <c r="R4189" t="inlineStr">
        <is>
          <t>InStock</t>
        </is>
      </c>
      <c r="S4189" t="inlineStr">
        <is>
          <t>34.95</t>
        </is>
      </c>
      <c r="T4189" t="inlineStr">
        <is>
          <t>F84835</t>
        </is>
      </c>
    </row>
    <row r="4190" hidden="1" ht="15.75" customHeight="1">
      <c r="A4190" s="2">
        <f>HYPERLINK("https://www.soccerplususa.com/adidas/adidas-tabela-14-jersey-6082", "https://www.soccerplususa.com/adidas/adidas-tabela-14-jersey-6082")</f>
        <v/>
      </c>
      <c r="B4190" t="inlineStr">
        <is>
          <t>undefined</t>
        </is>
      </c>
      <c r="C4190" t="inlineStr">
        <is>
          <t>adidas Tabela 14 Jersey</t>
        </is>
      </c>
      <c r="D4190" t="inlineStr">
        <is>
          <t>adidas Womens Tabela 18 Soccer Jersey</t>
        </is>
      </c>
      <c r="E4190" s="2">
        <f>HYPERLINK("https://www.amazon.com/adidas-TABELA-18-Jersey-W/dp/B078LKGV12/ref=sr_1_5?keywords=adidas+Tabela+14+Jersey&amp;qid=1695171211&amp;sr=8-5", "https://www.amazon.com/adidas-TABELA-18-Jersey-W/dp/B078LKGV12/ref=sr_1_5?keywords=adidas+Tabela+14+Jersey&amp;qid=1695171211&amp;sr=8-5")</f>
        <v/>
      </c>
      <c r="F4190" t="inlineStr">
        <is>
          <t>B078LKGV12</t>
        </is>
      </c>
      <c r="G4190">
        <f>_xludf.IMAGE("https://www.soccerplususa.com/prodimages/2638-DEFAULT-l.jpg")</f>
        <v/>
      </c>
      <c r="H4190">
        <f>_xludf.IMAGE("https://m.media-amazon.com/images/I/61ya9ZWdpuL._AC_UL320_.jpg")</f>
        <v/>
      </c>
      <c r="K4190" t="inlineStr">
        <is>
          <t>17.5</t>
        </is>
      </c>
      <c r="L4190" t="n">
        <v>17.95</v>
      </c>
      <c r="M4190" s="1" t="inlineStr">
        <is>
          <t>2.57%</t>
        </is>
      </c>
      <c r="N4190" s="3" t="n">
        <v>2.57</v>
      </c>
      <c r="O4190" t="n">
        <v>4.6</v>
      </c>
      <c r="P4190" t="n">
        <v>135</v>
      </c>
      <c r="R4190" t="inlineStr">
        <is>
          <t>InStock</t>
        </is>
      </c>
      <c r="S4190" t="inlineStr">
        <is>
          <t>34.95</t>
        </is>
      </c>
      <c r="T4190" t="inlineStr">
        <is>
          <t>F50284</t>
        </is>
      </c>
    </row>
    <row r="4191" hidden="1" ht="15.75" customHeight="1">
      <c r="A4191" s="2">
        <f>HYPERLINK("https://www.soccerplususa.com/adidas/adidas-tabela-14-jersey-6078", "https://www.soccerplususa.com/adidas/adidas-tabela-14-jersey-6078")</f>
        <v/>
      </c>
      <c r="B4191" t="inlineStr">
        <is>
          <t>undefined</t>
        </is>
      </c>
      <c r="C4191" t="inlineStr">
        <is>
          <t>adidas Tabela 14 Jersey</t>
        </is>
      </c>
      <c r="D4191" t="inlineStr">
        <is>
          <t>adidas Womens Tabela 18 Soccer Jersey</t>
        </is>
      </c>
      <c r="E4191" s="2">
        <f>HYPERLINK("https://www.amazon.com/adidas-TABELA-18-Jersey-W/dp/B078LKGV12/ref=sr_1_6?keywords=adidas+Tabela+14+Jersey&amp;qid=1695171215&amp;sr=8-6", "https://www.amazon.com/adidas-TABELA-18-Jersey-W/dp/B078LKGV12/ref=sr_1_6?keywords=adidas+Tabela+14+Jersey&amp;qid=1695171215&amp;sr=8-6")</f>
        <v/>
      </c>
      <c r="F4191" t="inlineStr">
        <is>
          <t>B078LKGV12</t>
        </is>
      </c>
      <c r="G4191">
        <f>_xludf.IMAGE("https://www.soccerplususa.com/prodimages/4489-DEFAULT-l.jpg")</f>
        <v/>
      </c>
      <c r="H4191">
        <f>_xludf.IMAGE("https://m.media-amazon.com/images/I/61ya9ZWdpuL._AC_UL320_.jpg")</f>
        <v/>
      </c>
      <c r="K4191" t="inlineStr">
        <is>
          <t>17.5</t>
        </is>
      </c>
      <c r="L4191" t="n">
        <v>17.95</v>
      </c>
      <c r="M4191" s="1" t="inlineStr">
        <is>
          <t>2.57%</t>
        </is>
      </c>
      <c r="N4191" s="3" t="n">
        <v>2.57</v>
      </c>
      <c r="O4191" t="n">
        <v>4.6</v>
      </c>
      <c r="P4191" t="n">
        <v>135</v>
      </c>
      <c r="R4191" t="inlineStr">
        <is>
          <t>InStock</t>
        </is>
      </c>
      <c r="S4191" t="inlineStr">
        <is>
          <t>34.95</t>
        </is>
      </c>
      <c r="T4191" t="inlineStr">
        <is>
          <t>F50269</t>
        </is>
      </c>
    </row>
    <row r="4192" hidden="1" ht="15.75" customHeight="1">
      <c r="A4192" s="2">
        <f>HYPERLINK("https://www.soccerplususa.com/adidas/adidas-tabela-14-jersey-6152", "https://www.soccerplususa.com/adidas/adidas-tabela-14-jersey-6152")</f>
        <v/>
      </c>
      <c r="B4192" t="inlineStr">
        <is>
          <t>undefined</t>
        </is>
      </c>
      <c r="C4192" t="inlineStr">
        <is>
          <t>adidas Tabela 14 Jersey</t>
        </is>
      </c>
      <c r="D4192" t="inlineStr">
        <is>
          <t>adidas Womens Tabela 18 Soccer Jersey</t>
        </is>
      </c>
      <c r="E4192" s="2">
        <f>HYPERLINK("https://www.amazon.com/adidas-TABELA-18-Jersey-W/dp/B078LKGV12/ref=sr_1_6?keywords=adidas+Tabela+14+Jersey&amp;qid=1695171217&amp;sr=8-6", "https://www.amazon.com/adidas-TABELA-18-Jersey-W/dp/B078LKGV12/ref=sr_1_6?keywords=adidas+Tabela+14+Jersey&amp;qid=1695171217&amp;sr=8-6")</f>
        <v/>
      </c>
      <c r="F4192" t="inlineStr">
        <is>
          <t>B078LKGV12</t>
        </is>
      </c>
      <c r="G4192">
        <f>_xludf.IMAGE("https://www.soccerplususa.com/prodimages/4589-DEFAULT-l.jpg")</f>
        <v/>
      </c>
      <c r="H4192">
        <f>_xludf.IMAGE("https://m.media-amazon.com/images/I/61ya9ZWdpuL._AC_UL320_.jpg")</f>
        <v/>
      </c>
      <c r="K4192" t="inlineStr">
        <is>
          <t>17.5</t>
        </is>
      </c>
      <c r="L4192" t="n">
        <v>17.94</v>
      </c>
      <c r="M4192" s="1" t="inlineStr">
        <is>
          <t>2.51%</t>
        </is>
      </c>
      <c r="N4192" s="3" t="n">
        <v>2.51</v>
      </c>
      <c r="O4192" t="n">
        <v>4.6</v>
      </c>
      <c r="P4192" t="n">
        <v>135</v>
      </c>
      <c r="R4192" t="inlineStr">
        <is>
          <t>InStock</t>
        </is>
      </c>
      <c r="S4192" t="inlineStr">
        <is>
          <t>34.95</t>
        </is>
      </c>
      <c r="T4192" t="inlineStr">
        <is>
          <t>F84836</t>
        </is>
      </c>
    </row>
    <row r="4193" hidden="1" ht="15.75" customHeight="1">
      <c r="A4193" s="2">
        <f>HYPERLINK("https://www.soccerplususa.com/adidas/adidas-regista-14-jersey-6065", "https://www.soccerplususa.com/adidas/adidas-regista-14-jersey-6065")</f>
        <v/>
      </c>
      <c r="B4193" t="inlineStr">
        <is>
          <t>undefined</t>
        </is>
      </c>
      <c r="C4193" t="inlineStr">
        <is>
          <t>adidas Regista 14 Jersey</t>
        </is>
      </c>
      <c r="D4193" t="inlineStr">
        <is>
          <t>adidas Men's Regista 14 Soccer Jersey</t>
        </is>
      </c>
      <c r="E4193" s="2">
        <f>HYPERLINK("https://www.amazon.com/adidas-Mens-Regista-Soccer-Jersey/dp/B00H3HX2ZI/ref=sr_1_3?keywords=adidas+Regista+14+Jersey&amp;qid=1695171215&amp;sr=8-3", "https://www.amazon.com/adidas-Mens-Regista-Soccer-Jersey/dp/B00H3HX2ZI/ref=sr_1_3?keywords=adidas+Regista+14+Jersey&amp;qid=1695171215&amp;sr=8-3")</f>
        <v/>
      </c>
      <c r="F4193" t="inlineStr">
        <is>
          <t>B00H3HX2ZI</t>
        </is>
      </c>
      <c r="G4193">
        <f>_xludf.IMAGE("https://www.soccerplususa.com/prodimages/32793-DEFAULT-l.jpg")</f>
        <v/>
      </c>
      <c r="H4193">
        <f>_xludf.IMAGE("https://m.media-amazon.com/images/I/61jM32B1pbL._AC_UL320_.jpg")</f>
        <v/>
      </c>
      <c r="K4193" t="inlineStr">
        <is>
          <t>22.0</t>
        </is>
      </c>
      <c r="L4193" t="n">
        <v>22.5</v>
      </c>
      <c r="M4193" s="1" t="inlineStr">
        <is>
          <t>2.27%</t>
        </is>
      </c>
      <c r="N4193" s="3" t="n">
        <v>2.27</v>
      </c>
      <c r="O4193" t="n">
        <v>5</v>
      </c>
      <c r="P4193" t="n">
        <v>1</v>
      </c>
      <c r="R4193" t="inlineStr">
        <is>
          <t>InStock</t>
        </is>
      </c>
      <c r="S4193" t="inlineStr">
        <is>
          <t>44.95</t>
        </is>
      </c>
      <c r="T4193" t="inlineStr">
        <is>
          <t>F50009</t>
        </is>
      </c>
    </row>
    <row r="4194" hidden="1" ht="15.75" customHeight="1">
      <c r="A4194" s="2">
        <f>HYPERLINK("https://www.soccerplususa.com/adidas/adidas-condivo-18-training-jacket-womens-5188", "https://www.soccerplususa.com/adidas/adidas-condivo-18-training-jacket-womens-5188")</f>
        <v/>
      </c>
      <c r="B4194" t="inlineStr">
        <is>
          <t>undefined</t>
        </is>
      </c>
      <c r="C4194" t="inlineStr">
        <is>
          <t>adidas Condivo 18 Training Jacket Women's</t>
        </is>
      </c>
      <c r="D4194" t="inlineStr">
        <is>
          <t>adidas Women's Condivo 18 Polyester Jacket</t>
        </is>
      </c>
      <c r="E4194" s="2">
        <f>HYPERLINK("https://www.amazon.com/adidas-Condivo-Jacket-Blue-Dark-Blue-White/dp/B07BHG9LLC/ref=sr_1_1?keywords=adidas+Condivo+18+Training+Jacket+Womens&amp;qid=1695171217&amp;sr=8-1", "https://www.amazon.com/adidas-Condivo-Jacket-Blue-Dark-Blue-White/dp/B07BHG9LLC/ref=sr_1_1?keywords=adidas+Condivo+18+Training+Jacket+Womens&amp;qid=1695171217&amp;sr=8-1")</f>
        <v/>
      </c>
      <c r="F4194" t="inlineStr">
        <is>
          <t>B07BHG9LLC</t>
        </is>
      </c>
      <c r="G4194">
        <f>_xludf.IMAGE("https://www.soccerplususa.com/prodimages/5974-DEFAULT-l.jpg")</f>
        <v/>
      </c>
      <c r="H4194">
        <f>_xludf.IMAGE("https://m.media-amazon.com/images/I/618vvG5PCNL._AC_UL320_.jpg")</f>
        <v/>
      </c>
      <c r="K4194" t="inlineStr">
        <is>
          <t>49.0</t>
        </is>
      </c>
      <c r="L4194" t="n">
        <v>49.98</v>
      </c>
      <c r="M4194" s="1" t="inlineStr">
        <is>
          <t>2.00%</t>
        </is>
      </c>
      <c r="N4194" s="3" t="n">
        <v>2</v>
      </c>
      <c r="O4194" t="n">
        <v>4.5</v>
      </c>
      <c r="P4194" t="n">
        <v>127</v>
      </c>
      <c r="R4194" t="inlineStr">
        <is>
          <t>InStock</t>
        </is>
      </c>
      <c r="S4194" t="inlineStr">
        <is>
          <t>64.95</t>
        </is>
      </c>
      <c r="T4194" t="inlineStr">
        <is>
          <t>CF4329</t>
        </is>
      </c>
    </row>
    <row r="4195" hidden="1" ht="15.75" customHeight="1">
      <c r="A4195" s="2">
        <f>HYPERLINK("https://www.soccerplususa.com/adidas/adidas-condivo-18-training-jacket-womens-5187", "https://www.soccerplususa.com/adidas/adidas-condivo-18-training-jacket-womens-5187")</f>
        <v/>
      </c>
      <c r="B4195" t="inlineStr">
        <is>
          <t>undefined</t>
        </is>
      </c>
      <c r="C4195" t="inlineStr">
        <is>
          <t>adidas Condivo 18 Training Jacket Women's</t>
        </is>
      </c>
      <c r="D4195" t="inlineStr">
        <is>
          <t>adidas Women's Condivo 18 Polyester Jacket</t>
        </is>
      </c>
      <c r="E4195" s="2">
        <f>HYPERLINK("https://www.amazon.com/adidas-Condivo-Jacket-Blue-Dark-Blue-White/dp/B07BHG9LLC/ref=sr_1_1?keywords=adidas+Condivo+18+Training+Jacket+Women%27s&amp;qid=1695171224&amp;sr=8-1", "https://www.amazon.com/adidas-Condivo-Jacket-Blue-Dark-Blue-White/dp/B07BHG9LLC/ref=sr_1_1?keywords=adidas+Condivo+18+Training+Jacket+Women%27s&amp;qid=1695171224&amp;sr=8-1")</f>
        <v/>
      </c>
      <c r="F4195" t="inlineStr">
        <is>
          <t>B07BHG9LLC</t>
        </is>
      </c>
      <c r="G4195">
        <f>_xludf.IMAGE("https://www.soccerplususa.com/prodimages/5975-DEFAULT-l.jpg")</f>
        <v/>
      </c>
      <c r="H4195">
        <f>_xludf.IMAGE("https://m.media-amazon.com/images/I/618vvG5PCNL._AC_UL320_.jpg")</f>
        <v/>
      </c>
      <c r="K4195" t="inlineStr">
        <is>
          <t>49.0</t>
        </is>
      </c>
      <c r="L4195" t="n">
        <v>49.98</v>
      </c>
      <c r="M4195" s="1" t="inlineStr">
        <is>
          <t>2.00%</t>
        </is>
      </c>
      <c r="N4195" s="3" t="n">
        <v>2</v>
      </c>
      <c r="O4195" t="n">
        <v>4.5</v>
      </c>
      <c r="P4195" t="n">
        <v>127</v>
      </c>
      <c r="R4195" t="inlineStr">
        <is>
          <t>InStock</t>
        </is>
      </c>
      <c r="S4195" t="inlineStr">
        <is>
          <t>64.95</t>
        </is>
      </c>
      <c r="T4195" t="inlineStr">
        <is>
          <t>CF4328</t>
        </is>
      </c>
    </row>
    <row r="4196" hidden="1" ht="15.75" customHeight="1">
      <c r="A4196" s="2">
        <f>HYPERLINK("https://www.soccerplususa.com/adidas/adidas-condivo-18-training-jacket-womens-5186", "https://www.soccerplususa.com/adidas/adidas-condivo-18-training-jacket-womens-5186")</f>
        <v/>
      </c>
      <c r="B4196" t="inlineStr">
        <is>
          <t>undefined</t>
        </is>
      </c>
      <c r="C4196" t="inlineStr">
        <is>
          <t>adidas Condivo 18 Training Jacket Women's</t>
        </is>
      </c>
      <c r="D4196" t="inlineStr">
        <is>
          <t>adidas Women's Condivo 18 Polyester Jacket</t>
        </is>
      </c>
      <c r="E4196" s="2">
        <f>HYPERLINK("https://www.amazon.com/adidas-Condivo-Jacket-Blue-Dark-Blue-White/dp/B07BHG9LLC/ref=sr_1_1?keywords=adidas+Condivo+18+Training+Jacket+Womens&amp;qid=1695171225&amp;sr=8-1", "https://www.amazon.com/adidas-Condivo-Jacket-Blue-Dark-Blue-White/dp/B07BHG9LLC/ref=sr_1_1?keywords=adidas+Condivo+18+Training+Jacket+Womens&amp;qid=1695171225&amp;sr=8-1")</f>
        <v/>
      </c>
      <c r="F4196" t="inlineStr">
        <is>
          <t>B07BHG9LLC</t>
        </is>
      </c>
      <c r="G4196">
        <f>_xludf.IMAGE("https://www.soccerplususa.com/prodimages/5976-DEFAULT-l.jpg")</f>
        <v/>
      </c>
      <c r="H4196">
        <f>_xludf.IMAGE("https://m.media-amazon.com/images/I/618vvG5PCNL._AC_UL320_.jpg")</f>
        <v/>
      </c>
      <c r="K4196" t="inlineStr">
        <is>
          <t>49.0</t>
        </is>
      </c>
      <c r="L4196" t="n">
        <v>49.98</v>
      </c>
      <c r="M4196" s="1" t="inlineStr">
        <is>
          <t>2.00%</t>
        </is>
      </c>
      <c r="N4196" s="3" t="n">
        <v>2</v>
      </c>
      <c r="O4196" t="n">
        <v>4.5</v>
      </c>
      <c r="P4196" t="n">
        <v>127</v>
      </c>
      <c r="R4196" t="inlineStr">
        <is>
          <t>InStock</t>
        </is>
      </c>
      <c r="S4196" t="inlineStr">
        <is>
          <t>64.95</t>
        </is>
      </c>
      <c r="T4196" t="inlineStr">
        <is>
          <t>CF4327</t>
        </is>
      </c>
    </row>
    <row r="4197" hidden="1" ht="15.75" customHeight="1">
      <c r="A4197" s="2">
        <f>HYPERLINK("https://www.soccerplususa.com/adidas/adidas-condivo-18-training-jacket-womens-5362", "https://www.soccerplususa.com/adidas/adidas-condivo-18-training-jacket-womens-5362")</f>
        <v/>
      </c>
      <c r="B4197" t="inlineStr">
        <is>
          <t>undefined</t>
        </is>
      </c>
      <c r="C4197" t="inlineStr">
        <is>
          <t>adidas Condivo 18 Training Jacket Women's</t>
        </is>
      </c>
      <c r="D4197" t="inlineStr">
        <is>
          <t>adidas Women's Condivo 18 Polyester Jacket</t>
        </is>
      </c>
      <c r="E4197" s="2">
        <f>HYPERLINK("https://www.amazon.com/adidas-Condivo-Jacket-Blue-Dark-Blue-White/dp/B07BHG9LLC/ref=sr_1_1?keywords=adidas+Condivo+18+Training+Jacket+Womens&amp;qid=1695171214&amp;sr=8-1", "https://www.amazon.com/adidas-Condivo-Jacket-Blue-Dark-Blue-White/dp/B07BHG9LLC/ref=sr_1_1?keywords=adidas+Condivo+18+Training+Jacket+Womens&amp;qid=1695171214&amp;sr=8-1")</f>
        <v/>
      </c>
      <c r="F4197" t="inlineStr">
        <is>
          <t>B07BHG9LLC</t>
        </is>
      </c>
      <c r="G4197">
        <f>_xludf.IMAGE("https://www.soccerplususa.com/prodimages/5973-DEFAULT-l.jpg")</f>
        <v/>
      </c>
      <c r="H4197">
        <f>_xludf.IMAGE("https://m.media-amazon.com/images/I/618vvG5PCNL._AC_UL320_.jpg")</f>
        <v/>
      </c>
      <c r="K4197" t="inlineStr">
        <is>
          <t>49.0</t>
        </is>
      </c>
      <c r="L4197" t="n">
        <v>49.98</v>
      </c>
      <c r="M4197" s="1" t="inlineStr">
        <is>
          <t>2.00%</t>
        </is>
      </c>
      <c r="N4197" s="3" t="n">
        <v>2</v>
      </c>
      <c r="O4197" t="n">
        <v>4.5</v>
      </c>
      <c r="P4197" t="n">
        <v>127</v>
      </c>
      <c r="R4197" t="inlineStr">
        <is>
          <t>InStock</t>
        </is>
      </c>
      <c r="S4197" t="inlineStr">
        <is>
          <t>64.95</t>
        </is>
      </c>
      <c r="T4197" t="inlineStr">
        <is>
          <t>CV9079</t>
        </is>
      </c>
    </row>
    <row r="4198" hidden="1" ht="15.75" customHeight="1">
      <c r="A4198" s="2">
        <f>HYPERLINK("https://www.soccerplususa.com/adidas/adidas-campeon-15-jersey-7827", "https://www.soccerplususa.com/adidas/adidas-campeon-15-jersey-7827")</f>
        <v/>
      </c>
      <c r="B4198" t="inlineStr">
        <is>
          <t>undefined</t>
        </is>
      </c>
      <c r="C4198" t="inlineStr">
        <is>
          <t>adidas Campeon 15 Jersey</t>
        </is>
      </c>
      <c r="D4198" t="inlineStr">
        <is>
          <t>adidas Campeon 21 Jersey - Men's Soccer S Light Grey</t>
        </is>
      </c>
      <c r="E4198" s="2">
        <f>HYPERLINK("https://www.amazon.com/adidas-Campeon-21-Jersey-Soccer/dp/B089KPF976/ref=sr_1_3?keywords=adidas+Campeon+15+Jersey&amp;qid=1695171209&amp;sr=8-3", "https://www.amazon.com/adidas-Campeon-21-Jersey-Soccer/dp/B089KPF976/ref=sr_1_3?keywords=adidas+Campeon+15+Jersey&amp;qid=1695171209&amp;sr=8-3")</f>
        <v/>
      </c>
      <c r="F4198" t="inlineStr">
        <is>
          <t>B089KPF976</t>
        </is>
      </c>
      <c r="G4198">
        <f>_xludf.IMAGE("https://www.soccerplususa.com/prodimages/4487-DEFAULT-l.jpg")</f>
        <v/>
      </c>
      <c r="H4198">
        <f>_xludf.IMAGE("https://m.media-amazon.com/images/I/51b3AawfjOL._AC_UL320_.jpg")</f>
        <v/>
      </c>
      <c r="K4198" t="inlineStr">
        <is>
          <t>30.0</t>
        </is>
      </c>
      <c r="L4198" t="n">
        <v>30.5</v>
      </c>
      <c r="M4198" s="1" t="inlineStr">
        <is>
          <t>1.67%</t>
        </is>
      </c>
      <c r="N4198" s="3" t="n">
        <v>1.67</v>
      </c>
      <c r="O4198" t="n">
        <v>5</v>
      </c>
      <c r="P4198" t="n">
        <v>2</v>
      </c>
      <c r="R4198" t="inlineStr">
        <is>
          <t>InStock</t>
        </is>
      </c>
      <c r="S4198" t="inlineStr">
        <is>
          <t>59.95</t>
        </is>
      </c>
      <c r="T4198" t="inlineStr">
        <is>
          <t>S15899</t>
        </is>
      </c>
    </row>
    <row r="4199" hidden="1" ht="15.75" customHeight="1">
      <c r="A4199" s="2">
        <f>HYPERLINK("https://www.soccerplususa.com/adidas/adidas-tiro-19-training-jacket-youth-33998", "https://www.soccerplususa.com/adidas/adidas-tiro-19-training-jacket-youth-33998")</f>
        <v/>
      </c>
      <c r="B4199" t="inlineStr">
        <is>
          <t>undefined</t>
        </is>
      </c>
      <c r="C4199" t="inlineStr">
        <is>
          <t>adidas Tiro 19 Training Jacket Youth</t>
        </is>
      </c>
      <c r="D4199" t="inlineStr">
        <is>
          <t>adidas Tiro 19 Youth Warm Top Soccer Jacket</t>
        </is>
      </c>
      <c r="E4199" s="2">
        <f>HYPERLINK("https://www.amazon.com/adidas-Youth-Soccer-Jacket-Medium/dp/B07JBBM66J/ref=sr_1_6?keywords=adidas+Tiro+19+Training+Jacket+Youth&amp;qid=1695171164&amp;sr=8-6", "https://www.amazon.com/adidas-Youth-Soccer-Jacket-Medium/dp/B07JBBM66J/ref=sr_1_6?keywords=adidas+Tiro+19+Training+Jacket+Youth&amp;qid=1695171164&amp;sr=8-6")</f>
        <v/>
      </c>
      <c r="F4199" t="inlineStr">
        <is>
          <t>B07JBBM66J</t>
        </is>
      </c>
      <c r="G4199">
        <f>_xludf.IMAGE("https://www.soccerplususa.com/prodimages/7897-DEFAULT-l.jpg")</f>
        <v/>
      </c>
      <c r="H4199">
        <f>_xludf.IMAGE("https://m.media-amazon.com/images/I/5115MWy0jsL._AC_UL320_.jpg")</f>
        <v/>
      </c>
      <c r="K4199" t="inlineStr">
        <is>
          <t>45.0</t>
        </is>
      </c>
      <c r="L4199" t="n">
        <v>45.5</v>
      </c>
      <c r="M4199" s="1" t="inlineStr">
        <is>
          <t>1.11%</t>
        </is>
      </c>
      <c r="N4199" s="3" t="n">
        <v>1.11</v>
      </c>
      <c r="O4199" t="n">
        <v>4.4</v>
      </c>
      <c r="P4199" t="n">
        <v>17</v>
      </c>
      <c r="R4199" t="inlineStr">
        <is>
          <t>InStock</t>
        </is>
      </c>
      <c r="S4199" t="inlineStr">
        <is>
          <t>59.95</t>
        </is>
      </c>
      <c r="T4199" t="inlineStr">
        <is>
          <t>DT5276</t>
        </is>
      </c>
    </row>
    <row r="4200" hidden="1" ht="15.75" customHeight="1">
      <c r="A4200" s="2">
        <f>HYPERLINK("https://www.soccerplususa.com/under-armour/under-armour-cold-gear-armour-mock-youth-33310", "https://www.soccerplususa.com/under-armour/under-armour-cold-gear-armour-mock-youth-33310")</f>
        <v/>
      </c>
      <c r="B4200" t="inlineStr">
        <is>
          <t>undefined</t>
        </is>
      </c>
      <c r="C4200" t="inlineStr">
        <is>
          <t>Under Armour Cold Gear Armour Mock Youth</t>
        </is>
      </c>
      <c r="D4200" t="inlineStr">
        <is>
          <t>Under Armour Boys' ColdGear Mock Long Sleeve T-Shirt</t>
        </is>
      </c>
      <c r="E4200" s="2">
        <f>HYPERLINK("https://www.amazon.com/Under-Armour-ColdGear-Sleeve-T-Shirt/dp/B08LN9CN29/ref=sr_1_3?keywords=Under+Armour+Cold+Gear+Armour+Mock+Youth&amp;qid=1695171174&amp;sr=8-3", "https://www.amazon.com/Under-Armour-ColdGear-Sleeve-T-Shirt/dp/B08LN9CN29/ref=sr_1_3?keywords=Under+Armour+Cold+Gear+Armour+Mock+Youth&amp;qid=1695171174&amp;sr=8-3")</f>
        <v/>
      </c>
      <c r="F4200" t="inlineStr">
        <is>
          <t>B08LN9CN29</t>
        </is>
      </c>
      <c r="G4200">
        <f>_xludf.IMAGE("https://www.soccerplususa.com/prodimages/5586-DEFAULT-l.jpg")</f>
        <v/>
      </c>
      <c r="H4200">
        <f>_xludf.IMAGE("https://m.media-amazon.com/images/I/41RZhJHj3DL._AC_UL320_.jpg")</f>
        <v/>
      </c>
      <c r="K4200" t="inlineStr">
        <is>
          <t>39.95</t>
        </is>
      </c>
      <c r="L4200" t="n">
        <v>40.39</v>
      </c>
      <c r="M4200" s="1" t="inlineStr">
        <is>
          <t>1.10%</t>
        </is>
      </c>
      <c r="N4200" s="3" t="n">
        <v>1.1</v>
      </c>
      <c r="O4200" t="n">
        <v>4.8</v>
      </c>
      <c r="P4200" t="n">
        <v>345</v>
      </c>
      <c r="R4200" t="inlineStr">
        <is>
          <t>InStock</t>
        </is>
      </c>
      <c r="S4200" t="inlineStr">
        <is>
          <t>undefined</t>
        </is>
      </c>
      <c r="T4200" t="inlineStr">
        <is>
          <t>1288343-001</t>
        </is>
      </c>
    </row>
    <row r="4201" hidden="1" ht="15.75" customHeight="1">
      <c r="A4201" s="2">
        <f>HYPERLINK("https://www.soccerplususa.com/under-armour/under-armour-cold-gear-armour-mock-youth-33311", "https://www.soccerplususa.com/under-armour/under-armour-cold-gear-armour-mock-youth-33311")</f>
        <v/>
      </c>
      <c r="B4201" t="inlineStr">
        <is>
          <t>undefined</t>
        </is>
      </c>
      <c r="C4201" t="inlineStr">
        <is>
          <t>Under Armour Cold Gear Armour Mock Youth</t>
        </is>
      </c>
      <c r="D4201" t="inlineStr">
        <is>
          <t>Under Armour Boys' ColdGear Mock Long Sleeve T-Shirt</t>
        </is>
      </c>
      <c r="E4201" s="2">
        <f>HYPERLINK("https://www.amazon.com/Under-Armour-ColdGear-Sleeve-T-Shirt/dp/B08LN9CN29/ref=sr_1_5?keywords=Under+Armour+Cold+Gear+Armour+Mock+Youth&amp;qid=1695171169&amp;sr=8-5", "https://www.amazon.com/Under-Armour-ColdGear-Sleeve-T-Shirt/dp/B08LN9CN29/ref=sr_1_5?keywords=Under+Armour+Cold+Gear+Armour+Mock+Youth&amp;qid=1695171169&amp;sr=8-5")</f>
        <v/>
      </c>
      <c r="F4201" t="inlineStr">
        <is>
          <t>B08LN9CN29</t>
        </is>
      </c>
      <c r="G4201">
        <f>_xludf.IMAGE("https://www.soccerplususa.com/prodimages/5585-DEFAULT-l.jpg")</f>
        <v/>
      </c>
      <c r="H4201">
        <f>_xludf.IMAGE("https://m.media-amazon.com/images/I/41RZhJHj3DL._AC_UL320_.jpg")</f>
        <v/>
      </c>
      <c r="K4201" t="inlineStr">
        <is>
          <t>39.95</t>
        </is>
      </c>
      <c r="L4201" t="n">
        <v>40.39</v>
      </c>
      <c r="M4201" s="1" t="inlineStr">
        <is>
          <t>1.10%</t>
        </is>
      </c>
      <c r="N4201" s="3" t="n">
        <v>1.1</v>
      </c>
      <c r="O4201" t="n">
        <v>4.8</v>
      </c>
      <c r="P4201" t="n">
        <v>345</v>
      </c>
      <c r="R4201" t="inlineStr">
        <is>
          <t>InStock</t>
        </is>
      </c>
      <c r="S4201" t="inlineStr">
        <is>
          <t>undefined</t>
        </is>
      </c>
      <c r="T4201" t="inlineStr">
        <is>
          <t>1288343-100</t>
        </is>
      </c>
    </row>
    <row r="4202" hidden="1" ht="15.75" customHeight="1">
      <c r="A4202" s="2">
        <f>HYPERLINK("https://www.soccerplususa.com/under-armour/under-armour-cold-gear-armour-crew-youth-33312", "https://www.soccerplususa.com/under-armour/under-armour-cold-gear-armour-crew-youth-33312")</f>
        <v/>
      </c>
      <c r="B4202" t="inlineStr">
        <is>
          <t>undefined</t>
        </is>
      </c>
      <c r="C4202" t="inlineStr">
        <is>
          <t>Under Armour Cold Gear Armour Crew Youth</t>
        </is>
      </c>
      <c r="D4202" t="inlineStr">
        <is>
          <t>Under Armour Boys' ColdGear Mock Long Sleeve T-Shirt</t>
        </is>
      </c>
      <c r="E4202" s="2">
        <f>HYPERLINK("https://www.amazon.com/Under-Armour-ColdGear-Sleeve-T-Shirt/dp/B08LN9CN29/ref=sr_1_4?keywords=Under+Armour+Cold+Gear+Armour+Crew+Youth&amp;qid=1695171168&amp;sr=8-4", "https://www.amazon.com/Under-Armour-ColdGear-Sleeve-T-Shirt/dp/B08LN9CN29/ref=sr_1_4?keywords=Under+Armour+Cold+Gear+Armour+Crew+Youth&amp;qid=1695171168&amp;sr=8-4")</f>
        <v/>
      </c>
      <c r="F4202" t="inlineStr">
        <is>
          <t>B08LN9CN29</t>
        </is>
      </c>
      <c r="G4202">
        <f>_xludf.IMAGE("https://www.soccerplususa.com/prodimages/5584-DEFAULT-l.jpg")</f>
        <v/>
      </c>
      <c r="H4202">
        <f>_xludf.IMAGE("https://m.media-amazon.com/images/I/41RZhJHj3DL._AC_UL320_.jpg")</f>
        <v/>
      </c>
      <c r="K4202" t="inlineStr">
        <is>
          <t>39.95</t>
        </is>
      </c>
      <c r="L4202" t="n">
        <v>40.39</v>
      </c>
      <c r="M4202" s="1" t="inlineStr">
        <is>
          <t>1.10%</t>
        </is>
      </c>
      <c r="N4202" s="3" t="n">
        <v>1.1</v>
      </c>
      <c r="O4202" t="n">
        <v>4.8</v>
      </c>
      <c r="P4202" t="n">
        <v>345</v>
      </c>
      <c r="R4202" t="inlineStr">
        <is>
          <t>InStock</t>
        </is>
      </c>
      <c r="S4202" t="inlineStr">
        <is>
          <t>undefined</t>
        </is>
      </c>
      <c r="T4202" t="inlineStr">
        <is>
          <t>1288344-001</t>
        </is>
      </c>
    </row>
    <row r="4203" hidden="1" ht="15.75" customHeight="1">
      <c r="A4203" s="2">
        <f>HYPERLINK("https://www.soccerplususa.com/nike/nike-tiempo-premier-jersey-womens-34614", "https://www.soccerplususa.com/nike/nike-tiempo-premier-jersey-womens-34614")</f>
        <v/>
      </c>
      <c r="B4203" t="inlineStr">
        <is>
          <t>undefined</t>
        </is>
      </c>
      <c r="C4203" t="inlineStr">
        <is>
          <t>Nike Tiempo Premier Jersey Women's</t>
        </is>
      </c>
      <c r="D4203" t="inlineStr">
        <is>
          <t>Nike Womens Tiempo Premier Soccer Jersey</t>
        </is>
      </c>
      <c r="E4203" s="2">
        <f>HYPERLINK("https://www.amazon.com/Nike-Womens-Sleeve-Tiempo-Premier/dp/B07VP5XTZN/ref=sr_1_1?keywords=Nike+Tiempo+Premier+Jersey+Womens&amp;qid=1695171162&amp;sr=8-1", "https://www.amazon.com/Nike-Womens-Sleeve-Tiempo-Premier/dp/B07VP5XTZN/ref=sr_1_1?keywords=Nike+Tiempo+Premier+Jersey+Womens&amp;qid=1695171162&amp;sr=8-1")</f>
        <v/>
      </c>
      <c r="F4203" t="inlineStr">
        <is>
          <t>B07VP5XTZN</t>
        </is>
      </c>
      <c r="G4203">
        <f>_xludf.IMAGE("https://www.soccerplususa.com/prodimages/32884-DEFAULT-l.jpg")</f>
        <v/>
      </c>
      <c r="H4203">
        <f>_xludf.IMAGE("https://m.media-amazon.com/images/I/61tZE1LZq-L._AC_UL320_.jpg")</f>
        <v/>
      </c>
      <c r="K4203" t="inlineStr">
        <is>
          <t>18.99</t>
        </is>
      </c>
      <c r="L4203" t="n">
        <v>19.1</v>
      </c>
      <c r="M4203" s="1" t="inlineStr">
        <is>
          <t>0.58%</t>
        </is>
      </c>
      <c r="N4203" s="3" t="n">
        <v>0.58</v>
      </c>
      <c r="O4203" t="n">
        <v>3.8</v>
      </c>
      <c r="P4203" t="n">
        <v>7</v>
      </c>
      <c r="R4203" t="inlineStr">
        <is>
          <t>InStock</t>
        </is>
      </c>
      <c r="S4203" t="inlineStr">
        <is>
          <t>24.95</t>
        </is>
      </c>
      <c r="T4203" t="inlineStr">
        <is>
          <t>894495-101</t>
        </is>
      </c>
    </row>
    <row r="4204" hidden="1" ht="15.75" customHeight="1">
      <c r="A4204" s="2">
        <f>HYPERLINK("https://www.soccerplususa.com/nike/nike-dry-football-top-24043", "https://www.soccerplususa.com/nike/nike-dry-football-top-24043")</f>
        <v/>
      </c>
      <c r="B4204" t="inlineStr">
        <is>
          <t>undefined</t>
        </is>
      </c>
      <c r="C4204" t="inlineStr">
        <is>
          <t>Nike Dry Football Top</t>
        </is>
      </c>
      <c r="D4204" t="inlineStr">
        <is>
          <t>Nike Men's Dry Training Top</t>
        </is>
      </c>
      <c r="E4204" s="2">
        <f>HYPERLINK("https://www.amazon.com/Nike-Training-Black-Silver-X-Large/dp/B010RS4T7Y/ref=sr_1_1?keywords=Nike+Dry+Football+Top&amp;qid=1695171187&amp;sr=8-1", "https://www.amazon.com/Nike-Training-Black-Silver-X-Large/dp/B010RS4T7Y/ref=sr_1_1?keywords=Nike+Dry+Football+Top&amp;qid=1695171187&amp;sr=8-1")</f>
        <v/>
      </c>
      <c r="F4204" t="inlineStr">
        <is>
          <t>B010RS4T7Y</t>
        </is>
      </c>
      <c r="G4204">
        <f>_xludf.IMAGE("https://www.soccerplususa.com/prodimages/3528-DEFAULT-l.jpg")</f>
        <v/>
      </c>
      <c r="H4204">
        <f>_xludf.IMAGE("https://m.media-amazon.com/images/I/51WWS50QL8L._AC_UL320_.jpg")</f>
        <v/>
      </c>
      <c r="K4204" t="inlineStr">
        <is>
          <t>29.95</t>
        </is>
      </c>
      <c r="L4204" t="n">
        <v>29.99</v>
      </c>
      <c r="M4204" s="1" t="inlineStr">
        <is>
          <t>0.13%</t>
        </is>
      </c>
      <c r="N4204" s="3" t="n">
        <v>0.13</v>
      </c>
      <c r="O4204" t="n">
        <v>4.5</v>
      </c>
      <c r="P4204" t="n">
        <v>770</v>
      </c>
      <c r="R4204" t="inlineStr">
        <is>
          <t>InStock</t>
        </is>
      </c>
      <c r="S4204" t="inlineStr">
        <is>
          <t>49.95</t>
        </is>
      </c>
      <c r="T4204" t="inlineStr">
        <is>
          <t>807073-702</t>
        </is>
      </c>
    </row>
    <row r="4205" hidden="1" ht="15.75" customHeight="1">
      <c r="A4205" s="2">
        <f>HYPERLINK("https://www.soccerplususa.com/nike/nike-academy-drill-top-youth-43256", "https://www.soccerplususa.com/nike/nike-academy-drill-top-youth-43256")</f>
        <v/>
      </c>
      <c r="B4205" t="inlineStr">
        <is>
          <t>undefined</t>
        </is>
      </c>
      <c r="C4205" t="inlineStr">
        <is>
          <t>Nike Academy Drill Top Youth</t>
        </is>
      </c>
      <c r="D4205" t="inlineStr">
        <is>
          <t>Nike Women's Team Academy 19 Drill Top</t>
        </is>
      </c>
      <c r="E4205" s="2">
        <f>HYPERLINK("https://www.amazon.com/Nike-Womens-Academy-Drill-Scarlet/dp/B0955CWH44/ref=sr_1_6?keywords=Nike+Academy+Drill+Top+Youth&amp;qid=1695171160&amp;sr=8-6", "https://www.amazon.com/Nike-Womens-Academy-Drill-Scarlet/dp/B0955CWH44/ref=sr_1_6?keywords=Nike+Academy+Drill+Top+Youth&amp;qid=1695171160&amp;sr=8-6")</f>
        <v/>
      </c>
      <c r="F4205" t="inlineStr">
        <is>
          <t>B0955CWH44</t>
        </is>
      </c>
      <c r="G4205">
        <f>_xludf.IMAGE("https://www.soccerplususa.com/prodimages//35431-BLACKWHITE-M.jpg")</f>
        <v/>
      </c>
      <c r="H4205">
        <f>_xludf.IMAGE("https://m.media-amazon.com/images/I/51gSsnO1-FS._AC_UL320_.jpg")</f>
        <v/>
      </c>
      <c r="K4205" t="inlineStr">
        <is>
          <t>49.95</t>
        </is>
      </c>
      <c r="L4205" t="n">
        <v>49.99</v>
      </c>
      <c r="M4205" s="1" t="inlineStr">
        <is>
          <t>0.08%</t>
        </is>
      </c>
      <c r="N4205" s="3" t="n">
        <v>0.08</v>
      </c>
      <c r="O4205" t="n">
        <v>5</v>
      </c>
      <c r="P4205" t="n">
        <v>1</v>
      </c>
      <c r="R4205" t="inlineStr">
        <is>
          <t>InStock</t>
        </is>
      </c>
      <c r="S4205" t="inlineStr">
        <is>
          <t>undefined</t>
        </is>
      </c>
      <c r="T4205" t="inlineStr">
        <is>
          <t>CW6112-010</t>
        </is>
      </c>
    </row>
    <row r="4206" hidden="1" ht="15.75" customHeight="1">
      <c r="A4206" s="2">
        <f>HYPERLINK("https://www.soccerplususa.com/nike/nike-academy-drill-top-youth-43256", "https://www.soccerplususa.com/nike/nike-academy-drill-top-youth-43256")</f>
        <v/>
      </c>
      <c r="B4206" t="inlineStr">
        <is>
          <t>undefined</t>
        </is>
      </c>
      <c r="C4206" t="inlineStr">
        <is>
          <t>Nike Academy Drill Top Youth</t>
        </is>
      </c>
      <c r="D4206" t="inlineStr">
        <is>
          <t>Nike Men's Dry Academy 18 Drill Football Top (Tour</t>
        </is>
      </c>
      <c r="E4206" s="2">
        <f>HYPERLINK("https://www.amazon.com/Nike-Academy-Football-Yellow-Anthracite/dp/B079JXBFFJ/ref=sr_1_1?keywords=Nike+Academy+Drill+Top+Youth&amp;qid=1695171160&amp;sr=8-1", "https://www.amazon.com/Nike-Academy-Football-Yellow-Anthracite/dp/B079JXBFFJ/ref=sr_1_1?keywords=Nike+Academy+Drill+Top+Youth&amp;qid=1695171160&amp;sr=8-1")</f>
        <v/>
      </c>
      <c r="F4206" t="inlineStr">
        <is>
          <t>B079JXBFFJ</t>
        </is>
      </c>
      <c r="G4206">
        <f>_xludf.IMAGE("https://www.soccerplususa.com/prodimages//35431-BLACKWHITE-M.jpg")</f>
        <v/>
      </c>
      <c r="H4206">
        <f>_xludf.IMAGE("https://m.media-amazon.com/images/I/71I1JaoQ1FL._AC_UL320_.jpg")</f>
        <v/>
      </c>
      <c r="K4206" t="inlineStr">
        <is>
          <t>49.95</t>
        </is>
      </c>
      <c r="L4206" t="n">
        <v>49.99</v>
      </c>
      <c r="M4206" s="1" t="inlineStr">
        <is>
          <t>0.08%</t>
        </is>
      </c>
      <c r="N4206" s="3" t="n">
        <v>0.08</v>
      </c>
      <c r="O4206" t="n">
        <v>4.4</v>
      </c>
      <c r="P4206" t="n">
        <v>20</v>
      </c>
      <c r="R4206" t="inlineStr">
        <is>
          <t>InStock</t>
        </is>
      </c>
      <c r="S4206" t="inlineStr">
        <is>
          <t>undefined</t>
        </is>
      </c>
      <c r="T4206" t="inlineStr">
        <is>
          <t>CW6112-010</t>
        </is>
      </c>
    </row>
    <row r="4207" hidden="1" ht="15.75" customHeight="1">
      <c r="A4207" s="2">
        <f>HYPERLINK("https://www.soccerplususa.com/nike/nike-academy-drill-top-youth-43256", "https://www.soccerplususa.com/nike/nike-academy-drill-top-youth-43256")</f>
        <v/>
      </c>
      <c r="B4207" t="inlineStr">
        <is>
          <t>undefined</t>
        </is>
      </c>
      <c r="C4207" t="inlineStr">
        <is>
          <t>Nike Academy Drill Top Youth</t>
        </is>
      </c>
      <c r="D4207" t="inlineStr">
        <is>
          <t>Nike Women's Academy 18 Drill Top</t>
        </is>
      </c>
      <c r="E4207" s="2">
        <f>HYPERLINK("https://www.amazon.com/Nike-Womens-Academy-Drill-Royal/dp/B079MSB8T1/ref=sr_1_2?keywords=Nike+Academy+Drill+Top+Youth&amp;qid=1695171160&amp;sr=8-2", "https://www.amazon.com/Nike-Womens-Academy-Drill-Royal/dp/B079MSB8T1/ref=sr_1_2?keywords=Nike+Academy+Drill+Top+Youth&amp;qid=1695171160&amp;sr=8-2")</f>
        <v/>
      </c>
      <c r="F4207" t="inlineStr">
        <is>
          <t>B079MSB8T1</t>
        </is>
      </c>
      <c r="G4207">
        <f>_xludf.IMAGE("https://www.soccerplususa.com/prodimages//35431-BLACKWHITE-M.jpg")</f>
        <v/>
      </c>
      <c r="H4207">
        <f>_xludf.IMAGE("https://m.media-amazon.com/images/I/81R2WXsYEfL._AC_UL320_.jpg")</f>
        <v/>
      </c>
      <c r="K4207" t="inlineStr">
        <is>
          <t>49.95</t>
        </is>
      </c>
      <c r="L4207" t="n">
        <v>49.99</v>
      </c>
      <c r="M4207" s="1" t="inlineStr">
        <is>
          <t>0.08%</t>
        </is>
      </c>
      <c r="N4207" s="3" t="n">
        <v>0.08</v>
      </c>
      <c r="O4207" t="n">
        <v>4.4</v>
      </c>
      <c r="P4207" t="n">
        <v>378</v>
      </c>
      <c r="R4207" t="inlineStr">
        <is>
          <t>InStock</t>
        </is>
      </c>
      <c r="S4207" t="inlineStr">
        <is>
          <t>undefined</t>
        </is>
      </c>
      <c r="T4207" t="inlineStr">
        <is>
          <t>CW6112-010</t>
        </is>
      </c>
    </row>
    <row r="4208" hidden="1" ht="15.75" customHeight="1">
      <c r="A4208" s="2">
        <f>HYPERLINK("https://www.soccerplususa.com/adidas/adidas-tiro23-league-windbreaker-youth-45911", "https://www.soccerplususa.com/adidas/adidas-tiro23-league-windbreaker-youth-45911")</f>
        <v/>
      </c>
      <c r="B4208" t="inlineStr">
        <is>
          <t>undefined</t>
        </is>
      </c>
      <c r="C4208" t="inlineStr">
        <is>
          <t>adidas Tiro23 League Windbreaker Youth</t>
        </is>
      </c>
      <c r="D4208" t="inlineStr">
        <is>
          <t>adidas Kids' Tiro23 League Windbreaker</t>
        </is>
      </c>
      <c r="E4208" s="2">
        <f>HYPERLINK("https://www.amazon.com/adidas-unisex-child-Tiro23-Windbreaker-X-Small/dp/B09YBBDMZ5/ref=sr_1_1?keywords=adidas+tiro+23+league+windbreaker+youth&amp;qid=1695171149&amp;sr=8-1", "https://www.amazon.com/adidas-unisex-child-Tiro23-Windbreaker-X-Small/dp/B09YBBDMZ5/ref=sr_1_1?keywords=adidas+tiro+23+league+windbreaker+youth&amp;qid=1695171149&amp;sr=8-1")</f>
        <v/>
      </c>
      <c r="F4208" t="inlineStr">
        <is>
          <t>B09YBBDMZ5</t>
        </is>
      </c>
      <c r="G4208">
        <f>_xludf.IMAGE("https://www.soccerplususa.com/prodimages//37897-BLACKWHITE-M.jpg")</f>
        <v/>
      </c>
      <c r="H4208">
        <f>_xludf.IMAGE("https://m.media-amazon.com/images/I/61m+F4Yi8pL._AC_UL320_.jpg")</f>
        <v/>
      </c>
      <c r="K4208" t="inlineStr">
        <is>
          <t>64.95</t>
        </is>
      </c>
      <c r="L4208" t="n">
        <v>65</v>
      </c>
      <c r="M4208" s="1" t="inlineStr">
        <is>
          <t>0.08%</t>
        </is>
      </c>
      <c r="N4208" s="3" t="n">
        <v>0.08</v>
      </c>
      <c r="O4208" t="n">
        <v>5</v>
      </c>
      <c r="P4208" t="n">
        <v>2</v>
      </c>
      <c r="R4208" t="inlineStr">
        <is>
          <t>InStock</t>
        </is>
      </c>
      <c r="S4208" t="inlineStr">
        <is>
          <t>undefined</t>
        </is>
      </c>
      <c r="T4208" t="inlineStr">
        <is>
          <t>IA1623</t>
        </is>
      </c>
    </row>
    <row r="4209" hidden="1" ht="15.75" customHeight="1">
      <c r="A4209" s="2">
        <f>HYPERLINK("https://www.soccerplususa.com/under-armour/under-armour-cold-gear-armour-crew-youth-33312", "https://www.soccerplususa.com/under-armour/under-armour-cold-gear-armour-crew-youth-33312")</f>
        <v/>
      </c>
      <c r="B4209" t="inlineStr">
        <is>
          <t>undefined</t>
        </is>
      </c>
      <c r="C4209" t="inlineStr">
        <is>
          <t>Under Armour Cold Gear Armour Crew Youth</t>
        </is>
      </c>
      <c r="D4209" t="inlineStr">
        <is>
          <t>Under Armour Boys' ColdGear Long Sleeve T-Shirt</t>
        </is>
      </c>
      <c r="E4209" s="2">
        <f>HYPERLINK("https://www.amazon.com/Under-Armour-ColdGear-Sleeve-T-Shirt/dp/B08LMRGLYG/ref=sr_1_3?keywords=Under+Armour+Cold+Gear+Armour+Crew+Youth&amp;qid=1695171168&amp;sr=8-3", "https://www.amazon.com/Under-Armour-ColdGear-Sleeve-T-Shirt/dp/B08LMRGLYG/ref=sr_1_3?keywords=Under+Armour+Cold+Gear+Armour+Crew+Youth&amp;qid=1695171168&amp;sr=8-3")</f>
        <v/>
      </c>
      <c r="F4209" t="inlineStr">
        <is>
          <t>B08LMRGLYG</t>
        </is>
      </c>
      <c r="G4209">
        <f>_xludf.IMAGE("https://www.soccerplususa.com/prodimages/5584-DEFAULT-l.jpg")</f>
        <v/>
      </c>
      <c r="H4209">
        <f>_xludf.IMAGE("https://m.media-amazon.com/images/I/61Zu172sO6L._AC_UL320_.jpg")</f>
        <v/>
      </c>
      <c r="K4209" t="inlineStr">
        <is>
          <t>39.95</t>
        </is>
      </c>
      <c r="L4209" t="n">
        <v>39.97</v>
      </c>
      <c r="M4209" s="1" t="inlineStr">
        <is>
          <t>0.05%</t>
        </is>
      </c>
      <c r="N4209" s="3" t="n">
        <v>0.05</v>
      </c>
      <c r="O4209" t="n">
        <v>4.8</v>
      </c>
      <c r="P4209" t="n">
        <v>193</v>
      </c>
      <c r="R4209" t="inlineStr">
        <is>
          <t>InStock</t>
        </is>
      </c>
      <c r="S4209" t="inlineStr">
        <is>
          <t>undefined</t>
        </is>
      </c>
      <c r="T4209" t="inlineStr">
        <is>
          <t>1288344-001</t>
        </is>
      </c>
    </row>
    <row r="4210" hidden="1" ht="15.75" customHeight="1">
      <c r="A4210" s="2">
        <f>HYPERLINK("https://www.soccerplususa.com/puma/puma-teamfinal-21-graphic-jersey-youth-41908", "https://www.soccerplususa.com/puma/puma-teamfinal-21-graphic-jersey-youth-41908")</f>
        <v/>
      </c>
      <c r="B4210" t="inlineStr">
        <is>
          <t>undefined</t>
        </is>
      </c>
      <c r="C4210" t="inlineStr">
        <is>
          <t>Puma Teamfinal 21 Graphic Jersey Youth</t>
        </is>
      </c>
      <c r="D4210" t="inlineStr">
        <is>
          <t>PUMA Men's Teamfinal 21 Graphic Jersey</t>
        </is>
      </c>
      <c r="E4210" s="2">
        <f>HYPERLINK("https://www.amazon.com/PUMA-Teamfinal-Graphic-Jersey-Glimmer/dp/B086RRH16L/ref=sr_1_2?keywords=Puma+Teamfinal+21+Graphic+Jersey+Youth&amp;qid=1695171144&amp;sr=8-2", "https://www.amazon.com/PUMA-Teamfinal-Graphic-Jersey-Glimmer/dp/B086RRH16L/ref=sr_1_2?keywords=Puma+Teamfinal+21+Graphic+Jersey+Youth&amp;qid=1695171144&amp;sr=8-2")</f>
        <v/>
      </c>
      <c r="F4210" t="inlineStr">
        <is>
          <t>B086RRH16L</t>
        </is>
      </c>
      <c r="G4210">
        <f>_xludf.IMAGE("https://www.soccerplususa.com/prodimages//37410-NAVY-M.jpg")</f>
        <v/>
      </c>
      <c r="H4210">
        <f>_xludf.IMAGE("https://m.media-amazon.com/images/I/51cHF+BWyDL._AC_UL320_.jpg")</f>
        <v/>
      </c>
      <c r="K4210" t="inlineStr">
        <is>
          <t>29.99</t>
        </is>
      </c>
      <c r="L4210" t="n">
        <v>30</v>
      </c>
      <c r="M4210" s="1" t="inlineStr">
        <is>
          <t>0.03%</t>
        </is>
      </c>
      <c r="N4210" s="3" t="n">
        <v>0.03</v>
      </c>
      <c r="O4210" t="n">
        <v>5</v>
      </c>
      <c r="P4210" t="n">
        <v>1</v>
      </c>
      <c r="R4210" t="inlineStr">
        <is>
          <t>InStock</t>
        </is>
      </c>
      <c r="S4210" t="inlineStr">
        <is>
          <t>39.95</t>
        </is>
      </c>
      <c r="T4210" t="inlineStr">
        <is>
          <t>704369-06</t>
        </is>
      </c>
    </row>
    <row r="4211" hidden="1" ht="15.75" customHeight="1">
      <c r="A4211" s="2">
        <f>HYPERLINK("https://www.soccerplususa.com/puma/puma-teamfinal-21-graphic-jersey-youth-42095", "https://www.soccerplususa.com/puma/puma-teamfinal-21-graphic-jersey-youth-42095")</f>
        <v/>
      </c>
      <c r="B4211" t="inlineStr">
        <is>
          <t>undefined</t>
        </is>
      </c>
      <c r="C4211" t="inlineStr">
        <is>
          <t>Puma Teamfinal 21 Graphic Jersey Youth</t>
        </is>
      </c>
      <c r="D4211" t="inlineStr">
        <is>
          <t>PUMA Men's Teamfinal 21 Graphic Jersey</t>
        </is>
      </c>
      <c r="E4211" s="2">
        <f>HYPERLINK("https://www.amazon.com/PUMA-Teamfinal-Graphic-Jersey-Glimmer/dp/B086RRH16L/ref=sr_1_2?keywords=Puma+Teamfinal+21+Graphic+Jersey+Youth&amp;qid=1695171148&amp;sr=8-2", "https://www.amazon.com/PUMA-Teamfinal-Graphic-Jersey-Glimmer/dp/B086RRH16L/ref=sr_1_2?keywords=Puma+Teamfinal+21+Graphic+Jersey+Youth&amp;qid=1695171148&amp;sr=8-2")</f>
        <v/>
      </c>
      <c r="F4211" t="inlineStr">
        <is>
          <t>B086RRH16L</t>
        </is>
      </c>
      <c r="G4211">
        <f>_xludf.IMAGE("https://www.soccerplususa.com/prodimages//37424-BLACK-M.jpg")</f>
        <v/>
      </c>
      <c r="H4211">
        <f>_xludf.IMAGE("https://m.media-amazon.com/images/I/51cHF+BWyDL._AC_UL320_.jpg")</f>
        <v/>
      </c>
      <c r="K4211" t="inlineStr">
        <is>
          <t>29.99</t>
        </is>
      </c>
      <c r="L4211" t="n">
        <v>30</v>
      </c>
      <c r="M4211" s="1" t="inlineStr">
        <is>
          <t>0.03%</t>
        </is>
      </c>
      <c r="N4211" s="3" t="n">
        <v>0.03</v>
      </c>
      <c r="O4211" t="n">
        <v>5</v>
      </c>
      <c r="P4211" t="n">
        <v>1</v>
      </c>
      <c r="R4211" t="inlineStr">
        <is>
          <t>InStock</t>
        </is>
      </c>
      <c r="S4211" t="inlineStr">
        <is>
          <t>39.95</t>
        </is>
      </c>
      <c r="T4211" t="inlineStr">
        <is>
          <t>704369-03</t>
        </is>
      </c>
    </row>
    <row r="4212" hidden="1" ht="15.75" customHeight="1">
      <c r="A4212" s="2">
        <f>HYPERLINK("https://www.soccerplususa.com/puma/puma-teamfinal-21-graphic-jersey-youth-42132", "https://www.soccerplususa.com/puma/puma-teamfinal-21-graphic-jersey-youth-42132")</f>
        <v/>
      </c>
      <c r="B4212" t="inlineStr">
        <is>
          <t>undefined</t>
        </is>
      </c>
      <c r="C4212" t="inlineStr">
        <is>
          <t>Puma Teamfinal 21 Graphic Jersey Youth</t>
        </is>
      </c>
      <c r="D4212" t="inlineStr">
        <is>
          <t>PUMA Men's Teamfinal 21 Graphic Jersey</t>
        </is>
      </c>
      <c r="E4212" s="2">
        <f>HYPERLINK("https://www.amazon.com/PUMA-Teamfinal-Graphic-Jersey-Glimmer/dp/B086RRH16L/ref=sr_1_2?keywords=Puma+Teamfinal+21+Graphic+Jersey+Youth&amp;qid=1695171148&amp;sr=8-2", "https://www.amazon.com/PUMA-Teamfinal-Graphic-Jersey-Glimmer/dp/B086RRH16L/ref=sr_1_2?keywords=Puma+Teamfinal+21+Graphic+Jersey+Youth&amp;qid=1695171148&amp;sr=8-2")</f>
        <v/>
      </c>
      <c r="F4212" t="inlineStr">
        <is>
          <t>B086RRH16L</t>
        </is>
      </c>
      <c r="G4212">
        <f>_xludf.IMAGE("https://www.soccerplususa.com/prodimages//37417-GRAY-M.jpg")</f>
        <v/>
      </c>
      <c r="H4212">
        <f>_xludf.IMAGE("https://m.media-amazon.com/images/I/51cHF+BWyDL._AC_UL320_.jpg")</f>
        <v/>
      </c>
      <c r="K4212" t="inlineStr">
        <is>
          <t>29.99</t>
        </is>
      </c>
      <c r="L4212" t="n">
        <v>30</v>
      </c>
      <c r="M4212" s="1" t="inlineStr">
        <is>
          <t>0.03%</t>
        </is>
      </c>
      <c r="N4212" s="3" t="n">
        <v>0.03</v>
      </c>
      <c r="O4212" t="n">
        <v>5</v>
      </c>
      <c r="P4212" t="n">
        <v>1</v>
      </c>
      <c r="R4212" t="inlineStr">
        <is>
          <t>InStock</t>
        </is>
      </c>
      <c r="S4212" t="inlineStr">
        <is>
          <t>39.95</t>
        </is>
      </c>
      <c r="T4212" t="inlineStr">
        <is>
          <t>704369-13</t>
        </is>
      </c>
    </row>
    <row r="4213" hidden="1" ht="15.75" customHeight="1">
      <c r="A4213" s="2">
        <f>HYPERLINK("https://www.soccerplususa.com/puma/puma-teamfinal-21-graphic-jersey-youth-38699", "https://www.soccerplususa.com/puma/puma-teamfinal-21-graphic-jersey-youth-38699")</f>
        <v/>
      </c>
      <c r="B4213" t="inlineStr">
        <is>
          <t>undefined</t>
        </is>
      </c>
      <c r="C4213" t="inlineStr">
        <is>
          <t>Puma Teamfinal 21 Graphic Jersey Youth</t>
        </is>
      </c>
      <c r="D4213" t="inlineStr">
        <is>
          <t>PUMA Men's Teamfinal 21 Graphic Jersey</t>
        </is>
      </c>
      <c r="E4213" s="2">
        <f>HYPERLINK("https://www.amazon.com/PUMA-Teamfinal-Graphic-Jersey-Glimmer/dp/B086RRH16L/ref=sr_1_2?keywords=Puma+Teamfinal+21+Graphic+Jersey+Youth&amp;qid=1695171153&amp;sr=8-2", "https://www.amazon.com/PUMA-Teamfinal-Graphic-Jersey-Glimmer/dp/B086RRH16L/ref=sr_1_2?keywords=Puma+Teamfinal+21+Graphic+Jersey+Youth&amp;qid=1695171153&amp;sr=8-2")</f>
        <v/>
      </c>
      <c r="F4213" t="inlineStr">
        <is>
          <t>B086RRH16L</t>
        </is>
      </c>
      <c r="G4213">
        <f>_xludf.IMAGE("https://www.soccerplususa.com/prodimages//36783-WhiteGray-M.jpg")</f>
        <v/>
      </c>
      <c r="H4213">
        <f>_xludf.IMAGE("https://m.media-amazon.com/images/I/51cHF+BWyDL._AC_UL320_.jpg")</f>
        <v/>
      </c>
      <c r="K4213" t="inlineStr">
        <is>
          <t>29.99</t>
        </is>
      </c>
      <c r="L4213" t="n">
        <v>29.99</v>
      </c>
      <c r="M4213" s="1" t="inlineStr">
        <is>
          <t>0.00%</t>
        </is>
      </c>
      <c r="N4213" s="3" t="n">
        <v>0</v>
      </c>
      <c r="O4213" t="n">
        <v>5</v>
      </c>
      <c r="P4213" t="n">
        <v>1</v>
      </c>
      <c r="R4213" t="inlineStr">
        <is>
          <t>InStock</t>
        </is>
      </c>
      <c r="S4213" t="inlineStr">
        <is>
          <t>39.95</t>
        </is>
      </c>
      <c r="T4213" t="inlineStr">
        <is>
          <t>704369-04</t>
        </is>
      </c>
    </row>
    <row r="4214" hidden="1" ht="15.75" customHeight="1">
      <c r="A4214" s="2">
        <f>HYPERLINK("https://www.soccerplususa.com/adidas/adidas-tabela-14-jersey-6082", "https://www.soccerplususa.com/adidas/adidas-tabela-14-jersey-6082")</f>
        <v/>
      </c>
      <c r="B4214" t="inlineStr">
        <is>
          <t>undefined</t>
        </is>
      </c>
      <c r="C4214" t="inlineStr">
        <is>
          <t>adidas Tabela 14 Jersey</t>
        </is>
      </c>
      <c r="D4214" t="inlineStr">
        <is>
          <t>adidas Women's Tabela 14 Jersey T-Shirt White</t>
        </is>
      </c>
      <c r="E4214" s="2">
        <f>HYPERLINK("https://www.amazon.com/Adidas-Tabela-Womens-Soccer-Jersey/dp/B00HWLDS9U/ref=sr_1_2?keywords=adidas+Tabela+14+Jersey&amp;qid=1695171211&amp;sr=8-2", "https://www.amazon.com/Adidas-Tabela-Womens-Soccer-Jersey/dp/B00HWLDS9U/ref=sr_1_2?keywords=adidas+Tabela+14+Jersey&amp;qid=1695171211&amp;sr=8-2")</f>
        <v/>
      </c>
      <c r="F4214" t="inlineStr">
        <is>
          <t>B00HWLDS9U</t>
        </is>
      </c>
      <c r="G4214">
        <f>_xludf.IMAGE("https://www.soccerplususa.com/prodimages/2638-DEFAULT-l.jpg")</f>
        <v/>
      </c>
      <c r="H4214">
        <f>_xludf.IMAGE("https://m.media-amazon.com/images/I/51P9FbjE8BL._AC_UL320_.jpg")</f>
        <v/>
      </c>
      <c r="K4214" t="inlineStr">
        <is>
          <t>17.5</t>
        </is>
      </c>
      <c r="L4214" t="n">
        <v>17.5</v>
      </c>
      <c r="M4214" s="1" t="inlineStr">
        <is>
          <t>0.00%</t>
        </is>
      </c>
      <c r="N4214" s="3" t="n">
        <v>0</v>
      </c>
      <c r="O4214" t="n">
        <v>3.6</v>
      </c>
      <c r="P4214" t="n">
        <v>16</v>
      </c>
      <c r="R4214" t="inlineStr">
        <is>
          <t>InStock</t>
        </is>
      </c>
      <c r="S4214" t="inlineStr">
        <is>
          <t>34.95</t>
        </is>
      </c>
      <c r="T4214" t="inlineStr">
        <is>
          <t>F50284</t>
        </is>
      </c>
    </row>
    <row r="4215" hidden="1" ht="15.75" customHeight="1">
      <c r="A4215" s="2">
        <f>HYPERLINK("https://www.soccerplususa.com/adidas/adidas-tabela-14-jersey-6078", "https://www.soccerplususa.com/adidas/adidas-tabela-14-jersey-6078")</f>
        <v/>
      </c>
      <c r="B4215" t="inlineStr">
        <is>
          <t>undefined</t>
        </is>
      </c>
      <c r="C4215" t="inlineStr">
        <is>
          <t>adidas Tabela 14 Jersey</t>
        </is>
      </c>
      <c r="D4215" t="inlineStr">
        <is>
          <t>adidas Women's Tabela 14 Jersey T-Shirt White</t>
        </is>
      </c>
      <c r="E4215" s="2">
        <f>HYPERLINK("https://www.amazon.com/Adidas-Tabela-Womens-Soccer-Jersey/dp/B00HWLDS9U/ref=sr_1_1?keywords=adidas+Tabela+14+Jersey&amp;qid=1695171215&amp;sr=8-1", "https://www.amazon.com/Adidas-Tabela-Womens-Soccer-Jersey/dp/B00HWLDS9U/ref=sr_1_1?keywords=adidas+Tabela+14+Jersey&amp;qid=1695171215&amp;sr=8-1")</f>
        <v/>
      </c>
      <c r="F4215" t="inlineStr">
        <is>
          <t>B00HWLDS9U</t>
        </is>
      </c>
      <c r="G4215">
        <f>_xludf.IMAGE("https://www.soccerplususa.com/prodimages/4489-DEFAULT-l.jpg")</f>
        <v/>
      </c>
      <c r="H4215">
        <f>_xludf.IMAGE("https://m.media-amazon.com/images/I/51P9FbjE8BL._AC_UL320_.jpg")</f>
        <v/>
      </c>
      <c r="K4215" t="inlineStr">
        <is>
          <t>17.5</t>
        </is>
      </c>
      <c r="L4215" t="n">
        <v>17.5</v>
      </c>
      <c r="M4215" s="1" t="inlineStr">
        <is>
          <t>0.00%</t>
        </is>
      </c>
      <c r="N4215" s="3" t="n">
        <v>0</v>
      </c>
      <c r="O4215" t="n">
        <v>3.6</v>
      </c>
      <c r="P4215" t="n">
        <v>16</v>
      </c>
      <c r="R4215" t="inlineStr">
        <is>
          <t>InStock</t>
        </is>
      </c>
      <c r="S4215" t="inlineStr">
        <is>
          <t>34.95</t>
        </is>
      </c>
      <c r="T4215" t="inlineStr">
        <is>
          <t>F50269</t>
        </is>
      </c>
    </row>
    <row r="4216" hidden="1" ht="15.75" customHeight="1">
      <c r="A4216" s="2">
        <f>HYPERLINK("https://www.soccerplususa.com/puma/puma-teamfinal-21-graphic-jersey-youth-42092", "https://www.soccerplususa.com/puma/puma-teamfinal-21-graphic-jersey-youth-42092")</f>
        <v/>
      </c>
      <c r="B4216" t="inlineStr">
        <is>
          <t>undefined</t>
        </is>
      </c>
      <c r="C4216" t="inlineStr">
        <is>
          <t>Puma Teamfinal 21 Graphic Jersey Youth</t>
        </is>
      </c>
      <c r="D4216" t="inlineStr">
        <is>
          <t>PUMA Men's Teamfinal 21 Graphic Jersey</t>
        </is>
      </c>
      <c r="E4216" s="2">
        <f>HYPERLINK("https://www.amazon.com/PUMA-Teamfinal-Graphic-Jersey-Glimmer/dp/B086RRH16L/ref=sr_1_2?keywords=Puma+Teamfinal+21+Graphic+Jersey+Youth&amp;qid=1695171145&amp;sr=8-2", "https://www.amazon.com/PUMA-Teamfinal-Graphic-Jersey-Glimmer/dp/B086RRH16L/ref=sr_1_2?keywords=Puma+Teamfinal+21+Graphic+Jersey+Youth&amp;qid=1695171145&amp;sr=8-2")</f>
        <v/>
      </c>
      <c r="F4216" t="inlineStr">
        <is>
          <t>B086RRH16L</t>
        </is>
      </c>
      <c r="G4216">
        <f>_xludf.IMAGE("https://www.soccerplususa.com/prodimages//37421-RED-M.jpg")</f>
        <v/>
      </c>
      <c r="H4216">
        <f>_xludf.IMAGE("https://m.media-amazon.com/images/I/51cHF+BWyDL._AC_UL320_.jpg")</f>
        <v/>
      </c>
      <c r="K4216" t="inlineStr">
        <is>
          <t>29.99</t>
        </is>
      </c>
      <c r="L4216" t="n">
        <v>29.99</v>
      </c>
      <c r="M4216" s="1" t="inlineStr">
        <is>
          <t>0.00%</t>
        </is>
      </c>
      <c r="N4216" s="3" t="n">
        <v>0</v>
      </c>
      <c r="O4216" t="n">
        <v>5</v>
      </c>
      <c r="P4216" t="n">
        <v>1</v>
      </c>
      <c r="R4216" t="inlineStr">
        <is>
          <t>InStock</t>
        </is>
      </c>
      <c r="S4216" t="inlineStr">
        <is>
          <t>39.95</t>
        </is>
      </c>
      <c r="T4216" t="inlineStr">
        <is>
          <t>704369-01</t>
        </is>
      </c>
    </row>
    <row r="4217" hidden="1" ht="15.75" customHeight="1">
      <c r="A4217" s="2">
        <f>HYPERLINK("https://www.soccerplususa.com/puma/puma-teamfinal-21-graphic-jersey-youth-40619", "https://www.soccerplususa.com/puma/puma-teamfinal-21-graphic-jersey-youth-40619")</f>
        <v/>
      </c>
      <c r="B4217" t="inlineStr">
        <is>
          <t>undefined</t>
        </is>
      </c>
      <c r="C4217" t="inlineStr">
        <is>
          <t>Puma Teamfinal 21 Graphic Jersey Youth</t>
        </is>
      </c>
      <c r="D4217" t="inlineStr">
        <is>
          <t>PUMA Men's Teamfinal 21 Graphic Jersey</t>
        </is>
      </c>
      <c r="E4217" s="2">
        <f>HYPERLINK("https://www.amazon.com/PUMA-Teamfinal-Graphic-Jersey-Glimmer/dp/B086RRH16L/ref=sr_1_2?keywords=Puma+Teamfinal+21+Graphic+Jersey+Youth&amp;qid=1695171149&amp;sr=8-2", "https://www.amazon.com/PUMA-Teamfinal-Graphic-Jersey-Glimmer/dp/B086RRH16L/ref=sr_1_2?keywords=Puma+Teamfinal+21+Graphic+Jersey+Youth&amp;qid=1695171149&amp;sr=8-2")</f>
        <v/>
      </c>
      <c r="F4217" t="inlineStr">
        <is>
          <t>B086RRH16L</t>
        </is>
      </c>
      <c r="G4217">
        <f>_xludf.IMAGE("https://www.soccerplususa.com/prodimages//37415-Pepper_Green-M.jpg")</f>
        <v/>
      </c>
      <c r="H4217">
        <f>_xludf.IMAGE("https://m.media-amazon.com/images/I/51cHF+BWyDL._AC_UL320_.jpg")</f>
        <v/>
      </c>
      <c r="K4217" t="inlineStr">
        <is>
          <t>29.99</t>
        </is>
      </c>
      <c r="L4217" t="n">
        <v>29.99</v>
      </c>
      <c r="M4217" s="1" t="inlineStr">
        <is>
          <t>0.00%</t>
        </is>
      </c>
      <c r="N4217" s="3" t="n">
        <v>0</v>
      </c>
      <c r="O4217" t="n">
        <v>5</v>
      </c>
      <c r="P4217" t="n">
        <v>1</v>
      </c>
      <c r="R4217" t="inlineStr">
        <is>
          <t>InStock</t>
        </is>
      </c>
      <c r="S4217" t="inlineStr">
        <is>
          <t>39.95</t>
        </is>
      </c>
      <c r="T4217" t="inlineStr">
        <is>
          <t>704369-05</t>
        </is>
      </c>
    </row>
    <row r="4218" hidden="1" ht="15.75" customHeight="1">
      <c r="A4218" s="2">
        <f>HYPERLINK("https://www.soccerplususa.com/adidas/adidas-regista-14-jersey-6672", "https://www.soccerplususa.com/adidas/adidas-regista-14-jersey-6672")</f>
        <v/>
      </c>
      <c r="B4218" t="inlineStr">
        <is>
          <t>undefined</t>
        </is>
      </c>
      <c r="C4218" t="inlineStr">
        <is>
          <t>adidas Regista 14 Jersey</t>
        </is>
      </c>
      <c r="D4218" t="inlineStr">
        <is>
          <t>adidas Men's Regista 14 Soccer Jersey</t>
        </is>
      </c>
      <c r="E4218" s="2">
        <f>HYPERLINK("https://www.amazon.com/adidas-Mens-Regista-Soccer-Jersey/dp/B00H3HX2ZI/ref=sr_1_3?keywords=adidas+Regista+14+Jersey&amp;qid=1695171217&amp;sr=8-3", "https://www.amazon.com/adidas-Mens-Regista-Soccer-Jersey/dp/B00H3HX2ZI/ref=sr_1_3?keywords=adidas+Regista+14+Jersey&amp;qid=1695171217&amp;sr=8-3")</f>
        <v/>
      </c>
      <c r="F4218" t="inlineStr">
        <is>
          <t>B00H3HX2ZI</t>
        </is>
      </c>
      <c r="G4218">
        <f>_xludf.IMAGE("https://www.soccerplususa.com/prodimages/10435-DEFAULT-l.jpg")</f>
        <v/>
      </c>
      <c r="H4218">
        <f>_xludf.IMAGE("https://m.media-amazon.com/images/I/61jM32B1pbL._AC_UL320_.jpg")</f>
        <v/>
      </c>
      <c r="K4218" t="inlineStr">
        <is>
          <t>22.5</t>
        </is>
      </c>
      <c r="L4218" t="n">
        <v>22.5</v>
      </c>
      <c r="M4218" s="1" t="inlineStr">
        <is>
          <t>0.00%</t>
        </is>
      </c>
      <c r="N4218" s="3" t="n">
        <v>0</v>
      </c>
      <c r="O4218" t="n">
        <v>5</v>
      </c>
      <c r="P4218" t="n">
        <v>1</v>
      </c>
      <c r="R4218" t="inlineStr">
        <is>
          <t>InStock</t>
        </is>
      </c>
      <c r="S4218" t="inlineStr">
        <is>
          <t>44.95</t>
        </is>
      </c>
      <c r="T4218" t="inlineStr">
        <is>
          <t>G70830</t>
        </is>
      </c>
    </row>
    <row r="4219" hidden="1" ht="15.75" customHeight="1">
      <c r="A4219" s="2">
        <f>HYPERLINK("https://www.soccerplususa.com/adidas/adidas-tabela-14-jersey-6151", "https://www.soccerplususa.com/adidas/adidas-tabela-14-jersey-6151")</f>
        <v/>
      </c>
      <c r="B4219" t="inlineStr">
        <is>
          <t>undefined</t>
        </is>
      </c>
      <c r="C4219" t="inlineStr">
        <is>
          <t>adidas Tabela 14 Jersey</t>
        </is>
      </c>
      <c r="D4219" t="inlineStr">
        <is>
          <t>adidas Women's Tabela 14 Jersey T-Shirt White</t>
        </is>
      </c>
      <c r="E4219" s="2">
        <f>HYPERLINK("https://www.amazon.com/Adidas-Tabela-Womens-Soccer-Jersey/dp/B00HWLDS9U/ref=sr_1_1?keywords=adidas+Tabela+14+Jersey&amp;qid=1695171220&amp;sr=8-1", "https://www.amazon.com/Adidas-Tabela-Womens-Soccer-Jersey/dp/B00HWLDS9U/ref=sr_1_1?keywords=adidas+Tabela+14+Jersey&amp;qid=1695171220&amp;sr=8-1")</f>
        <v/>
      </c>
      <c r="F4219" t="inlineStr">
        <is>
          <t>B00HWLDS9U</t>
        </is>
      </c>
      <c r="G4219">
        <f>_xludf.IMAGE("https://www.soccerplususa.com/prodimages/4588-DEFAULT-l.jpg")</f>
        <v/>
      </c>
      <c r="H4219">
        <f>_xludf.IMAGE("https://m.media-amazon.com/images/I/51P9FbjE8BL._AC_UL320_.jpg")</f>
        <v/>
      </c>
      <c r="K4219" t="inlineStr">
        <is>
          <t>17.5</t>
        </is>
      </c>
      <c r="L4219" t="n">
        <v>17.5</v>
      </c>
      <c r="M4219" s="1" t="inlineStr">
        <is>
          <t>0.00%</t>
        </is>
      </c>
      <c r="N4219" s="3" t="n">
        <v>0</v>
      </c>
      <c r="O4219" t="n">
        <v>3.6</v>
      </c>
      <c r="P4219" t="n">
        <v>16</v>
      </c>
      <c r="R4219" t="inlineStr">
        <is>
          <t>InStock</t>
        </is>
      </c>
      <c r="S4219" t="inlineStr">
        <is>
          <t>34.95</t>
        </is>
      </c>
      <c r="T4219" t="inlineStr">
        <is>
          <t>F84835</t>
        </is>
      </c>
    </row>
    <row r="4220" hidden="1" ht="15.75" customHeight="1">
      <c r="A4220" s="2">
        <f>HYPERLINK("https://www.soccerplususa.com/puma/puma-teamfinal-21-graphic-jersey-youth-38697", "https://www.soccerplususa.com/puma/puma-teamfinal-21-graphic-jersey-youth-38697")</f>
        <v/>
      </c>
      <c r="B4220" t="inlineStr">
        <is>
          <t>undefined</t>
        </is>
      </c>
      <c r="C4220" t="inlineStr">
        <is>
          <t>Puma Teamfinal 21 Graphic Jersey Youth</t>
        </is>
      </c>
      <c r="D4220" t="inlineStr">
        <is>
          <t>PUMA Men's Teamfinal 21 Graphic Jersey</t>
        </is>
      </c>
      <c r="E4220" s="2">
        <f>HYPERLINK("https://www.amazon.com/PUMA-Teamfinal-Graphic-Jersey-Glimmer/dp/B086RRH16L/ref=sr_1_2?keywords=Puma+Teamfinal+21+Graphic+Jersey+Youth&amp;qid=1695171156&amp;sr=8-2", "https://www.amazon.com/PUMA-Teamfinal-Graphic-Jersey-Glimmer/dp/B086RRH16L/ref=sr_1_2?keywords=Puma+Teamfinal+21+Graphic+Jersey+Youth&amp;qid=1695171156&amp;sr=8-2")</f>
        <v/>
      </c>
      <c r="F4220" t="inlineStr">
        <is>
          <t>B086RRH16L</t>
        </is>
      </c>
      <c r="G4220">
        <f>_xludf.IMAGE("https://www.soccerplususa.com/prodimages//36781-Electric_Blue-M.jpg")</f>
        <v/>
      </c>
      <c r="H4220">
        <f>_xludf.IMAGE("https://m.media-amazon.com/images/I/51cHF+BWyDL._AC_UL320_.jpg")</f>
        <v/>
      </c>
      <c r="K4220" t="inlineStr">
        <is>
          <t>29.99</t>
        </is>
      </c>
      <c r="L4220" t="n">
        <v>29.99</v>
      </c>
      <c r="M4220" s="1" t="inlineStr">
        <is>
          <t>0.00%</t>
        </is>
      </c>
      <c r="N4220" s="3" t="n">
        <v>0</v>
      </c>
      <c r="O4220" t="n">
        <v>5</v>
      </c>
      <c r="P4220" t="n">
        <v>1</v>
      </c>
      <c r="R4220" t="inlineStr">
        <is>
          <t>InStock</t>
        </is>
      </c>
      <c r="S4220" t="inlineStr">
        <is>
          <t>39.95</t>
        </is>
      </c>
      <c r="T4220" t="inlineStr">
        <is>
          <t>704369-02</t>
        </is>
      </c>
    </row>
    <row r="4221" hidden="1" ht="15.75" customHeight="1">
      <c r="A4221" s="2">
        <f>HYPERLINK("https://www.soccerplususa.com/adidas/adidas-squadra-17-jersey-4839", "https://www.soccerplususa.com/adidas/adidas-squadra-17-jersey-4839")</f>
        <v/>
      </c>
      <c r="B4221" t="inlineStr">
        <is>
          <t>undefined</t>
        </is>
      </c>
      <c r="C4221" t="inlineStr">
        <is>
          <t>adidas Squadra 17 Jersey</t>
        </is>
      </c>
      <c r="D4221" t="inlineStr">
        <is>
          <t>adidas Boys Squadra 17 Unisex Soccer Jersey</t>
        </is>
      </c>
      <c r="E4221" s="2">
        <f>HYPERLINK("https://www.amazon.com/adidas-Youth-Squadra-Jersey-Black/dp/B074585TVM/ref=sr_1_3?keywords=adidas+Squadra+17+Jersey&amp;qid=1695171228&amp;sr=8-3", "https://www.amazon.com/adidas-Youth-Squadra-Jersey-Black/dp/B074585TVM/ref=sr_1_3?keywords=adidas+Squadra+17+Jersey&amp;qid=1695171228&amp;sr=8-3")</f>
        <v/>
      </c>
      <c r="F4221" t="inlineStr">
        <is>
          <t>B074585TVM</t>
        </is>
      </c>
      <c r="G4221">
        <f>_xludf.IMAGE("https://www.soccerplususa.com/prodimages/31721-DEFAULT-l.jpg")</f>
        <v/>
      </c>
      <c r="H4221">
        <f>_xludf.IMAGE("https://m.media-amazon.com/images/I/61kr+zjTC1L._AC_UL320_.jpg")</f>
        <v/>
      </c>
      <c r="K4221" t="inlineStr">
        <is>
          <t>15.0</t>
        </is>
      </c>
      <c r="L4221" t="n">
        <v>15</v>
      </c>
      <c r="M4221" s="1" t="inlineStr">
        <is>
          <t>0.00%</t>
        </is>
      </c>
      <c r="N4221" s="3" t="n">
        <v>0</v>
      </c>
      <c r="O4221" t="n">
        <v>4.3</v>
      </c>
      <c r="P4221" t="n">
        <v>41</v>
      </c>
      <c r="R4221" t="inlineStr">
        <is>
          <t>InStock</t>
        </is>
      </c>
      <c r="S4221" t="inlineStr">
        <is>
          <t>29.95</t>
        </is>
      </c>
      <c r="T4221" t="inlineStr">
        <is>
          <t>BJ9176</t>
        </is>
      </c>
    </row>
    <row r="4222" hidden="1" ht="15.75" customHeight="1">
      <c r="A4222" s="2">
        <f>HYPERLINK("https://www.soccerplususa.com/adidas/adidas-regista-14-jersey-6067", "https://www.soccerplususa.com/adidas/adidas-regista-14-jersey-6067")</f>
        <v/>
      </c>
      <c r="B4222" t="inlineStr">
        <is>
          <t>undefined</t>
        </is>
      </c>
      <c r="C4222" t="inlineStr">
        <is>
          <t>adidas Regista 14 Jersey</t>
        </is>
      </c>
      <c r="D4222" t="inlineStr">
        <is>
          <t>adidas Men's Regista 14 Soccer Jersey</t>
        </is>
      </c>
      <c r="E4222" s="2">
        <f>HYPERLINK("https://www.amazon.com/adidas-Mens-Regista-Soccer-Jersey/dp/B00H3HX2ZI/ref=sr_1_3?keywords=adidas+Regista+14+Jersey&amp;qid=1695171231&amp;sr=8-3", "https://www.amazon.com/adidas-Mens-Regista-Soccer-Jersey/dp/B00H3HX2ZI/ref=sr_1_3?keywords=adidas+Regista+14+Jersey&amp;qid=1695171231&amp;sr=8-3")</f>
        <v/>
      </c>
      <c r="F4222" t="inlineStr">
        <is>
          <t>B00H3HX2ZI</t>
        </is>
      </c>
      <c r="G4222">
        <f>_xludf.IMAGE("https://www.soccerplususa.com/prodimages/10329-DEFAULT-l.jpg")</f>
        <v/>
      </c>
      <c r="H4222">
        <f>_xludf.IMAGE("https://m.media-amazon.com/images/I/61jM32B1pbL._AC_UL320_.jpg")</f>
        <v/>
      </c>
      <c r="K4222" t="inlineStr">
        <is>
          <t>22.5</t>
        </is>
      </c>
      <c r="L4222" t="n">
        <v>22.5</v>
      </c>
      <c r="M4222" s="1" t="inlineStr">
        <is>
          <t>0.00%</t>
        </is>
      </c>
      <c r="N4222" s="3" t="n">
        <v>0</v>
      </c>
      <c r="O4222" t="n">
        <v>5</v>
      </c>
      <c r="P4222" t="n">
        <v>1</v>
      </c>
      <c r="R4222" t="inlineStr">
        <is>
          <t>InStock</t>
        </is>
      </c>
      <c r="S4222" t="inlineStr">
        <is>
          <t>44.95</t>
        </is>
      </c>
      <c r="T4222" t="inlineStr">
        <is>
          <t>F50011</t>
        </is>
      </c>
    </row>
    <row r="4223" hidden="1" ht="15.75" customHeight="1">
      <c r="A4223" s="2">
        <f>HYPERLINK("https://www.soccerplususa.com/adidas/adidas-tabela-14-jersey-6152", "https://www.soccerplususa.com/adidas/adidas-tabela-14-jersey-6152")</f>
        <v/>
      </c>
      <c r="B4223" t="inlineStr">
        <is>
          <t>undefined</t>
        </is>
      </c>
      <c r="C4223" t="inlineStr">
        <is>
          <t>adidas Tabela 14 Jersey</t>
        </is>
      </c>
      <c r="D4223" t="inlineStr">
        <is>
          <t>adidas Women's Tabela 14 Jersey T-Shirt White</t>
        </is>
      </c>
      <c r="E4223" s="2">
        <f>HYPERLINK("https://www.amazon.com/Adidas-Tabela-Womens-Soccer-Jersey/dp/B00HWLDS9U/ref=sr_1_1?keywords=adidas+Tabela+14+Jersey&amp;qid=1695171217&amp;sr=8-1", "https://www.amazon.com/Adidas-Tabela-Womens-Soccer-Jersey/dp/B00HWLDS9U/ref=sr_1_1?keywords=adidas+Tabela+14+Jersey&amp;qid=1695171217&amp;sr=8-1")</f>
        <v/>
      </c>
      <c r="F4223" t="inlineStr">
        <is>
          <t>B00HWLDS9U</t>
        </is>
      </c>
      <c r="G4223">
        <f>_xludf.IMAGE("https://www.soccerplususa.com/prodimages/4589-DEFAULT-l.jpg")</f>
        <v/>
      </c>
      <c r="H4223">
        <f>_xludf.IMAGE("https://m.media-amazon.com/images/I/51P9FbjE8BL._AC_UL320_.jpg")</f>
        <v/>
      </c>
      <c r="K4223" t="inlineStr">
        <is>
          <t>17.5</t>
        </is>
      </c>
      <c r="L4223" t="n">
        <v>17.5</v>
      </c>
      <c r="M4223" s="1" t="inlineStr">
        <is>
          <t>0.00%</t>
        </is>
      </c>
      <c r="N4223" s="3" t="n">
        <v>0</v>
      </c>
      <c r="O4223" t="n">
        <v>3.6</v>
      </c>
      <c r="P4223" t="n">
        <v>16</v>
      </c>
      <c r="R4223" t="inlineStr">
        <is>
          <t>InStock</t>
        </is>
      </c>
      <c r="S4223" t="inlineStr">
        <is>
          <t>34.95</t>
        </is>
      </c>
      <c r="T4223" t="inlineStr">
        <is>
          <t>F84836</t>
        </is>
      </c>
    </row>
    <row r="4224" hidden="1" ht="15.75" customHeight="1">
      <c r="A4224" s="2">
        <f>HYPERLINK("https://www.soccerplususa.com/adidas/adidas-tiro-15-jersey-7887", "https://www.soccerplususa.com/adidas/adidas-tiro-15-jersey-7887")</f>
        <v/>
      </c>
      <c r="B4224" t="inlineStr">
        <is>
          <t>undefined</t>
        </is>
      </c>
      <c r="C4224" t="inlineStr">
        <is>
          <t>adidas Tiro 15 Jersey</t>
        </is>
      </c>
      <c r="D4224" t="inlineStr">
        <is>
          <t>adidas TIRO 15 Jersey [BOBLUE/White]</t>
        </is>
      </c>
      <c r="E4224" s="2">
        <f>HYPERLINK("https://www.amazon.com/Adidas-TIRO-Jersey-BOBLUE-WHITE/dp/B00QKQQW0K/ref=sr_1_7?keywords=adidas+Tiro+15+Jersey&amp;qid=1695171209&amp;sr=8-7", "https://www.amazon.com/Adidas-TIRO-Jersey-BOBLUE-WHITE/dp/B00QKQQW0K/ref=sr_1_7?keywords=adidas+Tiro+15+Jersey&amp;qid=1695171209&amp;sr=8-7")</f>
        <v/>
      </c>
      <c r="F4224" t="inlineStr">
        <is>
          <t>B00QKQQW0K</t>
        </is>
      </c>
      <c r="G4224">
        <f>_xludf.IMAGE("https://www.soccerplususa.com/prodimages/6309-DEFAULT-l.jpg")</f>
        <v/>
      </c>
      <c r="H4224">
        <f>_xludf.IMAGE("https://m.media-amazon.com/images/I/519YNk5oEuL._AC_UL320_.jpg")</f>
        <v/>
      </c>
      <c r="K4224" t="inlineStr">
        <is>
          <t>20.0</t>
        </is>
      </c>
      <c r="L4224" t="n">
        <v>19.99</v>
      </c>
      <c r="M4224" s="1" t="inlineStr">
        <is>
          <t>-0.05%</t>
        </is>
      </c>
      <c r="N4224" s="3" t="n">
        <v>-0.05</v>
      </c>
      <c r="O4224" t="n">
        <v>4.6</v>
      </c>
      <c r="P4224" t="n">
        <v>3</v>
      </c>
      <c r="R4224" t="inlineStr">
        <is>
          <t>InStock</t>
        </is>
      </c>
      <c r="S4224" t="inlineStr">
        <is>
          <t>40.0</t>
        </is>
      </c>
      <c r="T4224" t="inlineStr">
        <is>
          <t>S22362</t>
        </is>
      </c>
    </row>
    <row r="4225" hidden="1" ht="15.75" customHeight="1">
      <c r="A4225" s="2">
        <f>HYPERLINK("https://www.soccerplususa.com/adidas/adidas-tiro-15-jersey-7888", "https://www.soccerplususa.com/adidas/adidas-tiro-15-jersey-7888")</f>
        <v/>
      </c>
      <c r="B4225" t="inlineStr">
        <is>
          <t>undefined</t>
        </is>
      </c>
      <c r="C4225" t="inlineStr">
        <is>
          <t>adidas Tiro 15 Jersey</t>
        </is>
      </c>
      <c r="D4225" t="inlineStr">
        <is>
          <t>adidas TIRO 15 Jersey [BOBLUE/White]</t>
        </is>
      </c>
      <c r="E4225" s="2">
        <f>HYPERLINK("https://www.amazon.com/Adidas-TIRO-Jersey-BOBLUE-WHITE/dp/B00QKQQW0K/ref=sr_1_7?keywords=adidas+Tiro+15+Jersey&amp;qid=1695171213&amp;sr=8-7", "https://www.amazon.com/Adidas-TIRO-Jersey-BOBLUE-WHITE/dp/B00QKQQW0K/ref=sr_1_7?keywords=adidas+Tiro+15+Jersey&amp;qid=1695171213&amp;sr=8-7")</f>
        <v/>
      </c>
      <c r="F4225" t="inlineStr">
        <is>
          <t>B00QKQQW0K</t>
        </is>
      </c>
      <c r="G4225">
        <f>_xludf.IMAGE("https://www.soccerplususa.com/prodimages/5430-DEFAULT-l.jpg")</f>
        <v/>
      </c>
      <c r="H4225">
        <f>_xludf.IMAGE("https://m.media-amazon.com/images/I/519YNk5oEuL._AC_UL320_.jpg")</f>
        <v/>
      </c>
      <c r="K4225" t="inlineStr">
        <is>
          <t>20.0</t>
        </is>
      </c>
      <c r="L4225" t="n">
        <v>19.99</v>
      </c>
      <c r="M4225" s="1" t="inlineStr">
        <is>
          <t>-0.05%</t>
        </is>
      </c>
      <c r="N4225" s="3" t="n">
        <v>-0.05</v>
      </c>
      <c r="O4225" t="n">
        <v>4.6</v>
      </c>
      <c r="P4225" t="n">
        <v>3</v>
      </c>
      <c r="R4225" t="inlineStr">
        <is>
          <t>InStock</t>
        </is>
      </c>
      <c r="S4225" t="inlineStr">
        <is>
          <t>39.95</t>
        </is>
      </c>
      <c r="T4225" t="inlineStr">
        <is>
          <t>S22363</t>
        </is>
      </c>
    </row>
    <row r="4226" hidden="1" ht="15.75" customHeight="1">
      <c r="A4226" s="2">
        <f>HYPERLINK("https://www.soccerplususa.com/adidas/adidas-tiro-17-jersey-womens-4818", "https://www.soccerplususa.com/adidas/adidas-tiro-17-jersey-womens-4818")</f>
        <v/>
      </c>
      <c r="B4226" t="inlineStr">
        <is>
          <t>undefined</t>
        </is>
      </c>
      <c r="C4226" t="inlineStr">
        <is>
          <t>adidas Tiro 17 Jersey Women's</t>
        </is>
      </c>
      <c r="D4226" t="inlineStr">
        <is>
          <t>adidas Tiro 19 Jersey- Women's Soccer M White</t>
        </is>
      </c>
      <c r="E4226" s="2">
        <f>HYPERLINK("https://www.amazon.com/adidas-Jersey-Womens-Soccer-White/dp/B07H453797/ref=sr_1_10?keywords=adidas+Tiro+17+Jersey+Women%27s&amp;qid=1695171228&amp;sr=8-10", "https://www.amazon.com/adidas-Jersey-Womens-Soccer-White/dp/B07H453797/ref=sr_1_10?keywords=adidas+Tiro+17+Jersey+Women%27s&amp;qid=1695171228&amp;sr=8-10")</f>
        <v/>
      </c>
      <c r="F4226" t="inlineStr">
        <is>
          <t>B07H453797</t>
        </is>
      </c>
      <c r="G4226">
        <f>_xludf.IMAGE("https://www.soccerplususa.com/prodimages/33189-DEFAULT-l.jpg")</f>
        <v/>
      </c>
      <c r="H4226">
        <f>_xludf.IMAGE("https://m.media-amazon.com/images/I/71O1zQQ7onL._AC_UL320_.jpg")</f>
        <v/>
      </c>
      <c r="K4226" t="inlineStr">
        <is>
          <t>30.0</t>
        </is>
      </c>
      <c r="L4226" t="n">
        <v>29.95</v>
      </c>
      <c r="M4226" s="1" t="inlineStr">
        <is>
          <t>-0.17%</t>
        </is>
      </c>
      <c r="N4226" s="3" t="n">
        <v>-0.17</v>
      </c>
      <c r="O4226" t="n">
        <v>4.5</v>
      </c>
      <c r="P4226" t="n">
        <v>2</v>
      </c>
      <c r="R4226" t="inlineStr">
        <is>
          <t>InStock</t>
        </is>
      </c>
      <c r="S4226" t="inlineStr">
        <is>
          <t>39.95</t>
        </is>
      </c>
      <c r="T4226" t="inlineStr">
        <is>
          <t>BJ9095</t>
        </is>
      </c>
    </row>
    <row r="4227" hidden="1" ht="15.75" customHeight="1">
      <c r="A4227" s="2">
        <f>HYPERLINK("https://www.soccerplususa.com/adidas/adidas-tiro-17-jersey-womens-35760", "https://www.soccerplususa.com/adidas/adidas-tiro-17-jersey-womens-35760")</f>
        <v/>
      </c>
      <c r="B4227" t="inlineStr">
        <is>
          <t>undefined</t>
        </is>
      </c>
      <c r="C4227" t="inlineStr">
        <is>
          <t>adidas Tiro 17 Jersey Women's</t>
        </is>
      </c>
      <c r="D4227" t="inlineStr">
        <is>
          <t>adidas Climacool TIRO 17 Soccer Jersey Womens Active Shirts &amp; Tees</t>
        </is>
      </c>
      <c r="E4227" s="2">
        <f>HYPERLINK("https://www.amazon.com/adidas-Climacool-Soccer-Jersey-Womens/dp/B0BM3RLRP9/ref=sr_1_2?keywords=adidas+Tiro+17+Jersey+Womens&amp;qid=1695171224&amp;sr=8-2", "https://www.amazon.com/adidas-Climacool-Soccer-Jersey-Womens/dp/B0BM3RLRP9/ref=sr_1_2?keywords=adidas+Tiro+17+Jersey+Womens&amp;qid=1695171224&amp;sr=8-2")</f>
        <v/>
      </c>
      <c r="F4227" t="inlineStr">
        <is>
          <t>B0BM3RLRP9</t>
        </is>
      </c>
      <c r="G4227">
        <f>_xludf.IMAGE("https://www.soccerplususa.com/prodimages/9819-DEFAULT-l.jpg")</f>
        <v/>
      </c>
      <c r="H4227">
        <f>_xludf.IMAGE("https://m.media-amazon.com/images/I/41vbz2JJbLL._AC_UL320_.jpg")</f>
        <v/>
      </c>
      <c r="K4227" t="inlineStr">
        <is>
          <t>20.0</t>
        </is>
      </c>
      <c r="L4227" t="n">
        <v>19.91</v>
      </c>
      <c r="M4227" s="1" t="inlineStr">
        <is>
          <t>-0.45%</t>
        </is>
      </c>
      <c r="N4227" s="3" t="n">
        <v>-0.45</v>
      </c>
      <c r="O4227" t="n">
        <v>5</v>
      </c>
      <c r="P4227" t="n">
        <v>3</v>
      </c>
      <c r="R4227" t="inlineStr">
        <is>
          <t>InStock</t>
        </is>
      </c>
      <c r="S4227" t="inlineStr">
        <is>
          <t>39.95</t>
        </is>
      </c>
      <c r="T4227" t="inlineStr">
        <is>
          <t>BJ9096</t>
        </is>
      </c>
    </row>
    <row r="4228" hidden="1" ht="15.75" customHeight="1">
      <c r="A4228" s="2">
        <f>HYPERLINK("https://www.soccerplususa.com/adidas/adidas-tiro-17-jersey-4869", "https://www.soccerplususa.com/adidas/adidas-tiro-17-jersey-4869")</f>
        <v/>
      </c>
      <c r="B4228" t="inlineStr">
        <is>
          <t>undefined</t>
        </is>
      </c>
      <c r="C4228" t="inlineStr">
        <is>
          <t>adidas Tiro 17 Jersey</t>
        </is>
      </c>
      <c r="D4228" t="inlineStr">
        <is>
          <t>adidas Climacool TIRO 17 Soccer Jersey Womens Active Shirts &amp; Tees</t>
        </is>
      </c>
      <c r="E4228" s="2">
        <f>HYPERLINK("https://www.amazon.com/adidas-Climacool-Soccer-Jersey-Womens/dp/B0BM3MSHQ6/ref=sr_1_2?keywords=adidas+Tiro+17+Jersey&amp;qid=1695171236&amp;sr=8-2", "https://www.amazon.com/adidas-Climacool-Soccer-Jersey-Womens/dp/B0BM3MSHQ6/ref=sr_1_2?keywords=adidas+Tiro+17+Jersey&amp;qid=1695171236&amp;sr=8-2")</f>
        <v/>
      </c>
      <c r="F4228" t="inlineStr">
        <is>
          <t>B0BM3MSHQ6</t>
        </is>
      </c>
      <c r="G4228">
        <f>_xludf.IMAGE("https://www.soccerplususa.com/prodimages/7451-DEFAULT-l.jpg")</f>
        <v/>
      </c>
      <c r="H4228">
        <f>_xludf.IMAGE("https://m.media-amazon.com/images/I/41vbz2JJbLL._AC_UL320_.jpg")</f>
        <v/>
      </c>
      <c r="K4228" t="inlineStr">
        <is>
          <t>20.0</t>
        </is>
      </c>
      <c r="L4228" t="n">
        <v>19.91</v>
      </c>
      <c r="M4228" s="1" t="inlineStr">
        <is>
          <t>-0.45%</t>
        </is>
      </c>
      <c r="N4228" s="3" t="n">
        <v>-0.45</v>
      </c>
      <c r="O4228" t="n">
        <v>5</v>
      </c>
      <c r="P4228" t="n">
        <v>3</v>
      </c>
      <c r="R4228" t="inlineStr">
        <is>
          <t>InStock</t>
        </is>
      </c>
      <c r="S4228" t="inlineStr">
        <is>
          <t>39.95</t>
        </is>
      </c>
      <c r="T4228" t="inlineStr">
        <is>
          <t>BK5437</t>
        </is>
      </c>
    </row>
    <row r="4229" hidden="1" ht="15.75" customHeight="1">
      <c r="A4229" s="2">
        <f>HYPERLINK("https://www.soccerplususa.com/adidas/adidas-tiro-17-jersey-4871", "https://www.soccerplususa.com/adidas/adidas-tiro-17-jersey-4871")</f>
        <v/>
      </c>
      <c r="B4229" t="inlineStr">
        <is>
          <t>undefined</t>
        </is>
      </c>
      <c r="C4229" t="inlineStr">
        <is>
          <t>adidas Tiro 17 Jersey</t>
        </is>
      </c>
      <c r="D4229" t="inlineStr">
        <is>
          <t>adidas Climacool TIRO 17 Soccer Jersey Womens Active Shirts &amp; Tees</t>
        </is>
      </c>
      <c r="E4229" s="2">
        <f>HYPERLINK("https://www.amazon.com/adidas-Climacool-Soccer-Jersey-Womens/dp/B0BM3MSHQ6/ref=sr_1_1?keywords=adidas+Tiro+17+Jersey&amp;qid=1695171224&amp;sr=8-1", "https://www.amazon.com/adidas-Climacool-Soccer-Jersey-Womens/dp/B0BM3MSHQ6/ref=sr_1_1?keywords=adidas+Tiro+17+Jersey&amp;qid=1695171224&amp;sr=8-1")</f>
        <v/>
      </c>
      <c r="F4229" t="inlineStr">
        <is>
          <t>B0BM3MSHQ6</t>
        </is>
      </c>
      <c r="G4229">
        <f>_xludf.IMAGE("https://www.soccerplususa.com/prodimages/31717-DEFAULT-l.jpg")</f>
        <v/>
      </c>
      <c r="H4229">
        <f>_xludf.IMAGE("https://m.media-amazon.com/images/I/41vbz2JJbLL._AC_UL320_.jpg")</f>
        <v/>
      </c>
      <c r="K4229" t="inlineStr">
        <is>
          <t>20.0</t>
        </is>
      </c>
      <c r="L4229" t="n">
        <v>19.91</v>
      </c>
      <c r="M4229" s="1" t="inlineStr">
        <is>
          <t>-0.45%</t>
        </is>
      </c>
      <c r="N4229" s="3" t="n">
        <v>-0.45</v>
      </c>
      <c r="O4229" t="n">
        <v>5</v>
      </c>
      <c r="P4229" t="n">
        <v>3</v>
      </c>
      <c r="R4229" t="inlineStr">
        <is>
          <t>InStock</t>
        </is>
      </c>
      <c r="S4229" t="inlineStr">
        <is>
          <t>39.95</t>
        </is>
      </c>
      <c r="T4229" t="inlineStr">
        <is>
          <t>BK5439</t>
        </is>
      </c>
    </row>
    <row r="4230" hidden="1" ht="15.75" customHeight="1">
      <c r="A4230" s="2">
        <f>HYPERLINK("https://www.soccerplususa.com/puma/puma-teamgoal-23-training-jacket-38703", "https://www.soccerplususa.com/puma/puma-teamgoal-23-training-jacket-38703")</f>
        <v/>
      </c>
      <c r="B4230" t="inlineStr">
        <is>
          <t>undefined</t>
        </is>
      </c>
      <c r="C4230" t="inlineStr">
        <is>
          <t>Puma Teamgoal 23 Training Jacket</t>
        </is>
      </c>
      <c r="D4230" t="inlineStr">
        <is>
          <t>PUMA Mens Teamgoal 23 Training Jacket</t>
        </is>
      </c>
      <c r="E4230" s="2">
        <f>HYPERLINK("https://www.amazon.com/Puma-Teamgoal-Training-Jacket-Asphalt/dp/B086MYYWC8/ref=sr_1_1?keywords=Puma+Teamgoal+23+Training+Jacket&amp;qid=1695171154&amp;sr=8-1", "https://www.amazon.com/Puma-Teamgoal-Training-Jacket-Asphalt/dp/B086MYYWC8/ref=sr_1_1?keywords=Puma+Teamgoal+23+Training+Jacket&amp;qid=1695171154&amp;sr=8-1")</f>
        <v/>
      </c>
      <c r="F4230" t="inlineStr">
        <is>
          <t>B086MYYWC8</t>
        </is>
      </c>
      <c r="G4230">
        <f>_xludf.IMAGE("https://www.soccerplususa.com/prodimages//35608-Electric_Blue-M.jpg")</f>
        <v/>
      </c>
      <c r="H4230">
        <f>_xludf.IMAGE("https://m.media-amazon.com/images/I/51Toxb87wrL._AC_UL320_.jpg")</f>
        <v/>
      </c>
      <c r="K4230" t="inlineStr">
        <is>
          <t>44.99</t>
        </is>
      </c>
      <c r="L4230" t="n">
        <v>44.64</v>
      </c>
      <c r="M4230" s="1" t="inlineStr">
        <is>
          <t>-0.78%</t>
        </is>
      </c>
      <c r="N4230" s="3" t="n">
        <v>-0.78</v>
      </c>
      <c r="O4230" t="n">
        <v>5</v>
      </c>
      <c r="P4230" t="n">
        <v>6</v>
      </c>
      <c r="R4230" t="inlineStr">
        <is>
          <t>InStock</t>
        </is>
      </c>
      <c r="S4230" t="inlineStr">
        <is>
          <t>59.95</t>
        </is>
      </c>
      <c r="T4230" t="inlineStr">
        <is>
          <t>656561-02</t>
        </is>
      </c>
    </row>
    <row r="4231" hidden="1" ht="15.75" customHeight="1">
      <c r="A4231" s="2">
        <f>HYPERLINK("https://www.soccerplususa.com/puma/puma-teamgoal-23-training-jacket-youth-38702", "https://www.soccerplususa.com/puma/puma-teamgoal-23-training-jacket-youth-38702")</f>
        <v/>
      </c>
      <c r="B4231" t="inlineStr">
        <is>
          <t>undefined</t>
        </is>
      </c>
      <c r="C4231" t="inlineStr">
        <is>
          <t>Puma Teamgoal 23 Training Jacket Youth</t>
        </is>
      </c>
      <c r="D4231" t="inlineStr">
        <is>
          <t>PUMA Mens Teamgoal 23 Training Jacket</t>
        </is>
      </c>
      <c r="E4231" s="2">
        <f>HYPERLINK("https://www.amazon.com/Puma-Teamgoal-Training-Jacket-Asphalt/dp/B086MYYWC8/ref=sr_1_4?keywords=Puma+Teamgoal+23+Training+Jacket+Youth&amp;qid=1695171151&amp;sr=8-4", "https://www.amazon.com/Puma-Teamgoal-Training-Jacket-Asphalt/dp/B086MYYWC8/ref=sr_1_4?keywords=Puma+Teamgoal+23+Training+Jacket+Youth&amp;qid=1695171151&amp;sr=8-4")</f>
        <v/>
      </c>
      <c r="F4231" t="inlineStr">
        <is>
          <t>B086MYYWC8</t>
        </is>
      </c>
      <c r="G4231">
        <f>_xludf.IMAGE("https://www.soccerplususa.com/prodimages//35609-Electric_Blue-M.jpg")</f>
        <v/>
      </c>
      <c r="H4231">
        <f>_xludf.IMAGE("https://m.media-amazon.com/images/I/51Toxb87wrL._AC_UL320_.jpg")</f>
        <v/>
      </c>
      <c r="K4231" t="inlineStr">
        <is>
          <t>44.99</t>
        </is>
      </c>
      <c r="L4231" t="n">
        <v>44.64</v>
      </c>
      <c r="M4231" s="1" t="inlineStr">
        <is>
          <t>-0.78%</t>
        </is>
      </c>
      <c r="N4231" s="3" t="n">
        <v>-0.78</v>
      </c>
      <c r="O4231" t="n">
        <v>5</v>
      </c>
      <c r="P4231" t="n">
        <v>6</v>
      </c>
      <c r="R4231" t="inlineStr">
        <is>
          <t>InStock</t>
        </is>
      </c>
      <c r="S4231" t="inlineStr">
        <is>
          <t>59.95</t>
        </is>
      </c>
      <c r="T4231" t="inlineStr">
        <is>
          <t>656570-02</t>
        </is>
      </c>
    </row>
    <row r="4232" hidden="1" ht="15.75" customHeight="1">
      <c r="A4232" s="2">
        <f>HYPERLINK("https://www.soccerplususa.com/adidas/adidas-tabela-18-jersey-5116", "https://www.soccerplususa.com/adidas/adidas-tabela-18-jersey-5116")</f>
        <v/>
      </c>
      <c r="B4232" t="inlineStr">
        <is>
          <t>undefined</t>
        </is>
      </c>
      <c r="C4232" t="inlineStr">
        <is>
          <t>adidas Tabela 18 Jersey</t>
        </is>
      </c>
      <c r="D4232" t="inlineStr">
        <is>
          <t>adidas Unisex-Child Entrada 18 Jersey</t>
        </is>
      </c>
      <c r="E4232" s="2">
        <f>HYPERLINK("https://www.amazon.com/adidas-Entrada-Jersey-White-Youth/dp/B07FGLQ8XY/ref=sr_1_9?keywords=adidas+Tabela+18+Jersey&amp;qid=1695171247&amp;sr=8-9", "https://www.amazon.com/adidas-Entrada-Jersey-White-Youth/dp/B07FGLQ8XY/ref=sr_1_9?keywords=adidas+Tabela+18+Jersey&amp;qid=1695171247&amp;sr=8-9")</f>
        <v/>
      </c>
      <c r="F4232" t="inlineStr">
        <is>
          <t>B07FGLQ8XY</t>
        </is>
      </c>
      <c r="G4232">
        <f>_xludf.IMAGE("https://www.soccerplususa.com/prodimages//31725-YELLOW-M.jpg")</f>
        <v/>
      </c>
      <c r="H4232">
        <f>_xludf.IMAGE("https://m.media-amazon.com/images/I/81ITBE3iM+S._AC_UL320_.jpg")</f>
        <v/>
      </c>
      <c r="K4232" t="inlineStr">
        <is>
          <t>21.99</t>
        </is>
      </c>
      <c r="L4232" t="n">
        <v>21.81</v>
      </c>
      <c r="M4232" s="1" t="inlineStr">
        <is>
          <t>-0.82%</t>
        </is>
      </c>
      <c r="N4232" s="3" t="n">
        <v>-0.82</v>
      </c>
      <c r="O4232" t="n">
        <v>4.5</v>
      </c>
      <c r="P4232" t="n">
        <v>374</v>
      </c>
      <c r="R4232" t="inlineStr">
        <is>
          <t>InStock</t>
        </is>
      </c>
      <c r="S4232" t="inlineStr">
        <is>
          <t>29.95</t>
        </is>
      </c>
      <c r="T4232" t="inlineStr">
        <is>
          <t>CE8941</t>
        </is>
      </c>
    </row>
    <row r="4233" hidden="1" ht="15.75" customHeight="1">
      <c r="A4233" s="2">
        <f>HYPERLINK("https://www.soccerplususa.com/adidas/adidas-tabela-18-jersey-5115", "https://www.soccerplususa.com/adidas/adidas-tabela-18-jersey-5115")</f>
        <v/>
      </c>
      <c r="B4233" t="inlineStr">
        <is>
          <t>undefined</t>
        </is>
      </c>
      <c r="C4233" t="inlineStr">
        <is>
          <t>adidas Tabela 18 Jersey</t>
        </is>
      </c>
      <c r="D4233" t="inlineStr">
        <is>
          <t>adidas Unisex-Child Entrada 18 Jersey</t>
        </is>
      </c>
      <c r="E4233" s="2">
        <f>HYPERLINK("https://www.amazon.com/adidas-Entrada-Jersey-White-Youth/dp/B07FGLQ8XY/ref=sr_1_9?keywords=adidas+Tabela+18+Jersey&amp;qid=1695171223&amp;sr=8-9", "https://www.amazon.com/adidas-Entrada-Jersey-White-Youth/dp/B07FGLQ8XY/ref=sr_1_9?keywords=adidas+Tabela+18+Jersey&amp;qid=1695171223&amp;sr=8-9")</f>
        <v/>
      </c>
      <c r="F4233" t="inlineStr">
        <is>
          <t>B07FGLQ8XY</t>
        </is>
      </c>
      <c r="G4233">
        <f>_xludf.IMAGE("https://www.soccerplususa.com/prodimages//31724-GRAY-M.jpg")</f>
        <v/>
      </c>
      <c r="H4233">
        <f>_xludf.IMAGE("https://m.media-amazon.com/images/I/81ITBE3iM+S._AC_UL320_.jpg")</f>
        <v/>
      </c>
      <c r="K4233" t="inlineStr">
        <is>
          <t>21.99</t>
        </is>
      </c>
      <c r="L4233" t="n">
        <v>21.81</v>
      </c>
      <c r="M4233" s="1" t="inlineStr">
        <is>
          <t>-0.82%</t>
        </is>
      </c>
      <c r="N4233" s="3" t="n">
        <v>-0.82</v>
      </c>
      <c r="O4233" t="n">
        <v>4.5</v>
      </c>
      <c r="P4233" t="n">
        <v>374</v>
      </c>
      <c r="R4233" t="inlineStr">
        <is>
          <t>InStock</t>
        </is>
      </c>
      <c r="S4233" t="inlineStr">
        <is>
          <t>29.95</t>
        </is>
      </c>
      <c r="T4233" t="inlineStr">
        <is>
          <t>CE8940</t>
        </is>
      </c>
    </row>
    <row r="4234" hidden="1" ht="15.75" customHeight="1">
      <c r="A4234" s="2">
        <f>HYPERLINK("https://www.soccerplususa.com/adidas/adidas-tabela-18-jersey-33808", "https://www.soccerplususa.com/adidas/adidas-tabela-18-jersey-33808")</f>
        <v/>
      </c>
      <c r="B4234" t="inlineStr">
        <is>
          <t>undefined</t>
        </is>
      </c>
      <c r="C4234" t="inlineStr">
        <is>
          <t>adidas Tabela 18 Jersey</t>
        </is>
      </c>
      <c r="D4234" t="inlineStr">
        <is>
          <t>adidas Unisex-Child Entrada 18 Jersey</t>
        </is>
      </c>
      <c r="E4234" s="2">
        <f>HYPERLINK("https://www.amazon.com/adidas-Entrada-Jersey-White-Youth/dp/B07FGLQ8XY/ref=sr_1_9?keywords=adidas+Tabela+18+Jersey&amp;qid=1695171170&amp;sr=8-9", "https://www.amazon.com/adidas-Entrada-Jersey-White-Youth/dp/B07FGLQ8XY/ref=sr_1_9?keywords=adidas+Tabela+18+Jersey&amp;qid=1695171170&amp;sr=8-9")</f>
        <v/>
      </c>
      <c r="F4234" t="inlineStr">
        <is>
          <t>B07FGLQ8XY</t>
        </is>
      </c>
      <c r="G4234">
        <f>_xludf.IMAGE("https://www.soccerplususa.com/prodimages//35356-REDWHITE-M.jpg")</f>
        <v/>
      </c>
      <c r="H4234">
        <f>_xludf.IMAGE("https://m.media-amazon.com/images/I/81ITBE3iM+S._AC_UL320_.jpg")</f>
        <v/>
      </c>
      <c r="K4234" t="inlineStr">
        <is>
          <t>21.99</t>
        </is>
      </c>
      <c r="L4234" t="n">
        <v>21.81</v>
      </c>
      <c r="M4234" s="1" t="inlineStr">
        <is>
          <t>-0.82%</t>
        </is>
      </c>
      <c r="N4234" s="3" t="n">
        <v>-0.82</v>
      </c>
      <c r="O4234" t="n">
        <v>4.5</v>
      </c>
      <c r="P4234" t="n">
        <v>374</v>
      </c>
      <c r="R4234" t="inlineStr">
        <is>
          <t>InStock</t>
        </is>
      </c>
      <c r="S4234" t="inlineStr">
        <is>
          <t>29.95</t>
        </is>
      </c>
      <c r="T4234" t="inlineStr">
        <is>
          <t>CE8935</t>
        </is>
      </c>
    </row>
    <row r="4235" hidden="1" ht="15.75" customHeight="1">
      <c r="A4235" s="2">
        <f>HYPERLINK("https://www.soccerplususa.com/puma/puma-liga-hooped-jersey-35526", "https://www.soccerplususa.com/puma/puma-liga-hooped-jersey-35526")</f>
        <v/>
      </c>
      <c r="B4235" t="inlineStr">
        <is>
          <t>undefined</t>
        </is>
      </c>
      <c r="C4235" t="inlineStr">
        <is>
          <t>Puma Liga Hooped Jersey</t>
        </is>
      </c>
      <c r="D4235" t="inlineStr">
        <is>
          <t>Liga Jersey Puma Red/Puma White MD</t>
        </is>
      </c>
      <c r="E4235" s="2">
        <f>HYPERLINK("https://www.amazon.com/PUMA-Mens-LIGA-Jersey-White/dp/B075RFRT8S/ref=sr_1_8?keywords=Puma+Liga+Hooped+Jersey&amp;qid=1695171162&amp;sr=8-8", "https://www.amazon.com/PUMA-Mens-LIGA-Jersey-White/dp/B075RFRT8S/ref=sr_1_8?keywords=Puma+Liga+Hooped+Jersey&amp;qid=1695171162&amp;sr=8-8")</f>
        <v/>
      </c>
      <c r="F4235" t="inlineStr">
        <is>
          <t>B075RFRT8S</t>
        </is>
      </c>
      <c r="G4235">
        <f>_xludf.IMAGE("https://www.soccerplususa.com/prodimages/32667-DEFAULT-l.jpg")</f>
        <v/>
      </c>
      <c r="H4235">
        <f>_xludf.IMAGE("https://m.media-amazon.com/images/I/719bB1GAxyL._AC_UL320_.jpg")</f>
        <v/>
      </c>
      <c r="K4235" t="inlineStr">
        <is>
          <t>30.0</t>
        </is>
      </c>
      <c r="L4235" t="n">
        <v>29.75</v>
      </c>
      <c r="M4235" s="1" t="inlineStr">
        <is>
          <t>-0.83%</t>
        </is>
      </c>
      <c r="N4235" s="3" t="n">
        <v>-0.83</v>
      </c>
      <c r="O4235" t="n">
        <v>4.4</v>
      </c>
      <c r="P4235" t="n">
        <v>39</v>
      </c>
      <c r="R4235" t="inlineStr">
        <is>
          <t>InStock</t>
        </is>
      </c>
      <c r="S4235" t="inlineStr">
        <is>
          <t>39.95</t>
        </is>
      </c>
      <c r="T4235" t="inlineStr">
        <is>
          <t>703422-02</t>
        </is>
      </c>
    </row>
    <row r="4236" hidden="1" ht="15.75" customHeight="1">
      <c r="A4236" s="2">
        <f>HYPERLINK("https://www.soccerplususa.com/puma/puma-santiago-jersey-35512", "https://www.soccerplususa.com/puma/puma-santiago-jersey-35512")</f>
        <v/>
      </c>
      <c r="B4236" t="inlineStr">
        <is>
          <t>undefined</t>
        </is>
      </c>
      <c r="C4236" t="inlineStr">
        <is>
          <t>Puma Santiago Jersey</t>
        </is>
      </c>
      <c r="D4236" t="inlineStr">
        <is>
          <t>PUMA Santiago TG Mens Jersey</t>
        </is>
      </c>
      <c r="E4236" s="2">
        <f>HYPERLINK("https://www.amazon.com/PUMA-Santiago-TG-Mens-Jersey/dp/B07L3SL2HB/ref=sr_1_3?keywords=Puma+Santiago+Jersey&amp;qid=1695171161&amp;sr=8-3", "https://www.amazon.com/PUMA-Santiago-TG-Mens-Jersey/dp/B07L3SL2HB/ref=sr_1_3?keywords=Puma+Santiago+Jersey&amp;qid=1695171161&amp;sr=8-3")</f>
        <v/>
      </c>
      <c r="F4236" t="inlineStr">
        <is>
          <t>B07L3SL2HB</t>
        </is>
      </c>
      <c r="G4236">
        <f>_xludf.IMAGE("https://www.soccerplususa.com/prodimages/32674-DEFAULT-l.jpg")</f>
        <v/>
      </c>
      <c r="H4236">
        <f>_xludf.IMAGE("https://m.media-amazon.com/images/I/91K3avYcgXL._AC_UL320_.jpg")</f>
        <v/>
      </c>
      <c r="K4236" t="inlineStr">
        <is>
          <t>16.0</t>
        </is>
      </c>
      <c r="L4236" t="n">
        <v>15.8</v>
      </c>
      <c r="M4236" s="1" t="inlineStr">
        <is>
          <t>-1.25%</t>
        </is>
      </c>
      <c r="N4236" s="3" t="n">
        <v>-1.25</v>
      </c>
      <c r="O4236" t="n">
        <v>3.7</v>
      </c>
      <c r="P4236" t="n">
        <v>4</v>
      </c>
      <c r="R4236" t="inlineStr">
        <is>
          <t>InStock</t>
        </is>
      </c>
      <c r="S4236" t="inlineStr">
        <is>
          <t>31.95</t>
        </is>
      </c>
      <c r="T4236" t="inlineStr">
        <is>
          <t>655501-16</t>
        </is>
      </c>
    </row>
    <row r="4237" hidden="1" ht="15.75" customHeight="1">
      <c r="A4237" s="2">
        <f>HYPERLINK("https://www.soccerplususa.com/puma/puma-santiago-jersey-29026", "https://www.soccerplususa.com/puma/puma-santiago-jersey-29026")</f>
        <v/>
      </c>
      <c r="B4237" t="inlineStr">
        <is>
          <t>undefined</t>
        </is>
      </c>
      <c r="C4237" t="inlineStr">
        <is>
          <t>Puma Santiago Jersey</t>
        </is>
      </c>
      <c r="D4237" t="inlineStr">
        <is>
          <t>PUMA Santiago TG Mens Jersey</t>
        </is>
      </c>
      <c r="E4237" s="2">
        <f>HYPERLINK("https://www.amazon.com/PUMA-Santiago-TG-Mens-Jersey/dp/B07L3SL2HB/ref=sr_1_3?keywords=Puma+Santiago+Jersey&amp;qid=1695171172&amp;sr=8-3", "https://www.amazon.com/PUMA-Santiago-TG-Mens-Jersey/dp/B07L3SL2HB/ref=sr_1_3?keywords=Puma+Santiago+Jersey&amp;qid=1695171172&amp;sr=8-3")</f>
        <v/>
      </c>
      <c r="F4237" t="inlineStr">
        <is>
          <t>B07L3SL2HB</t>
        </is>
      </c>
      <c r="G4237">
        <f>_xludf.IMAGE("https://www.soccerplususa.com/prodimages/32663-DEFAULT-l.jpg")</f>
        <v/>
      </c>
      <c r="H4237">
        <f>_xludf.IMAGE("https://m.media-amazon.com/images/I/91K3avYcgXL._AC_UL320_.jpg")</f>
        <v/>
      </c>
      <c r="K4237" t="inlineStr">
        <is>
          <t>16.0</t>
        </is>
      </c>
      <c r="L4237" t="n">
        <v>15.8</v>
      </c>
      <c r="M4237" s="1" t="inlineStr">
        <is>
          <t>-1.25%</t>
        </is>
      </c>
      <c r="N4237" s="3" t="n">
        <v>-1.25</v>
      </c>
      <c r="O4237" t="n">
        <v>3.7</v>
      </c>
      <c r="P4237" t="n">
        <v>4</v>
      </c>
      <c r="R4237" t="inlineStr">
        <is>
          <t>InStock</t>
        </is>
      </c>
      <c r="S4237" t="inlineStr">
        <is>
          <t>31.95</t>
        </is>
      </c>
      <c r="T4237" t="inlineStr">
        <is>
          <t>655501-06</t>
        </is>
      </c>
    </row>
    <row r="4238" hidden="1" ht="15.75" customHeight="1">
      <c r="A4238" s="2">
        <f>HYPERLINK("https://www.soccerplususa.com/puma/puma-santiago-jersey-29027", "https://www.soccerplususa.com/puma/puma-santiago-jersey-29027")</f>
        <v/>
      </c>
      <c r="B4238" t="inlineStr">
        <is>
          <t>undefined</t>
        </is>
      </c>
      <c r="C4238" t="inlineStr">
        <is>
          <t>Puma Santiago Jersey</t>
        </is>
      </c>
      <c r="D4238" t="inlineStr">
        <is>
          <t>PUMA Santiago TG Mens Jersey</t>
        </is>
      </c>
      <c r="E4238" s="2">
        <f>HYPERLINK("https://www.amazon.com/PUMA-Santiago-TG-Mens-Jersey/dp/B07L3SL2HB/ref=sr_1_3?keywords=Puma+Santiago+Jersey&amp;qid=1695171173&amp;sr=8-3", "https://www.amazon.com/PUMA-Santiago-TG-Mens-Jersey/dp/B07L3SL2HB/ref=sr_1_3?keywords=Puma+Santiago+Jersey&amp;qid=1695171173&amp;sr=8-3")</f>
        <v/>
      </c>
      <c r="F4238" t="inlineStr">
        <is>
          <t>B07L3SL2HB</t>
        </is>
      </c>
      <c r="G4238">
        <f>_xludf.IMAGE("https://www.soccerplususa.com/prodimages/32664-DEFAULT-l.jpg")</f>
        <v/>
      </c>
      <c r="H4238">
        <f>_xludf.IMAGE("https://m.media-amazon.com/images/I/91K3avYcgXL._AC_UL320_.jpg")</f>
        <v/>
      </c>
      <c r="K4238" t="inlineStr">
        <is>
          <t>16.0</t>
        </is>
      </c>
      <c r="L4238" t="n">
        <v>15.8</v>
      </c>
      <c r="M4238" s="1" t="inlineStr">
        <is>
          <t>-1.25%</t>
        </is>
      </c>
      <c r="N4238" s="3" t="n">
        <v>-1.25</v>
      </c>
      <c r="O4238" t="n">
        <v>3.7</v>
      </c>
      <c r="P4238" t="n">
        <v>4</v>
      </c>
      <c r="R4238" t="inlineStr">
        <is>
          <t>InStock</t>
        </is>
      </c>
      <c r="S4238" t="inlineStr">
        <is>
          <t>31.95</t>
        </is>
      </c>
      <c r="T4238" t="inlineStr">
        <is>
          <t>655501-29</t>
        </is>
      </c>
    </row>
    <row r="4239" hidden="1" ht="15.75" customHeight="1">
      <c r="A4239" s="2">
        <f>HYPERLINK("https://www.soccerplususa.com/under-armour/under-armour-coldgear-armour-fitted-mock-youth-41593", "https://www.soccerplususa.com/under-armour/under-armour-coldgear-armour-fitted-mock-youth-41593")</f>
        <v/>
      </c>
      <c r="B4239" t="inlineStr">
        <is>
          <t>undefined</t>
        </is>
      </c>
      <c r="C4239" t="inlineStr">
        <is>
          <t>Under Armour ColdGear Armour Fitted Mock Youth</t>
        </is>
      </c>
      <c r="D4239" t="inlineStr">
        <is>
          <t>Under Armour Boys' Armour ColdGear Long Sleeve T-Shirt , Jet Gray Light Heather (010)/Black , Youth Large</t>
        </is>
      </c>
      <c r="E4239" s="2">
        <f>HYPERLINK("https://www.amazon.com/Under-Armour-ColdGear-T-Shirt-Heather/dp/B07YXLC868/ref=sr_1_10?keywords=Under+Armour+ColdGear+Armour+Fitted+Mock+Youth&amp;qid=1695171155&amp;sr=8-10", "https://www.amazon.com/Under-Armour-ColdGear-T-Shirt-Heather/dp/B07YXLC868/ref=sr_1_10?keywords=Under+Armour+ColdGear+Armour+Fitted+Mock+Youth&amp;qid=1695171155&amp;sr=8-10")</f>
        <v/>
      </c>
      <c r="F4239" t="inlineStr">
        <is>
          <t>B07YXLC868</t>
        </is>
      </c>
      <c r="G4239">
        <f>_xludf.IMAGE("https://www.soccerplususa.com/prodimages//36054-BLACK-M.jpg")</f>
        <v/>
      </c>
      <c r="H4239">
        <f>_xludf.IMAGE("https://m.media-amazon.com/images/I/710PLbdg4zL._AC_UL320_.jpg")</f>
        <v/>
      </c>
      <c r="K4239" t="inlineStr">
        <is>
          <t>39.95</t>
        </is>
      </c>
      <c r="L4239" t="n">
        <v>39.24</v>
      </c>
      <c r="M4239" s="1" t="inlineStr">
        <is>
          <t>-1.78%</t>
        </is>
      </c>
      <c r="N4239" s="3" t="n">
        <v>-1.78</v>
      </c>
      <c r="O4239" t="n">
        <v>4.6</v>
      </c>
      <c r="P4239" t="n">
        <v>18</v>
      </c>
      <c r="R4239" t="inlineStr">
        <is>
          <t>InStock</t>
        </is>
      </c>
      <c r="S4239" t="inlineStr">
        <is>
          <t>undefined</t>
        </is>
      </c>
      <c r="T4239" t="inlineStr">
        <is>
          <t>1366373-001</t>
        </is>
      </c>
    </row>
    <row r="4240" hidden="1" ht="15.75" customHeight="1">
      <c r="A4240" s="2">
        <f>HYPERLINK("https://www.soccerplususa.com/adidas/adidas-campeon-15-jersey-youth-7828", "https://www.soccerplususa.com/adidas/adidas-campeon-15-jersey-youth-7828")</f>
        <v/>
      </c>
      <c r="B4240" t="inlineStr">
        <is>
          <t>undefined</t>
        </is>
      </c>
      <c r="C4240" t="inlineStr">
        <is>
          <t>adidas Campeon 15 Jersey Youth</t>
        </is>
      </c>
      <c r="D4240" t="inlineStr">
        <is>
          <t>adidas Campeon 21 Jersey Youth</t>
        </is>
      </c>
      <c r="E4240" s="2">
        <f>HYPERLINK("https://www.amazon.com/adidas-Campeon-21-Jersey-Soccer/dp/B08V6T5JDM/ref=sr_1_3?keywords=adidas+Campeon+15+Jersey+Youth&amp;qid=1695171197&amp;sr=8-3", "https://www.amazon.com/adidas-Campeon-21-Jersey-Soccer/dp/B08V6T5JDM/ref=sr_1_3?keywords=adidas+Campeon+15+Jersey+Youth&amp;qid=1695171197&amp;sr=8-3")</f>
        <v/>
      </c>
      <c r="F4240" t="inlineStr">
        <is>
          <t>B08V6T5JDM</t>
        </is>
      </c>
      <c r="G4240">
        <f>_xludf.IMAGE("https://www.soccerplususa.com/prodimages/4488-DEFAULT-l.jpg")</f>
        <v/>
      </c>
      <c r="H4240">
        <f>_xludf.IMAGE("https://m.media-amazon.com/images/I/51-+spnvhMS._AC_UL320_.jpg")</f>
        <v/>
      </c>
      <c r="K4240" t="inlineStr">
        <is>
          <t>27.5</t>
        </is>
      </c>
      <c r="L4240" t="n">
        <v>27</v>
      </c>
      <c r="M4240" s="1" t="inlineStr">
        <is>
          <t>-1.82%</t>
        </is>
      </c>
      <c r="N4240" s="3" t="n">
        <v>-1.82</v>
      </c>
      <c r="O4240" t="n">
        <v>5</v>
      </c>
      <c r="P4240" t="n">
        <v>1</v>
      </c>
      <c r="R4240" t="inlineStr">
        <is>
          <t>InStock</t>
        </is>
      </c>
      <c r="S4240" t="inlineStr">
        <is>
          <t>54.95</t>
        </is>
      </c>
      <c r="T4240" t="inlineStr">
        <is>
          <t>S15907</t>
        </is>
      </c>
    </row>
    <row r="4241" hidden="1" ht="15.75" customHeight="1">
      <c r="A4241" s="2">
        <f>HYPERLINK("https://www.soccerplususa.com/nike/nike-academy-drill-top-youth-43256", "https://www.soccerplususa.com/nike/nike-academy-drill-top-youth-43256")</f>
        <v/>
      </c>
      <c r="B4241" t="inlineStr">
        <is>
          <t>undefined</t>
        </is>
      </c>
      <c r="C4241" t="inlineStr">
        <is>
          <t>Nike Academy Drill Top Youth</t>
        </is>
      </c>
      <c r="D4241" t="inlineStr">
        <is>
          <t>Nike Boys Academy 18 Shield Drill Top</t>
        </is>
      </c>
      <c r="E4241" s="2">
        <f>HYPERLINK("https://www.amazon.com/NIKE-Academy-Shield-Drill-Black/dp/B078NJHLGW/ref=sr_1_7?keywords=Nike+Academy+Drill+Top+Youth&amp;qid=1695171160&amp;sr=8-7", "https://www.amazon.com/NIKE-Academy-Shield-Drill-Black/dp/B078NJHLGW/ref=sr_1_7?keywords=Nike+Academy+Drill+Top+Youth&amp;qid=1695171160&amp;sr=8-7")</f>
        <v/>
      </c>
      <c r="F4241" t="inlineStr">
        <is>
          <t>B078NJHLGW</t>
        </is>
      </c>
      <c r="G4241">
        <f>_xludf.IMAGE("https://www.soccerplususa.com/prodimages//35431-BLACKWHITE-M.jpg")</f>
        <v/>
      </c>
      <c r="H4241">
        <f>_xludf.IMAGE("https://m.media-amazon.com/images/I/817ZEzW4CTL._AC_UL320_.jpg")</f>
        <v/>
      </c>
      <c r="K4241" t="inlineStr">
        <is>
          <t>49.95</t>
        </is>
      </c>
      <c r="L4241" t="n">
        <v>49</v>
      </c>
      <c r="M4241" s="1" t="inlineStr">
        <is>
          <t>-1.90%</t>
        </is>
      </c>
      <c r="N4241" s="3" t="n">
        <v>-1.9</v>
      </c>
      <c r="O4241" t="n">
        <v>4.5</v>
      </c>
      <c r="P4241" t="n">
        <v>3</v>
      </c>
      <c r="R4241" t="inlineStr">
        <is>
          <t>InStock</t>
        </is>
      </c>
      <c r="S4241" t="inlineStr">
        <is>
          <t>undefined</t>
        </is>
      </c>
      <c r="T4241" t="inlineStr">
        <is>
          <t>CW6112-010</t>
        </is>
      </c>
    </row>
    <row r="4242" hidden="1" ht="15.75" customHeight="1">
      <c r="A4242" s="2">
        <f>HYPERLINK("https://www.soccerplususa.com/under-armour/under-armour-coldgear-armour-fitted-mock-youth-41594", "https://www.soccerplususa.com/under-armour/under-armour-coldgear-armour-fitted-mock-youth-41594")</f>
        <v/>
      </c>
      <c r="B4242" t="inlineStr">
        <is>
          <t>undefined</t>
        </is>
      </c>
      <c r="C4242" t="inlineStr">
        <is>
          <t>Under Armour ColdGear Armour Fitted Mock Youth</t>
        </is>
      </c>
      <c r="D4242" t="inlineStr">
        <is>
          <t>Under Armour Boys' Armour ColdGear Long Sleeve T-Shirt , Jet Gray Light Heather (010)/Black , Youth Large</t>
        </is>
      </c>
      <c r="E4242" s="2">
        <f>HYPERLINK("https://www.amazon.com/Under-Armour-ColdGear-T-Shirt-Heather/dp/B07YXLC868/ref=sr_1_7?keywords=Under+Armour+ColdGear+Armour+Fitted+Mock+Youth&amp;qid=1695171149&amp;sr=8-7", "https://www.amazon.com/Under-Armour-ColdGear-T-Shirt-Heather/dp/B07YXLC868/ref=sr_1_7?keywords=Under+Armour+ColdGear+Armour+Fitted+Mock+Youth&amp;qid=1695171149&amp;sr=8-7")</f>
        <v/>
      </c>
      <c r="F4242" t="inlineStr">
        <is>
          <t>B07YXLC868</t>
        </is>
      </c>
      <c r="G4242">
        <f>_xludf.IMAGE("https://www.soccerplususa.com/prodimages//36053-WHITE-M.jpg")</f>
        <v/>
      </c>
      <c r="H4242">
        <f>_xludf.IMAGE("https://m.media-amazon.com/images/I/710PLbdg4zL._AC_UL320_.jpg")</f>
        <v/>
      </c>
      <c r="K4242" t="inlineStr">
        <is>
          <t>39.95</t>
        </is>
      </c>
      <c r="L4242" t="n">
        <v>39.19</v>
      </c>
      <c r="M4242" s="1" t="inlineStr">
        <is>
          <t>-1.90%</t>
        </is>
      </c>
      <c r="N4242" s="3" t="n">
        <v>-1.9</v>
      </c>
      <c r="O4242" t="n">
        <v>4.6</v>
      </c>
      <c r="P4242" t="n">
        <v>18</v>
      </c>
      <c r="R4242" t="inlineStr">
        <is>
          <t>InStock</t>
        </is>
      </c>
      <c r="S4242" t="inlineStr">
        <is>
          <t>undefined</t>
        </is>
      </c>
      <c r="T4242" t="inlineStr">
        <is>
          <t>1366373-100</t>
        </is>
      </c>
    </row>
    <row r="4243" hidden="1" ht="15.75" customHeight="1">
      <c r="A4243" s="2">
        <f>HYPERLINK("https://www.soccerplususa.com/new-balance/new-balance-sideline-jacket-41947", "https://www.soccerplususa.com/new-balance/new-balance-sideline-jacket-41947")</f>
        <v/>
      </c>
      <c r="B4243" t="inlineStr">
        <is>
          <t>undefined</t>
        </is>
      </c>
      <c r="C4243" t="inlineStr">
        <is>
          <t>New Balance Sideline Jacket</t>
        </is>
      </c>
      <c r="D4243" t="inlineStr">
        <is>
          <t>New Balance Men's Essentials Stacked Logo French Terry Jacket</t>
        </is>
      </c>
      <c r="E4243" s="2">
        <f>HYPERLINK("https://www.amazon.com/New-Balance-Essentials-Stacked-Athletic/dp/B09ZPVCQJ3/ref=sr_1_6?keywords=New+Balance+Sideline+Jacket&amp;qid=1695171146&amp;sr=8-6", "https://www.amazon.com/New-Balance-Essentials-Stacked-Athletic/dp/B09ZPVCQJ3/ref=sr_1_6?keywords=New+Balance+Sideline+Jacket&amp;qid=1695171146&amp;sr=8-6")</f>
        <v/>
      </c>
      <c r="F4243" t="inlineStr">
        <is>
          <t>B09ZPVCQJ3</t>
        </is>
      </c>
      <c r="G4243">
        <f>_xludf.IMAGE("https://www.soccerplususa.com/prodimages//37530-BLACK-M.jpg")</f>
        <v/>
      </c>
      <c r="H4243">
        <f>_xludf.IMAGE("https://m.media-amazon.com/images/I/81N13CpQNjL._AC_UL320_.jpg")</f>
        <v/>
      </c>
      <c r="K4243" t="inlineStr">
        <is>
          <t>71.49</t>
        </is>
      </c>
      <c r="L4243" t="n">
        <v>69.95</v>
      </c>
      <c r="M4243" s="1" t="inlineStr">
        <is>
          <t>-2.15%</t>
        </is>
      </c>
      <c r="N4243" s="3" t="n">
        <v>-2.15</v>
      </c>
      <c r="O4243" t="n">
        <v>3.4</v>
      </c>
      <c r="P4243" t="n">
        <v>4</v>
      </c>
      <c r="R4243" t="inlineStr">
        <is>
          <t>InStock</t>
        </is>
      </c>
      <c r="S4243" t="inlineStr">
        <is>
          <t>95.0</t>
        </is>
      </c>
      <c r="T4243" t="inlineStr">
        <is>
          <t>TMMJ718</t>
        </is>
      </c>
    </row>
    <row r="4244" hidden="1" ht="15.75" customHeight="1">
      <c r="A4244" s="2">
        <f>HYPERLINK("https://www.soccerplususa.com/adidas/adidas-condivo-16-jersey-youth-4210", "https://www.soccerplususa.com/adidas/adidas-condivo-16-jersey-youth-4210")</f>
        <v/>
      </c>
      <c r="B4244" t="inlineStr">
        <is>
          <t>undefined</t>
        </is>
      </c>
      <c r="C4244" t="inlineStr">
        <is>
          <t>adidas Condivo 16 Jersey Youth</t>
        </is>
      </c>
      <c r="D4244" t="inlineStr">
        <is>
          <t>adidas Condivo 16 Mens Soccer Jersey</t>
        </is>
      </c>
      <c r="E4244" s="2">
        <f>HYPERLINK("https://www.amazon.com/adidas-Condivo-Soccer-Jersey-Red-White/dp/B018663ZI8/ref=sr_1_3?keywords=adidas+Condivo+16+Jersey+Youth&amp;qid=1695171233&amp;sr=8-3", "https://www.amazon.com/adidas-Condivo-Soccer-Jersey-Red-White/dp/B018663ZI8/ref=sr_1_3?keywords=adidas+Condivo+16+Jersey+Youth&amp;qid=1695171233&amp;sr=8-3")</f>
        <v/>
      </c>
      <c r="F4244" t="inlineStr">
        <is>
          <t>B018663ZI8</t>
        </is>
      </c>
      <c r="G4244">
        <f>_xludf.IMAGE("https://www.soccerplususa.com/prodimages/7805-DEFAULT-l.jpg")</f>
        <v/>
      </c>
      <c r="H4244">
        <f>_xludf.IMAGE("https://m.media-amazon.com/images/I/61Yl6y-jiwL._AC_UL320_.jpg")</f>
        <v/>
      </c>
      <c r="K4244" t="inlineStr">
        <is>
          <t>22.48</t>
        </is>
      </c>
      <c r="L4244" t="n">
        <v>21.92</v>
      </c>
      <c r="M4244" s="1" t="inlineStr">
        <is>
          <t>-2.49%</t>
        </is>
      </c>
      <c r="N4244" s="3" t="n">
        <v>-2.49</v>
      </c>
      <c r="O4244" t="n">
        <v>4.2</v>
      </c>
      <c r="P4244" t="n">
        <v>5</v>
      </c>
      <c r="R4244" t="inlineStr">
        <is>
          <t>InStock</t>
        </is>
      </c>
      <c r="S4244" t="inlineStr">
        <is>
          <t>44.95</t>
        </is>
      </c>
      <c r="T4244" t="inlineStr">
        <is>
          <t>AP4366</t>
        </is>
      </c>
    </row>
    <row r="4245" hidden="1" ht="15.75" customHeight="1">
      <c r="A4245" s="2">
        <f>HYPERLINK("https://www.soccerplususa.com/adidas/adidas-condivo-16-jersey-youth-4211", "https://www.soccerplususa.com/adidas/adidas-condivo-16-jersey-youth-4211")</f>
        <v/>
      </c>
      <c r="B4245" t="inlineStr">
        <is>
          <t>undefined</t>
        </is>
      </c>
      <c r="C4245" t="inlineStr">
        <is>
          <t>adidas Condivo 16 Jersey Youth</t>
        </is>
      </c>
      <c r="D4245" t="inlineStr">
        <is>
          <t>adidas Condivo 16 Mens Soccer Jersey</t>
        </is>
      </c>
      <c r="E4245" s="2">
        <f>HYPERLINK("https://www.amazon.com/adidas-Condivo-Soccer-Jersey-Red-White/dp/B018663ZI8/ref=sr_1_3?keywords=adidas+Condivo+16+Jersey+Youth&amp;qid=1695171230&amp;sr=8-3", "https://www.amazon.com/adidas-Condivo-Soccer-Jersey-Red-White/dp/B018663ZI8/ref=sr_1_3?keywords=adidas+Condivo+16+Jersey+Youth&amp;qid=1695171230&amp;sr=8-3")</f>
        <v/>
      </c>
      <c r="F4245" t="inlineStr">
        <is>
          <t>B018663ZI8</t>
        </is>
      </c>
      <c r="G4245">
        <f>_xludf.IMAGE("https://www.soccerplususa.com/prodimages/6944-DEFAULT-l.jpg")</f>
        <v/>
      </c>
      <c r="H4245">
        <f>_xludf.IMAGE("https://m.media-amazon.com/images/I/61Yl6y-jiwL._AC_UL320_.jpg")</f>
        <v/>
      </c>
      <c r="K4245" t="inlineStr">
        <is>
          <t>22.5</t>
        </is>
      </c>
      <c r="L4245" t="n">
        <v>21.92</v>
      </c>
      <c r="M4245" s="1" t="inlineStr">
        <is>
          <t>-2.58%</t>
        </is>
      </c>
      <c r="N4245" s="3" t="n">
        <v>-2.58</v>
      </c>
      <c r="O4245" t="n">
        <v>4.2</v>
      </c>
      <c r="P4245" t="n">
        <v>5</v>
      </c>
      <c r="R4245" t="inlineStr">
        <is>
          <t>InStock</t>
        </is>
      </c>
      <c r="S4245" t="inlineStr">
        <is>
          <t>44.95</t>
        </is>
      </c>
      <c r="T4245" t="inlineStr">
        <is>
          <t>AP4367</t>
        </is>
      </c>
    </row>
    <row r="4246" hidden="1" ht="15.75" customHeight="1">
      <c r="A4246" s="2">
        <f>HYPERLINK("https://www.soccerplususa.com/adidas/adidas-regista-14-jersey-womens-6069", "https://www.soccerplususa.com/adidas/adidas-regista-14-jersey-womens-6069")</f>
        <v/>
      </c>
      <c r="B4246" t="inlineStr">
        <is>
          <t>undefined</t>
        </is>
      </c>
      <c r="C4246" t="inlineStr">
        <is>
          <t>adidas Regista 14 Jersey Women's</t>
        </is>
      </c>
      <c r="D4246" t="inlineStr">
        <is>
          <t>adidas Women's Regista 14 Short, Black/White, Medium</t>
        </is>
      </c>
      <c r="E4246" s="2">
        <f>HYPERLINK("https://www.amazon.com/Adidas-Womens-Climacool-Regista-Medium/dp/B00H5UP030/ref=sr_1_5?keywords=adidas+Regista+14+Jersey+Womens&amp;qid=1695171219&amp;sr=8-5", "https://www.amazon.com/Adidas-Womens-Climacool-Regista-Medium/dp/B00H5UP030/ref=sr_1_5?keywords=adidas+Regista+14+Jersey+Womens&amp;qid=1695171219&amp;sr=8-5")</f>
        <v/>
      </c>
      <c r="F4246" t="inlineStr">
        <is>
          <t>B00H5UP030</t>
        </is>
      </c>
      <c r="G4246">
        <f>_xludf.IMAGE("https://www.soccerplususa.com/prodimages/31729-DEFAULT-l.jpg")</f>
        <v/>
      </c>
      <c r="H4246">
        <f>_xludf.IMAGE("https://m.media-amazon.com/images/I/71BmjkbsH-L._AC_UL320_.jpg")</f>
        <v/>
      </c>
      <c r="K4246" t="inlineStr">
        <is>
          <t>33.99</t>
        </is>
      </c>
      <c r="L4246" t="n">
        <v>32.99</v>
      </c>
      <c r="M4246" s="1" t="inlineStr">
        <is>
          <t>-2.94%</t>
        </is>
      </c>
      <c r="N4246" s="3" t="n">
        <v>-2.94</v>
      </c>
      <c r="O4246" t="n">
        <v>5</v>
      </c>
      <c r="P4246" t="n">
        <v>1</v>
      </c>
      <c r="R4246" t="inlineStr">
        <is>
          <t>InStock</t>
        </is>
      </c>
      <c r="S4246" t="inlineStr">
        <is>
          <t>44.95</t>
        </is>
      </c>
      <c r="T4246" t="inlineStr">
        <is>
          <t>F50028</t>
        </is>
      </c>
    </row>
    <row r="4247" hidden="1" ht="15.75" customHeight="1">
      <c r="A4247" s="2">
        <f>HYPERLINK("https://www.soccerplususa.com/puma/puma-liga-jersey-womens-39602", "https://www.soccerplususa.com/puma/puma-liga-jersey-womens-39602")</f>
        <v/>
      </c>
      <c r="B4247" t="inlineStr">
        <is>
          <t>undefined</t>
        </is>
      </c>
      <c r="C4247" t="inlineStr">
        <is>
          <t>Puma Liga Jersey Women's</t>
        </is>
      </c>
      <c r="D4247" t="inlineStr">
        <is>
          <t>PUMA womens Liga Training Jersey, Red-white, X-Small US</t>
        </is>
      </c>
      <c r="E4247" s="2">
        <f>HYPERLINK("https://www.amazon.com/PUMA-Womens-Training-Redpuma-X-Small/dp/B07B89FLMD/ref=sr_1_7?keywords=Puma+Liga+Jersey+Womens&amp;qid=1695171150&amp;sr=8-7", "https://www.amazon.com/PUMA-Womens-Training-Redpuma-X-Small/dp/B07B89FLMD/ref=sr_1_7?keywords=Puma+Liga+Jersey+Womens&amp;qid=1695171150&amp;sr=8-7")</f>
        <v/>
      </c>
      <c r="F4247" t="inlineStr">
        <is>
          <t>B07B89FLMD</t>
        </is>
      </c>
      <c r="G4247">
        <f>_xludf.IMAGE("https://www.soccerplususa.com/prodimages//36786-REDWHITE-M.jpg")</f>
        <v/>
      </c>
      <c r="H4247">
        <f>_xludf.IMAGE("https://m.media-amazon.com/images/I/81WMcRJ8y5L._AC_UL320_.jpg")</f>
        <v/>
      </c>
      <c r="K4247" t="inlineStr">
        <is>
          <t>20.99</t>
        </is>
      </c>
      <c r="L4247" t="n">
        <v>20.32</v>
      </c>
      <c r="M4247" s="1" t="inlineStr">
        <is>
          <t>-3.19%</t>
        </is>
      </c>
      <c r="N4247" s="3" t="n">
        <v>-3.19</v>
      </c>
      <c r="O4247" t="n">
        <v>3.4</v>
      </c>
      <c r="P4247" t="n">
        <v>6</v>
      </c>
      <c r="R4247" t="inlineStr">
        <is>
          <t>InStock</t>
        </is>
      </c>
      <c r="S4247" t="inlineStr">
        <is>
          <t>27.95</t>
        </is>
      </c>
      <c r="T4247" t="inlineStr">
        <is>
          <t>703426-01</t>
        </is>
      </c>
    </row>
    <row r="4248" hidden="1" ht="15.75" customHeight="1">
      <c r="A4248" s="2">
        <f>HYPERLINK("https://www.soccerplususa.com/nike/nike-academy-drill-top-youth-43256", "https://www.soccerplususa.com/nike/nike-academy-drill-top-youth-43256")</f>
        <v/>
      </c>
      <c r="B4248" t="inlineStr">
        <is>
          <t>undefined</t>
        </is>
      </c>
      <c r="C4248" t="inlineStr">
        <is>
          <t>Nike Academy Drill Top Youth</t>
        </is>
      </c>
      <c r="D4248" t="inlineStr">
        <is>
          <t>Nike Women's Dri-FIT Academy Soccer Drill Top (Black/White) Size Medium</t>
        </is>
      </c>
      <c r="E4248" s="2">
        <f>HYPERLINK("https://www.amazon.com/Nike-Womens-Dri-FIT-Academy-Soccer/dp/B0B3HQBSTW/ref=sr_1_4?keywords=Nike+Academy+Drill+Top+Youth&amp;qid=1695171160&amp;sr=8-4", "https://www.amazon.com/Nike-Womens-Dri-FIT-Academy-Soccer/dp/B0B3HQBSTW/ref=sr_1_4?keywords=Nike+Academy+Drill+Top+Youth&amp;qid=1695171160&amp;sr=8-4")</f>
        <v/>
      </c>
      <c r="F4248" t="inlineStr">
        <is>
          <t>B0B3HQBSTW</t>
        </is>
      </c>
      <c r="G4248">
        <f>_xludf.IMAGE("https://www.soccerplususa.com/prodimages//35431-BLACKWHITE-M.jpg")</f>
        <v/>
      </c>
      <c r="H4248">
        <f>_xludf.IMAGE("https://m.media-amazon.com/images/I/41RpH2l6+tL._AC_UL320_.jpg")</f>
        <v/>
      </c>
      <c r="K4248" t="inlineStr">
        <is>
          <t>49.95</t>
        </is>
      </c>
      <c r="L4248" t="n">
        <v>48.3</v>
      </c>
      <c r="M4248" s="1" t="inlineStr">
        <is>
          <t>-3.30%</t>
        </is>
      </c>
      <c r="N4248" s="3" t="n">
        <v>-3.3</v>
      </c>
      <c r="O4248" t="n">
        <v>5</v>
      </c>
      <c r="P4248" t="n">
        <v>2</v>
      </c>
      <c r="R4248" t="inlineStr">
        <is>
          <t>InStock</t>
        </is>
      </c>
      <c r="S4248" t="inlineStr">
        <is>
          <t>undefined</t>
        </is>
      </c>
      <c r="T4248" t="inlineStr">
        <is>
          <t>CW6112-010</t>
        </is>
      </c>
    </row>
    <row r="4249" hidden="1" ht="15.75" customHeight="1">
      <c r="A4249" s="2">
        <f>HYPERLINK("https://www.soccerplususa.com/storelli-sports/storelli-bodyshield-sleeveless-undershirt-32102", "https://www.soccerplususa.com/storelli-sports/storelli-bodyshield-sleeveless-undershirt-32102")</f>
        <v/>
      </c>
      <c r="B4249" t="inlineStr">
        <is>
          <t>undefined</t>
        </is>
      </c>
      <c r="C4249" t="inlineStr">
        <is>
          <t>Storelli BodyShield Sleeveless Undershirt</t>
        </is>
      </c>
      <c r="D4249" t="inlineStr">
        <is>
          <t>Storelli BodyShield Sleeveless Undershirt | Protective Soccer Base Layer | Lightweight Compression Top</t>
        </is>
      </c>
      <c r="E4249" s="2">
        <f>HYPERLINK("https://www.amazon.com/Storelli-BodyShield-Sleeveless-Lightweight-Compression/dp/B00N4VY83C/ref=sr_1_1?keywords=Storelli+BodyShield+Sleeveless+Undershirt&amp;qid=1695171181&amp;sr=8-1", "https://www.amazon.com/Storelli-BodyShield-Sleeveless-Lightweight-Compression/dp/B00N4VY83C/ref=sr_1_1?keywords=Storelli+BodyShield+Sleeveless+Undershirt&amp;qid=1695171181&amp;sr=8-1")</f>
        <v/>
      </c>
      <c r="F4249" t="inlineStr">
        <is>
          <t>B00N4VY83C</t>
        </is>
      </c>
      <c r="G4249">
        <f>_xludf.IMAGE("https://www.soccerplususa.com/prodimages/2096-DEFAULT-l.jpg")</f>
        <v/>
      </c>
      <c r="H4249">
        <f>_xludf.IMAGE("https://m.media-amazon.com/images/I/61vj2u7ThmL._AC_UL320_.jpg")</f>
        <v/>
      </c>
      <c r="K4249" t="inlineStr">
        <is>
          <t>59.95</t>
        </is>
      </c>
      <c r="L4249" t="n">
        <v>57.91</v>
      </c>
      <c r="M4249" s="1" t="inlineStr">
        <is>
          <t>-3.40%</t>
        </is>
      </c>
      <c r="N4249" s="3" t="n">
        <v>-3.4</v>
      </c>
      <c r="O4249" t="n">
        <v>4.7</v>
      </c>
      <c r="P4249" t="n">
        <v>18</v>
      </c>
      <c r="R4249" t="inlineStr">
        <is>
          <t>InStock</t>
        </is>
      </c>
      <c r="S4249" t="inlineStr">
        <is>
          <t>undefined</t>
        </is>
      </c>
      <c r="T4249" t="inlineStr">
        <is>
          <t>BSFPTOPNSBK</t>
        </is>
      </c>
    </row>
    <row r="4250" hidden="1" ht="15.75" customHeight="1">
      <c r="A4250" s="2">
        <f>HYPERLINK("https://www.soccerplususa.com/adidas/adidas-tiro-19-warm-top-youth-33865", "https://www.soccerplususa.com/adidas/adidas-tiro-19-warm-top-youth-33865")</f>
        <v/>
      </c>
      <c r="B4250" t="inlineStr">
        <is>
          <t>undefined</t>
        </is>
      </c>
      <c r="C4250" t="inlineStr">
        <is>
          <t>adidas Tiro 19 Warm Top Youth</t>
        </is>
      </c>
      <c r="D4250" t="inlineStr">
        <is>
          <t>adidas Youth Soccer Tiro 17 Warm Up Top (Large) Black</t>
        </is>
      </c>
      <c r="E4250" s="2">
        <f>HYPERLINK("https://www.amazon.com/Adidas-Youth-Tiro-Soccer-Grey-Black-White/dp/B01N65Y3UR/ref=sr_1_2?keywords=adidas+Tiro+19+Warm+Top+Youth&amp;qid=1695171191&amp;sr=8-2", "https://www.amazon.com/Adidas-Youth-Tiro-Soccer-Grey-Black-White/dp/B01N65Y3UR/ref=sr_1_2?keywords=adidas+Tiro+19+Warm+Top+Youth&amp;qid=1695171191&amp;sr=8-2")</f>
        <v/>
      </c>
      <c r="F4250" t="inlineStr">
        <is>
          <t>B01N65Y3UR</t>
        </is>
      </c>
      <c r="G4250">
        <f>_xludf.IMAGE("https://www.soccerplususa.com/prodimages/7903-DEFAULT-l.jpg")</f>
        <v/>
      </c>
      <c r="H4250">
        <f>_xludf.IMAGE("https://m.media-amazon.com/images/I/715VzyN2KwL._AC_UL320_.jpg")</f>
        <v/>
      </c>
      <c r="K4250" t="inlineStr">
        <is>
          <t>52.0</t>
        </is>
      </c>
      <c r="L4250" t="n">
        <v>49.99</v>
      </c>
      <c r="M4250" s="1" t="inlineStr">
        <is>
          <t>-3.87%</t>
        </is>
      </c>
      <c r="N4250" s="3" t="n">
        <v>-3.87</v>
      </c>
      <c r="O4250" t="n">
        <v>5</v>
      </c>
      <c r="P4250" t="n">
        <v>1</v>
      </c>
      <c r="R4250" t="inlineStr">
        <is>
          <t>InStock</t>
        </is>
      </c>
      <c r="S4250" t="inlineStr">
        <is>
          <t>69.95</t>
        </is>
      </c>
      <c r="T4250" t="inlineStr">
        <is>
          <t>D95952</t>
        </is>
      </c>
    </row>
    <row r="4251" hidden="1" ht="15.75" customHeight="1">
      <c r="A4251" s="2">
        <f>HYPERLINK("https://www.soccerplususa.com/puma/puma-liga-jersey-37884", "https://www.soccerplususa.com/puma/puma-liga-jersey-37884")</f>
        <v/>
      </c>
      <c r="B4251" t="inlineStr">
        <is>
          <t>undefined</t>
        </is>
      </c>
      <c r="C4251" t="inlineStr">
        <is>
          <t>Puma Liga Jersey</t>
        </is>
      </c>
      <c r="D4251" t="inlineStr">
        <is>
          <t>PUMA Unisex Youth Liga Jersey</t>
        </is>
      </c>
      <c r="E4251" s="2">
        <f>HYPERLINK("https://www.amazon.com/PUMA-Mens-LIGA-Jersey-White/dp/B07DY9HZB2/ref=sr_1_7?keywords=Puma+Liga+Jersey&amp;qid=1695171168&amp;sr=8-7", "https://www.amazon.com/PUMA-Mens-LIGA-Jersey-White/dp/B07DY9HZB2/ref=sr_1_7?keywords=Puma+Liga+Jersey&amp;qid=1695171168&amp;sr=8-7")</f>
        <v/>
      </c>
      <c r="F4251" t="inlineStr">
        <is>
          <t>B07DY9HZB2</t>
        </is>
      </c>
      <c r="G4251">
        <f>_xludf.IMAGE("https://www.soccerplususa.com/prodimages//35270-NAVYWHITE-M.jpg")</f>
        <v/>
      </c>
      <c r="H4251">
        <f>_xludf.IMAGE("https://m.media-amazon.com/images/I/61tvgoNrhmL._AC_UL320_.jpg")</f>
        <v/>
      </c>
      <c r="K4251" t="inlineStr">
        <is>
          <t>20.99</t>
        </is>
      </c>
      <c r="L4251" t="n">
        <v>20.09</v>
      </c>
      <c r="M4251" s="1" t="inlineStr">
        <is>
          <t>-4.29%</t>
        </is>
      </c>
      <c r="N4251" s="3" t="n">
        <v>-4.29</v>
      </c>
      <c r="O4251" t="n">
        <v>4</v>
      </c>
      <c r="P4251" t="n">
        <v>37</v>
      </c>
      <c r="R4251" t="inlineStr">
        <is>
          <t>InStock</t>
        </is>
      </c>
      <c r="S4251" t="inlineStr">
        <is>
          <t>27.95</t>
        </is>
      </c>
      <c r="T4251" t="inlineStr">
        <is>
          <t>703417-06</t>
        </is>
      </c>
    </row>
    <row r="4252" hidden="1" ht="15.75" customHeight="1">
      <c r="A4252" s="2">
        <f>HYPERLINK("https://www.soccerplususa.com/puma/puma-liga-jersey-youth-37886", "https://www.soccerplususa.com/puma/puma-liga-jersey-youth-37886")</f>
        <v/>
      </c>
      <c r="B4252" t="inlineStr">
        <is>
          <t>undefined</t>
        </is>
      </c>
      <c r="C4252" t="inlineStr">
        <is>
          <t>Puma Liga Jersey Youth</t>
        </is>
      </c>
      <c r="D4252" t="inlineStr">
        <is>
          <t>PUMA Youth Liga Jersey Core</t>
        </is>
      </c>
      <c r="E4252" s="2">
        <f>HYPERLINK("https://www.amazon.com/PUMA-Jersey-Redpuma-White-X-Large/dp/B07KWYRQKR/ref=sr_1_1?keywords=Puma+Liga+Jersey+Youth&amp;qid=1695171188&amp;sr=8-1", "https://www.amazon.com/PUMA-Jersey-Redpuma-White-X-Large/dp/B07KWYRQKR/ref=sr_1_1?keywords=Puma+Liga+Jersey+Youth&amp;qid=1695171188&amp;sr=8-1")</f>
        <v/>
      </c>
      <c r="F4252" t="inlineStr">
        <is>
          <t>B07KWYRQKR</t>
        </is>
      </c>
      <c r="G4252">
        <f>_xludf.IMAGE("https://www.soccerplususa.com/prodimages//35271-NAVYWHITE-M.jpg")</f>
        <v/>
      </c>
      <c r="H4252">
        <f>_xludf.IMAGE("https://m.media-amazon.com/images/I/71154h+V-SL._AC_UL320_.jpg")</f>
        <v/>
      </c>
      <c r="K4252" t="inlineStr">
        <is>
          <t>20.99</t>
        </is>
      </c>
      <c r="L4252" t="n">
        <v>20.04</v>
      </c>
      <c r="M4252" s="1" t="inlineStr">
        <is>
          <t>-4.53%</t>
        </is>
      </c>
      <c r="N4252" s="3" t="n">
        <v>-4.53</v>
      </c>
      <c r="O4252" t="n">
        <v>3.5</v>
      </c>
      <c r="P4252" t="n">
        <v>320</v>
      </c>
      <c r="R4252" t="inlineStr">
        <is>
          <t>InStock</t>
        </is>
      </c>
      <c r="S4252" t="inlineStr">
        <is>
          <t>27.95</t>
        </is>
      </c>
      <c r="T4252" t="inlineStr">
        <is>
          <t>703418-06</t>
        </is>
      </c>
    </row>
    <row r="4253" hidden="1" ht="15.75" customHeight="1">
      <c r="A4253" s="2">
        <f>HYPERLINK("https://www.soccerplususa.com/puma/puma-liga-jersey-youth-37885", "https://www.soccerplususa.com/puma/puma-liga-jersey-youth-37885")</f>
        <v/>
      </c>
      <c r="B4253" t="inlineStr">
        <is>
          <t>undefined</t>
        </is>
      </c>
      <c r="C4253" t="inlineStr">
        <is>
          <t>Puma Liga Jersey Youth</t>
        </is>
      </c>
      <c r="D4253" t="inlineStr">
        <is>
          <t>PUMA Youth Liga Jersey Core</t>
        </is>
      </c>
      <c r="E4253" s="2">
        <f>HYPERLINK("https://www.amazon.com/PUMA-Jersey-Redpuma-White-X-Large/dp/B07KWYRQKR/ref=sr_1_1?keywords=Puma+Liga+Jersey+Youth&amp;qid=1695171154&amp;sr=8-1", "https://www.amazon.com/PUMA-Jersey-Redpuma-White-X-Large/dp/B07KWYRQKR/ref=sr_1_1?keywords=Puma+Liga+Jersey+Youth&amp;qid=1695171154&amp;sr=8-1")</f>
        <v/>
      </c>
      <c r="F4253" t="inlineStr">
        <is>
          <t>B07KWYRQKR</t>
        </is>
      </c>
      <c r="G4253">
        <f>_xludf.IMAGE("https://www.soccerplususa.com/prodimages//36779-REDWHITE-M.jpg")</f>
        <v/>
      </c>
      <c r="H4253">
        <f>_xludf.IMAGE("https://m.media-amazon.com/images/I/71154h+V-SL._AC_UL320_.jpg")</f>
        <v/>
      </c>
      <c r="K4253" t="inlineStr">
        <is>
          <t>20.99</t>
        </is>
      </c>
      <c r="L4253" t="n">
        <v>20.04</v>
      </c>
      <c r="M4253" s="1" t="inlineStr">
        <is>
          <t>-4.53%</t>
        </is>
      </c>
      <c r="N4253" s="3" t="n">
        <v>-4.53</v>
      </c>
      <c r="O4253" t="n">
        <v>3.5</v>
      </c>
      <c r="P4253" t="n">
        <v>320</v>
      </c>
      <c r="R4253" t="inlineStr">
        <is>
          <t>InStock</t>
        </is>
      </c>
      <c r="S4253" t="inlineStr">
        <is>
          <t>27.95</t>
        </is>
      </c>
      <c r="T4253" t="inlineStr">
        <is>
          <t>703418-01</t>
        </is>
      </c>
    </row>
    <row r="4254" hidden="1" ht="15.75" customHeight="1">
      <c r="A4254" s="2">
        <f>HYPERLINK("https://www.soccerplususa.com/adidas/adidas-tiro-17-jersey-4871", "https://www.soccerplususa.com/adidas/adidas-tiro-17-jersey-4871")</f>
        <v/>
      </c>
      <c r="B4254" t="inlineStr">
        <is>
          <t>undefined</t>
        </is>
      </c>
      <c r="C4254" t="inlineStr">
        <is>
          <t>adidas Tiro 17 Jersey</t>
        </is>
      </c>
      <c r="D4254" t="inlineStr">
        <is>
          <t>adidas Mens Tiro 17 Jersey Black/White S</t>
        </is>
      </c>
      <c r="E4254" s="2">
        <f>HYPERLINK("https://www.amazon.com/Adidas-Mens-Jersey-Black-White/dp/B01N64GCZ6/ref=sr_1_3?keywords=adidas+Tiro+17+Jersey&amp;qid=1695171224&amp;sr=8-3", "https://www.amazon.com/Adidas-Mens-Jersey-Black-White/dp/B01N64GCZ6/ref=sr_1_3?keywords=adidas+Tiro+17+Jersey&amp;qid=1695171224&amp;sr=8-3")</f>
        <v/>
      </c>
      <c r="F4254" t="inlineStr">
        <is>
          <t>B01N64GCZ6</t>
        </is>
      </c>
      <c r="G4254">
        <f>_xludf.IMAGE("https://www.soccerplususa.com/prodimages/31717-DEFAULT-l.jpg")</f>
        <v/>
      </c>
      <c r="H4254">
        <f>_xludf.IMAGE("https://m.media-amazon.com/images/I/61WO-O2xDLL._AC_UL320_.jpg")</f>
        <v/>
      </c>
      <c r="K4254" t="inlineStr">
        <is>
          <t>20.0</t>
        </is>
      </c>
      <c r="L4254" t="n">
        <v>19.07</v>
      </c>
      <c r="M4254" s="1" t="inlineStr">
        <is>
          <t>-4.65%</t>
        </is>
      </c>
      <c r="N4254" s="3" t="n">
        <v>-4.65</v>
      </c>
      <c r="O4254" t="n">
        <v>4.3</v>
      </c>
      <c r="P4254" t="n">
        <v>8</v>
      </c>
      <c r="R4254" t="inlineStr">
        <is>
          <t>InStock</t>
        </is>
      </c>
      <c r="S4254" t="inlineStr">
        <is>
          <t>39.95</t>
        </is>
      </c>
      <c r="T4254" t="inlineStr">
        <is>
          <t>BK5439</t>
        </is>
      </c>
    </row>
    <row r="4255" hidden="1" ht="15.75" customHeight="1">
      <c r="A4255" s="2">
        <f>HYPERLINK("https://www.soccerplususa.com/adidas/adidas-tiro-17-jersey-4869", "https://www.soccerplususa.com/adidas/adidas-tiro-17-jersey-4869")</f>
        <v/>
      </c>
      <c r="B4255" t="inlineStr">
        <is>
          <t>undefined</t>
        </is>
      </c>
      <c r="C4255" t="inlineStr">
        <is>
          <t>adidas Tiro 17 Jersey</t>
        </is>
      </c>
      <c r="D4255" t="inlineStr">
        <is>
          <t>adidas Mens Tiro 17 Jersey Black/White S</t>
        </is>
      </c>
      <c r="E4255" s="2">
        <f>HYPERLINK("https://www.amazon.com/Adidas-Mens-Jersey-Black-White/dp/B01N64GCZ6/ref=sr_1_3?keywords=adidas+Tiro+17+Jersey&amp;qid=1695171236&amp;sr=8-3", "https://www.amazon.com/Adidas-Mens-Jersey-Black-White/dp/B01N64GCZ6/ref=sr_1_3?keywords=adidas+Tiro+17+Jersey&amp;qid=1695171236&amp;sr=8-3")</f>
        <v/>
      </c>
      <c r="F4255" t="inlineStr">
        <is>
          <t>B01N64GCZ6</t>
        </is>
      </c>
      <c r="G4255">
        <f>_xludf.IMAGE("https://www.soccerplususa.com/prodimages/7451-DEFAULT-l.jpg")</f>
        <v/>
      </c>
      <c r="H4255">
        <f>_xludf.IMAGE("https://m.media-amazon.com/images/I/61WO-O2xDLL._AC_UL320_.jpg")</f>
        <v/>
      </c>
      <c r="K4255" t="inlineStr">
        <is>
          <t>20.0</t>
        </is>
      </c>
      <c r="L4255" t="n">
        <v>19.07</v>
      </c>
      <c r="M4255" s="1" t="inlineStr">
        <is>
          <t>-4.65%</t>
        </is>
      </c>
      <c r="N4255" s="3" t="n">
        <v>-4.65</v>
      </c>
      <c r="O4255" t="n">
        <v>4.3</v>
      </c>
      <c r="P4255" t="n">
        <v>8</v>
      </c>
      <c r="R4255" t="inlineStr">
        <is>
          <t>InStock</t>
        </is>
      </c>
      <c r="S4255" t="inlineStr">
        <is>
          <t>39.95</t>
        </is>
      </c>
      <c r="T4255" t="inlineStr">
        <is>
          <t>BK5437</t>
        </is>
      </c>
    </row>
    <row r="4256" hidden="1" ht="15.75" customHeight="1">
      <c r="A4256" s="2">
        <f>HYPERLINK("https://www.soccerplususa.com/adidas/adidas-tiro-17-jersey-womens-35760", "https://www.soccerplususa.com/adidas/adidas-tiro-17-jersey-womens-35760")</f>
        <v/>
      </c>
      <c r="B4256" t="inlineStr">
        <is>
          <t>undefined</t>
        </is>
      </c>
      <c r="C4256" t="inlineStr">
        <is>
          <t>adidas Tiro 17 Jersey Women's</t>
        </is>
      </c>
      <c r="D4256" t="inlineStr">
        <is>
          <t>adidas Mens Tiro 17 Jersey Black/White S</t>
        </is>
      </c>
      <c r="E4256" s="2">
        <f>HYPERLINK("https://www.amazon.com/Adidas-Mens-Jersey-Black-White/dp/B01N64GCZ6/ref=sr_1_7?keywords=adidas+Tiro+17+Jersey+Womens&amp;qid=1695171224&amp;sr=8-7", "https://www.amazon.com/Adidas-Mens-Jersey-Black-White/dp/B01N64GCZ6/ref=sr_1_7?keywords=adidas+Tiro+17+Jersey+Womens&amp;qid=1695171224&amp;sr=8-7")</f>
        <v/>
      </c>
      <c r="F4256" t="inlineStr">
        <is>
          <t>B01N64GCZ6</t>
        </is>
      </c>
      <c r="G4256">
        <f>_xludf.IMAGE("https://www.soccerplususa.com/prodimages/9819-DEFAULT-l.jpg")</f>
        <v/>
      </c>
      <c r="H4256">
        <f>_xludf.IMAGE("https://m.media-amazon.com/images/I/61WO-O2xDLL._AC_UL320_.jpg")</f>
        <v/>
      </c>
      <c r="K4256" t="inlineStr">
        <is>
          <t>20.0</t>
        </is>
      </c>
      <c r="L4256" t="n">
        <v>19.07</v>
      </c>
      <c r="M4256" s="1" t="inlineStr">
        <is>
          <t>-4.65%</t>
        </is>
      </c>
      <c r="N4256" s="3" t="n">
        <v>-4.65</v>
      </c>
      <c r="O4256" t="n">
        <v>4.3</v>
      </c>
      <c r="P4256" t="n">
        <v>8</v>
      </c>
      <c r="R4256" t="inlineStr">
        <is>
          <t>InStock</t>
        </is>
      </c>
      <c r="S4256" t="inlineStr">
        <is>
          <t>39.95</t>
        </is>
      </c>
      <c r="T4256" t="inlineStr">
        <is>
          <t>BJ9096</t>
        </is>
      </c>
    </row>
    <row r="4257" hidden="1" ht="15.75" customHeight="1">
      <c r="A4257" s="2">
        <f>HYPERLINK("https://www.soccerplususa.com/adidas/adidas-toque-13-jersey-womens-9005", "https://www.soccerplususa.com/adidas/adidas-toque-13-jersey-womens-9005")</f>
        <v/>
      </c>
      <c r="B4257" t="inlineStr">
        <is>
          <t>undefined</t>
        </is>
      </c>
      <c r="C4257" t="inlineStr">
        <is>
          <t>adidas Toque 13 Jersey Women's</t>
        </is>
      </c>
      <c r="D4257" t="inlineStr">
        <is>
          <t>adidas Toque 13 Mens Short Sleeve Jersey S White</t>
        </is>
      </c>
      <c r="E4257" s="2">
        <f>HYPERLINK("https://www.amazon.com/Adidas-Toque-Short-Sleeve-Jersey/dp/B00ARCNMT2/ref=sr_1_2?keywords=adidas+Toque+13+Jersey+Womens&amp;qid=1695171198&amp;sr=8-2", "https://www.amazon.com/Adidas-Toque-Short-Sleeve-Jersey/dp/B00ARCNMT2/ref=sr_1_2?keywords=adidas+Toque+13+Jersey+Womens&amp;qid=1695171198&amp;sr=8-2")</f>
        <v/>
      </c>
      <c r="F4257" t="inlineStr">
        <is>
          <t>B00ARCNMT2</t>
        </is>
      </c>
      <c r="G4257">
        <f>_xludf.IMAGE("https://www.soccerplususa.com/prodimages/10770-DEFAULT-l.jpg")</f>
        <v/>
      </c>
      <c r="H4257">
        <f>_xludf.IMAGE("https://m.media-amazon.com/images/I/513ELDMzXVL._AC_UL320_.jpg")</f>
        <v/>
      </c>
      <c r="K4257" t="inlineStr">
        <is>
          <t>20.0</t>
        </is>
      </c>
      <c r="L4257" t="n">
        <v>18.99</v>
      </c>
      <c r="M4257" s="1" t="inlineStr">
        <is>
          <t>-5.05%</t>
        </is>
      </c>
      <c r="N4257" s="3" t="n">
        <v>-5.05</v>
      </c>
      <c r="O4257" t="n">
        <v>4.3</v>
      </c>
      <c r="P4257" t="n">
        <v>2</v>
      </c>
      <c r="R4257" t="inlineStr">
        <is>
          <t>InStock</t>
        </is>
      </c>
      <c r="S4257" t="inlineStr">
        <is>
          <t>39.95</t>
        </is>
      </c>
      <c r="T4257" t="inlineStr">
        <is>
          <t>Z20288</t>
        </is>
      </c>
    </row>
    <row r="4258" hidden="1" ht="15.75" customHeight="1">
      <c r="A4258" s="2">
        <f>HYPERLINK("https://www.soccerplususa.com/adidas/adidas-toque-13-jersey-womens-8933", "https://www.soccerplususa.com/adidas/adidas-toque-13-jersey-womens-8933")</f>
        <v/>
      </c>
      <c r="B4258" t="inlineStr">
        <is>
          <t>undefined</t>
        </is>
      </c>
      <c r="C4258" t="inlineStr">
        <is>
          <t>adidas Toque 13 Jersey Women's</t>
        </is>
      </c>
      <c r="D4258" t="inlineStr">
        <is>
          <t>adidas Toque 13 Mens Short Sleeve Jersey S White</t>
        </is>
      </c>
      <c r="E4258" s="2">
        <f>HYPERLINK("https://www.amazon.com/Adidas-Toque-Short-Sleeve-Jersey/dp/B00ARCNMT2/ref=sr_1_2?keywords=adidas+Toque+13+Jersey+Womens&amp;qid=1695171196&amp;sr=8-2", "https://www.amazon.com/Adidas-Toque-Short-Sleeve-Jersey/dp/B00ARCNMT2/ref=sr_1_2?keywords=adidas+Toque+13+Jersey+Womens&amp;qid=1695171196&amp;sr=8-2")</f>
        <v/>
      </c>
      <c r="F4258" t="inlineStr">
        <is>
          <t>B00ARCNMT2</t>
        </is>
      </c>
      <c r="G4258">
        <f>_xludf.IMAGE("https://www.soccerplususa.com/prodimages/6641-DEFAULT-l.jpg")</f>
        <v/>
      </c>
      <c r="H4258">
        <f>_xludf.IMAGE("https://m.media-amazon.com/images/I/513ELDMzXVL._AC_UL320_.jpg")</f>
        <v/>
      </c>
      <c r="K4258" t="inlineStr">
        <is>
          <t>20.0</t>
        </is>
      </c>
      <c r="L4258" t="n">
        <v>18.99</v>
      </c>
      <c r="M4258" s="1" t="inlineStr">
        <is>
          <t>-5.05%</t>
        </is>
      </c>
      <c r="N4258" s="3" t="n">
        <v>-5.05</v>
      </c>
      <c r="O4258" t="n">
        <v>4.3</v>
      </c>
      <c r="P4258" t="n">
        <v>2</v>
      </c>
      <c r="R4258" t="inlineStr">
        <is>
          <t>InStock</t>
        </is>
      </c>
      <c r="S4258" t="inlineStr">
        <is>
          <t>39.95</t>
        </is>
      </c>
      <c r="T4258" t="inlineStr">
        <is>
          <t>X58026</t>
        </is>
      </c>
    </row>
    <row r="4259" hidden="1" ht="15.75" customHeight="1">
      <c r="A4259" s="2">
        <f>HYPERLINK("https://www.soccerplususa.com/adidas/adidas-toque-13-jersey-8996", "https://www.soccerplususa.com/adidas/adidas-toque-13-jersey-8996")</f>
        <v/>
      </c>
      <c r="B4259" t="inlineStr">
        <is>
          <t>undefined</t>
        </is>
      </c>
      <c r="C4259" t="inlineStr">
        <is>
          <t>adidas Toque 13 Jersey</t>
        </is>
      </c>
      <c r="D4259" t="inlineStr">
        <is>
          <t>adidas Toque 13 Mens Short Sleeve Jersey S White</t>
        </is>
      </c>
      <c r="E4259" s="2">
        <f>HYPERLINK("https://www.amazon.com/Adidas-Toque-Short-Sleeve-Jersey/dp/B00ARCNMT2/ref=sr_1_2?keywords=adidas+Toque+13+Jersey&amp;qid=1695171185&amp;sr=8-2", "https://www.amazon.com/Adidas-Toque-Short-Sleeve-Jersey/dp/B00ARCNMT2/ref=sr_1_2?keywords=adidas+Toque+13+Jersey&amp;qid=1695171185&amp;sr=8-2")</f>
        <v/>
      </c>
      <c r="F4259" t="inlineStr">
        <is>
          <t>B00ARCNMT2</t>
        </is>
      </c>
      <c r="G4259">
        <f>_xludf.IMAGE("https://www.soccerplususa.com/prodimages/5432-DEFAULT-l.jpg")</f>
        <v/>
      </c>
      <c r="H4259">
        <f>_xludf.IMAGE("https://m.media-amazon.com/images/I/513ELDMzXVL._AC_UL320_.jpg")</f>
        <v/>
      </c>
      <c r="K4259" t="inlineStr">
        <is>
          <t>20.0</t>
        </is>
      </c>
      <c r="L4259" t="n">
        <v>18.99</v>
      </c>
      <c r="M4259" s="1" t="inlineStr">
        <is>
          <t>-5.05%</t>
        </is>
      </c>
      <c r="N4259" s="3" t="n">
        <v>-5.05</v>
      </c>
      <c r="O4259" t="n">
        <v>4.3</v>
      </c>
      <c r="P4259" t="n">
        <v>2</v>
      </c>
      <c r="R4259" t="inlineStr">
        <is>
          <t>InStock</t>
        </is>
      </c>
      <c r="S4259" t="inlineStr">
        <is>
          <t>39.95</t>
        </is>
      </c>
      <c r="T4259" t="inlineStr">
        <is>
          <t>Z20262</t>
        </is>
      </c>
    </row>
    <row r="4260" hidden="1" ht="15.75" customHeight="1">
      <c r="A4260" s="2">
        <f>HYPERLINK("https://www.soccerplususa.com/puma/puma-teamfinal-21-graphic-jersey-40618", "https://www.soccerplususa.com/puma/puma-teamfinal-21-graphic-jersey-40618")</f>
        <v/>
      </c>
      <c r="B4260" t="inlineStr">
        <is>
          <t>undefined</t>
        </is>
      </c>
      <c r="C4260" t="inlineStr">
        <is>
          <t>Puma Teamfinal 21 Graphic Jersey</t>
        </is>
      </c>
      <c r="D4260" t="inlineStr">
        <is>
          <t>PUMA Women's Teamfinal 21 Graphic Jersey</t>
        </is>
      </c>
      <c r="E4260" s="2">
        <f>HYPERLINK("https://www.amazon.com/PUMA-Teamfinal-Graphic-Electric-Lemonade/dp/B086RSH4VH/ref=sr_1_5?keywords=Puma+Teamfinal+21+Graphic+Jersey&amp;qid=1695171148&amp;sr=8-5", "https://www.amazon.com/PUMA-Teamfinal-Graphic-Electric-Lemonade/dp/B086RSH4VH/ref=sr_1_5?keywords=Puma+Teamfinal+21+Graphic+Jersey&amp;qid=1695171148&amp;sr=8-5")</f>
        <v/>
      </c>
      <c r="F4260" t="inlineStr">
        <is>
          <t>B086RSH4VH</t>
        </is>
      </c>
      <c r="G4260">
        <f>_xludf.IMAGE("https://www.soccerplususa.com/prodimages//37414-Pepper_Green-M.jpg")</f>
        <v/>
      </c>
      <c r="H4260">
        <f>_xludf.IMAGE("https://m.media-amazon.com/images/I/713Ntyd7NhS._AC_UL320_.jpg")</f>
        <v/>
      </c>
      <c r="K4260" t="inlineStr">
        <is>
          <t>29.99</t>
        </is>
      </c>
      <c r="L4260" t="n">
        <v>28.46</v>
      </c>
      <c r="M4260" s="1" t="inlineStr">
        <is>
          <t>-5.10%</t>
        </is>
      </c>
      <c r="N4260" s="3" t="n">
        <v>-5.1</v>
      </c>
      <c r="O4260" t="n">
        <v>3.7</v>
      </c>
      <c r="P4260" t="n">
        <v>4</v>
      </c>
      <c r="R4260" t="inlineStr">
        <is>
          <t>InStock</t>
        </is>
      </c>
      <c r="S4260" t="inlineStr">
        <is>
          <t>39.95</t>
        </is>
      </c>
      <c r="T4260" t="inlineStr">
        <is>
          <t>704150-05</t>
        </is>
      </c>
    </row>
    <row r="4261" hidden="1" ht="15.75" customHeight="1">
      <c r="A4261" s="2">
        <f>HYPERLINK("https://www.soccerplususa.com/puma/puma-teamfinal-21-graphic-jersey-42133", "https://www.soccerplususa.com/puma/puma-teamfinal-21-graphic-jersey-42133")</f>
        <v/>
      </c>
      <c r="B4261" t="inlineStr">
        <is>
          <t>undefined</t>
        </is>
      </c>
      <c r="C4261" t="inlineStr">
        <is>
          <t>Puma Teamfinal 21 Graphic Jersey</t>
        </is>
      </c>
      <c r="D4261" t="inlineStr">
        <is>
          <t>PUMA Women's Teamfinal 21 Graphic Jersey</t>
        </is>
      </c>
      <c r="E4261" s="2">
        <f>HYPERLINK("https://www.amazon.com/PUMA-Teamfinal-Graphic-Electric-Lemonade/dp/B086RSH4VH/ref=sr_1_5?keywords=Puma+Teamfinal+21+Graphic+Jersey&amp;qid=1695171174&amp;sr=8-5", "https://www.amazon.com/PUMA-Teamfinal-Graphic-Electric-Lemonade/dp/B086RSH4VH/ref=sr_1_5?keywords=Puma+Teamfinal+21+Graphic+Jersey&amp;qid=1695171174&amp;sr=8-5")</f>
        <v/>
      </c>
      <c r="F4261" t="inlineStr">
        <is>
          <t>B086RSH4VH</t>
        </is>
      </c>
      <c r="G4261">
        <f>_xludf.IMAGE("https://www.soccerplususa.com/prodimages//37416-GRAY-M.jpg")</f>
        <v/>
      </c>
      <c r="H4261">
        <f>_xludf.IMAGE("https://m.media-amazon.com/images/I/713Ntyd7NhS._AC_UL320_.jpg")</f>
        <v/>
      </c>
      <c r="K4261" t="inlineStr">
        <is>
          <t>29.99</t>
        </is>
      </c>
      <c r="L4261" t="n">
        <v>28.46</v>
      </c>
      <c r="M4261" s="1" t="inlineStr">
        <is>
          <t>-5.10%</t>
        </is>
      </c>
      <c r="N4261" s="3" t="n">
        <v>-5.1</v>
      </c>
      <c r="O4261" t="n">
        <v>3.7</v>
      </c>
      <c r="P4261" t="n">
        <v>4</v>
      </c>
      <c r="R4261" t="inlineStr">
        <is>
          <t>InStock</t>
        </is>
      </c>
      <c r="S4261" t="inlineStr">
        <is>
          <t>39.95</t>
        </is>
      </c>
      <c r="T4261" t="inlineStr">
        <is>
          <t>704150-13</t>
        </is>
      </c>
    </row>
    <row r="4262" hidden="1" ht="15.75" customHeight="1">
      <c r="A4262" s="2">
        <f>HYPERLINK("https://www.soccerplususa.com/puma/puma-teamfinal-21-graphic-jersey-38700", "https://www.soccerplususa.com/puma/puma-teamfinal-21-graphic-jersey-38700")</f>
        <v/>
      </c>
      <c r="B4262" t="inlineStr">
        <is>
          <t>undefined</t>
        </is>
      </c>
      <c r="C4262" t="inlineStr">
        <is>
          <t>Puma Teamfinal 21 Graphic Jersey</t>
        </is>
      </c>
      <c r="D4262" t="inlineStr">
        <is>
          <t>PUMA Women's Teamfinal 21 Graphic Jersey</t>
        </is>
      </c>
      <c r="E4262" s="2">
        <f>HYPERLINK("https://www.amazon.com/PUMA-Teamfinal-Graphic-Electric-Lemonade/dp/B086RSH4VH/ref=sr_1_5?keywords=Puma+Teamfinal+21+Graphic+Jersey&amp;qid=1695171150&amp;sr=8-5", "https://www.amazon.com/PUMA-Teamfinal-Graphic-Electric-Lemonade/dp/B086RSH4VH/ref=sr_1_5?keywords=Puma+Teamfinal+21+Graphic+Jersey&amp;qid=1695171150&amp;sr=8-5")</f>
        <v/>
      </c>
      <c r="F4262" t="inlineStr">
        <is>
          <t>B086RSH4VH</t>
        </is>
      </c>
      <c r="G4262">
        <f>_xludf.IMAGE("https://www.soccerplususa.com/prodimages//36789-WhiteGray-M.jpg")</f>
        <v/>
      </c>
      <c r="H4262">
        <f>_xludf.IMAGE("https://m.media-amazon.com/images/I/713Ntyd7NhS._AC_UL320_.jpg")</f>
        <v/>
      </c>
      <c r="K4262" t="inlineStr">
        <is>
          <t>29.99</t>
        </is>
      </c>
      <c r="L4262" t="n">
        <v>28.46</v>
      </c>
      <c r="M4262" s="1" t="inlineStr">
        <is>
          <t>-5.10%</t>
        </is>
      </c>
      <c r="N4262" s="3" t="n">
        <v>-5.1</v>
      </c>
      <c r="O4262" t="n">
        <v>3.7</v>
      </c>
      <c r="P4262" t="n">
        <v>4</v>
      </c>
      <c r="R4262" t="inlineStr">
        <is>
          <t>InStock</t>
        </is>
      </c>
      <c r="S4262" t="inlineStr">
        <is>
          <t>39.95</t>
        </is>
      </c>
      <c r="T4262" t="inlineStr">
        <is>
          <t>704150-04</t>
        </is>
      </c>
    </row>
    <row r="4263" hidden="1" ht="15.75" customHeight="1">
      <c r="A4263" s="2">
        <f>HYPERLINK("https://www.soccerplususa.com/puma/puma-teamfinal-21-graphic-jersey-42093", "https://www.soccerplususa.com/puma/puma-teamfinal-21-graphic-jersey-42093")</f>
        <v/>
      </c>
      <c r="B4263" t="inlineStr">
        <is>
          <t>undefined</t>
        </is>
      </c>
      <c r="C4263" t="inlineStr">
        <is>
          <t>Puma Teamfinal 21 Graphic Jersey</t>
        </is>
      </c>
      <c r="D4263" t="inlineStr">
        <is>
          <t>PUMA Women's Teamfinal 21 Graphic Jersey</t>
        </is>
      </c>
      <c r="E4263" s="2">
        <f>HYPERLINK("https://www.amazon.com/PUMA-Teamfinal-Graphic-Electric-Lemonade/dp/B086RSH4VH/ref=sr_1_5?keywords=Puma+Teamfinal+21+Graphic+Jersey&amp;qid=1695171154&amp;sr=8-5", "https://www.amazon.com/PUMA-Teamfinal-Graphic-Electric-Lemonade/dp/B086RSH4VH/ref=sr_1_5?keywords=Puma+Teamfinal+21+Graphic+Jersey&amp;qid=1695171154&amp;sr=8-5")</f>
        <v/>
      </c>
      <c r="F4263" t="inlineStr">
        <is>
          <t>B086RSH4VH</t>
        </is>
      </c>
      <c r="G4263">
        <f>_xludf.IMAGE("https://www.soccerplususa.com/prodimages//37423-BLACK-M.jpg")</f>
        <v/>
      </c>
      <c r="H4263">
        <f>_xludf.IMAGE("https://m.media-amazon.com/images/I/713Ntyd7NhS._AC_UL320_.jpg")</f>
        <v/>
      </c>
      <c r="K4263" t="inlineStr">
        <is>
          <t>29.99</t>
        </is>
      </c>
      <c r="L4263" t="n">
        <v>28.46</v>
      </c>
      <c r="M4263" s="1" t="inlineStr">
        <is>
          <t>-5.10%</t>
        </is>
      </c>
      <c r="N4263" s="3" t="n">
        <v>-5.1</v>
      </c>
      <c r="O4263" t="n">
        <v>3.7</v>
      </c>
      <c r="P4263" t="n">
        <v>4</v>
      </c>
      <c r="R4263" t="inlineStr">
        <is>
          <t>InStock</t>
        </is>
      </c>
      <c r="S4263" t="inlineStr">
        <is>
          <t>39.95</t>
        </is>
      </c>
      <c r="T4263" t="inlineStr">
        <is>
          <t>704150-03</t>
        </is>
      </c>
    </row>
    <row r="4264" hidden="1" ht="15.75" customHeight="1">
      <c r="A4264" s="2">
        <f>HYPERLINK("https://www.soccerplususa.com/puma/puma-teamfinal-21-graphic-jersey-38698", "https://www.soccerplususa.com/puma/puma-teamfinal-21-graphic-jersey-38698")</f>
        <v/>
      </c>
      <c r="B4264" t="inlineStr">
        <is>
          <t>undefined</t>
        </is>
      </c>
      <c r="C4264" t="inlineStr">
        <is>
          <t>Puma Teamfinal 21 Graphic Jersey</t>
        </is>
      </c>
      <c r="D4264" t="inlineStr">
        <is>
          <t>PUMA Women's Teamfinal 21 Graphic Jersey</t>
        </is>
      </c>
      <c r="E4264" s="2">
        <f>HYPERLINK("https://www.amazon.com/PUMA-Teamfinal-Graphic-Electric-Lemonade/dp/B086RSH4VH/ref=sr_1_5?keywords=Puma+Teamfinal+21+Graphic+Jersey&amp;qid=1695171152&amp;sr=8-5", "https://www.amazon.com/PUMA-Teamfinal-Graphic-Electric-Lemonade/dp/B086RSH4VH/ref=sr_1_5?keywords=Puma+Teamfinal+21+Graphic+Jersey&amp;qid=1695171152&amp;sr=8-5")</f>
        <v/>
      </c>
      <c r="F4264" t="inlineStr">
        <is>
          <t>B086RSH4VH</t>
        </is>
      </c>
      <c r="G4264">
        <f>_xludf.IMAGE("https://www.soccerplususa.com/prodimages//36790-Electric_Blue-M.jpg")</f>
        <v/>
      </c>
      <c r="H4264">
        <f>_xludf.IMAGE("https://m.media-amazon.com/images/I/713Ntyd7NhS._AC_UL320_.jpg")</f>
        <v/>
      </c>
      <c r="K4264" t="inlineStr">
        <is>
          <t>29.99</t>
        </is>
      </c>
      <c r="L4264" t="n">
        <v>28.46</v>
      </c>
      <c r="M4264" s="1" t="inlineStr">
        <is>
          <t>-5.10%</t>
        </is>
      </c>
      <c r="N4264" s="3" t="n">
        <v>-5.1</v>
      </c>
      <c r="O4264" t="n">
        <v>3.7</v>
      </c>
      <c r="P4264" t="n">
        <v>4</v>
      </c>
      <c r="R4264" t="inlineStr">
        <is>
          <t>InStock</t>
        </is>
      </c>
      <c r="S4264" t="inlineStr">
        <is>
          <t>39.95</t>
        </is>
      </c>
      <c r="T4264" t="inlineStr">
        <is>
          <t>704150-02</t>
        </is>
      </c>
    </row>
    <row r="4265" hidden="1" ht="15.75" customHeight="1">
      <c r="A4265" s="2">
        <f>HYPERLINK("https://www.soccerplususa.com/puma/puma-teamfinal-21-graphic-jersey-womens-40983", "https://www.soccerplususa.com/puma/puma-teamfinal-21-graphic-jersey-womens-40983")</f>
        <v/>
      </c>
      <c r="B4265" t="inlineStr">
        <is>
          <t>undefined</t>
        </is>
      </c>
      <c r="C4265" t="inlineStr">
        <is>
          <t>Puma TeamFinal 21 Graphic Jersey Women's</t>
        </is>
      </c>
      <c r="D4265" t="inlineStr">
        <is>
          <t>PUMA Women's Teamfinal 21 Graphic Jersey</t>
        </is>
      </c>
      <c r="E4265" s="2">
        <f>HYPERLINK("https://www.amazon.com/PUMA-Teamfinal-Graphic-Electric-Lemonade/dp/B086RSH4VH/ref=sr_1_3?keywords=Puma+TeamFinal+21+Graphic+Jersey+Womens&amp;qid=1695171190&amp;sr=8-3", "https://www.amazon.com/PUMA-Teamfinal-Graphic-Electric-Lemonade/dp/B086RSH4VH/ref=sr_1_3?keywords=Puma+TeamFinal+21+Graphic+Jersey+Womens&amp;qid=1695171190&amp;sr=8-3")</f>
        <v/>
      </c>
      <c r="F4265" t="inlineStr">
        <is>
          <t>B086RSH4VH</t>
        </is>
      </c>
      <c r="G4265">
        <f>_xludf.IMAGE("https://www.soccerplususa.com/prodimages//37422-RED-M.jpg")</f>
        <v/>
      </c>
      <c r="H4265">
        <f>_xludf.IMAGE("https://m.media-amazon.com/images/I/713Ntyd7NhS._AC_UL320_.jpg")</f>
        <v/>
      </c>
      <c r="K4265" t="inlineStr">
        <is>
          <t>29.99</t>
        </is>
      </c>
      <c r="L4265" t="n">
        <v>28.46</v>
      </c>
      <c r="M4265" s="1" t="inlineStr">
        <is>
          <t>-5.10%</t>
        </is>
      </c>
      <c r="N4265" s="3" t="n">
        <v>-5.1</v>
      </c>
      <c r="O4265" t="n">
        <v>3.7</v>
      </c>
      <c r="P4265" t="n">
        <v>4</v>
      </c>
      <c r="R4265" t="inlineStr">
        <is>
          <t>InStock</t>
        </is>
      </c>
      <c r="S4265" t="inlineStr">
        <is>
          <t>39.95</t>
        </is>
      </c>
      <c r="T4265" t="inlineStr">
        <is>
          <t>704368-01</t>
        </is>
      </c>
    </row>
    <row r="4266" hidden="1" ht="15.75" customHeight="1">
      <c r="A4266" s="2">
        <f>HYPERLINK("https://www.soccerplususa.com/puma/puma-teamfinal-21-graphic-jersey-42091", "https://www.soccerplususa.com/puma/puma-teamfinal-21-graphic-jersey-42091")</f>
        <v/>
      </c>
      <c r="B4266" t="inlineStr">
        <is>
          <t>undefined</t>
        </is>
      </c>
      <c r="C4266" t="inlineStr">
        <is>
          <t>Puma Teamfinal 21 Graphic Jersey</t>
        </is>
      </c>
      <c r="D4266" t="inlineStr">
        <is>
          <t>PUMA Women's Teamfinal 21 Graphic Jersey</t>
        </is>
      </c>
      <c r="E4266" s="2">
        <f>HYPERLINK("https://www.amazon.com/PUMA-Teamfinal-Graphic-Electric-Lemonade/dp/B086RSH4VH/ref=sr_1_5?keywords=Puma+Teamfinal+21+Graphic+Jersey&amp;qid=1695171145&amp;sr=8-5", "https://www.amazon.com/PUMA-Teamfinal-Graphic-Electric-Lemonade/dp/B086RSH4VH/ref=sr_1_5?keywords=Puma+Teamfinal+21+Graphic+Jersey&amp;qid=1695171145&amp;sr=8-5")</f>
        <v/>
      </c>
      <c r="F4266" t="inlineStr">
        <is>
          <t>B086RSH4VH</t>
        </is>
      </c>
      <c r="G4266">
        <f>_xludf.IMAGE("https://www.soccerplususa.com/prodimages//37420-RED-M.jpg")</f>
        <v/>
      </c>
      <c r="H4266">
        <f>_xludf.IMAGE("https://m.media-amazon.com/images/I/713Ntyd7NhS._AC_UL320_.jpg")</f>
        <v/>
      </c>
      <c r="K4266" t="inlineStr">
        <is>
          <t>29.99</t>
        </is>
      </c>
      <c r="L4266" t="n">
        <v>28.46</v>
      </c>
      <c r="M4266" s="1" t="inlineStr">
        <is>
          <t>-5.10%</t>
        </is>
      </c>
      <c r="N4266" s="3" t="n">
        <v>-5.1</v>
      </c>
      <c r="O4266" t="n">
        <v>3.7</v>
      </c>
      <c r="P4266" t="n">
        <v>4</v>
      </c>
      <c r="R4266" t="inlineStr">
        <is>
          <t>InStock</t>
        </is>
      </c>
      <c r="S4266" t="inlineStr">
        <is>
          <t>39.95</t>
        </is>
      </c>
      <c r="T4266" t="inlineStr">
        <is>
          <t>704150-01</t>
        </is>
      </c>
    </row>
    <row r="4267" hidden="1" ht="15.75" customHeight="1">
      <c r="A4267" s="2">
        <f>HYPERLINK("https://www.soccerplususa.com/puma/puma-teamfinal-21-graphic-jersey-38602", "https://www.soccerplususa.com/puma/puma-teamfinal-21-graphic-jersey-38602")</f>
        <v/>
      </c>
      <c r="B4267" t="inlineStr">
        <is>
          <t>undefined</t>
        </is>
      </c>
      <c r="C4267" t="inlineStr">
        <is>
          <t>Puma Teamfinal 21 Graphic Jersey</t>
        </is>
      </c>
      <c r="D4267" t="inlineStr">
        <is>
          <t>PUMA Women's Teamfinal 21 Graphic Jersey</t>
        </is>
      </c>
      <c r="E4267" s="2">
        <f>HYPERLINK("https://www.amazon.com/PUMA-Teamfinal-Graphic-Electric-Lemonade/dp/B086RSH4VH/ref=sr_1_5?keywords=Puma+Teamfinal+21+Graphic+Jersey&amp;qid=1695171165&amp;sr=8-5", "https://www.amazon.com/PUMA-Teamfinal-Graphic-Electric-Lemonade/dp/B086RSH4VH/ref=sr_1_5?keywords=Puma+Teamfinal+21+Graphic+Jersey&amp;qid=1695171165&amp;sr=8-5")</f>
        <v/>
      </c>
      <c r="F4267" t="inlineStr">
        <is>
          <t>B086RSH4VH</t>
        </is>
      </c>
      <c r="G4267">
        <f>_xludf.IMAGE("https://www.soccerplususa.com/prodimages//35266-YELLOW-M.jpg")</f>
        <v/>
      </c>
      <c r="H4267">
        <f>_xludf.IMAGE("https://m.media-amazon.com/images/I/713Ntyd7NhS._AC_UL320_.jpg")</f>
        <v/>
      </c>
      <c r="K4267" t="inlineStr">
        <is>
          <t>29.99</t>
        </is>
      </c>
      <c r="L4267" t="n">
        <v>28.46</v>
      </c>
      <c r="M4267" s="1" t="inlineStr">
        <is>
          <t>-5.10%</t>
        </is>
      </c>
      <c r="N4267" s="3" t="n">
        <v>-5.1</v>
      </c>
      <c r="O4267" t="n">
        <v>3.7</v>
      </c>
      <c r="P4267" t="n">
        <v>4</v>
      </c>
      <c r="R4267" t="inlineStr">
        <is>
          <t>InStock</t>
        </is>
      </c>
      <c r="S4267" t="inlineStr">
        <is>
          <t>39.95</t>
        </is>
      </c>
      <c r="T4267" t="inlineStr">
        <is>
          <t>704150-07</t>
        </is>
      </c>
    </row>
    <row r="4268" hidden="1" ht="15.75" customHeight="1">
      <c r="A4268" s="2">
        <f>HYPERLINK("https://www.soccerplususa.com/puma/puma-teamfinal-21-graphic-jersey-41907", "https://www.soccerplususa.com/puma/puma-teamfinal-21-graphic-jersey-41907")</f>
        <v/>
      </c>
      <c r="B4268" t="inlineStr">
        <is>
          <t>undefined</t>
        </is>
      </c>
      <c r="C4268" t="inlineStr">
        <is>
          <t>Puma Teamfinal 21 Graphic Jersey</t>
        </is>
      </c>
      <c r="D4268" t="inlineStr">
        <is>
          <t>PUMA Women's Teamfinal 21 Graphic Jersey</t>
        </is>
      </c>
      <c r="E4268" s="2">
        <f>HYPERLINK("https://www.amazon.com/PUMA-Teamfinal-Graphic-Electric-Lemonade/dp/B086RSH4VH/ref=sr_1_5?keywords=Puma+Teamfinal+21+Graphic+Jersey&amp;qid=1695171144&amp;sr=8-5", "https://www.amazon.com/PUMA-Teamfinal-Graphic-Electric-Lemonade/dp/B086RSH4VH/ref=sr_1_5?keywords=Puma+Teamfinal+21+Graphic+Jersey&amp;qid=1695171144&amp;sr=8-5")</f>
        <v/>
      </c>
      <c r="F4268" t="inlineStr">
        <is>
          <t>B086RSH4VH</t>
        </is>
      </c>
      <c r="G4268">
        <f>_xludf.IMAGE("https://www.soccerplususa.com/prodimages//37409-NAVY-M.jpg")</f>
        <v/>
      </c>
      <c r="H4268">
        <f>_xludf.IMAGE("https://m.media-amazon.com/images/I/713Ntyd7NhS._AC_UL320_.jpg")</f>
        <v/>
      </c>
      <c r="K4268" t="inlineStr">
        <is>
          <t>29.99</t>
        </is>
      </c>
      <c r="L4268" t="n">
        <v>28.46</v>
      </c>
      <c r="M4268" s="1" t="inlineStr">
        <is>
          <t>-5.10%</t>
        </is>
      </c>
      <c r="N4268" s="3" t="n">
        <v>-5.1</v>
      </c>
      <c r="O4268" t="n">
        <v>3.7</v>
      </c>
      <c r="P4268" t="n">
        <v>4</v>
      </c>
      <c r="R4268" t="inlineStr">
        <is>
          <t>InStock</t>
        </is>
      </c>
      <c r="S4268" t="inlineStr">
        <is>
          <t>39.95</t>
        </is>
      </c>
      <c r="T4268" t="inlineStr">
        <is>
          <t>704150-06</t>
        </is>
      </c>
    </row>
    <row r="4269" hidden="1" ht="15.75" customHeight="1">
      <c r="A4269" s="2">
        <f>HYPERLINK("https://www.soccerplususa.com/puma/puma-teamfinal-21-graphic-jersey-womens-42094", "https://www.soccerplususa.com/puma/puma-teamfinal-21-graphic-jersey-womens-42094")</f>
        <v/>
      </c>
      <c r="B4269" t="inlineStr">
        <is>
          <t>undefined</t>
        </is>
      </c>
      <c r="C4269" t="inlineStr">
        <is>
          <t>Puma Teamfinal 21 Graphic Jersey Women's</t>
        </is>
      </c>
      <c r="D4269" t="inlineStr">
        <is>
          <t>PUMA Women's Teamfinal 21 Graphic Jersey</t>
        </is>
      </c>
      <c r="E4269" s="2">
        <f>HYPERLINK("https://www.amazon.com/PUMA-Teamfinal-Graphic-Electric-Lemonade/dp/B086RSH4VH/ref=sr_1_3?keywords=Puma+Teamfinal+21+Graphic+Jersey+Women%27s&amp;qid=1695171144&amp;sr=8-3", "https://www.amazon.com/PUMA-Teamfinal-Graphic-Electric-Lemonade/dp/B086RSH4VH/ref=sr_1_3?keywords=Puma+Teamfinal+21+Graphic+Jersey+Women%27s&amp;qid=1695171144&amp;sr=8-3")</f>
        <v/>
      </c>
      <c r="F4269" t="inlineStr">
        <is>
          <t>B086RSH4VH</t>
        </is>
      </c>
      <c r="G4269">
        <f>_xludf.IMAGE("https://www.soccerplususa.com/prodimages//37425-BLACK-M.jpg")</f>
        <v/>
      </c>
      <c r="H4269">
        <f>_xludf.IMAGE("https://m.media-amazon.com/images/I/713Ntyd7NhS._AC_UL320_.jpg")</f>
        <v/>
      </c>
      <c r="K4269" t="inlineStr">
        <is>
          <t>29.99</t>
        </is>
      </c>
      <c r="L4269" t="n">
        <v>28.44</v>
      </c>
      <c r="M4269" s="1" t="inlineStr">
        <is>
          <t>-5.17%</t>
        </is>
      </c>
      <c r="N4269" s="3" t="n">
        <v>-5.17</v>
      </c>
      <c r="O4269" t="n">
        <v>3.7</v>
      </c>
      <c r="P4269" t="n">
        <v>4</v>
      </c>
      <c r="R4269" t="inlineStr">
        <is>
          <t>InStock</t>
        </is>
      </c>
      <c r="S4269" t="inlineStr">
        <is>
          <t>39.95</t>
        </is>
      </c>
      <c r="T4269" t="inlineStr">
        <is>
          <t>704368-03</t>
        </is>
      </c>
    </row>
    <row r="4270" hidden="1" ht="15.75" customHeight="1">
      <c r="A4270" s="2">
        <f>HYPERLINK("https://www.soccerplususa.com/adidas/adidas-tabela-18-jersey-youth-5111", "https://www.soccerplususa.com/adidas/adidas-tabela-18-jersey-youth-5111")</f>
        <v/>
      </c>
      <c r="B4270" t="inlineStr">
        <is>
          <t>undefined</t>
        </is>
      </c>
      <c r="C4270" t="inlineStr">
        <is>
          <t>adidas Tabela 18 Jersey Youth</t>
        </is>
      </c>
      <c r="D4270" t="inlineStr">
        <is>
          <t>adidas Mens Tabela 18 Soccer Jersey</t>
        </is>
      </c>
      <c r="E4270" s="2">
        <f>HYPERLINK("https://www.amazon.com/adidas-191034919038-TABELA-18-Jersey/dp/B078LCD4RX/ref=sr_1_1?keywords=adidas+Tabela+18+Jersey+Youth&amp;qid=1695171222&amp;sr=8-1", "https://www.amazon.com/adidas-191034919038-TABELA-18-Jersey/dp/B078LCD4RX/ref=sr_1_1?keywords=adidas+Tabela+18+Jersey+Youth&amp;qid=1695171222&amp;sr=8-1")</f>
        <v/>
      </c>
      <c r="F4270" t="inlineStr">
        <is>
          <t>B078LCD4RX</t>
        </is>
      </c>
      <c r="G4270">
        <f>_xludf.IMAGE("https://www.soccerplususa.com/prodimages//31714-YELLOW-M.jpg")</f>
        <v/>
      </c>
      <c r="H4270">
        <f>_xludf.IMAGE("https://m.media-amazon.com/images/I/71SEmpIbeaL._AC_UL320_.jpg")</f>
        <v/>
      </c>
      <c r="K4270" t="inlineStr">
        <is>
          <t>18.99</t>
        </is>
      </c>
      <c r="L4270" t="n">
        <v>18</v>
      </c>
      <c r="M4270" s="1" t="inlineStr">
        <is>
          <t>-5.21%</t>
        </is>
      </c>
      <c r="N4270" s="3" t="n">
        <v>-5.21</v>
      </c>
      <c r="O4270" t="n">
        <v>4.7</v>
      </c>
      <c r="P4270" t="n">
        <v>197</v>
      </c>
      <c r="R4270" t="inlineStr">
        <is>
          <t>InStock</t>
        </is>
      </c>
      <c r="S4270" t="inlineStr">
        <is>
          <t>24.95</t>
        </is>
      </c>
      <c r="T4270" t="inlineStr">
        <is>
          <t>CE8921</t>
        </is>
      </c>
    </row>
    <row r="4271" hidden="1" ht="15.75" customHeight="1">
      <c r="A4271" s="2">
        <f>HYPERLINK("https://www.soccerplususa.com/adidas/adidas-tabela-18-jersey-youth-5109", "https://www.soccerplususa.com/adidas/adidas-tabela-18-jersey-youth-5109")</f>
        <v/>
      </c>
      <c r="B4271" t="inlineStr">
        <is>
          <t>undefined</t>
        </is>
      </c>
      <c r="C4271" t="inlineStr">
        <is>
          <t>adidas Tabela 18 Jersey Youth</t>
        </is>
      </c>
      <c r="D4271" t="inlineStr">
        <is>
          <t>adidas Mens Tabela 18 Soccer Jersey</t>
        </is>
      </c>
      <c r="E4271" s="2">
        <f>HYPERLINK("https://www.amazon.com/adidas-191034919038-TABELA-18-Jersey/dp/B078LCD4RX/ref=sr_1_3?keywords=adidas+Tabela+18+Jersey+Youth&amp;qid=1695171237&amp;sr=8-3", "https://www.amazon.com/adidas-191034919038-TABELA-18-Jersey/dp/B078LCD4RX/ref=sr_1_3?keywords=adidas+Tabela+18+Jersey+Youth&amp;qid=1695171237&amp;sr=8-3")</f>
        <v/>
      </c>
      <c r="F4271" t="inlineStr">
        <is>
          <t>B078LCD4RX</t>
        </is>
      </c>
      <c r="G4271">
        <f>_xludf.IMAGE("https://www.soccerplususa.com/prodimages//31738-BLACK-M.jpg")</f>
        <v/>
      </c>
      <c r="H4271">
        <f>_xludf.IMAGE("https://m.media-amazon.com/images/I/71SEmpIbeaL._AC_UL320_.jpg")</f>
        <v/>
      </c>
      <c r="K4271" t="inlineStr">
        <is>
          <t>18.99</t>
        </is>
      </c>
      <c r="L4271" t="n">
        <v>18</v>
      </c>
      <c r="M4271" s="1" t="inlineStr">
        <is>
          <t>-5.21%</t>
        </is>
      </c>
      <c r="N4271" s="3" t="n">
        <v>-5.21</v>
      </c>
      <c r="O4271" t="n">
        <v>4.7</v>
      </c>
      <c r="P4271" t="n">
        <v>197</v>
      </c>
      <c r="R4271" t="inlineStr">
        <is>
          <t>InStock</t>
        </is>
      </c>
      <c r="S4271" t="inlineStr">
        <is>
          <t>24.95</t>
        </is>
      </c>
      <c r="T4271" t="inlineStr">
        <is>
          <t>CE8918</t>
        </is>
      </c>
    </row>
    <row r="4272" hidden="1" ht="15.75" customHeight="1">
      <c r="A4272" s="2">
        <f>HYPERLINK("https://www.soccerplususa.com/adidas/adidas-tabela-18-jersey-youth-5110", "https://www.soccerplususa.com/adidas/adidas-tabela-18-jersey-youth-5110")</f>
        <v/>
      </c>
      <c r="B4272" t="inlineStr">
        <is>
          <t>undefined</t>
        </is>
      </c>
      <c r="C4272" t="inlineStr">
        <is>
          <t>adidas Tabela 18 Jersey Youth</t>
        </is>
      </c>
      <c r="D4272" t="inlineStr">
        <is>
          <t>adidas Mens Tabela 18 Soccer Jersey</t>
        </is>
      </c>
      <c r="E4272" s="2">
        <f>HYPERLINK("https://www.amazon.com/adidas-191034919038-TABELA-18-Jersey/dp/B078LCD4RX/ref=sr_1_3?keywords=adidas+Tabela+18+Jersey+Youth&amp;qid=1695171223&amp;sr=8-3", "https://www.amazon.com/adidas-191034919038-TABELA-18-Jersey/dp/B078LCD4RX/ref=sr_1_3?keywords=adidas+Tabela+18+Jersey+Youth&amp;qid=1695171223&amp;sr=8-3")</f>
        <v/>
      </c>
      <c r="F4272" t="inlineStr">
        <is>
          <t>B078LCD4RX</t>
        </is>
      </c>
      <c r="G4272">
        <f>_xludf.IMAGE("https://www.soccerplususa.com/prodimages//31722-GRAY-M.jpg")</f>
        <v/>
      </c>
      <c r="H4272">
        <f>_xludf.IMAGE("https://m.media-amazon.com/images/I/71SEmpIbeaL._AC_UL320_.jpg")</f>
        <v/>
      </c>
      <c r="K4272" t="inlineStr">
        <is>
          <t>18.99</t>
        </is>
      </c>
      <c r="L4272" t="n">
        <v>18</v>
      </c>
      <c r="M4272" s="1" t="inlineStr">
        <is>
          <t>-5.21%</t>
        </is>
      </c>
      <c r="N4272" s="3" t="n">
        <v>-5.21</v>
      </c>
      <c r="O4272" t="n">
        <v>4.7</v>
      </c>
      <c r="P4272" t="n">
        <v>197</v>
      </c>
      <c r="R4272" t="inlineStr">
        <is>
          <t>InStock</t>
        </is>
      </c>
      <c r="S4272" t="inlineStr">
        <is>
          <t>24.95</t>
        </is>
      </c>
      <c r="T4272" t="inlineStr">
        <is>
          <t>CE8920</t>
        </is>
      </c>
    </row>
    <row r="4273" hidden="1" ht="15.75" customHeight="1">
      <c r="A4273" s="2">
        <f>HYPERLINK("https://www.soccerplususa.com/adidas/adidas-tabela-18-jersey-youth-33803", "https://www.soccerplususa.com/adidas/adidas-tabela-18-jersey-youth-33803")</f>
        <v/>
      </c>
      <c r="B4273" t="inlineStr">
        <is>
          <t>undefined</t>
        </is>
      </c>
      <c r="C4273" t="inlineStr">
        <is>
          <t>adidas Tabela 18 Jersey Youth</t>
        </is>
      </c>
      <c r="D4273" t="inlineStr">
        <is>
          <t>adidas Mens Tabela 18 Soccer Jersey</t>
        </is>
      </c>
      <c r="E4273" s="2">
        <f>HYPERLINK("https://www.amazon.com/adidas-191034919038-TABELA-18-Jersey/dp/B078LCD4RX/ref=sr_1_1?keywords=adidas+Tabela+18+Jersey+Youth&amp;qid=1695171168&amp;sr=8-1", "https://www.amazon.com/adidas-191034919038-TABELA-18-Jersey/dp/B078LCD4RX/ref=sr_1_1?keywords=adidas+Tabela+18+Jersey+Youth&amp;qid=1695171168&amp;sr=8-1")</f>
        <v/>
      </c>
      <c r="F4273" t="inlineStr">
        <is>
          <t>B078LCD4RX</t>
        </is>
      </c>
      <c r="G4273">
        <f>_xludf.IMAGE("https://www.soccerplususa.com/prodimages//35354-WHITE-M.jpg")</f>
        <v/>
      </c>
      <c r="H4273">
        <f>_xludf.IMAGE("https://m.media-amazon.com/images/I/71SEmpIbeaL._AC_UL320_.jpg")</f>
        <v/>
      </c>
      <c r="K4273" t="inlineStr">
        <is>
          <t>18.99</t>
        </is>
      </c>
      <c r="L4273" t="n">
        <v>18</v>
      </c>
      <c r="M4273" s="1" t="inlineStr">
        <is>
          <t>-5.21%</t>
        </is>
      </c>
      <c r="N4273" s="3" t="n">
        <v>-5.21</v>
      </c>
      <c r="O4273" t="n">
        <v>4.7</v>
      </c>
      <c r="P4273" t="n">
        <v>197</v>
      </c>
      <c r="R4273" t="inlineStr">
        <is>
          <t>InStock</t>
        </is>
      </c>
      <c r="S4273" t="inlineStr">
        <is>
          <t>24.95</t>
        </is>
      </c>
      <c r="T4273" t="inlineStr">
        <is>
          <t>CE8919</t>
        </is>
      </c>
    </row>
    <row r="4274" hidden="1" ht="15.75" customHeight="1">
      <c r="A4274" s="2">
        <f>HYPERLINK("https://www.soccerplususa.com/adidas/adidas-tabela-18-jersey-youth-33801", "https://www.soccerplususa.com/adidas/adidas-tabela-18-jersey-youth-33801")</f>
        <v/>
      </c>
      <c r="B4274" t="inlineStr">
        <is>
          <t>undefined</t>
        </is>
      </c>
      <c r="C4274" t="inlineStr">
        <is>
          <t>adidas Tabela 18 Jersey Youth</t>
        </is>
      </c>
      <c r="D4274" t="inlineStr">
        <is>
          <t>adidas Mens Tabela 18 Soccer Jersey</t>
        </is>
      </c>
      <c r="E4274" s="2">
        <f>HYPERLINK("https://www.amazon.com/adidas-191034919038-TABELA-18-Jersey/dp/B078LCD4RX/ref=sr_1_1?keywords=adidas+Tabela+18+Jersey+Youth&amp;qid=1695171174&amp;sr=8-1", "https://www.amazon.com/adidas-191034919038-TABELA-18-Jersey/dp/B078LCD4RX/ref=sr_1_1?keywords=adidas+Tabela+18+Jersey+Youth&amp;qid=1695171174&amp;sr=8-1")</f>
        <v/>
      </c>
      <c r="F4274" t="inlineStr">
        <is>
          <t>B078LCD4RX</t>
        </is>
      </c>
      <c r="G4274">
        <f>_xludf.IMAGE("https://www.soccerplususa.com/prodimages//35352-REDWHITE-M.jpg")</f>
        <v/>
      </c>
      <c r="H4274">
        <f>_xludf.IMAGE("https://m.media-amazon.com/images/I/71SEmpIbeaL._AC_UL320_.jpg")</f>
        <v/>
      </c>
      <c r="K4274" t="inlineStr">
        <is>
          <t>18.99</t>
        </is>
      </c>
      <c r="L4274" t="n">
        <v>18</v>
      </c>
      <c r="M4274" s="1" t="inlineStr">
        <is>
          <t>-5.21%</t>
        </is>
      </c>
      <c r="N4274" s="3" t="n">
        <v>-5.21</v>
      </c>
      <c r="O4274" t="n">
        <v>4.7</v>
      </c>
      <c r="P4274" t="n">
        <v>197</v>
      </c>
      <c r="R4274" t="inlineStr">
        <is>
          <t>InStock</t>
        </is>
      </c>
      <c r="S4274" t="inlineStr">
        <is>
          <t>24.95</t>
        </is>
      </c>
      <c r="T4274" t="inlineStr">
        <is>
          <t>CE8914</t>
        </is>
      </c>
    </row>
    <row r="4275" hidden="1" ht="15.75" customHeight="1">
      <c r="A4275" s="2">
        <f>HYPERLINK("https://www.soccerplususa.com/puma/puma-liga-training-jacket-youth-35521", "https://www.soccerplususa.com/puma/puma-liga-training-jacket-youth-35521")</f>
        <v/>
      </c>
      <c r="B4275" t="inlineStr">
        <is>
          <t>undefined</t>
        </is>
      </c>
      <c r="C4275" t="inlineStr">
        <is>
          <t>Puma Liga Training Jacket Youth</t>
        </is>
      </c>
      <c r="D4275" t="inlineStr">
        <is>
          <t>PUMA Men's Liga Training Fleece Jacket</t>
        </is>
      </c>
      <c r="E4275" s="2">
        <f>HYPERLINK("https://www.amazon.com/PUMA-Training-Fleece-Black-White/dp/B07DY6PWVK/ref=sr_1_9?keywords=Puma+Liga+Training+Jacket+Youth&amp;qid=1695171158&amp;sr=8-9", "https://www.amazon.com/PUMA-Training-Fleece-Black-White/dp/B07DY6PWVK/ref=sr_1_9?keywords=Puma+Liga+Training+Jacket+Youth&amp;qid=1695171158&amp;sr=8-9")</f>
        <v/>
      </c>
      <c r="F4275" t="inlineStr">
        <is>
          <t>B07DY6PWVK</t>
        </is>
      </c>
      <c r="G4275">
        <f>_xludf.IMAGE("https://www.soccerplususa.com/prodimages/32219-DEFAULT-l.jpg")</f>
        <v/>
      </c>
      <c r="H4275">
        <f>_xludf.IMAGE("https://m.media-amazon.com/images/I/811bSQrl3iL._AC_UL320_.jpg")</f>
        <v/>
      </c>
      <c r="K4275" t="inlineStr">
        <is>
          <t>45.0</t>
        </is>
      </c>
      <c r="L4275" t="n">
        <v>42.39</v>
      </c>
      <c r="M4275" s="1" t="inlineStr">
        <is>
          <t>-5.80%</t>
        </is>
      </c>
      <c r="N4275" s="3" t="n">
        <v>-5.8</v>
      </c>
      <c r="O4275" t="n">
        <v>4.6</v>
      </c>
      <c r="P4275" t="n">
        <v>16</v>
      </c>
      <c r="R4275" t="inlineStr">
        <is>
          <t>InStock</t>
        </is>
      </c>
      <c r="S4275" t="inlineStr">
        <is>
          <t>59.95</t>
        </is>
      </c>
      <c r="T4275" t="inlineStr">
        <is>
          <t>655688-02</t>
        </is>
      </c>
    </row>
    <row r="4276" hidden="1" ht="15.75" customHeight="1">
      <c r="A4276" s="2">
        <f>HYPERLINK("https://www.soccerplususa.com/adidas/adidas-tabela-18-jersey-5113", "https://www.soccerplususa.com/adidas/adidas-tabela-18-jersey-5113")</f>
        <v/>
      </c>
      <c r="B4276" t="inlineStr">
        <is>
          <t>undefined</t>
        </is>
      </c>
      <c r="C4276" t="inlineStr">
        <is>
          <t>adidas Tabela 18 Jersey</t>
        </is>
      </c>
      <c r="D4276" t="inlineStr">
        <is>
          <t>adidas Unisex-Child Entrada 18 Jersey</t>
        </is>
      </c>
      <c r="E4276" s="2">
        <f>HYPERLINK("https://www.amazon.com/adidas-Entrada-Jersey-White-Youth/dp/B07FGLQ8XY/ref=sr_1_9?keywords=adidas+Tabela+18+Jersey&amp;qid=1695171233&amp;sr=8-9", "https://www.amazon.com/adidas-Entrada-Jersey-White-Youth/dp/B07FGLQ8XY/ref=sr_1_9?keywords=adidas+Tabela+18+Jersey&amp;qid=1695171233&amp;sr=8-9")</f>
        <v/>
      </c>
      <c r="F4276" t="inlineStr">
        <is>
          <t>B07FGLQ8XY</t>
        </is>
      </c>
      <c r="G4276">
        <f>_xludf.IMAGE("https://www.soccerplususa.com/prodimages//31723-BLACK-M.jpg")</f>
        <v/>
      </c>
      <c r="H4276">
        <f>_xludf.IMAGE("https://m.media-amazon.com/images/I/81ITBE3iM+S._AC_UL320_.jpg")</f>
        <v/>
      </c>
      <c r="K4276" t="inlineStr">
        <is>
          <t>21.99</t>
        </is>
      </c>
      <c r="L4276" t="n">
        <v>20.59</v>
      </c>
      <c r="M4276" s="1" t="inlineStr">
        <is>
          <t>-6.37%</t>
        </is>
      </c>
      <c r="N4276" s="3" t="n">
        <v>-6.37</v>
      </c>
      <c r="O4276" t="n">
        <v>4.5</v>
      </c>
      <c r="P4276" t="n">
        <v>374</v>
      </c>
      <c r="R4276" t="inlineStr">
        <is>
          <t>InStock</t>
        </is>
      </c>
      <c r="S4276" t="inlineStr">
        <is>
          <t>29.95</t>
        </is>
      </c>
      <c r="T4276" t="inlineStr">
        <is>
          <t>CE8934</t>
        </is>
      </c>
    </row>
    <row r="4277" hidden="1" ht="15.75" customHeight="1">
      <c r="A4277" s="2">
        <f>HYPERLINK("https://www.soccerplususa.com/adidas/adidas-essentials-hoodie-41596", "https://www.soccerplususa.com/adidas/adidas-essentials-hoodie-41596")</f>
        <v/>
      </c>
      <c r="B4277" t="inlineStr">
        <is>
          <t>undefined</t>
        </is>
      </c>
      <c r="C4277" t="inlineStr">
        <is>
          <t>adidas Essentials Hoodie</t>
        </is>
      </c>
      <c r="D4277" t="inlineStr">
        <is>
          <t>adidas Originals Men's Trefoil Essentials Hoodie</t>
        </is>
      </c>
      <c r="E4277" s="2">
        <f>HYPERLINK("https://www.amazon.com/adidas-Originals-Trefoil-Essentials-Hoodie/dp/B09YBHGWDG/ref=sr_1_6?keywords=adidas+Essentials+Hoodie&amp;qid=1695171148&amp;sr=8-6", "https://www.amazon.com/adidas-Originals-Trefoil-Essentials-Hoodie/dp/B09YBHGWDG/ref=sr_1_6?keywords=adidas+Essentials+Hoodie&amp;qid=1695171148&amp;sr=8-6")</f>
        <v/>
      </c>
      <c r="F4277" t="inlineStr">
        <is>
          <t>B09YBHGWDG</t>
        </is>
      </c>
      <c r="G4277">
        <f>_xludf.IMAGE("https://www.soccerplususa.com/prodimages//35143-BLACKWHITE-M.jpg")</f>
        <v/>
      </c>
      <c r="H4277">
        <f>_xludf.IMAGE("https://m.media-amazon.com/images/I/618jSsucmRL._AC_UL320_.jpg")</f>
        <v/>
      </c>
      <c r="K4277" t="inlineStr">
        <is>
          <t>44.99</t>
        </is>
      </c>
      <c r="L4277" t="n">
        <v>42</v>
      </c>
      <c r="M4277" s="1" t="inlineStr">
        <is>
          <t>-6.65%</t>
        </is>
      </c>
      <c r="N4277" s="3" t="n">
        <v>-6.65</v>
      </c>
      <c r="O4277" t="n">
        <v>4.6</v>
      </c>
      <c r="P4277" t="n">
        <v>50</v>
      </c>
      <c r="R4277" t="inlineStr">
        <is>
          <t>InStock</t>
        </is>
      </c>
      <c r="S4277" t="inlineStr">
        <is>
          <t>59.95</t>
        </is>
      </c>
      <c r="T4277" t="inlineStr">
        <is>
          <t>GK9062</t>
        </is>
      </c>
    </row>
    <row r="4278" hidden="1" ht="15.75" customHeight="1">
      <c r="A4278" s="2">
        <f>HYPERLINK("https://www.soccerplususa.com/adidas/adidas-tiro-21-track-jacket-womens-41184", "https://www.soccerplususa.com/adidas/adidas-tiro-21-track-jacket-womens-41184")</f>
        <v/>
      </c>
      <c r="B4278" t="inlineStr">
        <is>
          <t>undefined</t>
        </is>
      </c>
      <c r="C4278" t="inlineStr">
        <is>
          <t>adidas Tiro 21 Track Jacket Women's</t>
        </is>
      </c>
      <c r="D4278" t="inlineStr">
        <is>
          <t>adidas womens Tiro 21 Track Jacket Team Grey X-Large</t>
        </is>
      </c>
      <c r="E4278" s="2">
        <f>HYPERLINK("https://www.amazon.com/adidas-Womens-Track-Jacket-X-Large/dp/B089K45KT1/ref=sr_1_9?keywords=adidas+Tiro+21+Track+Jacket+Women%27s&amp;qid=1695171150&amp;sr=8-9", "https://www.amazon.com/adidas-Womens-Track-Jacket-X-Large/dp/B089K45KT1/ref=sr_1_9?keywords=adidas+Tiro+21+Track+Jacket+Women%27s&amp;qid=1695171150&amp;sr=8-9")</f>
        <v/>
      </c>
      <c r="F4278" t="inlineStr">
        <is>
          <t>B089K45KT1</t>
        </is>
      </c>
      <c r="G4278">
        <f>_xludf.IMAGE("https://www.soccerplususa.com/prodimages//36136-BLACKWHITE-M.jpg")</f>
        <v/>
      </c>
      <c r="H4278">
        <f>_xludf.IMAGE("https://m.media-amazon.com/images/I/51GSE5g4YEL._AC_UL320_.jpg")</f>
        <v/>
      </c>
      <c r="K4278" t="inlineStr">
        <is>
          <t>50.0</t>
        </is>
      </c>
      <c r="L4278" t="n">
        <v>46.64</v>
      </c>
      <c r="M4278" s="1" t="inlineStr">
        <is>
          <t>-6.72%</t>
        </is>
      </c>
      <c r="N4278" s="3" t="n">
        <v>-6.72</v>
      </c>
      <c r="O4278" t="n">
        <v>4.6</v>
      </c>
      <c r="P4278" t="n">
        <v>23</v>
      </c>
      <c r="R4278" t="inlineStr">
        <is>
          <t>InStock</t>
        </is>
      </c>
      <c r="S4278" t="inlineStr">
        <is>
          <t>undefined</t>
        </is>
      </c>
      <c r="T4278" t="inlineStr">
        <is>
          <t>GM7307</t>
        </is>
      </c>
    </row>
    <row r="4279" hidden="1" ht="15.75" customHeight="1">
      <c r="A4279" s="2">
        <f>HYPERLINK("https://www.soccerplususa.com/under-armour/under-armour-coldgear-ls-mock-32981", "https://www.soccerplususa.com/under-armour/under-armour-coldgear-ls-mock-32981")</f>
        <v/>
      </c>
      <c r="B4279" t="inlineStr">
        <is>
          <t>undefined</t>
        </is>
      </c>
      <c r="C4279" t="inlineStr">
        <is>
          <t>Under Armour Coldgear LS Mock</t>
        </is>
      </c>
      <c r="D4279" t="inlineStr">
        <is>
          <t>Under Armour Women's ColdGear Authentics Compression Mock</t>
        </is>
      </c>
      <c r="E4279" s="2">
        <f>HYPERLINK("https://www.amazon.com/Under-Armour-ColdGear-Authentic-Midnight/dp/B005IM0QMC/ref=sr_1_6?keywords=Under+Armour+Coldgear+LS+Mock&amp;qid=1695171172&amp;sr=8-6", "https://www.amazon.com/Under-Armour-ColdGear-Authentic-Midnight/dp/B005IM0QMC/ref=sr_1_6?keywords=Under+Armour+Coldgear+LS+Mock&amp;qid=1695171172&amp;sr=8-6")</f>
        <v/>
      </c>
      <c r="F4279" t="inlineStr">
        <is>
          <t>B005IM0QMC</t>
        </is>
      </c>
      <c r="G4279">
        <f>_xludf.IMAGE("https://www.soccerplususa.com/prodimages/467-DEFAULT-l.jpg")</f>
        <v/>
      </c>
      <c r="H4279">
        <f>_xludf.IMAGE("https://m.media-amazon.com/images/I/516ZUq9iV2L._AC_UL320_.jpg")</f>
        <v/>
      </c>
      <c r="K4279" t="inlineStr">
        <is>
          <t>34.95</t>
        </is>
      </c>
      <c r="L4279" t="n">
        <v>32.43</v>
      </c>
      <c r="M4279" s="1" t="inlineStr">
        <is>
          <t>-7.21%</t>
        </is>
      </c>
      <c r="N4279" s="3" t="n">
        <v>-7.21</v>
      </c>
      <c r="O4279" t="n">
        <v>4.8</v>
      </c>
      <c r="P4279" t="n">
        <v>7721</v>
      </c>
      <c r="R4279" t="inlineStr">
        <is>
          <t>InStock</t>
        </is>
      </c>
      <c r="S4279" t="inlineStr">
        <is>
          <t>44.95</t>
        </is>
      </c>
      <c r="T4279" t="inlineStr">
        <is>
          <t>1000512-100</t>
        </is>
      </c>
    </row>
    <row r="4280" hidden="1" ht="15.75" customHeight="1">
      <c r="A4280" s="2">
        <f>HYPERLINK("https://www.soccerplususa.com/under-armour/under-armour-coldgear-armour-fitted-mock-41592", "https://www.soccerplususa.com/under-armour/under-armour-coldgear-armour-fitted-mock-41592")</f>
        <v/>
      </c>
      <c r="B4280" t="inlineStr">
        <is>
          <t>undefined</t>
        </is>
      </c>
      <c r="C4280" t="inlineStr">
        <is>
          <t>Under Armour ColdGear Armour Fitted Mock</t>
        </is>
      </c>
      <c r="D4280" t="inlineStr">
        <is>
          <t>Under Armour Fitted ColdGear Mock Men’s Long Sleeve Shirt (Large)</t>
        </is>
      </c>
      <c r="E4280" s="2">
        <f>HYPERLINK("https://www.amazon.com/Under-Armour-ColdGear-Fitted-Sleeve/dp/B086GLMF91/ref=sr_1_5?keywords=Under+Armour+ColdGear+Armour+Fitted+Mock&amp;qid=1695171146&amp;sr=8-5", "https://www.amazon.com/Under-Armour-ColdGear-Fitted-Sleeve/dp/B086GLMF91/ref=sr_1_5?keywords=Under+Armour+ColdGear+Armour+Fitted+Mock&amp;qid=1695171146&amp;sr=8-5")</f>
        <v/>
      </c>
      <c r="F4280" t="inlineStr">
        <is>
          <t>B086GLMF91</t>
        </is>
      </c>
      <c r="G4280">
        <f>_xludf.IMAGE("https://www.soccerplususa.com/prodimages//36795-BLACK-M.jpg")</f>
        <v/>
      </c>
      <c r="H4280">
        <f>_xludf.IMAGE("https://m.media-amazon.com/images/I/41qOh1oq6JL._AC_UL320_.jpg")</f>
        <v/>
      </c>
      <c r="K4280" t="inlineStr">
        <is>
          <t>54.95</t>
        </is>
      </c>
      <c r="L4280" t="n">
        <v>50.97</v>
      </c>
      <c r="M4280" s="1" t="inlineStr">
        <is>
          <t>-7.24%</t>
        </is>
      </c>
      <c r="N4280" s="3" t="n">
        <v>-7.24</v>
      </c>
      <c r="O4280" t="n">
        <v>3.8</v>
      </c>
      <c r="P4280" t="n">
        <v>2</v>
      </c>
      <c r="R4280" t="inlineStr">
        <is>
          <t>InStock</t>
        </is>
      </c>
      <c r="S4280" t="inlineStr">
        <is>
          <t>undefined</t>
        </is>
      </c>
      <c r="T4280" t="inlineStr">
        <is>
          <t>1366066-001</t>
        </is>
      </c>
    </row>
    <row r="4281" hidden="1" ht="15.75" customHeight="1">
      <c r="A4281" s="2">
        <f>HYPERLINK("https://www.soccerplususa.com/under-armour/under-armour-coldgear-armour-fitted-mock-youth-41593", "https://www.soccerplususa.com/under-armour/under-armour-coldgear-armour-fitted-mock-youth-41593")</f>
        <v/>
      </c>
      <c r="B4281" t="inlineStr">
        <is>
          <t>undefined</t>
        </is>
      </c>
      <c r="C4281" t="inlineStr">
        <is>
          <t>Under Armour ColdGear Armour Fitted Mock Youth</t>
        </is>
      </c>
      <c r="D4281" t="inlineStr">
        <is>
          <t>Under Armour Men's ColdGear Fitted Mock</t>
        </is>
      </c>
      <c r="E4281" s="2">
        <f>HYPERLINK("https://www.amazon.com/Under-Armour-ColdGear-Fitted-Medium/dp/B08LNZ74C7/ref=sr_1_2?keywords=Under+Armour+ColdGear+Armour+Fitted+Mock+Youth&amp;qid=1695171155&amp;sr=8-2", "https://www.amazon.com/Under-Armour-ColdGear-Fitted-Medium/dp/B08LNZ74C7/ref=sr_1_2?keywords=Under+Armour+ColdGear+Armour+Fitted+Mock+Youth&amp;qid=1695171155&amp;sr=8-2")</f>
        <v/>
      </c>
      <c r="F4281" t="inlineStr">
        <is>
          <t>B08LNZ74C7</t>
        </is>
      </c>
      <c r="G4281">
        <f>_xludf.IMAGE("https://www.soccerplususa.com/prodimages//36054-BLACK-M.jpg")</f>
        <v/>
      </c>
      <c r="H4281">
        <f>_xludf.IMAGE("https://m.media-amazon.com/images/I/41kGm2fUC1L._AC_UL320_.jpg")</f>
        <v/>
      </c>
      <c r="K4281" t="inlineStr">
        <is>
          <t>39.95</t>
        </is>
      </c>
      <c r="L4281" t="n">
        <v>36.99</v>
      </c>
      <c r="M4281" s="1" t="inlineStr">
        <is>
          <t>-7.41%</t>
        </is>
      </c>
      <c r="N4281" s="3" t="n">
        <v>-7.41</v>
      </c>
      <c r="O4281" t="n">
        <v>4.7</v>
      </c>
      <c r="P4281" t="n">
        <v>2138</v>
      </c>
      <c r="R4281" t="inlineStr">
        <is>
          <t>InStock</t>
        </is>
      </c>
      <c r="S4281" t="inlineStr">
        <is>
          <t>undefined</t>
        </is>
      </c>
      <c r="T4281" t="inlineStr">
        <is>
          <t>1366373-001</t>
        </is>
      </c>
    </row>
    <row r="4282" hidden="1" ht="15.75" customHeight="1">
      <c r="A4282" s="2">
        <f>HYPERLINK("https://www.soccerplususa.com/under-armour/under-armour-cold-gear-armour-mock-youth-33310", "https://www.soccerplususa.com/under-armour/under-armour-cold-gear-armour-mock-youth-33310")</f>
        <v/>
      </c>
      <c r="B4282" t="inlineStr">
        <is>
          <t>undefined</t>
        </is>
      </c>
      <c r="C4282" t="inlineStr">
        <is>
          <t>Under Armour Cold Gear Armour Mock Youth</t>
        </is>
      </c>
      <c r="D4282" t="inlineStr">
        <is>
          <t>Under Armour Men's ColdGear Fitted Mock</t>
        </is>
      </c>
      <c r="E4282" s="2">
        <f>HYPERLINK("https://www.amazon.com/Under-Armour-ColdGear-Fitted-Medium/dp/B08LNZ74C7/ref=sr_1_4?keywords=Under+Armour+Cold+Gear+Armour+Mock+Youth&amp;qid=1695171174&amp;sr=8-4", "https://www.amazon.com/Under-Armour-ColdGear-Fitted-Medium/dp/B08LNZ74C7/ref=sr_1_4?keywords=Under+Armour+Cold+Gear+Armour+Mock+Youth&amp;qid=1695171174&amp;sr=8-4")</f>
        <v/>
      </c>
      <c r="F4282" t="inlineStr">
        <is>
          <t>B08LNZ74C7</t>
        </is>
      </c>
      <c r="G4282">
        <f>_xludf.IMAGE("https://www.soccerplususa.com/prodimages/5586-DEFAULT-l.jpg")</f>
        <v/>
      </c>
      <c r="H4282">
        <f>_xludf.IMAGE("https://m.media-amazon.com/images/I/41kGm2fUC1L._AC_UL320_.jpg")</f>
        <v/>
      </c>
      <c r="K4282" t="inlineStr">
        <is>
          <t>39.95</t>
        </is>
      </c>
      <c r="L4282" t="n">
        <v>36.99</v>
      </c>
      <c r="M4282" s="1" t="inlineStr">
        <is>
          <t>-7.41%</t>
        </is>
      </c>
      <c r="N4282" s="3" t="n">
        <v>-7.41</v>
      </c>
      <c r="O4282" t="n">
        <v>4.7</v>
      </c>
      <c r="P4282" t="n">
        <v>2138</v>
      </c>
      <c r="R4282" t="inlineStr">
        <is>
          <t>InStock</t>
        </is>
      </c>
      <c r="S4282" t="inlineStr">
        <is>
          <t>undefined</t>
        </is>
      </c>
      <c r="T4282" t="inlineStr">
        <is>
          <t>1288343-001</t>
        </is>
      </c>
    </row>
    <row r="4283" hidden="1" ht="15.75" customHeight="1">
      <c r="A4283" s="2">
        <f>HYPERLINK("https://www.soccerplususa.com/under-armour/under-armour-coldgear-armour-fitted-mock-youth-41594", "https://www.soccerplususa.com/under-armour/under-armour-coldgear-armour-fitted-mock-youth-41594")</f>
        <v/>
      </c>
      <c r="B4283" t="inlineStr">
        <is>
          <t>undefined</t>
        </is>
      </c>
      <c r="C4283" t="inlineStr">
        <is>
          <t>Under Armour ColdGear Armour Fitted Mock Youth</t>
        </is>
      </c>
      <c r="D4283" t="inlineStr">
        <is>
          <t>Under Armour Men's ColdGear Fitted Mock</t>
        </is>
      </c>
      <c r="E4283" s="2">
        <f>HYPERLINK("https://www.amazon.com/Under-Armour-ColdGear-Fitted-Medium/dp/B08LNZ74C7/ref=sr_1_3?keywords=Under+Armour+ColdGear+Armour+Fitted+Mock+Youth&amp;qid=1695171149&amp;sr=8-3", "https://www.amazon.com/Under-Armour-ColdGear-Fitted-Medium/dp/B08LNZ74C7/ref=sr_1_3?keywords=Under+Armour+ColdGear+Armour+Fitted+Mock+Youth&amp;qid=1695171149&amp;sr=8-3")</f>
        <v/>
      </c>
      <c r="F4283" t="inlineStr">
        <is>
          <t>B08LNZ74C7</t>
        </is>
      </c>
      <c r="G4283">
        <f>_xludf.IMAGE("https://www.soccerplususa.com/prodimages//36053-WHITE-M.jpg")</f>
        <v/>
      </c>
      <c r="H4283">
        <f>_xludf.IMAGE("https://m.media-amazon.com/images/I/41kGm2fUC1L._AC_UL320_.jpg")</f>
        <v/>
      </c>
      <c r="K4283" t="inlineStr">
        <is>
          <t>39.95</t>
        </is>
      </c>
      <c r="L4283" t="n">
        <v>36.99</v>
      </c>
      <c r="M4283" s="1" t="inlineStr">
        <is>
          <t>-7.41%</t>
        </is>
      </c>
      <c r="N4283" s="3" t="n">
        <v>-7.41</v>
      </c>
      <c r="O4283" t="n">
        <v>4.7</v>
      </c>
      <c r="P4283" t="n">
        <v>2138</v>
      </c>
      <c r="R4283" t="inlineStr">
        <is>
          <t>InStock</t>
        </is>
      </c>
      <c r="S4283" t="inlineStr">
        <is>
          <t>undefined</t>
        </is>
      </c>
      <c r="T4283" t="inlineStr">
        <is>
          <t>1366373-100</t>
        </is>
      </c>
    </row>
    <row r="4284" hidden="1" ht="15.75" customHeight="1">
      <c r="A4284" s="2">
        <f>HYPERLINK("https://www.soccerplususa.com/under-armour/under-armour-cold-gear-armour-mock-youth-33311", "https://www.soccerplususa.com/under-armour/under-armour-cold-gear-armour-mock-youth-33311")</f>
        <v/>
      </c>
      <c r="B4284" t="inlineStr">
        <is>
          <t>undefined</t>
        </is>
      </c>
      <c r="C4284" t="inlineStr">
        <is>
          <t>Under Armour Cold Gear Armour Mock Youth</t>
        </is>
      </c>
      <c r="D4284" t="inlineStr">
        <is>
          <t>Under Armour Men's ColdGear Fitted Mock</t>
        </is>
      </c>
      <c r="E4284" s="2">
        <f>HYPERLINK("https://www.amazon.com/Under-Armour-ColdGear-Fitted-Medium/dp/B08LNZ74C7/ref=sr_1_6?keywords=Under+Armour+Cold+Gear+Armour+Mock+Youth&amp;qid=1695171169&amp;sr=8-6", "https://www.amazon.com/Under-Armour-ColdGear-Fitted-Medium/dp/B08LNZ74C7/ref=sr_1_6?keywords=Under+Armour+Cold+Gear+Armour+Mock+Youth&amp;qid=1695171169&amp;sr=8-6")</f>
        <v/>
      </c>
      <c r="F4284" t="inlineStr">
        <is>
          <t>B08LNZ74C7</t>
        </is>
      </c>
      <c r="G4284">
        <f>_xludf.IMAGE("https://www.soccerplususa.com/prodimages/5585-DEFAULT-l.jpg")</f>
        <v/>
      </c>
      <c r="H4284">
        <f>_xludf.IMAGE("https://m.media-amazon.com/images/I/41kGm2fUC1L._AC_UL320_.jpg")</f>
        <v/>
      </c>
      <c r="K4284" t="inlineStr">
        <is>
          <t>39.95</t>
        </is>
      </c>
      <c r="L4284" t="n">
        <v>36.99</v>
      </c>
      <c r="M4284" s="1" t="inlineStr">
        <is>
          <t>-7.41%</t>
        </is>
      </c>
      <c r="N4284" s="3" t="n">
        <v>-7.41</v>
      </c>
      <c r="O4284" t="n">
        <v>4.7</v>
      </c>
      <c r="P4284" t="n">
        <v>2138</v>
      </c>
      <c r="R4284" t="inlineStr">
        <is>
          <t>InStock</t>
        </is>
      </c>
      <c r="S4284" t="inlineStr">
        <is>
          <t>undefined</t>
        </is>
      </c>
      <c r="T4284" t="inlineStr">
        <is>
          <t>1288343-100</t>
        </is>
      </c>
    </row>
    <row r="4285" hidden="1" ht="15.75" customHeight="1">
      <c r="A4285" s="2">
        <f>HYPERLINK("https://www.soccerplususa.com/puma/puma-liga-jersey-womens-39602", "https://www.soccerplususa.com/puma/puma-liga-jersey-womens-39602")</f>
        <v/>
      </c>
      <c r="B4285" t="inlineStr">
        <is>
          <t>undefined</t>
        </is>
      </c>
      <c r="C4285" t="inlineStr">
        <is>
          <t>Puma Liga Jersey Women's</t>
        </is>
      </c>
      <c r="D4285" t="inlineStr">
        <is>
          <t>PUMA Womens Liga Training Jersey W</t>
        </is>
      </c>
      <c r="E4285" s="2">
        <f>HYPERLINK("https://www.amazon.com/PUMA-Training-Electric-Lemonadepuma-X-Small/dp/B07B88WJK9/ref=sr_1_5?keywords=Puma+Liga+Jersey+Womens&amp;qid=1695171150&amp;sr=8-5", "https://www.amazon.com/PUMA-Training-Electric-Lemonadepuma-X-Small/dp/B07B88WJK9/ref=sr_1_5?keywords=Puma+Liga+Jersey+Womens&amp;qid=1695171150&amp;sr=8-5")</f>
        <v/>
      </c>
      <c r="F4285" t="inlineStr">
        <is>
          <t>B07B88WJK9</t>
        </is>
      </c>
      <c r="G4285">
        <f>_xludf.IMAGE("https://www.soccerplususa.com/prodimages//36786-REDWHITE-M.jpg")</f>
        <v/>
      </c>
      <c r="H4285">
        <f>_xludf.IMAGE("https://m.media-amazon.com/images/I/81ycC-g8l+L._AC_UL320_.jpg")</f>
        <v/>
      </c>
      <c r="K4285" t="inlineStr">
        <is>
          <t>20.99</t>
        </is>
      </c>
      <c r="L4285" t="n">
        <v>19.35</v>
      </c>
      <c r="M4285" s="1" t="inlineStr">
        <is>
          <t>-7.81%</t>
        </is>
      </c>
      <c r="N4285" s="3" t="n">
        <v>-7.81</v>
      </c>
      <c r="O4285" t="n">
        <v>4.5</v>
      </c>
      <c r="P4285" t="n">
        <v>51</v>
      </c>
      <c r="R4285" t="inlineStr">
        <is>
          <t>InStock</t>
        </is>
      </c>
      <c r="S4285" t="inlineStr">
        <is>
          <t>27.95</t>
        </is>
      </c>
      <c r="T4285" t="inlineStr">
        <is>
          <t>703426-01</t>
        </is>
      </c>
    </row>
    <row r="4286" hidden="1" ht="15.75" customHeight="1">
      <c r="A4286" s="2">
        <f>HYPERLINK("https://www.soccerplususa.com/new-balance/new-balance-thermal-half-zip-top-womens-39182", "https://www.soccerplususa.com/new-balance/new-balance-thermal-half-zip-top-womens-39182")</f>
        <v/>
      </c>
      <c r="B4286" t="inlineStr">
        <is>
          <t>undefined</t>
        </is>
      </c>
      <c r="C4286" t="inlineStr">
        <is>
          <t>New Balance Thermal Half Zip Top Women's</t>
        </is>
      </c>
      <c r="D4286" t="inlineStr">
        <is>
          <t>New Balance Women's Accelerate Half Zip 22</t>
        </is>
      </c>
      <c r="E4286" s="2">
        <f>HYPERLINK("https://www.amazon.com/New-Balance-Womens-Accelerate-Black/dp/B09HY68MBS/ref=sr_1_2?keywords=New+Balance+Thermal+Half+Zip+Top+Womens&amp;qid=1695171153&amp;sr=8-2", "https://www.amazon.com/New-Balance-Womens-Accelerate-Black/dp/B09HY68MBS/ref=sr_1_2?keywords=New+Balance+Thermal+Half+Zip+Top+Womens&amp;qid=1695171153&amp;sr=8-2")</f>
        <v/>
      </c>
      <c r="F4286" t="inlineStr">
        <is>
          <t>B09HY68MBS</t>
        </is>
      </c>
      <c r="G4286">
        <f>_xludf.IMAGE("https://www.soccerplususa.com/prodimages/35277-DEFAULT-l.jpg")</f>
        <v/>
      </c>
      <c r="H4286">
        <f>_xludf.IMAGE("https://m.media-amazon.com/images/I/71fYS9b8KpL._AC_UL320_.jpg")</f>
        <v/>
      </c>
      <c r="K4286" t="inlineStr">
        <is>
          <t>48.99</t>
        </is>
      </c>
      <c r="L4286" t="n">
        <v>45</v>
      </c>
      <c r="M4286" s="1" t="inlineStr">
        <is>
          <t>-8.14%</t>
        </is>
      </c>
      <c r="N4286" s="3" t="n">
        <v>-8.140000000000001</v>
      </c>
      <c r="O4286" t="n">
        <v>5</v>
      </c>
      <c r="P4286" t="n">
        <v>2</v>
      </c>
      <c r="R4286" t="inlineStr">
        <is>
          <t>InStock</t>
        </is>
      </c>
      <c r="S4286" t="inlineStr">
        <is>
          <t>65.0</t>
        </is>
      </c>
      <c r="T4286" t="inlineStr">
        <is>
          <t>TMWT725</t>
        </is>
      </c>
    </row>
    <row r="4287" hidden="1" ht="15.75" customHeight="1">
      <c r="A4287" s="2">
        <f>HYPERLINK("https://www.soccerplususa.com/nike/nike-academy-18-jacket-youth-34588", "https://www.soccerplususa.com/nike/nike-academy-18-jacket-youth-34588")</f>
        <v/>
      </c>
      <c r="B4287" t="inlineStr">
        <is>
          <t>undefined</t>
        </is>
      </c>
      <c r="C4287" t="inlineStr">
        <is>
          <t>Nike Academy 18 Jacket Youth</t>
        </is>
      </c>
      <c r="D4287" t="inlineStr">
        <is>
          <t>Nike Youth Dry Academy 18 Track Jacket (Black) Size Youth</t>
        </is>
      </c>
      <c r="E4287" s="2">
        <f>HYPERLINK("https://www.amazon.com/NIKE-Youth-Academy-Jacket-Medium/dp/B079JZMVMP/ref=sr_1_2?keywords=Nike+Academy+18+Jacket+Youth&amp;qid=1695171169&amp;sr=8-2", "https://www.amazon.com/NIKE-Youth-Academy-Jacket-Medium/dp/B079JZMVMP/ref=sr_1_2?keywords=Nike+Academy+18+Jacket+Youth&amp;qid=1695171169&amp;sr=8-2")</f>
        <v/>
      </c>
      <c r="F4287" t="inlineStr">
        <is>
          <t>B079JZMVMP</t>
        </is>
      </c>
      <c r="G4287">
        <f>_xludf.IMAGE("https://www.soccerplususa.com/prodimages/7669-DEFAULT-l.jpg")</f>
        <v/>
      </c>
      <c r="H4287">
        <f>_xludf.IMAGE("https://m.media-amazon.com/images/I/91AsQuYQnIL._AC_UL320_.jpg")</f>
        <v/>
      </c>
      <c r="K4287" t="inlineStr">
        <is>
          <t>59.99</t>
        </is>
      </c>
      <c r="L4287" t="n">
        <v>55</v>
      </c>
      <c r="M4287" s="1" t="inlineStr">
        <is>
          <t>-8.32%</t>
        </is>
      </c>
      <c r="N4287" s="3" t="n">
        <v>-8.32</v>
      </c>
      <c r="O4287" t="n">
        <v>3.5</v>
      </c>
      <c r="P4287" t="n">
        <v>36</v>
      </c>
      <c r="R4287" t="inlineStr">
        <is>
          <t>InStock</t>
        </is>
      </c>
      <c r="S4287" t="inlineStr">
        <is>
          <t>79.95</t>
        </is>
      </c>
      <c r="T4287" t="inlineStr">
        <is>
          <t>893819-010</t>
        </is>
      </c>
    </row>
    <row r="4288" hidden="1" ht="15.75" customHeight="1">
      <c r="A4288" s="2">
        <f>HYPERLINK("https://www.soccerplususa.com/nike/nike-academy-18-jacket-youth-34588", "https://www.soccerplususa.com/nike/nike-academy-18-jacket-youth-34588")</f>
        <v/>
      </c>
      <c r="B4288" t="inlineStr">
        <is>
          <t>undefined</t>
        </is>
      </c>
      <c r="C4288" t="inlineStr">
        <is>
          <t>Nike Academy 18 Jacket Youth</t>
        </is>
      </c>
      <c r="D4288" t="inlineStr">
        <is>
          <t>Nike Youth Dry Academy 18 Track Jacket (Black) Size Youth</t>
        </is>
      </c>
      <c r="E4288" s="2">
        <f>HYPERLINK("https://www.amazon.com/NIKE-Youth-Academy-Track-Jacket/dp/B079JYTT6W/ref=sr_1_1?keywords=Nike+Academy+18+Jacket+Youth&amp;qid=1695171169&amp;sr=8-1", "https://www.amazon.com/NIKE-Youth-Academy-Track-Jacket/dp/B079JYTT6W/ref=sr_1_1?keywords=Nike+Academy+18+Jacket+Youth&amp;qid=1695171169&amp;sr=8-1")</f>
        <v/>
      </c>
      <c r="F4288" t="inlineStr">
        <is>
          <t>B079JYTT6W</t>
        </is>
      </c>
      <c r="G4288">
        <f>_xludf.IMAGE("https://www.soccerplususa.com/prodimages/7669-DEFAULT-l.jpg")</f>
        <v/>
      </c>
      <c r="H4288">
        <f>_xludf.IMAGE("https://m.media-amazon.com/images/I/91AsQuYQnIL._AC_UL320_.jpg")</f>
        <v/>
      </c>
      <c r="K4288" t="inlineStr">
        <is>
          <t>59.99</t>
        </is>
      </c>
      <c r="L4288" t="n">
        <v>55</v>
      </c>
      <c r="M4288" s="1" t="inlineStr">
        <is>
          <t>-8.32%</t>
        </is>
      </c>
      <c r="N4288" s="3" t="n">
        <v>-8.32</v>
      </c>
      <c r="O4288" t="n">
        <v>4</v>
      </c>
      <c r="P4288" t="n">
        <v>34</v>
      </c>
      <c r="R4288" t="inlineStr">
        <is>
          <t>InStock</t>
        </is>
      </c>
      <c r="S4288" t="inlineStr">
        <is>
          <t>79.95</t>
        </is>
      </c>
      <c r="T4288" t="inlineStr">
        <is>
          <t>893819-010</t>
        </is>
      </c>
    </row>
    <row r="4289" hidden="1" ht="15.75" customHeight="1">
      <c r="A4289" s="2">
        <f>HYPERLINK("https://www.soccerplususa.com/nike/nike-academy-18-jacket-youth-34588", "https://www.soccerplususa.com/nike/nike-academy-18-jacket-youth-34588")</f>
        <v/>
      </c>
      <c r="B4289" t="inlineStr">
        <is>
          <t>undefined</t>
        </is>
      </c>
      <c r="C4289" t="inlineStr">
        <is>
          <t>Nike Academy 18 Jacket Youth</t>
        </is>
      </c>
      <c r="D4289" t="inlineStr">
        <is>
          <t>Nike Boys' Academy 18 Track Jacket</t>
        </is>
      </c>
      <c r="E4289" s="2">
        <f>HYPERLINK("https://www.amazon.com/Nike-Academy-Track-Jacket-University/dp/B079JXBFDK/ref=sr_1_4?keywords=Nike+Academy+18+Jacket+Youth&amp;qid=1695171169&amp;sr=8-4", "https://www.amazon.com/Nike-Academy-Track-Jacket-University/dp/B079JXBFDK/ref=sr_1_4?keywords=Nike+Academy+18+Jacket+Youth&amp;qid=1695171169&amp;sr=8-4")</f>
        <v/>
      </c>
      <c r="F4289" t="inlineStr">
        <is>
          <t>B079JXBFDK</t>
        </is>
      </c>
      <c r="G4289">
        <f>_xludf.IMAGE("https://www.soccerplususa.com/prodimages/7669-DEFAULT-l.jpg")</f>
        <v/>
      </c>
      <c r="H4289">
        <f>_xludf.IMAGE("https://m.media-amazon.com/images/I/916+SEUZ84L._AC_UL320_.jpg")</f>
        <v/>
      </c>
      <c r="K4289" t="inlineStr">
        <is>
          <t>59.99</t>
        </is>
      </c>
      <c r="L4289" t="n">
        <v>54.99</v>
      </c>
      <c r="M4289" s="1" t="inlineStr">
        <is>
          <t>-8.33%</t>
        </is>
      </c>
      <c r="N4289" s="3" t="n">
        <v>-8.33</v>
      </c>
      <c r="O4289" t="n">
        <v>4.1</v>
      </c>
      <c r="P4289" t="n">
        <v>220</v>
      </c>
      <c r="R4289" t="inlineStr">
        <is>
          <t>InStock</t>
        </is>
      </c>
      <c r="S4289" t="inlineStr">
        <is>
          <t>79.95</t>
        </is>
      </c>
      <c r="T4289" t="inlineStr">
        <is>
          <t>893819-010</t>
        </is>
      </c>
    </row>
    <row r="4290" hidden="1" ht="15.75" customHeight="1">
      <c r="A4290" s="2">
        <f>HYPERLINK("https://www.soccerplususa.com/puma/puma-liga-jersey-youth-39601", "https://www.soccerplususa.com/puma/puma-liga-jersey-youth-39601")</f>
        <v/>
      </c>
      <c r="B4290" t="inlineStr">
        <is>
          <t>undefined</t>
        </is>
      </c>
      <c r="C4290" t="inlineStr">
        <is>
          <t>Puma Liga Jersey Youth</t>
        </is>
      </c>
      <c r="D4290" t="inlineStr">
        <is>
          <t>PUMA Unisex Youth Youth Liga Jersey Core T Shirt, Cyber Yellow/Black, Large US</t>
        </is>
      </c>
      <c r="E4290" s="2">
        <f>HYPERLINK("https://www.amazon.com/PUMA-Jersey-Cyber-Yellowpuma-Black/dp/B07KWZ4V6K/ref=sr_1_10?keywords=Puma+Liga+Jersey+Youth&amp;qid=1695171161&amp;sr=8-10", "https://www.amazon.com/PUMA-Jersey-Cyber-Yellowpuma-Black/dp/B07KWZ4V6K/ref=sr_1_10?keywords=Puma+Liga+Jersey+Youth&amp;qid=1695171161&amp;sr=8-10")</f>
        <v/>
      </c>
      <c r="F4290" t="inlineStr">
        <is>
          <t>B07KWZ4V6K</t>
        </is>
      </c>
      <c r="G4290">
        <f>_xludf.IMAGE("https://www.soccerplususa.com/prodimages//36796-WHITE-M.jpg")</f>
        <v/>
      </c>
      <c r="H4290">
        <f>_xludf.IMAGE("https://m.media-amazon.com/images/I/61vDxC4BEBL._AC_UL320_.jpg")</f>
        <v/>
      </c>
      <c r="K4290" t="inlineStr">
        <is>
          <t>20.99</t>
        </is>
      </c>
      <c r="L4290" t="n">
        <v>19.15</v>
      </c>
      <c r="M4290" s="1" t="inlineStr">
        <is>
          <t>-8.77%</t>
        </is>
      </c>
      <c r="N4290" s="3" t="n">
        <v>-8.77</v>
      </c>
      <c r="O4290" t="n">
        <v>3.1</v>
      </c>
      <c r="P4290" t="n">
        <v>9</v>
      </c>
      <c r="R4290" t="inlineStr">
        <is>
          <t>InStock</t>
        </is>
      </c>
      <c r="S4290" t="inlineStr">
        <is>
          <t>27.95</t>
        </is>
      </c>
      <c r="T4290" t="inlineStr">
        <is>
          <t>703418-14</t>
        </is>
      </c>
    </row>
    <row r="4291" hidden="1" ht="15.75" customHeight="1">
      <c r="A4291" s="2">
        <f>HYPERLINK("https://www.soccerplususa.com/puma/puma-liga-jersey-youth-37886", "https://www.soccerplususa.com/puma/puma-liga-jersey-youth-37886")</f>
        <v/>
      </c>
      <c r="B4291" t="inlineStr">
        <is>
          <t>undefined</t>
        </is>
      </c>
      <c r="C4291" t="inlineStr">
        <is>
          <t>Puma Liga Jersey Youth</t>
        </is>
      </c>
      <c r="D4291" t="inlineStr">
        <is>
          <t>PUMA Unisex Youth Youth Liga Jersey Core T Shirt, Cyber Yellow/Black, Large US</t>
        </is>
      </c>
      <c r="E4291" s="2">
        <f>HYPERLINK("https://www.amazon.com/PUMA-Jersey-Cyber-Yellowpuma-Black/dp/B07KWZ4V6K/ref=sr_1_10?keywords=Puma+Liga+Jersey+Youth&amp;qid=1695171188&amp;sr=8-10", "https://www.amazon.com/PUMA-Jersey-Cyber-Yellowpuma-Black/dp/B07KWZ4V6K/ref=sr_1_10?keywords=Puma+Liga+Jersey+Youth&amp;qid=1695171188&amp;sr=8-10")</f>
        <v/>
      </c>
      <c r="F4291" t="inlineStr">
        <is>
          <t>B07KWZ4V6K</t>
        </is>
      </c>
      <c r="G4291">
        <f>_xludf.IMAGE("https://www.soccerplususa.com/prodimages//35271-NAVYWHITE-M.jpg")</f>
        <v/>
      </c>
      <c r="H4291">
        <f>_xludf.IMAGE("https://m.media-amazon.com/images/I/61vDxC4BEBL._AC_UL320_.jpg")</f>
        <v/>
      </c>
      <c r="K4291" t="inlineStr">
        <is>
          <t>20.99</t>
        </is>
      </c>
      <c r="L4291" t="n">
        <v>19.15</v>
      </c>
      <c r="M4291" s="1" t="inlineStr">
        <is>
          <t>-8.77%</t>
        </is>
      </c>
      <c r="N4291" s="3" t="n">
        <v>-8.77</v>
      </c>
      <c r="O4291" t="n">
        <v>3.1</v>
      </c>
      <c r="P4291" t="n">
        <v>9</v>
      </c>
      <c r="R4291" t="inlineStr">
        <is>
          <t>InStock</t>
        </is>
      </c>
      <c r="S4291" t="inlineStr">
        <is>
          <t>27.95</t>
        </is>
      </c>
      <c r="T4291" t="inlineStr">
        <is>
          <t>703418-06</t>
        </is>
      </c>
    </row>
    <row r="4292" hidden="1" ht="15.75" customHeight="1">
      <c r="A4292" s="2">
        <f>HYPERLINK("https://www.soccerplususa.com/puma/puma-liga-jersey-youth-37885", "https://www.soccerplususa.com/puma/puma-liga-jersey-youth-37885")</f>
        <v/>
      </c>
      <c r="B4292" t="inlineStr">
        <is>
          <t>undefined</t>
        </is>
      </c>
      <c r="C4292" t="inlineStr">
        <is>
          <t>Puma Liga Jersey Youth</t>
        </is>
      </c>
      <c r="D4292" t="inlineStr">
        <is>
          <t>PUMA Unisex Youth Youth Liga Jersey Core T Shirt, Cyber Yellow/Black, Large US</t>
        </is>
      </c>
      <c r="E4292" s="2">
        <f>HYPERLINK("https://www.amazon.com/PUMA-Jersey-Cyber-Yellowpuma-Black/dp/B07KWZ4V6K/ref=sr_1_10?keywords=Puma+Liga+Jersey+Youth&amp;qid=1695171154&amp;sr=8-10", "https://www.amazon.com/PUMA-Jersey-Cyber-Yellowpuma-Black/dp/B07KWZ4V6K/ref=sr_1_10?keywords=Puma+Liga+Jersey+Youth&amp;qid=1695171154&amp;sr=8-10")</f>
        <v/>
      </c>
      <c r="F4292" t="inlineStr">
        <is>
          <t>B07KWZ4V6K</t>
        </is>
      </c>
      <c r="G4292">
        <f>_xludf.IMAGE("https://www.soccerplususa.com/prodimages//36779-REDWHITE-M.jpg")</f>
        <v/>
      </c>
      <c r="H4292">
        <f>_xludf.IMAGE("https://m.media-amazon.com/images/I/61vDxC4BEBL._AC_UL320_.jpg")</f>
        <v/>
      </c>
      <c r="K4292" t="inlineStr">
        <is>
          <t>20.99</t>
        </is>
      </c>
      <c r="L4292" t="n">
        <v>19.15</v>
      </c>
      <c r="M4292" s="1" t="inlineStr">
        <is>
          <t>-8.77%</t>
        </is>
      </c>
      <c r="N4292" s="3" t="n">
        <v>-8.77</v>
      </c>
      <c r="O4292" t="n">
        <v>3.1</v>
      </c>
      <c r="P4292" t="n">
        <v>9</v>
      </c>
      <c r="R4292" t="inlineStr">
        <is>
          <t>InStock</t>
        </is>
      </c>
      <c r="S4292" t="inlineStr">
        <is>
          <t>27.95</t>
        </is>
      </c>
      <c r="T4292" t="inlineStr">
        <is>
          <t>703418-01</t>
        </is>
      </c>
    </row>
    <row r="4293" hidden="1" ht="15.75" customHeight="1">
      <c r="A4293" s="2">
        <f>HYPERLINK("https://www.soccerplususa.com/adidas/adidas-tiro-17-jersey-youth-8176", "https://www.soccerplususa.com/adidas/adidas-tiro-17-jersey-youth-8176")</f>
        <v/>
      </c>
      <c r="B4293" t="inlineStr">
        <is>
          <t>undefined</t>
        </is>
      </c>
      <c r="C4293" t="inlineStr">
        <is>
          <t>adidas Tiro 17 Jersey Youth</t>
        </is>
      </c>
      <c r="D4293" t="inlineStr">
        <is>
          <t>adidas Mens Tiro 17 Jersey Black/White S</t>
        </is>
      </c>
      <c r="E4293" s="2">
        <f>HYPERLINK("https://www.amazon.com/Adidas-Mens-Jersey-Black-White/dp/B01N64GCZ6/ref=sr_1_1?keywords=adidas+Tiro+17+Jersey+Youth&amp;qid=1695171210&amp;sr=8-1", "https://www.amazon.com/Adidas-Mens-Jersey-Black-White/dp/B01N64GCZ6/ref=sr_1_1?keywords=adidas+Tiro+17+Jersey+Youth&amp;qid=1695171210&amp;sr=8-1")</f>
        <v/>
      </c>
      <c r="F4293" t="inlineStr">
        <is>
          <t>B01N64GCZ6</t>
        </is>
      </c>
      <c r="G4293">
        <f>_xludf.IMAGE("https://www.soccerplususa.com/prodimages/7857-DEFAULT-l.jpg")</f>
        <v/>
      </c>
      <c r="H4293">
        <f>_xludf.IMAGE("https://m.media-amazon.com/images/I/61WO-O2xDLL._AC_UL320_.jpg")</f>
        <v/>
      </c>
      <c r="K4293" t="inlineStr">
        <is>
          <t>20.97</t>
        </is>
      </c>
      <c r="L4293" t="n">
        <v>19.07</v>
      </c>
      <c r="M4293" s="1" t="inlineStr">
        <is>
          <t>-9.06%</t>
        </is>
      </c>
      <c r="N4293" s="3" t="n">
        <v>-9.06</v>
      </c>
      <c r="O4293" t="n">
        <v>4.3</v>
      </c>
      <c r="P4293" t="n">
        <v>8</v>
      </c>
      <c r="R4293" t="inlineStr">
        <is>
          <t>InStock</t>
        </is>
      </c>
      <c r="S4293" t="inlineStr">
        <is>
          <t>34.95</t>
        </is>
      </c>
      <c r="T4293" t="inlineStr">
        <is>
          <t>S99148</t>
        </is>
      </c>
    </row>
    <row r="4294" hidden="1" ht="15.75" customHeight="1">
      <c r="A4294" s="2">
        <f>HYPERLINK("https://www.soccerplususa.com/adidas/adidas-tabela-18-jersey-5115", "https://www.soccerplususa.com/adidas/adidas-tabela-18-jersey-5115")</f>
        <v/>
      </c>
      <c r="B4294" t="inlineStr">
        <is>
          <t>undefined</t>
        </is>
      </c>
      <c r="C4294" t="inlineStr">
        <is>
          <t>adidas Tabela 18 Jersey</t>
        </is>
      </c>
      <c r="D4294" t="inlineStr">
        <is>
          <t>adidas Youth Tabela 18 Jersey</t>
        </is>
      </c>
      <c r="E4294" s="2">
        <f>HYPERLINK("https://www.amazon.com/adidas-TABELA-Jersey-Y%E2%9D%97%EF%B8%8FShips-Directly/dp/B078LCB4LK/ref=sr_1_8?keywords=adidas+Tabela+18+Jersey&amp;qid=1695171223&amp;sr=8-8", "https://www.amazon.com/adidas-TABELA-Jersey-Y%E2%9D%97%EF%B8%8FShips-Directly/dp/B078LCB4LK/ref=sr_1_8?keywords=adidas+Tabela+18+Jersey&amp;qid=1695171223&amp;sr=8-8")</f>
        <v/>
      </c>
      <c r="F4294" t="inlineStr">
        <is>
          <t>B078LCB4LK</t>
        </is>
      </c>
      <c r="G4294">
        <f>_xludf.IMAGE("https://www.soccerplususa.com/prodimages//31724-GRAY-M.jpg")</f>
        <v/>
      </c>
      <c r="H4294">
        <f>_xludf.IMAGE("https://m.media-amazon.com/images/I/61G-4wd3sCL._AC_UL320_.jpg")</f>
        <v/>
      </c>
      <c r="K4294" t="inlineStr">
        <is>
          <t>21.99</t>
        </is>
      </c>
      <c r="L4294" t="n">
        <v>19.99</v>
      </c>
      <c r="M4294" s="1" t="inlineStr">
        <is>
          <t>-9.10%</t>
        </is>
      </c>
      <c r="N4294" s="3" t="n">
        <v>-9.1</v>
      </c>
      <c r="O4294" t="n">
        <v>1.8</v>
      </c>
      <c r="P4294" t="n">
        <v>2</v>
      </c>
      <c r="R4294" t="inlineStr">
        <is>
          <t>InStock</t>
        </is>
      </c>
      <c r="S4294" t="inlineStr">
        <is>
          <t>29.95</t>
        </is>
      </c>
      <c r="T4294" t="inlineStr">
        <is>
          <t>CE8940</t>
        </is>
      </c>
    </row>
    <row r="4295" hidden="1" ht="15.75" customHeight="1">
      <c r="A4295" s="2">
        <f>HYPERLINK("https://www.soccerplususa.com/adidas/adidas-tabela-18-jersey-5116", "https://www.soccerplususa.com/adidas/adidas-tabela-18-jersey-5116")</f>
        <v/>
      </c>
      <c r="B4295" t="inlineStr">
        <is>
          <t>undefined</t>
        </is>
      </c>
      <c r="C4295" t="inlineStr">
        <is>
          <t>adidas Tabela 18 Jersey</t>
        </is>
      </c>
      <c r="D4295" t="inlineStr">
        <is>
          <t>adidas Youth Tabela 18 Jersey</t>
        </is>
      </c>
      <c r="E4295" s="2">
        <f>HYPERLINK("https://www.amazon.com/adidas-TABELA-Jersey-Y%E2%9D%97%EF%B8%8FShips-Directly/dp/B078LCB4LK/ref=sr_1_8?keywords=adidas+Tabela+18+Jersey&amp;qid=1695171247&amp;sr=8-8", "https://www.amazon.com/adidas-TABELA-Jersey-Y%E2%9D%97%EF%B8%8FShips-Directly/dp/B078LCB4LK/ref=sr_1_8?keywords=adidas+Tabela+18+Jersey&amp;qid=1695171247&amp;sr=8-8")</f>
        <v/>
      </c>
      <c r="F4295" t="inlineStr">
        <is>
          <t>B078LCB4LK</t>
        </is>
      </c>
      <c r="G4295">
        <f>_xludf.IMAGE("https://www.soccerplususa.com/prodimages//31725-YELLOW-M.jpg")</f>
        <v/>
      </c>
      <c r="H4295">
        <f>_xludf.IMAGE("https://m.media-amazon.com/images/I/61G-4wd3sCL._AC_UL320_.jpg")</f>
        <v/>
      </c>
      <c r="K4295" t="inlineStr">
        <is>
          <t>21.99</t>
        </is>
      </c>
      <c r="L4295" t="n">
        <v>19.99</v>
      </c>
      <c r="M4295" s="1" t="inlineStr">
        <is>
          <t>-9.10%</t>
        </is>
      </c>
      <c r="N4295" s="3" t="n">
        <v>-9.1</v>
      </c>
      <c r="O4295" t="n">
        <v>1.8</v>
      </c>
      <c r="P4295" t="n">
        <v>2</v>
      </c>
      <c r="R4295" t="inlineStr">
        <is>
          <t>InStock</t>
        </is>
      </c>
      <c r="S4295" t="inlineStr">
        <is>
          <t>29.95</t>
        </is>
      </c>
      <c r="T4295" t="inlineStr">
        <is>
          <t>CE8941</t>
        </is>
      </c>
    </row>
    <row r="4296" hidden="1" ht="15.75" customHeight="1">
      <c r="A4296" s="2">
        <f>HYPERLINK("https://www.soccerplususa.com/adidas/adidas-tabela-18-jersey-33808", "https://www.soccerplususa.com/adidas/adidas-tabela-18-jersey-33808")</f>
        <v/>
      </c>
      <c r="B4296" t="inlineStr">
        <is>
          <t>undefined</t>
        </is>
      </c>
      <c r="C4296" t="inlineStr">
        <is>
          <t>adidas Tabela 18 Jersey</t>
        </is>
      </c>
      <c r="D4296" t="inlineStr">
        <is>
          <t>adidas Youth Tabela 18 Jersey</t>
        </is>
      </c>
      <c r="E4296" s="2">
        <f>HYPERLINK("https://www.amazon.com/adidas-TABELA-Jersey-Y%E2%9D%97%EF%B8%8FShips-Directly/dp/B078LCB4LK/ref=sr_1_8?keywords=adidas+Tabela+18+Jersey&amp;qid=1695171170&amp;sr=8-8", "https://www.amazon.com/adidas-TABELA-Jersey-Y%E2%9D%97%EF%B8%8FShips-Directly/dp/B078LCB4LK/ref=sr_1_8?keywords=adidas+Tabela+18+Jersey&amp;qid=1695171170&amp;sr=8-8")</f>
        <v/>
      </c>
      <c r="F4296" t="inlineStr">
        <is>
          <t>B078LCB4LK</t>
        </is>
      </c>
      <c r="G4296">
        <f>_xludf.IMAGE("https://www.soccerplususa.com/prodimages//35356-REDWHITE-M.jpg")</f>
        <v/>
      </c>
      <c r="H4296">
        <f>_xludf.IMAGE("https://m.media-amazon.com/images/I/61G-4wd3sCL._AC_UL320_.jpg")</f>
        <v/>
      </c>
      <c r="K4296" t="inlineStr">
        <is>
          <t>21.99</t>
        </is>
      </c>
      <c r="L4296" t="n">
        <v>19.99</v>
      </c>
      <c r="M4296" s="1" t="inlineStr">
        <is>
          <t>-9.10%</t>
        </is>
      </c>
      <c r="N4296" s="3" t="n">
        <v>-9.1</v>
      </c>
      <c r="O4296" t="n">
        <v>1.8</v>
      </c>
      <c r="P4296" t="n">
        <v>2</v>
      </c>
      <c r="R4296" t="inlineStr">
        <is>
          <t>InStock</t>
        </is>
      </c>
      <c r="S4296" t="inlineStr">
        <is>
          <t>29.95</t>
        </is>
      </c>
      <c r="T4296" t="inlineStr">
        <is>
          <t>CE8935</t>
        </is>
      </c>
    </row>
    <row r="4297" hidden="1" ht="15.75" customHeight="1">
      <c r="A4297" s="2">
        <f>HYPERLINK("https://www.soccerplususa.com/adidas/adidas-condivo-18-training-jacket-5183", "https://www.soccerplususa.com/adidas/adidas-condivo-18-training-jacket-5183")</f>
        <v/>
      </c>
      <c r="B4297" t="inlineStr">
        <is>
          <t>undefined</t>
        </is>
      </c>
      <c r="C4297" t="inlineStr">
        <is>
          <t>adidas Condivo 18 Training Jacket</t>
        </is>
      </c>
      <c r="D4297" t="inlineStr">
        <is>
          <t>adidas Men's Condivo 18 Polyester Jacket</t>
        </is>
      </c>
      <c r="E4297" s="2">
        <f>HYPERLINK("https://www.amazon.com/adidas-Condivo-Jacket-Soccer-Blue-White/dp/B07BHKMJ6P/ref=sr_1_1?keywords=adidas+Condivo+18+Training+Jacket&amp;qid=1695171224&amp;sr=8-1", "https://www.amazon.com/adidas-Condivo-Jacket-Soccer-Blue-White/dp/B07BHKMJ6P/ref=sr_1_1?keywords=adidas+Condivo+18+Training+Jacket&amp;qid=1695171224&amp;sr=8-1")</f>
        <v/>
      </c>
      <c r="F4297" t="inlineStr">
        <is>
          <t>B07BHKMJ6P</t>
        </is>
      </c>
      <c r="G4297">
        <f>_xludf.IMAGE("https://www.soccerplususa.com/prodimages/5962-DEFAULT-l.jpg")</f>
        <v/>
      </c>
      <c r="H4297">
        <f>_xludf.IMAGE("https://m.media-amazon.com/images/I/71NXSEVNkdL._AC_UL320_.jpg")</f>
        <v/>
      </c>
      <c r="K4297" t="inlineStr">
        <is>
          <t>49.0</t>
        </is>
      </c>
      <c r="L4297" t="n">
        <v>44.45</v>
      </c>
      <c r="M4297" s="1" t="inlineStr">
        <is>
          <t>-9.29%</t>
        </is>
      </c>
      <c r="N4297" s="3" t="n">
        <v>-9.289999999999999</v>
      </c>
      <c r="O4297" t="n">
        <v>4.4</v>
      </c>
      <c r="P4297" t="n">
        <v>147</v>
      </c>
      <c r="R4297" t="inlineStr">
        <is>
          <t>InStock</t>
        </is>
      </c>
      <c r="S4297" t="inlineStr">
        <is>
          <t>64.95</t>
        </is>
      </c>
      <c r="T4297" t="inlineStr">
        <is>
          <t>CF4321</t>
        </is>
      </c>
    </row>
    <row r="4298" hidden="1" ht="15.75" customHeight="1">
      <c r="A4298" s="2">
        <f>HYPERLINK("https://www.soccerplususa.com/adidas/adidas-condivo-18-training-jacket-5184", "https://www.soccerplususa.com/adidas/adidas-condivo-18-training-jacket-5184")</f>
        <v/>
      </c>
      <c r="B4298" t="inlineStr">
        <is>
          <t>undefined</t>
        </is>
      </c>
      <c r="C4298" t="inlineStr">
        <is>
          <t>adidas Condivo 18 Training Jacket</t>
        </is>
      </c>
      <c r="D4298" t="inlineStr">
        <is>
          <t>adidas Men's Condivo 18 Polyester Jacket</t>
        </is>
      </c>
      <c r="E4298" s="2">
        <f>HYPERLINK("https://www.amazon.com/adidas-Condivo-Jacket-Soccer-Blue-White/dp/B07BHKMJ6P/ref=sr_1_1?keywords=adidas+Condivo+18+Training+Jacket&amp;qid=1695171221&amp;sr=8-1", "https://www.amazon.com/adidas-Condivo-Jacket-Soccer-Blue-White/dp/B07BHKMJ6P/ref=sr_1_1?keywords=adidas+Condivo+18+Training+Jacket&amp;qid=1695171221&amp;sr=8-1")</f>
        <v/>
      </c>
      <c r="F4298" t="inlineStr">
        <is>
          <t>B07BHKMJ6P</t>
        </is>
      </c>
      <c r="G4298">
        <f>_xludf.IMAGE("https://www.soccerplususa.com/prodimages/5963-DEFAULT-l.jpg")</f>
        <v/>
      </c>
      <c r="H4298">
        <f>_xludf.IMAGE("https://m.media-amazon.com/images/I/71NXSEVNkdL._AC_UL320_.jpg")</f>
        <v/>
      </c>
      <c r="K4298" t="inlineStr">
        <is>
          <t>49.0</t>
        </is>
      </c>
      <c r="L4298" t="n">
        <v>44.45</v>
      </c>
      <c r="M4298" s="1" t="inlineStr">
        <is>
          <t>-9.29%</t>
        </is>
      </c>
      <c r="N4298" s="3" t="n">
        <v>-9.289999999999999</v>
      </c>
      <c r="O4298" t="n">
        <v>4.4</v>
      </c>
      <c r="P4298" t="n">
        <v>147</v>
      </c>
      <c r="R4298" t="inlineStr">
        <is>
          <t>InStock</t>
        </is>
      </c>
      <c r="S4298" t="inlineStr">
        <is>
          <t>64.95</t>
        </is>
      </c>
      <c r="T4298" t="inlineStr">
        <is>
          <t>CF4322</t>
        </is>
      </c>
    </row>
    <row r="4299" hidden="1" ht="15.75" customHeight="1">
      <c r="A4299" s="2">
        <f>HYPERLINK("https://www.soccerplususa.com/adidas/adidas-condivo-18-training-jacket-5182", "https://www.soccerplususa.com/adidas/adidas-condivo-18-training-jacket-5182")</f>
        <v/>
      </c>
      <c r="B4299" t="inlineStr">
        <is>
          <t>undefined</t>
        </is>
      </c>
      <c r="C4299" t="inlineStr">
        <is>
          <t>adidas Condivo 18 Training Jacket</t>
        </is>
      </c>
      <c r="D4299" t="inlineStr">
        <is>
          <t>adidas Men's Condivo 18 Polyester Jacket</t>
        </is>
      </c>
      <c r="E4299" s="2">
        <f>HYPERLINK("https://www.amazon.com/adidas-Condivo-Jacket-Soccer-Blue-White/dp/B07BHKMJ6P/ref=sr_1_1?keywords=adidas+Condivo+18+Training+Jacket&amp;qid=1695171222&amp;sr=8-1", "https://www.amazon.com/adidas-Condivo-Jacket-Soccer-Blue-White/dp/B07BHKMJ6P/ref=sr_1_1?keywords=adidas+Condivo+18+Training+Jacket&amp;qid=1695171222&amp;sr=8-1")</f>
        <v/>
      </c>
      <c r="F4299" t="inlineStr">
        <is>
          <t>B07BHKMJ6P</t>
        </is>
      </c>
      <c r="G4299">
        <f>_xludf.IMAGE("https://www.soccerplususa.com/prodimages/5961-DEFAULT-l.jpg")</f>
        <v/>
      </c>
      <c r="H4299">
        <f>_xludf.IMAGE("https://m.media-amazon.com/images/I/71NXSEVNkdL._AC_UL320_.jpg")</f>
        <v/>
      </c>
      <c r="K4299" t="inlineStr">
        <is>
          <t>49.0</t>
        </is>
      </c>
      <c r="L4299" t="n">
        <v>44.45</v>
      </c>
      <c r="M4299" s="1" t="inlineStr">
        <is>
          <t>-9.29%</t>
        </is>
      </c>
      <c r="N4299" s="3" t="n">
        <v>-9.289999999999999</v>
      </c>
      <c r="O4299" t="n">
        <v>4.4</v>
      </c>
      <c r="P4299" t="n">
        <v>147</v>
      </c>
      <c r="R4299" t="inlineStr">
        <is>
          <t>InStock</t>
        </is>
      </c>
      <c r="S4299" t="inlineStr">
        <is>
          <t>64.95</t>
        </is>
      </c>
      <c r="T4299" t="inlineStr">
        <is>
          <t>CF4319</t>
        </is>
      </c>
    </row>
    <row r="4300" hidden="1" ht="15.75" customHeight="1">
      <c r="A4300" s="2">
        <f>HYPERLINK("https://www.soccerplususa.com/adidas/adidas-condivo-18-training-jacket-5185", "https://www.soccerplususa.com/adidas/adidas-condivo-18-training-jacket-5185")</f>
        <v/>
      </c>
      <c r="B4300" t="inlineStr">
        <is>
          <t>undefined</t>
        </is>
      </c>
      <c r="C4300" t="inlineStr">
        <is>
          <t>adidas Condivo 18 Training Jacket</t>
        </is>
      </c>
      <c r="D4300" t="inlineStr">
        <is>
          <t>adidas Men's Condivo 18 Polyester Jacket</t>
        </is>
      </c>
      <c r="E4300" s="2">
        <f>HYPERLINK("https://www.amazon.com/adidas-Condivo-Jacket-Soccer-Blue-White/dp/B07BHKMJ6P/ref=sr_1_1?keywords=adidas+Condivo+18+Training+Jacket&amp;qid=1695171252&amp;sr=8-1", "https://www.amazon.com/adidas-Condivo-Jacket-Soccer-Blue-White/dp/B07BHKMJ6P/ref=sr_1_1?keywords=adidas+Condivo+18+Training+Jacket&amp;qid=1695171252&amp;sr=8-1")</f>
        <v/>
      </c>
      <c r="F4300" t="inlineStr">
        <is>
          <t>B07BHKMJ6P</t>
        </is>
      </c>
      <c r="G4300">
        <f>_xludf.IMAGE("https://www.soccerplususa.com/prodimages/5960-DEFAULT-l.jpg")</f>
        <v/>
      </c>
      <c r="H4300">
        <f>_xludf.IMAGE("https://m.media-amazon.com/images/I/71NXSEVNkdL._AC_UL320_.jpg")</f>
        <v/>
      </c>
      <c r="K4300" t="inlineStr">
        <is>
          <t>49.0</t>
        </is>
      </c>
      <c r="L4300" t="n">
        <v>44.45</v>
      </c>
      <c r="M4300" s="1" t="inlineStr">
        <is>
          <t>-9.29%</t>
        </is>
      </c>
      <c r="N4300" s="3" t="n">
        <v>-9.289999999999999</v>
      </c>
      <c r="O4300" t="n">
        <v>4.4</v>
      </c>
      <c r="P4300" t="n">
        <v>147</v>
      </c>
      <c r="R4300" t="inlineStr">
        <is>
          <t>InStock</t>
        </is>
      </c>
      <c r="S4300" t="inlineStr">
        <is>
          <t>64.95</t>
        </is>
      </c>
      <c r="T4300" t="inlineStr">
        <is>
          <t>CF4325</t>
        </is>
      </c>
    </row>
    <row r="4301" hidden="1" ht="15.75" customHeight="1">
      <c r="A4301" s="2">
        <f>HYPERLINK("https://www.soccerplususa.com/adidas/adidas-tiro-21-track-jacket-womens-41184", "https://www.soccerplususa.com/adidas/adidas-tiro-21-track-jacket-womens-41184")</f>
        <v/>
      </c>
      <c r="B4301" t="inlineStr">
        <is>
          <t>undefined</t>
        </is>
      </c>
      <c r="C4301" t="inlineStr">
        <is>
          <t>adidas Tiro 21 Track Jacket Women's</t>
        </is>
      </c>
      <c r="D4301" t="inlineStr">
        <is>
          <t>adidas womens Tiro 21 Track Jacket Team Navy Blue X-Large</t>
        </is>
      </c>
      <c r="E4301" s="2">
        <f>HYPERLINK("https://www.amazon.com/adidas-Womens-Track-Jacket-X-Large/dp/B087C3GV8Y/ref=sr_1_10?keywords=adidas+Tiro+21+Track+Jacket+Women%27s&amp;qid=1695171150&amp;sr=8-10", "https://www.amazon.com/adidas-Womens-Track-Jacket-X-Large/dp/B087C3GV8Y/ref=sr_1_10?keywords=adidas+Tiro+21+Track+Jacket+Women%27s&amp;qid=1695171150&amp;sr=8-10")</f>
        <v/>
      </c>
      <c r="F4301" t="inlineStr">
        <is>
          <t>B087C3GV8Y</t>
        </is>
      </c>
      <c r="G4301">
        <f>_xludf.IMAGE("https://www.soccerplususa.com/prodimages//36136-BLACKWHITE-M.jpg")</f>
        <v/>
      </c>
      <c r="H4301">
        <f>_xludf.IMAGE("https://m.media-amazon.com/images/I/51lXSCfKOYL._AC_UL320_.jpg")</f>
        <v/>
      </c>
      <c r="K4301" t="inlineStr">
        <is>
          <t>50.0</t>
        </is>
      </c>
      <c r="L4301" t="n">
        <v>45.25</v>
      </c>
      <c r="M4301" s="1" t="inlineStr">
        <is>
          <t>-9.50%</t>
        </is>
      </c>
      <c r="N4301" s="3" t="n">
        <v>-9.5</v>
      </c>
      <c r="O4301" t="n">
        <v>4.4</v>
      </c>
      <c r="P4301" t="n">
        <v>61</v>
      </c>
      <c r="R4301" t="inlineStr">
        <is>
          <t>InStock</t>
        </is>
      </c>
      <c r="S4301" t="inlineStr">
        <is>
          <t>undefined</t>
        </is>
      </c>
      <c r="T4301" t="inlineStr">
        <is>
          <t>GM7307</t>
        </is>
      </c>
    </row>
    <row r="4302" hidden="1" ht="15.75" customHeight="1">
      <c r="A4302" s="2">
        <f>HYPERLINK("https://www.soccerplususa.com/puma/puma-liga-training-jacket-youth-35521", "https://www.soccerplususa.com/puma/puma-liga-training-jacket-youth-35521")</f>
        <v/>
      </c>
      <c r="B4302" t="inlineStr">
        <is>
          <t>undefined</t>
        </is>
      </c>
      <c r="C4302" t="inlineStr">
        <is>
          <t>Puma Liga Training Jacket Youth</t>
        </is>
      </c>
      <c r="D4302" t="inlineStr">
        <is>
          <t>PUMA Men's Standard Team Liga Training Jacket</t>
        </is>
      </c>
      <c r="E4302" s="2">
        <f>HYPERLINK("https://www.amazon.com/PUMA-TeamLIGA-Training-Jacket-Black/dp/B091DCVWN9/ref=sr_1_6?keywords=Puma+Liga+Training+Jacket+Youth&amp;qid=1695171158&amp;sr=8-6", "https://www.amazon.com/PUMA-TeamLIGA-Training-Jacket-Black/dp/B091DCVWN9/ref=sr_1_6?keywords=Puma+Liga+Training+Jacket+Youth&amp;qid=1695171158&amp;sr=8-6")</f>
        <v/>
      </c>
      <c r="F4302" t="inlineStr">
        <is>
          <t>B091DCVWN9</t>
        </is>
      </c>
      <c r="G4302">
        <f>_xludf.IMAGE("https://www.soccerplususa.com/prodimages/32219-DEFAULT-l.jpg")</f>
        <v/>
      </c>
      <c r="H4302">
        <f>_xludf.IMAGE("https://m.media-amazon.com/images/I/71-29QBQXmS._AC_UL320_.jpg")</f>
        <v/>
      </c>
      <c r="K4302" t="inlineStr">
        <is>
          <t>45.0</t>
        </is>
      </c>
      <c r="L4302" t="n">
        <v>40.7</v>
      </c>
      <c r="M4302" s="1" t="inlineStr">
        <is>
          <t>-9.56%</t>
        </is>
      </c>
      <c r="N4302" s="3" t="n">
        <v>-9.56</v>
      </c>
      <c r="O4302" t="n">
        <v>4.7</v>
      </c>
      <c r="P4302" t="n">
        <v>9</v>
      </c>
      <c r="R4302" t="inlineStr">
        <is>
          <t>InStock</t>
        </is>
      </c>
      <c r="S4302" t="inlineStr">
        <is>
          <t>59.95</t>
        </is>
      </c>
      <c r="T4302" t="inlineStr">
        <is>
          <t>655688-02</t>
        </is>
      </c>
    </row>
    <row r="4303" hidden="1" ht="15.75" customHeight="1">
      <c r="A4303" s="2">
        <f>HYPERLINK("https://www.soccerplususa.com/under-armour/under-armour-coldgear-armour-fitted-mock-youth-41593", "https://www.soccerplususa.com/under-armour/under-armour-coldgear-armour-fitted-mock-youth-41593")</f>
        <v/>
      </c>
      <c r="B4303" t="inlineStr">
        <is>
          <t>undefined</t>
        </is>
      </c>
      <c r="C4303" t="inlineStr">
        <is>
          <t>Under Armour ColdGear Armour Fitted Mock Youth</t>
        </is>
      </c>
      <c r="D4303" t="inlineStr">
        <is>
          <t>Under Armour Men's ColdGear Fitted Mock Long-Sleeve T-Shirt</t>
        </is>
      </c>
      <c r="E4303" s="2">
        <f>HYPERLINK("https://www.amazon.com/Under-Armour-ColdGear-Fitted-XX-Large/dp/B077XMF8P4/ref=sr_1_4?keywords=Under+Armour+ColdGear+Armour+Fitted+Mock+Youth&amp;qid=1695171155&amp;sr=8-4", "https://www.amazon.com/Under-Armour-ColdGear-Fitted-XX-Large/dp/B077XMF8P4/ref=sr_1_4?keywords=Under+Armour+ColdGear+Armour+Fitted+Mock+Youth&amp;qid=1695171155&amp;sr=8-4")</f>
        <v/>
      </c>
      <c r="F4303" t="inlineStr">
        <is>
          <t>B077XMF8P4</t>
        </is>
      </c>
      <c r="G4303">
        <f>_xludf.IMAGE("https://www.soccerplususa.com/prodimages//36054-BLACK-M.jpg")</f>
        <v/>
      </c>
      <c r="H4303">
        <f>_xludf.IMAGE("https://m.media-amazon.com/images/I/91recmI-P1L._AC_UL320_.jpg")</f>
        <v/>
      </c>
      <c r="K4303" t="inlineStr">
        <is>
          <t>39.95</t>
        </is>
      </c>
      <c r="L4303" t="n">
        <v>36.13</v>
      </c>
      <c r="M4303" s="1" t="inlineStr">
        <is>
          <t>-9.56%</t>
        </is>
      </c>
      <c r="N4303" s="3" t="n">
        <v>-9.56</v>
      </c>
      <c r="O4303" t="n">
        <v>4.8</v>
      </c>
      <c r="P4303" t="n">
        <v>2969</v>
      </c>
      <c r="R4303" t="inlineStr">
        <is>
          <t>InStock</t>
        </is>
      </c>
      <c r="S4303" t="inlineStr">
        <is>
          <t>undefined</t>
        </is>
      </c>
      <c r="T4303" t="inlineStr">
        <is>
          <t>1366373-001</t>
        </is>
      </c>
    </row>
    <row r="4304" hidden="1" ht="15.75" customHeight="1">
      <c r="A4304" s="2">
        <f>HYPERLINK("https://www.soccerplususa.com/under-armour/under-armour-coldgear-armour-fitted-mock-youth-41594", "https://www.soccerplususa.com/under-armour/under-armour-coldgear-armour-fitted-mock-youth-41594")</f>
        <v/>
      </c>
      <c r="B4304" t="inlineStr">
        <is>
          <t>undefined</t>
        </is>
      </c>
      <c r="C4304" t="inlineStr">
        <is>
          <t>Under Armour ColdGear Armour Fitted Mock Youth</t>
        </is>
      </c>
      <c r="D4304" t="inlineStr">
        <is>
          <t>Under Armour Men's ColdGear Fitted Mock Long-Sleeve T-Shirt</t>
        </is>
      </c>
      <c r="E4304" s="2">
        <f>HYPERLINK("https://www.amazon.com/Under-Armour-ColdGear-Fitted-XX-Large/dp/B077XMF8P4/ref=sr_1_8?keywords=Under+Armour+ColdGear+Armour+Fitted+Mock+Youth&amp;qid=1695171149&amp;sr=8-8", "https://www.amazon.com/Under-Armour-ColdGear-Fitted-XX-Large/dp/B077XMF8P4/ref=sr_1_8?keywords=Under+Armour+ColdGear+Armour+Fitted+Mock+Youth&amp;qid=1695171149&amp;sr=8-8")</f>
        <v/>
      </c>
      <c r="F4304" t="inlineStr">
        <is>
          <t>B077XMF8P4</t>
        </is>
      </c>
      <c r="G4304">
        <f>_xludf.IMAGE("https://www.soccerplususa.com/prodimages//36053-WHITE-M.jpg")</f>
        <v/>
      </c>
      <c r="H4304">
        <f>_xludf.IMAGE("https://m.media-amazon.com/images/I/91recmI-P1L._AC_UL320_.jpg")</f>
        <v/>
      </c>
      <c r="K4304" t="inlineStr">
        <is>
          <t>39.95</t>
        </is>
      </c>
      <c r="L4304" t="n">
        <v>36.13</v>
      </c>
      <c r="M4304" s="1" t="inlineStr">
        <is>
          <t>-9.56%</t>
        </is>
      </c>
      <c r="N4304" s="3" t="n">
        <v>-9.56</v>
      </c>
      <c r="O4304" t="n">
        <v>4.8</v>
      </c>
      <c r="P4304" t="n">
        <v>2969</v>
      </c>
      <c r="R4304" t="inlineStr">
        <is>
          <t>InStock</t>
        </is>
      </c>
      <c r="S4304" t="inlineStr">
        <is>
          <t>undefined</t>
        </is>
      </c>
      <c r="T4304" t="inlineStr">
        <is>
          <t>1366373-100</t>
        </is>
      </c>
    </row>
    <row r="4305" hidden="1" ht="15.75" customHeight="1">
      <c r="A4305" s="2">
        <f>HYPERLINK("https://www.soccerplususa.com/nike/nike-academy-drill-top-youth-43256", "https://www.soccerplususa.com/nike/nike-academy-drill-top-youth-43256")</f>
        <v/>
      </c>
      <c r="B4305" t="inlineStr">
        <is>
          <t>undefined</t>
        </is>
      </c>
      <c r="C4305" t="inlineStr">
        <is>
          <t>Nike Academy Drill Top Youth</t>
        </is>
      </c>
      <c r="D4305" t="inlineStr">
        <is>
          <t>Nike Kids' Academy Drill Top</t>
        </is>
      </c>
      <c r="E4305" s="2">
        <f>HYPERLINK("https://www.amazon.com/Nike-Kids-Academy-Drill-Yellow/dp/B079JZK1KF/ref=sr_1_9?keywords=Nike+Academy+Drill+Top+Youth&amp;qid=1695171160&amp;sr=8-9", "https://www.amazon.com/Nike-Kids-Academy-Drill-Yellow/dp/B079JZK1KF/ref=sr_1_9?keywords=Nike+Academy+Drill+Top+Youth&amp;qid=1695171160&amp;sr=8-9")</f>
        <v/>
      </c>
      <c r="F4305" t="inlineStr">
        <is>
          <t>B079JZK1KF</t>
        </is>
      </c>
      <c r="G4305">
        <f>_xludf.IMAGE("https://www.soccerplususa.com/prodimages//35431-BLACKWHITE-M.jpg")</f>
        <v/>
      </c>
      <c r="H4305">
        <f>_xludf.IMAGE("https://m.media-amazon.com/images/I/81joJC2y4VL._AC_UL320_.jpg")</f>
        <v/>
      </c>
      <c r="K4305" t="inlineStr">
        <is>
          <t>49.95</t>
        </is>
      </c>
      <c r="L4305" t="n">
        <v>45</v>
      </c>
      <c r="M4305" s="1" t="inlineStr">
        <is>
          <t>-9.91%</t>
        </is>
      </c>
      <c r="N4305" s="3" t="n">
        <v>-9.91</v>
      </c>
      <c r="O4305" t="n">
        <v>3</v>
      </c>
      <c r="P4305" t="n">
        <v>3</v>
      </c>
      <c r="R4305" t="inlineStr">
        <is>
          <t>InStock</t>
        </is>
      </c>
      <c r="S4305" t="inlineStr">
        <is>
          <t>undefined</t>
        </is>
      </c>
      <c r="T4305" t="inlineStr">
        <is>
          <t>CW6112-010</t>
        </is>
      </c>
    </row>
    <row r="4306" hidden="1" ht="15.75" customHeight="1">
      <c r="A4306" s="2">
        <f>HYPERLINK("https://www.soccerplususa.com/puma/puma-liga-hooped-jersey-35526", "https://www.soccerplususa.com/puma/puma-liga-hooped-jersey-35526")</f>
        <v/>
      </c>
      <c r="B4306" t="inlineStr">
        <is>
          <t>undefined</t>
        </is>
      </c>
      <c r="C4306" t="inlineStr">
        <is>
          <t>Puma Liga Hooped Jersey</t>
        </is>
      </c>
      <c r="D4306" t="inlineStr">
        <is>
          <t>womens Liga Training Jersey, Electric Blue Lemonadepuma White, Large US</t>
        </is>
      </c>
      <c r="E4306" s="2">
        <f>HYPERLINK("https://www.amazon.com/PUMA-Womens-Training-Electric-Lemonadepuma/dp/B07KWQDQVZ/ref=sr_1_7?keywords=Puma+Liga+Hooped+Jersey&amp;qid=1695171162&amp;sr=8-7", "https://www.amazon.com/PUMA-Womens-Training-Electric-Lemonadepuma/dp/B07KWQDQVZ/ref=sr_1_7?keywords=Puma+Liga+Hooped+Jersey&amp;qid=1695171162&amp;sr=8-7")</f>
        <v/>
      </c>
      <c r="F4306" t="inlineStr">
        <is>
          <t>B07KWQDQVZ</t>
        </is>
      </c>
      <c r="G4306">
        <f>_xludf.IMAGE("https://www.soccerplususa.com/prodimages/32667-DEFAULT-l.jpg")</f>
        <v/>
      </c>
      <c r="H4306">
        <f>_xludf.IMAGE("https://m.media-amazon.com/images/I/81ycC-g8l+L._AC_UL320_.jpg")</f>
        <v/>
      </c>
      <c r="K4306" t="inlineStr">
        <is>
          <t>30.0</t>
        </is>
      </c>
      <c r="L4306" t="n">
        <v>27</v>
      </c>
      <c r="M4306" s="1" t="inlineStr">
        <is>
          <t>-10.00%</t>
        </is>
      </c>
      <c r="N4306" s="3" t="n">
        <v>-10</v>
      </c>
      <c r="O4306" t="n">
        <v>4.7</v>
      </c>
      <c r="P4306" t="n">
        <v>14</v>
      </c>
      <c r="R4306" t="inlineStr">
        <is>
          <t>InStock</t>
        </is>
      </c>
      <c r="S4306" t="inlineStr">
        <is>
          <t>39.95</t>
        </is>
      </c>
      <c r="T4306" t="inlineStr">
        <is>
          <t>703422-02</t>
        </is>
      </c>
    </row>
    <row r="4307" hidden="1" ht="15.75" customHeight="1">
      <c r="A4307" s="2">
        <f>HYPERLINK("https://www.soccerplususa.com/adidas/adidas-regista-14-jersey-youth-6073", "https://www.soccerplususa.com/adidas/adidas-regista-14-jersey-youth-6073")</f>
        <v/>
      </c>
      <c r="B4307" t="inlineStr">
        <is>
          <t>undefined</t>
        </is>
      </c>
      <c r="C4307" t="inlineStr">
        <is>
          <t>adidas Regista 14 Jersey Youth</t>
        </is>
      </c>
      <c r="D4307" t="inlineStr">
        <is>
          <t>adidas Youth Climacool Regista 14 Short</t>
        </is>
      </c>
      <c r="E4307" s="2">
        <f>HYPERLINK("https://www.amazon.com/adidas-Youth-Climacool-Regista-Short/dp/B00J2H9Q66/ref=sr_1_2?keywords=adidas+Regista+14+Jersey+Youth&amp;qid=1695171211&amp;sr=8-2", "https://www.amazon.com/adidas-Youth-Climacool-Regista-Short/dp/B00J2H9Q66/ref=sr_1_2?keywords=adidas+Regista+14+Jersey+Youth&amp;qid=1695171211&amp;sr=8-2")</f>
        <v/>
      </c>
      <c r="F4307" t="inlineStr">
        <is>
          <t>B00J2H9Q66</t>
        </is>
      </c>
      <c r="G4307">
        <f>_xludf.IMAGE("https://www.soccerplususa.com/prodimages/32794-DEFAULT-l.jpg")</f>
        <v/>
      </c>
      <c r="H4307">
        <f>_xludf.IMAGE("https://m.media-amazon.com/images/I/61bLgzIFgZL._AC_UL320_.jpg")</f>
        <v/>
      </c>
      <c r="K4307" t="inlineStr">
        <is>
          <t>20.0</t>
        </is>
      </c>
      <c r="L4307" t="n">
        <v>17.99</v>
      </c>
      <c r="M4307" s="1" t="inlineStr">
        <is>
          <t>-10.05%</t>
        </is>
      </c>
      <c r="N4307" s="3" t="n">
        <v>-10.05</v>
      </c>
      <c r="O4307" t="n">
        <v>3.5</v>
      </c>
      <c r="P4307" t="n">
        <v>3</v>
      </c>
      <c r="R4307" t="inlineStr">
        <is>
          <t>InStock</t>
        </is>
      </c>
      <c r="S4307" t="inlineStr">
        <is>
          <t>39.95</t>
        </is>
      </c>
      <c r="T4307" t="inlineStr">
        <is>
          <t>F50035</t>
        </is>
      </c>
    </row>
    <row r="4308" hidden="1" ht="15.75" customHeight="1">
      <c r="A4308" s="2">
        <f>HYPERLINK("https://www.soccerplususa.com/adidas/adidas-regista-14-jersey-youth-6072", "https://www.soccerplususa.com/adidas/adidas-regista-14-jersey-youth-6072")</f>
        <v/>
      </c>
      <c r="B4308" t="inlineStr">
        <is>
          <t>undefined</t>
        </is>
      </c>
      <c r="C4308" t="inlineStr">
        <is>
          <t>adidas Regista 14 Jersey Youth</t>
        </is>
      </c>
      <c r="D4308" t="inlineStr">
        <is>
          <t>adidas Youth Climacool Regista 14 Short</t>
        </is>
      </c>
      <c r="E4308" s="2">
        <f>HYPERLINK("https://www.amazon.com/adidas-Youth-Climacool-Regista-Short/dp/B00J2H9Q66/ref=sr_1_2?keywords=adidas+Regista+14+Jersey+Youth&amp;qid=1695171215&amp;sr=8-2", "https://www.amazon.com/adidas-Youth-Climacool-Regista-Short/dp/B00J2H9Q66/ref=sr_1_2?keywords=adidas+Regista+14+Jersey+Youth&amp;qid=1695171215&amp;sr=8-2")</f>
        <v/>
      </c>
      <c r="F4308" t="inlineStr">
        <is>
          <t>B00J2H9Q66</t>
        </is>
      </c>
      <c r="G4308">
        <f>_xludf.IMAGE("https://www.soccerplususa.com/prodimages/31720-DEFAULT-l.jpg")</f>
        <v/>
      </c>
      <c r="H4308">
        <f>_xludf.IMAGE("https://m.media-amazon.com/images/I/61bLgzIFgZL._AC_UL320_.jpg")</f>
        <v/>
      </c>
      <c r="K4308" t="inlineStr">
        <is>
          <t>20.0</t>
        </is>
      </c>
      <c r="L4308" t="n">
        <v>17.99</v>
      </c>
      <c r="M4308" s="1" t="inlineStr">
        <is>
          <t>-10.05%</t>
        </is>
      </c>
      <c r="N4308" s="3" t="n">
        <v>-10.05</v>
      </c>
      <c r="O4308" t="n">
        <v>3.5</v>
      </c>
      <c r="P4308" t="n">
        <v>3</v>
      </c>
      <c r="R4308" t="inlineStr">
        <is>
          <t>InStock</t>
        </is>
      </c>
      <c r="S4308" t="inlineStr">
        <is>
          <t>39.95</t>
        </is>
      </c>
      <c r="T4308" t="inlineStr">
        <is>
          <t>F50034</t>
        </is>
      </c>
    </row>
    <row r="4309" hidden="1" ht="15.75" customHeight="1">
      <c r="A4309" s="2">
        <f>HYPERLINK("https://www.soccerplususa.com/adidas/adidas-regista-14-jersey-youth-6677", "https://www.soccerplususa.com/adidas/adidas-regista-14-jersey-youth-6677")</f>
        <v/>
      </c>
      <c r="B4309" t="inlineStr">
        <is>
          <t>undefined</t>
        </is>
      </c>
      <c r="C4309" t="inlineStr">
        <is>
          <t>adidas Regista 14 Jersey Youth</t>
        </is>
      </c>
      <c r="D4309" t="inlineStr">
        <is>
          <t>adidas Youth Climacool Regista 14 Short</t>
        </is>
      </c>
      <c r="E4309" s="2">
        <f>HYPERLINK("https://www.amazon.com/adidas-Youth-Climacool-Regista-Short/dp/B00J2H9Q66/ref=sr_1_2?keywords=adidas+Regista+14+Jersey+Youth&amp;qid=1695171214&amp;sr=8-2", "https://www.amazon.com/adidas-Youth-Climacool-Regista-Short/dp/B00J2H9Q66/ref=sr_1_2?keywords=adidas+Regista+14+Jersey+Youth&amp;qid=1695171214&amp;sr=8-2")</f>
        <v/>
      </c>
      <c r="F4309" t="inlineStr">
        <is>
          <t>B00J2H9Q66</t>
        </is>
      </c>
      <c r="G4309">
        <f>_xludf.IMAGE("https://www.soccerplususa.com/prodimages/32791-DEFAULT-l.jpg")</f>
        <v/>
      </c>
      <c r="H4309">
        <f>_xludf.IMAGE("https://m.media-amazon.com/images/I/61bLgzIFgZL._AC_UL320_.jpg")</f>
        <v/>
      </c>
      <c r="K4309" t="inlineStr">
        <is>
          <t>20.0</t>
        </is>
      </c>
      <c r="L4309" t="n">
        <v>17.99</v>
      </c>
      <c r="M4309" s="1" t="inlineStr">
        <is>
          <t>-10.05%</t>
        </is>
      </c>
      <c r="N4309" s="3" t="n">
        <v>-10.05</v>
      </c>
      <c r="O4309" t="n">
        <v>3.5</v>
      </c>
      <c r="P4309" t="n">
        <v>3</v>
      </c>
      <c r="R4309" t="inlineStr">
        <is>
          <t>InStock</t>
        </is>
      </c>
      <c r="S4309" t="inlineStr">
        <is>
          <t>39.95</t>
        </is>
      </c>
      <c r="T4309" t="inlineStr">
        <is>
          <t>G70837</t>
        </is>
      </c>
    </row>
    <row r="4310" hidden="1" ht="15.75" customHeight="1">
      <c r="A4310" s="2">
        <f>HYPERLINK("https://www.soccerplususa.com/puma/puma-teamgoal-23-casuals-hoody-40903", "https://www.soccerplususa.com/puma/puma-teamgoal-23-casuals-hoody-40903")</f>
        <v/>
      </c>
      <c r="B4310" t="inlineStr">
        <is>
          <t>undefined</t>
        </is>
      </c>
      <c r="C4310" t="inlineStr">
        <is>
          <t>Puma TeamGoal 23 Casuals Hoody</t>
        </is>
      </c>
      <c r="D4310" t="inlineStr">
        <is>
          <t>PUMA Kids' Youth Teamgoal 23 Casuals Hoodie</t>
        </is>
      </c>
      <c r="E4310" s="2">
        <f>HYPERLINK("https://www.amazon.com/PUMA-TEAMGOAL-Casuals-Hoody-White/dp/B084ZXFK9F/ref=sr_1_2?keywords=Puma+TeamGoal+23+Casuals+Hoody&amp;qid=1695171152&amp;sr=8-2", "https://www.amazon.com/PUMA-TEAMGOAL-Casuals-Hoody-White/dp/B084ZXFK9F/ref=sr_1_2?keywords=Puma+TeamGoal+23+Casuals+Hoody&amp;qid=1695171152&amp;sr=8-2")</f>
        <v/>
      </c>
      <c r="F4310" t="inlineStr">
        <is>
          <t>B084ZXFK9F</t>
        </is>
      </c>
      <c r="G4310">
        <f>_xludf.IMAGE("https://www.soccerplususa.com/prodimages//35868-GREY-M.jpg")</f>
        <v/>
      </c>
      <c r="H4310">
        <f>_xludf.IMAGE("https://m.media-amazon.com/images/I/81F6IUdtAaL._AC_UL320_.jpg")</f>
        <v/>
      </c>
      <c r="K4310" t="inlineStr">
        <is>
          <t>54.95</t>
        </is>
      </c>
      <c r="L4310" t="n">
        <v>48.94</v>
      </c>
      <c r="M4310" s="1" t="inlineStr">
        <is>
          <t>-10.94%</t>
        </is>
      </c>
      <c r="N4310" s="3" t="n">
        <v>-10.94</v>
      </c>
      <c r="O4310" t="n">
        <v>5</v>
      </c>
      <c r="P4310" t="n">
        <v>1</v>
      </c>
      <c r="R4310" t="inlineStr">
        <is>
          <t>InStock</t>
        </is>
      </c>
      <c r="S4310" t="inlineStr">
        <is>
          <t>undefined</t>
        </is>
      </c>
      <c r="T4310" t="inlineStr">
        <is>
          <t>656580-33</t>
        </is>
      </c>
    </row>
    <row r="4311" hidden="1" ht="15.75" customHeight="1">
      <c r="A4311" s="2">
        <f>HYPERLINK("https://www.soccerplususa.com/storelli-sports/storelli-bodyshield-sleeveless-undershirt-32102", "https://www.soccerplususa.com/storelli-sports/storelli-bodyshield-sleeveless-undershirt-32102")</f>
        <v/>
      </c>
      <c r="B4311" t="inlineStr">
        <is>
          <t>undefined</t>
        </is>
      </c>
      <c r="C4311" t="inlineStr">
        <is>
          <t>Storelli BodyShield Sleeveless Undershirt</t>
        </is>
      </c>
      <c r="D4311" t="inlineStr">
        <is>
          <t>Storelli BodyShield Sleeveless Undershirt | Protective Soccer Base Layer | Lightweight Compression Top</t>
        </is>
      </c>
      <c r="E4311" s="2">
        <f>HYPERLINK("https://www.amazon.com/Storelli-BSFPTOPNSBKL-BodyShield-Sleeveless-Undershirt/dp/B00N4VY78I/ref=sr_1_fkmr2_2?keywords=Storelli+BodyShield+Sleeveless+Undershirt&amp;qid=1695171181&amp;sr=8-2-fkmr2", "https://www.amazon.com/Storelli-BSFPTOPNSBKL-BodyShield-Sleeveless-Undershirt/dp/B00N4VY78I/ref=sr_1_fkmr2_2?keywords=Storelli+BodyShield+Sleeveless+Undershirt&amp;qid=1695171181&amp;sr=8-2-fkmr2")</f>
        <v/>
      </c>
      <c r="F4311" t="inlineStr">
        <is>
          <t>B00N4VY78I</t>
        </is>
      </c>
      <c r="G4311">
        <f>_xludf.IMAGE("https://www.soccerplususa.com/prodimages/2096-DEFAULT-l.jpg")</f>
        <v/>
      </c>
      <c r="H4311">
        <f>_xludf.IMAGE("https://m.media-amazon.com/images/I/61vj2u7ThmL._AC_UL320_.jpg")</f>
        <v/>
      </c>
      <c r="K4311" t="inlineStr">
        <is>
          <t>59.95</t>
        </is>
      </c>
      <c r="L4311" t="n">
        <v>53.35</v>
      </c>
      <c r="M4311" s="1" t="inlineStr">
        <is>
          <t>-11.01%</t>
        </is>
      </c>
      <c r="N4311" s="3" t="n">
        <v>-11.01</v>
      </c>
      <c r="O4311" t="n">
        <v>4.4</v>
      </c>
      <c r="P4311" t="n">
        <v>9</v>
      </c>
      <c r="R4311" t="inlineStr">
        <is>
          <t>InStock</t>
        </is>
      </c>
      <c r="S4311" t="inlineStr">
        <is>
          <t>undefined</t>
        </is>
      </c>
      <c r="T4311" t="inlineStr">
        <is>
          <t>BSFPTOPNSBK</t>
        </is>
      </c>
    </row>
    <row r="4312" hidden="1" ht="15.75" customHeight="1">
      <c r="A4312" s="2">
        <f>HYPERLINK("https://www.soccerplususa.com/nike/nike-park-18-rain-jacket-youth-36896", "https://www.soccerplususa.com/nike/nike-park-18-rain-jacket-youth-36896")</f>
        <v/>
      </c>
      <c r="B4312" t="inlineStr">
        <is>
          <t>undefined</t>
        </is>
      </c>
      <c r="C4312" t="inlineStr">
        <is>
          <t>Nike Park 18 Rain Jacket Youth</t>
        </is>
      </c>
      <c r="D4312" t="inlineStr">
        <is>
          <t>Nike Youth Park 18 Track Jacket Black/White</t>
        </is>
      </c>
      <c r="E4312" s="2">
        <f>HYPERLINK("https://www.amazon.com/NIKE-Youth-Track-Jacket-Black/dp/B0797PXVVG/ref=sr_1_1?keywords=Nike+Park+18+Rain+Jacket+Youth&amp;qid=1695171172&amp;sr=8-1", "https://www.amazon.com/NIKE-Youth-Track-Jacket-Black/dp/B0797PXVVG/ref=sr_1_1?keywords=Nike+Park+18+Rain+Jacket+Youth&amp;qid=1695171172&amp;sr=8-1")</f>
        <v/>
      </c>
      <c r="F4312" t="inlineStr">
        <is>
          <t>B0797PXVVG</t>
        </is>
      </c>
      <c r="G4312">
        <f>_xludf.IMAGE("https://www.soccerplususa.com/prodimages/9220-DEFAULT-l.jpg")</f>
        <v/>
      </c>
      <c r="H4312">
        <f>_xludf.IMAGE("https://m.media-amazon.com/images/I/51SdFrsYTDL._AC_UL320_.jpg")</f>
        <v/>
      </c>
      <c r="K4312" t="inlineStr">
        <is>
          <t>44.95</t>
        </is>
      </c>
      <c r="L4312" t="n">
        <v>39.99</v>
      </c>
      <c r="M4312" s="1" t="inlineStr">
        <is>
          <t>-11.03%</t>
        </is>
      </c>
      <c r="N4312" s="3" t="n">
        <v>-11.03</v>
      </c>
      <c r="O4312" t="n">
        <v>4.3</v>
      </c>
      <c r="P4312" t="n">
        <v>52</v>
      </c>
      <c r="R4312" t="inlineStr">
        <is>
          <t>InStock</t>
        </is>
      </c>
      <c r="S4312" t="inlineStr">
        <is>
          <t>undefined</t>
        </is>
      </c>
      <c r="T4312" t="inlineStr">
        <is>
          <t>AA2091-010</t>
        </is>
      </c>
    </row>
    <row r="4313" hidden="1" ht="15.75" customHeight="1">
      <c r="A4313" s="2">
        <f>HYPERLINK("https://www.soccerplususa.com/adidas/adidas-tiro-19-training-jacket-youth-33858", "https://www.soccerplususa.com/adidas/adidas-tiro-19-training-jacket-youth-33858")</f>
        <v/>
      </c>
      <c r="B4313" t="inlineStr">
        <is>
          <t>undefined</t>
        </is>
      </c>
      <c r="C4313" t="inlineStr">
        <is>
          <t>adidas Tiro 19 Training Jacket Youth</t>
        </is>
      </c>
      <c r="D4313" t="inlineStr">
        <is>
          <t>adidas Tiro 19 Adult Training Jacket (TIRO19-JACKET)</t>
        </is>
      </c>
      <c r="E4313" s="2">
        <f>HYPERLINK("https://www.amazon.com/adidas-Tiro-19-Training-Jacket/dp/B07H4K7W3R/ref=sr_1_1?keywords=adidas+Tiro+19+Training+Jacket+Youth&amp;qid=1695171168&amp;sr=8-1", "https://www.amazon.com/adidas-Tiro-19-Training-Jacket/dp/B07H4K7W3R/ref=sr_1_1?keywords=adidas+Tiro+19+Training+Jacket+Youth&amp;qid=1695171168&amp;sr=8-1")</f>
        <v/>
      </c>
      <c r="F4313" t="inlineStr">
        <is>
          <t>B07H4K7W3R</t>
        </is>
      </c>
      <c r="G4313">
        <f>_xludf.IMAGE("https://www.soccerplususa.com/prodimages/8020-DEFAULT-l.jpg")</f>
        <v/>
      </c>
      <c r="H4313">
        <f>_xludf.IMAGE("https://m.media-amazon.com/images/I/61B-SrRhcAL._AC_UL320_.jpg")</f>
        <v/>
      </c>
      <c r="K4313" t="inlineStr">
        <is>
          <t>45.0</t>
        </is>
      </c>
      <c r="L4313" t="n">
        <v>39.95</v>
      </c>
      <c r="M4313" s="1" t="inlineStr">
        <is>
          <t>-11.22%</t>
        </is>
      </c>
      <c r="N4313" s="3" t="n">
        <v>-11.22</v>
      </c>
      <c r="O4313" t="n">
        <v>4.7</v>
      </c>
      <c r="P4313" t="n">
        <v>1515</v>
      </c>
      <c r="R4313" t="inlineStr">
        <is>
          <t>InStock</t>
        </is>
      </c>
      <c r="S4313" t="inlineStr">
        <is>
          <t>59.95</t>
        </is>
      </c>
      <c r="T4313" t="inlineStr">
        <is>
          <t>D95922</t>
        </is>
      </c>
    </row>
    <row r="4314" hidden="1" ht="15.75" customHeight="1">
      <c r="A4314" s="2">
        <f>HYPERLINK("https://www.soccerplususa.com/adidas/adidas-tiro-19-training-jacket-youth-33998", "https://www.soccerplususa.com/adidas/adidas-tiro-19-training-jacket-youth-33998")</f>
        <v/>
      </c>
      <c r="B4314" t="inlineStr">
        <is>
          <t>undefined</t>
        </is>
      </c>
      <c r="C4314" t="inlineStr">
        <is>
          <t>adidas Tiro 19 Training Jacket Youth</t>
        </is>
      </c>
      <c r="D4314" t="inlineStr">
        <is>
          <t>adidas Tiro 19 Adult Training Jacket (TIRO19-JACKET)</t>
        </is>
      </c>
      <c r="E4314" s="2">
        <f>HYPERLINK("https://www.amazon.com/adidas-Tiro-19-Training-Jacket/dp/B07H4K7W3R/ref=sr_1_1?keywords=adidas+Tiro+19+Training+Jacket+Youth&amp;qid=1695171164&amp;sr=8-1", "https://www.amazon.com/adidas-Tiro-19-Training-Jacket/dp/B07H4K7W3R/ref=sr_1_1?keywords=adidas+Tiro+19+Training+Jacket+Youth&amp;qid=1695171164&amp;sr=8-1")</f>
        <v/>
      </c>
      <c r="F4314" t="inlineStr">
        <is>
          <t>B07H4K7W3R</t>
        </is>
      </c>
      <c r="G4314">
        <f>_xludf.IMAGE("https://www.soccerplususa.com/prodimages/7897-DEFAULT-l.jpg")</f>
        <v/>
      </c>
      <c r="H4314">
        <f>_xludf.IMAGE("https://m.media-amazon.com/images/I/61B-SrRhcAL._AC_UL320_.jpg")</f>
        <v/>
      </c>
      <c r="K4314" t="inlineStr">
        <is>
          <t>45.0</t>
        </is>
      </c>
      <c r="L4314" t="n">
        <v>39.95</v>
      </c>
      <c r="M4314" s="1" t="inlineStr">
        <is>
          <t>-11.22%</t>
        </is>
      </c>
      <c r="N4314" s="3" t="n">
        <v>-11.22</v>
      </c>
      <c r="O4314" t="n">
        <v>4.7</v>
      </c>
      <c r="P4314" t="n">
        <v>1515</v>
      </c>
      <c r="R4314" t="inlineStr">
        <is>
          <t>InStock</t>
        </is>
      </c>
      <c r="S4314" t="inlineStr">
        <is>
          <t>59.95</t>
        </is>
      </c>
      <c r="T4314" t="inlineStr">
        <is>
          <t>DT5276</t>
        </is>
      </c>
    </row>
    <row r="4315" hidden="1" ht="15.75" customHeight="1">
      <c r="A4315" s="2">
        <f>HYPERLINK("https://www.soccerplususa.com/adidas/adidas-condivo-18-training-jacket-womens-5188", "https://www.soccerplususa.com/adidas/adidas-condivo-18-training-jacket-womens-5188")</f>
        <v/>
      </c>
      <c r="B4315" t="inlineStr">
        <is>
          <t>undefined</t>
        </is>
      </c>
      <c r="C4315" t="inlineStr">
        <is>
          <t>adidas Condivo 18 Training Jacket Women's</t>
        </is>
      </c>
      <c r="D4315" t="inlineStr">
        <is>
          <t>adidas Women's Condivo 18 Polyester Jacket</t>
        </is>
      </c>
      <c r="E4315" s="2">
        <f>HYPERLINK("https://www.amazon.com/adidas-PES-Size-Womens-Small/dp/B07CNH948L/ref=sr_1_2?keywords=adidas+Condivo+18+Training+Jacket+Womens&amp;qid=1695171217&amp;sr=8-2", "https://www.amazon.com/adidas-PES-Size-Womens-Small/dp/B07CNH948L/ref=sr_1_2?keywords=adidas+Condivo+18+Training+Jacket+Womens&amp;qid=1695171217&amp;sr=8-2")</f>
        <v/>
      </c>
      <c r="F4315" t="inlineStr">
        <is>
          <t>B07CNH948L</t>
        </is>
      </c>
      <c r="G4315">
        <f>_xludf.IMAGE("https://www.soccerplususa.com/prodimages/5974-DEFAULT-l.jpg")</f>
        <v/>
      </c>
      <c r="H4315">
        <f>_xludf.IMAGE("https://m.media-amazon.com/images/I/51g6YOpT1LL._AC_UL320_.jpg")</f>
        <v/>
      </c>
      <c r="K4315" t="inlineStr">
        <is>
          <t>49.0</t>
        </is>
      </c>
      <c r="L4315" t="n">
        <v>43.36</v>
      </c>
      <c r="M4315" s="1" t="inlineStr">
        <is>
          <t>-11.51%</t>
        </is>
      </c>
      <c r="N4315" s="3" t="n">
        <v>-11.51</v>
      </c>
      <c r="O4315" t="n">
        <v>4.9</v>
      </c>
      <c r="P4315" t="n">
        <v>44</v>
      </c>
      <c r="R4315" t="inlineStr">
        <is>
          <t>InStock</t>
        </is>
      </c>
      <c r="S4315" t="inlineStr">
        <is>
          <t>64.95</t>
        </is>
      </c>
      <c r="T4315" t="inlineStr">
        <is>
          <t>CF4329</t>
        </is>
      </c>
    </row>
    <row r="4316" hidden="1" ht="15.75" customHeight="1">
      <c r="A4316" s="2">
        <f>HYPERLINK("https://www.soccerplususa.com/adidas/adidas-condivo-18-training-jacket-womens-5186", "https://www.soccerplususa.com/adidas/adidas-condivo-18-training-jacket-womens-5186")</f>
        <v/>
      </c>
      <c r="B4316" t="inlineStr">
        <is>
          <t>undefined</t>
        </is>
      </c>
      <c r="C4316" t="inlineStr">
        <is>
          <t>adidas Condivo 18 Training Jacket Women's</t>
        </is>
      </c>
      <c r="D4316" t="inlineStr">
        <is>
          <t>adidas Women's Condivo 18 Polyester Jacket</t>
        </is>
      </c>
      <c r="E4316" s="2">
        <f>HYPERLINK("https://www.amazon.com/adidas-PES-Size-Womens-Small/dp/B07CNH948L/ref=sr_1_2?keywords=adidas+Condivo+18+Training+Jacket+Womens&amp;qid=1695171225&amp;sr=8-2", "https://www.amazon.com/adidas-PES-Size-Womens-Small/dp/B07CNH948L/ref=sr_1_2?keywords=adidas+Condivo+18+Training+Jacket+Womens&amp;qid=1695171225&amp;sr=8-2")</f>
        <v/>
      </c>
      <c r="F4316" t="inlineStr">
        <is>
          <t>B07CNH948L</t>
        </is>
      </c>
      <c r="G4316">
        <f>_xludf.IMAGE("https://www.soccerplususa.com/prodimages/5976-DEFAULT-l.jpg")</f>
        <v/>
      </c>
      <c r="H4316">
        <f>_xludf.IMAGE("https://m.media-amazon.com/images/I/51g6YOpT1LL._AC_UL320_.jpg")</f>
        <v/>
      </c>
      <c r="K4316" t="inlineStr">
        <is>
          <t>49.0</t>
        </is>
      </c>
      <c r="L4316" t="n">
        <v>43.36</v>
      </c>
      <c r="M4316" s="1" t="inlineStr">
        <is>
          <t>-11.51%</t>
        </is>
      </c>
      <c r="N4316" s="3" t="n">
        <v>-11.51</v>
      </c>
      <c r="O4316" t="n">
        <v>4.9</v>
      </c>
      <c r="P4316" t="n">
        <v>44</v>
      </c>
      <c r="R4316" t="inlineStr">
        <is>
          <t>InStock</t>
        </is>
      </c>
      <c r="S4316" t="inlineStr">
        <is>
          <t>64.95</t>
        </is>
      </c>
      <c r="T4316" t="inlineStr">
        <is>
          <t>CF4327</t>
        </is>
      </c>
    </row>
    <row r="4317" hidden="1" ht="15.75" customHeight="1">
      <c r="A4317" s="2">
        <f>HYPERLINK("https://www.soccerplususa.com/adidas/adidas-condivo-18-training-jacket-womens-5362", "https://www.soccerplususa.com/adidas/adidas-condivo-18-training-jacket-womens-5362")</f>
        <v/>
      </c>
      <c r="B4317" t="inlineStr">
        <is>
          <t>undefined</t>
        </is>
      </c>
      <c r="C4317" t="inlineStr">
        <is>
          <t>adidas Condivo 18 Training Jacket Women's</t>
        </is>
      </c>
      <c r="D4317" t="inlineStr">
        <is>
          <t>adidas Women's Condivo 18 Polyester Jacket</t>
        </is>
      </c>
      <c r="E4317" s="2">
        <f>HYPERLINK("https://www.amazon.com/adidas-PES-Size-Womens-Small/dp/B07CNH948L/ref=sr_1_4?keywords=adidas+Condivo+18+Training+Jacket+Womens&amp;qid=1695171214&amp;sr=8-4", "https://www.amazon.com/adidas-PES-Size-Womens-Small/dp/B07CNH948L/ref=sr_1_4?keywords=adidas+Condivo+18+Training+Jacket+Womens&amp;qid=1695171214&amp;sr=8-4")</f>
        <v/>
      </c>
      <c r="F4317" t="inlineStr">
        <is>
          <t>B07CNH948L</t>
        </is>
      </c>
      <c r="G4317">
        <f>_xludf.IMAGE("https://www.soccerplususa.com/prodimages/5973-DEFAULT-l.jpg")</f>
        <v/>
      </c>
      <c r="H4317">
        <f>_xludf.IMAGE("https://m.media-amazon.com/images/I/51g6YOpT1LL._AC_UL320_.jpg")</f>
        <v/>
      </c>
      <c r="K4317" t="inlineStr">
        <is>
          <t>49.0</t>
        </is>
      </c>
      <c r="L4317" t="n">
        <v>43.36</v>
      </c>
      <c r="M4317" s="1" t="inlineStr">
        <is>
          <t>-11.51%</t>
        </is>
      </c>
      <c r="N4317" s="3" t="n">
        <v>-11.51</v>
      </c>
      <c r="O4317" t="n">
        <v>4.9</v>
      </c>
      <c r="P4317" t="n">
        <v>44</v>
      </c>
      <c r="R4317" t="inlineStr">
        <is>
          <t>InStock</t>
        </is>
      </c>
      <c r="S4317" t="inlineStr">
        <is>
          <t>64.95</t>
        </is>
      </c>
      <c r="T4317" t="inlineStr">
        <is>
          <t>CV9079</t>
        </is>
      </c>
    </row>
    <row r="4318" hidden="1" ht="15.75" customHeight="1">
      <c r="A4318" s="2">
        <f>HYPERLINK("https://www.soccerplususa.com/adidas/adidas-condivo-18-training-jacket-womens-5187", "https://www.soccerplususa.com/adidas/adidas-condivo-18-training-jacket-womens-5187")</f>
        <v/>
      </c>
      <c r="B4318" t="inlineStr">
        <is>
          <t>undefined</t>
        </is>
      </c>
      <c r="C4318" t="inlineStr">
        <is>
          <t>adidas Condivo 18 Training Jacket Women's</t>
        </is>
      </c>
      <c r="D4318" t="inlineStr">
        <is>
          <t>adidas Women's Condivo 18 Polyester Jacket</t>
        </is>
      </c>
      <c r="E4318" s="2">
        <f>HYPERLINK("https://www.amazon.com/adidas-PES-Size-Womens-Small/dp/B07CNH948L/ref=sr_1_6?keywords=adidas+Condivo+18+Training+Jacket+Women%27s&amp;qid=1695171224&amp;sr=8-6", "https://www.amazon.com/adidas-PES-Size-Womens-Small/dp/B07CNH948L/ref=sr_1_6?keywords=adidas+Condivo+18+Training+Jacket+Women%27s&amp;qid=1695171224&amp;sr=8-6")</f>
        <v/>
      </c>
      <c r="F4318" t="inlineStr">
        <is>
          <t>B07CNH948L</t>
        </is>
      </c>
      <c r="G4318">
        <f>_xludf.IMAGE("https://www.soccerplususa.com/prodimages/5975-DEFAULT-l.jpg")</f>
        <v/>
      </c>
      <c r="H4318">
        <f>_xludf.IMAGE("https://m.media-amazon.com/images/I/51g6YOpT1LL._AC_UL320_.jpg")</f>
        <v/>
      </c>
      <c r="K4318" t="inlineStr">
        <is>
          <t>49.0</t>
        </is>
      </c>
      <c r="L4318" t="n">
        <v>43.36</v>
      </c>
      <c r="M4318" s="1" t="inlineStr">
        <is>
          <t>-11.51%</t>
        </is>
      </c>
      <c r="N4318" s="3" t="n">
        <v>-11.51</v>
      </c>
      <c r="O4318" t="n">
        <v>4.9</v>
      </c>
      <c r="P4318" t="n">
        <v>44</v>
      </c>
      <c r="R4318" t="inlineStr">
        <is>
          <t>InStock</t>
        </is>
      </c>
      <c r="S4318" t="inlineStr">
        <is>
          <t>64.95</t>
        </is>
      </c>
      <c r="T4318" t="inlineStr">
        <is>
          <t>CF4328</t>
        </is>
      </c>
    </row>
    <row r="4319" hidden="1" ht="15.75" customHeight="1">
      <c r="A4319" s="2">
        <f>HYPERLINK("https://www.soccerplususa.com/adidas/adidas-tabela-18-jersey-womens-33806", "https://www.soccerplususa.com/adidas/adidas-tabela-18-jersey-womens-33806")</f>
        <v/>
      </c>
      <c r="B4319" t="inlineStr">
        <is>
          <t>undefined</t>
        </is>
      </c>
      <c r="C4319" t="inlineStr">
        <is>
          <t>adidas Tabela 18 Jersey Women's</t>
        </is>
      </c>
      <c r="D4319" t="inlineStr">
        <is>
          <t>adidas Mens Tabela 18 Soccer Jersey</t>
        </is>
      </c>
      <c r="E4319" s="2">
        <f>HYPERLINK("https://www.amazon.com/adidas-Tabela-Jersey-Black-White/dp/B0789V85VN/ref=sr_1_6?keywords=adidas+Tabela+18+Jersey+Womens&amp;qid=1695171171&amp;sr=8-6", "https://www.amazon.com/adidas-Tabela-Jersey-Black-White/dp/B0789V85VN/ref=sr_1_6?keywords=adidas+Tabela+18+Jersey+Womens&amp;qid=1695171171&amp;sr=8-6")</f>
        <v/>
      </c>
      <c r="F4319" t="inlineStr">
        <is>
          <t>B0789V85VN</t>
        </is>
      </c>
      <c r="G4319">
        <f>_xludf.IMAGE("https://www.soccerplususa.com/prodimages/35358-DEFAULT-l.jpg")</f>
        <v/>
      </c>
      <c r="H4319">
        <f>_xludf.IMAGE("https://m.media-amazon.com/images/I/71etwlge3gL._AC_UL320_.jpg")</f>
        <v/>
      </c>
      <c r="K4319" t="inlineStr">
        <is>
          <t>21.99</t>
        </is>
      </c>
      <c r="L4319" t="n">
        <v>19.45</v>
      </c>
      <c r="M4319" s="1" t="inlineStr">
        <is>
          <t>-11.55%</t>
        </is>
      </c>
      <c r="N4319" s="3" t="n">
        <v>-11.55</v>
      </c>
      <c r="O4319" t="n">
        <v>4.7</v>
      </c>
      <c r="P4319" t="n">
        <v>197</v>
      </c>
      <c r="R4319" t="inlineStr">
        <is>
          <t>InStock</t>
        </is>
      </c>
      <c r="S4319" t="inlineStr">
        <is>
          <t>29.95</t>
        </is>
      </c>
      <c r="T4319" t="inlineStr">
        <is>
          <t>CE8932</t>
        </is>
      </c>
    </row>
    <row r="4320" hidden="1" ht="15.75" customHeight="1">
      <c r="A4320" s="2">
        <f>HYPERLINK("https://www.soccerplususa.com/adidas/adidas-tabela-18-jersey-womens-33807", "https://www.soccerplususa.com/adidas/adidas-tabela-18-jersey-womens-33807")</f>
        <v/>
      </c>
      <c r="B4320" t="inlineStr">
        <is>
          <t>undefined</t>
        </is>
      </c>
      <c r="C4320" t="inlineStr">
        <is>
          <t>adidas Tabela 18 Jersey Women's</t>
        </is>
      </c>
      <c r="D4320" t="inlineStr">
        <is>
          <t>adidas Mens Tabela 18 Soccer Jersey</t>
        </is>
      </c>
      <c r="E4320" s="2">
        <f>HYPERLINK("https://www.amazon.com/adidas-Tabela-Jersey-Black-White/dp/B0789V85VN/ref=sr_1_6?keywords=adidas+Tabela+18+Jersey+Womens&amp;qid=1695171168&amp;sr=8-6", "https://www.amazon.com/adidas-Tabela-Jersey-Black-White/dp/B0789V85VN/ref=sr_1_6?keywords=adidas+Tabela+18+Jersey+Womens&amp;qid=1695171168&amp;sr=8-6")</f>
        <v/>
      </c>
      <c r="F4320" t="inlineStr">
        <is>
          <t>B0789V85VN</t>
        </is>
      </c>
      <c r="G4320">
        <f>_xludf.IMAGE("https://www.soccerplususa.com/prodimages/35357-DEFAULT-l.jpg")</f>
        <v/>
      </c>
      <c r="H4320">
        <f>_xludf.IMAGE("https://m.media-amazon.com/images/I/71etwlge3gL._AC_UL320_.jpg")</f>
        <v/>
      </c>
      <c r="K4320" t="inlineStr">
        <is>
          <t>21.99</t>
        </is>
      </c>
      <c r="L4320" t="n">
        <v>19.45</v>
      </c>
      <c r="M4320" s="1" t="inlineStr">
        <is>
          <t>-11.55%</t>
        </is>
      </c>
      <c r="N4320" s="3" t="n">
        <v>-11.55</v>
      </c>
      <c r="O4320" t="n">
        <v>4.7</v>
      </c>
      <c r="P4320" t="n">
        <v>197</v>
      </c>
      <c r="R4320" t="inlineStr">
        <is>
          <t>InStock</t>
        </is>
      </c>
      <c r="S4320" t="inlineStr">
        <is>
          <t>29.95</t>
        </is>
      </c>
      <c r="T4320" t="inlineStr">
        <is>
          <t>CE8933</t>
        </is>
      </c>
    </row>
    <row r="4321" hidden="1" ht="15.75" customHeight="1">
      <c r="A4321" s="2">
        <f>HYPERLINK("https://www.soccerplususa.com/adidas/adidas-regista-14-jersey-womens-6069", "https://www.soccerplususa.com/adidas/adidas-regista-14-jersey-womens-6069")</f>
        <v/>
      </c>
      <c r="B4321" t="inlineStr">
        <is>
          <t>undefined</t>
        </is>
      </c>
      <c r="C4321" t="inlineStr">
        <is>
          <t>adidas Regista 14 Jersey Women's</t>
        </is>
      </c>
      <c r="D4321" t="inlineStr">
        <is>
          <t>adidas Womens Climacool Regista 14 Jersey</t>
        </is>
      </c>
      <c r="E4321" s="2">
        <f>HYPERLINK("https://www.amazon.com/Adidas-Regista-Womens-Soccer-Jersey/dp/B00H5UPO4K/ref=sr_1_2?keywords=adidas+Regista+14+Jersey+Womens&amp;qid=1695171219&amp;sr=8-2", "https://www.amazon.com/Adidas-Regista-Womens-Soccer-Jersey/dp/B00H5UPO4K/ref=sr_1_2?keywords=adidas+Regista+14+Jersey+Womens&amp;qid=1695171219&amp;sr=8-2")</f>
        <v/>
      </c>
      <c r="F4321" t="inlineStr">
        <is>
          <t>B00H5UPO4K</t>
        </is>
      </c>
      <c r="G4321">
        <f>_xludf.IMAGE("https://www.soccerplususa.com/prodimages/31729-DEFAULT-l.jpg")</f>
        <v/>
      </c>
      <c r="H4321">
        <f>_xludf.IMAGE("https://m.media-amazon.com/images/I/61GhHCEsAmL._AC_UL320_.jpg")</f>
        <v/>
      </c>
      <c r="K4321" t="inlineStr">
        <is>
          <t>33.99</t>
        </is>
      </c>
      <c r="L4321" t="n">
        <v>29.99</v>
      </c>
      <c r="M4321" s="1" t="inlineStr">
        <is>
          <t>-11.77%</t>
        </is>
      </c>
      <c r="N4321" s="3" t="n">
        <v>-11.77</v>
      </c>
      <c r="O4321" t="n">
        <v>4.1</v>
      </c>
      <c r="P4321" t="n">
        <v>10</v>
      </c>
      <c r="R4321" t="inlineStr">
        <is>
          <t>InStock</t>
        </is>
      </c>
      <c r="S4321" t="inlineStr">
        <is>
          <t>44.95</t>
        </is>
      </c>
      <c r="T4321" t="inlineStr">
        <is>
          <t>F50028</t>
        </is>
      </c>
    </row>
    <row r="4322" hidden="1" ht="15.75" customHeight="1">
      <c r="A4322" s="2">
        <f>HYPERLINK("https://www.soccerplususa.com/puma/puma-liga-training-1-4-zip-jacket-29028", "https://www.soccerplususa.com/puma/puma-liga-training-1-4-zip-jacket-29028")</f>
        <v/>
      </c>
      <c r="B4322" t="inlineStr">
        <is>
          <t>undefined</t>
        </is>
      </c>
      <c r="C4322" t="inlineStr">
        <is>
          <t>Puma Liga Training 1/4 Zip Jacket</t>
        </is>
      </c>
      <c r="D4322" t="inlineStr">
        <is>
          <t>PUMA Men's Liga Training 1/4 Zip Top</t>
        </is>
      </c>
      <c r="E4322" s="2">
        <f>HYPERLINK("https://www.amazon.com/PUMA-Mens-Training-Black-White/dp/B07CGFVJHQ/ref=sr_1_1?keywords=Puma+Liga+Training+1%2F4+Zip+Jacket&amp;qid=1695171178&amp;sr=8-1", "https://www.amazon.com/PUMA-Mens-Training-Black-White/dp/B07CGFVJHQ/ref=sr_1_1?keywords=Puma+Liga+Training+1%2F4+Zip+Jacket&amp;qid=1695171178&amp;sr=8-1")</f>
        <v/>
      </c>
      <c r="F4322" t="inlineStr">
        <is>
          <t>B07CGFVJHQ</t>
        </is>
      </c>
      <c r="G4322">
        <f>_xludf.IMAGE("https://www.soccerplususa.com/prodimages/6871-DEFAULT-l.jpg")</f>
        <v/>
      </c>
      <c r="H4322">
        <f>_xludf.IMAGE("https://m.media-amazon.com/images/I/51lTgUAO49L._AC_UL320_.jpg")</f>
        <v/>
      </c>
      <c r="K4322" t="inlineStr">
        <is>
          <t>38.0</t>
        </is>
      </c>
      <c r="L4322" t="n">
        <v>33.35</v>
      </c>
      <c r="M4322" s="1" t="inlineStr">
        <is>
          <t>-12.24%</t>
        </is>
      </c>
      <c r="N4322" s="3" t="n">
        <v>-12.24</v>
      </c>
      <c r="O4322" t="n">
        <v>4.6</v>
      </c>
      <c r="P4322" t="n">
        <v>313</v>
      </c>
      <c r="R4322" t="inlineStr">
        <is>
          <t>InStock</t>
        </is>
      </c>
      <c r="S4322" t="inlineStr">
        <is>
          <t>50.0</t>
        </is>
      </c>
      <c r="T4322" t="inlineStr">
        <is>
          <t>655606-06</t>
        </is>
      </c>
    </row>
    <row r="4323" hidden="1" ht="15.75" customHeight="1">
      <c r="A4323" s="2">
        <f>HYPERLINK("https://www.soccerplususa.com/puma/puma-liga-training-1-4-zip-top-youth-35517", "https://www.soccerplususa.com/puma/puma-liga-training-1-4-zip-top-youth-35517")</f>
        <v/>
      </c>
      <c r="B4323" t="inlineStr">
        <is>
          <t>undefined</t>
        </is>
      </c>
      <c r="C4323" t="inlineStr">
        <is>
          <t>Puma Liga Training 1/4 Zip Top Youth</t>
        </is>
      </c>
      <c r="D4323" t="inlineStr">
        <is>
          <t>PUMA Men's Liga Training 1/4 Zip Top</t>
        </is>
      </c>
      <c r="E4323" s="2">
        <f>HYPERLINK("https://www.amazon.com/PUMA-Mens-Training-Black-White/dp/B07CGFVJHQ/ref=sr_1_3?keywords=Puma+Liga+Training+1%2F4+Zip+Top+Youth&amp;qid=1695171162&amp;sr=8-3", "https://www.amazon.com/PUMA-Mens-Training-Black-White/dp/B07CGFVJHQ/ref=sr_1_3?keywords=Puma+Liga+Training+1%2F4+Zip+Top+Youth&amp;qid=1695171162&amp;sr=8-3")</f>
        <v/>
      </c>
      <c r="F4323" t="inlineStr">
        <is>
          <t>B07CGFVJHQ</t>
        </is>
      </c>
      <c r="G4323">
        <f>_xludf.IMAGE("https://www.soccerplususa.com/prodimages/7782-DEFAULT-l.jpg")</f>
        <v/>
      </c>
      <c r="H4323">
        <f>_xludf.IMAGE("https://m.media-amazon.com/images/I/51lTgUAO49L._AC_UL320_.jpg")</f>
        <v/>
      </c>
      <c r="K4323" t="inlineStr">
        <is>
          <t>38.0</t>
        </is>
      </c>
      <c r="L4323" t="n">
        <v>33.35</v>
      </c>
      <c r="M4323" s="1" t="inlineStr">
        <is>
          <t>-12.24%</t>
        </is>
      </c>
      <c r="N4323" s="3" t="n">
        <v>-12.24</v>
      </c>
      <c r="O4323" t="n">
        <v>4.6</v>
      </c>
      <c r="P4323" t="n">
        <v>313</v>
      </c>
      <c r="R4323" t="inlineStr">
        <is>
          <t>InStock</t>
        </is>
      </c>
      <c r="S4323" t="inlineStr">
        <is>
          <t>50.0</t>
        </is>
      </c>
      <c r="T4323" t="inlineStr">
        <is>
          <t>655646-06</t>
        </is>
      </c>
    </row>
    <row r="4324" hidden="1" ht="15.75" customHeight="1">
      <c r="A4324" s="2">
        <f>HYPERLINK("https://www.soccerplususa.com/adidas/adidas-tiro-19-warm-top-youth-33865", "https://www.soccerplususa.com/adidas/adidas-tiro-19-warm-top-youth-33865")</f>
        <v/>
      </c>
      <c r="B4324" t="inlineStr">
        <is>
          <t>undefined</t>
        </is>
      </c>
      <c r="C4324" t="inlineStr">
        <is>
          <t>adidas Tiro 19 Warm Top Youth</t>
        </is>
      </c>
      <c r="D4324" t="inlineStr">
        <is>
          <t>adidas Tiro 19 Youth Warm Top Soccer Jacket</t>
        </is>
      </c>
      <c r="E4324" s="2">
        <f>HYPERLINK("https://www.amazon.com/adidas-Youth-Soccer-Jacket-Medium/dp/B07JBBM66J/ref=sr_1_1?keywords=adidas+Tiro+19+Warm+Top+Youth&amp;qid=1695171191&amp;sr=8-1", "https://www.amazon.com/adidas-Youth-Soccer-Jacket-Medium/dp/B07JBBM66J/ref=sr_1_1?keywords=adidas+Tiro+19+Warm+Top+Youth&amp;qid=1695171191&amp;sr=8-1")</f>
        <v/>
      </c>
      <c r="F4324" t="inlineStr">
        <is>
          <t>B07JBBM66J</t>
        </is>
      </c>
      <c r="G4324">
        <f>_xludf.IMAGE("https://www.soccerplususa.com/prodimages/7903-DEFAULT-l.jpg")</f>
        <v/>
      </c>
      <c r="H4324">
        <f>_xludf.IMAGE("https://m.media-amazon.com/images/I/5115MWy0jsL._AC_UL320_.jpg")</f>
        <v/>
      </c>
      <c r="K4324" t="inlineStr">
        <is>
          <t>52.0</t>
        </is>
      </c>
      <c r="L4324" t="n">
        <v>45.5</v>
      </c>
      <c r="M4324" s="1" t="inlineStr">
        <is>
          <t>-12.50%</t>
        </is>
      </c>
      <c r="N4324" s="3" t="n">
        <v>-12.5</v>
      </c>
      <c r="O4324" t="n">
        <v>4.4</v>
      </c>
      <c r="P4324" t="n">
        <v>17</v>
      </c>
      <c r="R4324" t="inlineStr">
        <is>
          <t>InStock</t>
        </is>
      </c>
      <c r="S4324" t="inlineStr">
        <is>
          <t>69.95</t>
        </is>
      </c>
      <c r="T4324" t="inlineStr">
        <is>
          <t>D95952</t>
        </is>
      </c>
    </row>
    <row r="4325" hidden="1" ht="15.75" customHeight="1">
      <c r="A4325" s="2">
        <f>HYPERLINK("https://www.soccerplususa.com/puma/puma-liga-jersey-37883", "https://www.soccerplususa.com/puma/puma-liga-jersey-37883")</f>
        <v/>
      </c>
      <c r="B4325" t="inlineStr">
        <is>
          <t>undefined</t>
        </is>
      </c>
      <c r="C4325" t="inlineStr">
        <is>
          <t>Puma Liga Jersey</t>
        </is>
      </c>
      <c r="D4325" t="inlineStr">
        <is>
          <t>PUMA Men's Liga Long Sleeve Jersey</t>
        </is>
      </c>
      <c r="E4325" s="2">
        <f>HYPERLINK("https://www.amazon.com/PUMA-Jersey-Sleeve-Electric-Lemonadewhite/dp/B07892Y29D/ref=sr_1_5?keywords=Puma+Liga+Jersey&amp;qid=1695171159&amp;sr=8-5", "https://www.amazon.com/PUMA-Jersey-Sleeve-Electric-Lemonadewhite/dp/B07892Y29D/ref=sr_1_5?keywords=Puma+Liga+Jersey&amp;qid=1695171159&amp;sr=8-5")</f>
        <v/>
      </c>
      <c r="F4325" t="inlineStr">
        <is>
          <t>B07892Y29D</t>
        </is>
      </c>
      <c r="G4325">
        <f>_xludf.IMAGE("https://www.soccerplususa.com/prodimages//36780-REDWHITE-M.jpg")</f>
        <v/>
      </c>
      <c r="H4325">
        <f>_xludf.IMAGE("https://m.media-amazon.com/images/I/81o8g03CC7S._AC_UL320_.jpg")</f>
        <v/>
      </c>
      <c r="K4325" t="inlineStr">
        <is>
          <t>27.95</t>
        </is>
      </c>
      <c r="L4325" t="n">
        <v>24.37</v>
      </c>
      <c r="M4325" s="1" t="inlineStr">
        <is>
          <t>-12.81%</t>
        </is>
      </c>
      <c r="N4325" s="3" t="n">
        <v>-12.81</v>
      </c>
      <c r="O4325" t="n">
        <v>4.5</v>
      </c>
      <c r="P4325" t="n">
        <v>410</v>
      </c>
      <c r="R4325" t="inlineStr">
        <is>
          <t>InStock</t>
        </is>
      </c>
      <c r="S4325" t="inlineStr">
        <is>
          <t>undefined</t>
        </is>
      </c>
      <c r="T4325" t="inlineStr">
        <is>
          <t>703417-01</t>
        </is>
      </c>
    </row>
    <row r="4326" hidden="1" ht="15.75" customHeight="1">
      <c r="A4326" s="2">
        <f>HYPERLINK("https://www.soccerplususa.com/puma/puma-team-liga-all-weather-jacket-youth-42141", "https://www.soccerplususa.com/puma/puma-team-liga-all-weather-jacket-youth-42141")</f>
        <v/>
      </c>
      <c r="B4326" t="inlineStr">
        <is>
          <t>undefined</t>
        </is>
      </c>
      <c r="C4326" t="inlineStr">
        <is>
          <t>Puma Team Liga All Weather Jacket Youth</t>
        </is>
      </c>
      <c r="D4326" t="inlineStr">
        <is>
          <t>PUMA Kids' Teamliga All Weather Jacket</t>
        </is>
      </c>
      <c r="E4326" s="2">
        <f>HYPERLINK("https://www.amazon.com/PUMA-65724603-TeamLIGA-Weather-Jacket/dp/B091BP67J7/ref=sr_1_8?keywords=Puma+Team+Liga+All+Weather+Jacket+Youth&amp;qid=1695171144&amp;sr=8-8", "https://www.amazon.com/PUMA-65724603-TeamLIGA-Weather-Jacket/dp/B091BP67J7/ref=sr_1_8?keywords=Puma+Team+Liga+All+Weather+Jacket+Youth&amp;qid=1695171144&amp;sr=8-8")</f>
        <v/>
      </c>
      <c r="F4326" t="inlineStr">
        <is>
          <t>B091BP67J7</t>
        </is>
      </c>
      <c r="G4326">
        <f>_xludf.IMAGE("https://www.soccerplususa.com/prodimages//37890-BLACK-M.jpg")</f>
        <v/>
      </c>
      <c r="H4326">
        <f>_xludf.IMAGE("https://m.media-amazon.com/images/I/61RVI0ht+8S._AC_UL320_.jpg")</f>
        <v/>
      </c>
      <c r="K4326" t="inlineStr">
        <is>
          <t>54.95</t>
        </is>
      </c>
      <c r="L4326" t="n">
        <v>47.82</v>
      </c>
      <c r="M4326" s="1" t="inlineStr">
        <is>
          <t>-12.98%</t>
        </is>
      </c>
      <c r="N4326" s="3" t="n">
        <v>-12.98</v>
      </c>
      <c r="O4326" t="n">
        <v>3.8</v>
      </c>
      <c r="P4326" t="n">
        <v>13</v>
      </c>
      <c r="R4326" t="inlineStr">
        <is>
          <t>InStock</t>
        </is>
      </c>
      <c r="S4326" t="inlineStr">
        <is>
          <t>undefined</t>
        </is>
      </c>
      <c r="T4326" t="inlineStr">
        <is>
          <t>657246-03</t>
        </is>
      </c>
    </row>
    <row r="4327" hidden="1" ht="15.75" customHeight="1">
      <c r="A4327" s="2">
        <f>HYPERLINK("https://www.soccerplususa.com/adidas/adidas-essentials-hoodie-41596", "https://www.soccerplususa.com/adidas/adidas-essentials-hoodie-41596")</f>
        <v/>
      </c>
      <c r="B4327" t="inlineStr">
        <is>
          <t>undefined</t>
        </is>
      </c>
      <c r="C4327" t="inlineStr">
        <is>
          <t>adidas Essentials Hoodie</t>
        </is>
      </c>
      <c r="D4327" t="inlineStr">
        <is>
          <t>adidas Men's Essentials Fleece 3-Stripes Full-Zip Hoodie</t>
        </is>
      </c>
      <c r="E4327" s="2">
        <f>HYPERLINK("https://www.amazon.com/adidas-Essentials-3-stripes-Full-Zip-Heather/dp/B08M6J5TPP/ref=sr_1_4?keywords=adidas+Essentials+Hoodie&amp;qid=1695171148&amp;sr=8-4", "https://www.amazon.com/adidas-Essentials-3-stripes-Full-Zip-Heather/dp/B08M6J5TPP/ref=sr_1_4?keywords=adidas+Essentials+Hoodie&amp;qid=1695171148&amp;sr=8-4")</f>
        <v/>
      </c>
      <c r="F4327" t="inlineStr">
        <is>
          <t>B08M6J5TPP</t>
        </is>
      </c>
      <c r="G4327">
        <f>_xludf.IMAGE("https://www.soccerplususa.com/prodimages//35143-BLACKWHITE-M.jpg")</f>
        <v/>
      </c>
      <c r="H4327">
        <f>_xludf.IMAGE("https://m.media-amazon.com/images/I/81w5udfmgGL._AC_UL320_.jpg")</f>
        <v/>
      </c>
      <c r="K4327" t="inlineStr">
        <is>
          <t>44.99</t>
        </is>
      </c>
      <c r="L4327" t="n">
        <v>39</v>
      </c>
      <c r="M4327" s="1" t="inlineStr">
        <is>
          <t>-13.31%</t>
        </is>
      </c>
      <c r="N4327" s="3" t="n">
        <v>-13.31</v>
      </c>
      <c r="O4327" t="n">
        <v>4.7</v>
      </c>
      <c r="P4327" t="n">
        <v>3032</v>
      </c>
      <c r="R4327" t="inlineStr">
        <is>
          <t>InStock</t>
        </is>
      </c>
      <c r="S4327" t="inlineStr">
        <is>
          <t>59.95</t>
        </is>
      </c>
      <c r="T4327" t="inlineStr">
        <is>
          <t>GK9062</t>
        </is>
      </c>
    </row>
    <row r="4328" hidden="1" ht="15.75" customHeight="1">
      <c r="A4328" s="2">
        <f>HYPERLINK("https://www.soccerplususa.com/adidas/adidas-essentials-hoodie-41596", "https://www.soccerplususa.com/adidas/adidas-essentials-hoodie-41596")</f>
        <v/>
      </c>
      <c r="B4328" t="inlineStr">
        <is>
          <t>undefined</t>
        </is>
      </c>
      <c r="C4328" t="inlineStr">
        <is>
          <t>adidas Essentials Hoodie</t>
        </is>
      </c>
      <c r="D4328" t="inlineStr">
        <is>
          <t>adidas Originals Men's Trefoil Essentials Hoodie</t>
        </is>
      </c>
      <c r="E4328" s="2">
        <f>HYPERLINK("https://www.amazon.com/adidas-Originals-Trefoil-Essentials-Hoodie/dp/B0BHLK2KBX/ref=sr_1_1?keywords=adidas+Essentials+Hoodie&amp;qid=1695171148&amp;sr=8-1", "https://www.amazon.com/adidas-Originals-Trefoil-Essentials-Hoodie/dp/B0BHLK2KBX/ref=sr_1_1?keywords=adidas+Essentials+Hoodie&amp;qid=1695171148&amp;sr=8-1")</f>
        <v/>
      </c>
      <c r="F4328" t="inlineStr">
        <is>
          <t>B0BHLK2KBX</t>
        </is>
      </c>
      <c r="G4328">
        <f>_xludf.IMAGE("https://www.soccerplususa.com/prodimages//35143-BLACKWHITE-M.jpg")</f>
        <v/>
      </c>
      <c r="H4328">
        <f>_xludf.IMAGE("https://m.media-amazon.com/images/I/81v-HBT-viL._AC_UL320_.jpg")</f>
        <v/>
      </c>
      <c r="K4328" t="inlineStr">
        <is>
          <t>44.99</t>
        </is>
      </c>
      <c r="L4328" t="n">
        <v>38.97</v>
      </c>
      <c r="M4328" s="1" t="inlineStr">
        <is>
          <t>-13.38%</t>
        </is>
      </c>
      <c r="N4328" s="3" t="n">
        <v>-13.38</v>
      </c>
      <c r="O4328" t="n">
        <v>4.6</v>
      </c>
      <c r="P4328" t="n">
        <v>3</v>
      </c>
      <c r="R4328" t="inlineStr">
        <is>
          <t>InStock</t>
        </is>
      </c>
      <c r="S4328" t="inlineStr">
        <is>
          <t>59.95</t>
        </is>
      </c>
      <c r="T4328" t="inlineStr">
        <is>
          <t>GK9062</t>
        </is>
      </c>
    </row>
    <row r="4329" hidden="1" ht="15.75" customHeight="1">
      <c r="A4329" s="2">
        <f>HYPERLINK("https://www.soccerplususa.com/adidas/adidas-condivo-22-winter-jacket-42215", "https://www.soccerplususa.com/adidas/adidas-condivo-22-winter-jacket-42215")</f>
        <v/>
      </c>
      <c r="B4329" t="inlineStr">
        <is>
          <t>undefined</t>
        </is>
      </c>
      <c r="C4329" t="inlineStr">
        <is>
          <t>adidas Condivo 22 Winter Jacket</t>
        </is>
      </c>
      <c r="D4329" t="inlineStr">
        <is>
          <t>adidas Men's Soccer Condivo 22 Winter Jacket</t>
        </is>
      </c>
      <c r="E4329" s="2">
        <f>HYPERLINK("https://www.amazon.com/adidas-Soccer-Condivo-Winter-Jacket/dp/B09V1SK5K6/ref=sr_1_1?keywords=adidas+Condivo+22+Winter+Jacket&amp;qid=1695171144&amp;sr=8-1", "https://www.amazon.com/adidas-Soccer-Condivo-Winter-Jacket/dp/B09V1SK5K6/ref=sr_1_1?keywords=adidas+Condivo+22+Winter+Jacket&amp;qid=1695171144&amp;sr=8-1")</f>
        <v/>
      </c>
      <c r="F4329" t="inlineStr">
        <is>
          <t>B09V1SK5K6</t>
        </is>
      </c>
      <c r="G4329">
        <f>_xludf.IMAGE("https://www.soccerplususa.com/prodimages//35132-BLACKWHITE-M.jpg")</f>
        <v/>
      </c>
      <c r="H4329">
        <f>_xludf.IMAGE("https://m.media-amazon.com/images/I/71PJNuRJo1L._AC_UL320_.jpg")</f>
        <v/>
      </c>
      <c r="K4329" t="inlineStr">
        <is>
          <t>139.95</t>
        </is>
      </c>
      <c r="L4329" t="n">
        <v>119.99</v>
      </c>
      <c r="M4329" s="1" t="inlineStr">
        <is>
          <t>-14.26%</t>
        </is>
      </c>
      <c r="N4329" s="3" t="n">
        <v>-14.26</v>
      </c>
      <c r="O4329" t="n">
        <v>5</v>
      </c>
      <c r="P4329" t="n">
        <v>15</v>
      </c>
      <c r="R4329" t="inlineStr">
        <is>
          <t>InStock</t>
        </is>
      </c>
      <c r="S4329" t="inlineStr">
        <is>
          <t>undefined</t>
        </is>
      </c>
      <c r="T4329" t="inlineStr">
        <is>
          <t>H21280</t>
        </is>
      </c>
    </row>
    <row r="4330" hidden="1" ht="15.75" customHeight="1">
      <c r="A4330" s="2">
        <f>HYPERLINK("https://www.soccerplususa.com/adidas/adidas-condivo-22-winter-jacket-45454", "https://www.soccerplususa.com/adidas/adidas-condivo-22-winter-jacket-45454")</f>
        <v/>
      </c>
      <c r="B4330" t="inlineStr">
        <is>
          <t>undefined</t>
        </is>
      </c>
      <c r="C4330" t="inlineStr">
        <is>
          <t>adidas Condivo 22 Winter Jacket</t>
        </is>
      </c>
      <c r="D4330" t="inlineStr">
        <is>
          <t>adidas Men's Soccer Condivo 22 Winter Jacket</t>
        </is>
      </c>
      <c r="E4330" s="2">
        <f>HYPERLINK("https://www.amazon.com/adidas-Soccer-Condivo-Winter-Jacket/dp/B09V1SK5K6/ref=sr_1_1?keywords=adidas+Condivo+22+Winter+Jacket&amp;qid=1695171146&amp;sr=8-1", "https://www.amazon.com/adidas-Soccer-Condivo-Winter-Jacket/dp/B09V1SK5K6/ref=sr_1_1?keywords=adidas+Condivo+22+Winter+Jacket&amp;qid=1695171146&amp;sr=8-1")</f>
        <v/>
      </c>
      <c r="F4330" t="inlineStr">
        <is>
          <t>B09V1SK5K6</t>
        </is>
      </c>
      <c r="G4330">
        <f>_xludf.IMAGE("https://www.soccerplususa.com/prodimages//37456-BLACKWHITE-M.jpg")</f>
        <v/>
      </c>
      <c r="H4330">
        <f>_xludf.IMAGE("https://m.media-amazon.com/images/I/71PJNuRJo1L._AC_UL320_.jpg")</f>
        <v/>
      </c>
      <c r="K4330" t="inlineStr">
        <is>
          <t>139.95</t>
        </is>
      </c>
      <c r="L4330" t="n">
        <v>119.99</v>
      </c>
      <c r="M4330" s="1" t="inlineStr">
        <is>
          <t>-14.26%</t>
        </is>
      </c>
      <c r="N4330" s="3" t="n">
        <v>-14.26</v>
      </c>
      <c r="O4330" t="n">
        <v>5</v>
      </c>
      <c r="P4330" t="n">
        <v>15</v>
      </c>
      <c r="R4330" t="inlineStr">
        <is>
          <t>InStock</t>
        </is>
      </c>
      <c r="S4330" t="inlineStr">
        <is>
          <t>undefined</t>
        </is>
      </c>
      <c r="T4330" t="inlineStr">
        <is>
          <t>HT2542</t>
        </is>
      </c>
    </row>
    <row r="4331" hidden="1" ht="15.75" customHeight="1">
      <c r="A4331" s="2">
        <f>HYPERLINK("https://www.soccerplususa.com/under-armour/under-armour-coldgear-armour-fitted-mock-youth-41594", "https://www.soccerplususa.com/under-armour/under-armour-coldgear-armour-fitted-mock-youth-41594")</f>
        <v/>
      </c>
      <c r="B4331" t="inlineStr">
        <is>
          <t>undefined</t>
        </is>
      </c>
      <c r="C4331" t="inlineStr">
        <is>
          <t>Under Armour ColdGear Armour Fitted Mock Youth</t>
        </is>
      </c>
      <c r="D4331" t="inlineStr">
        <is>
          <t>Under Armour Men's ColdGear Fitted Crew</t>
        </is>
      </c>
      <c r="E4331" s="2">
        <f>HYPERLINK("https://www.amazon.com/Under-Armour-ColdGear-Fitted-X-Large/dp/B08LNZ94M7/ref=sr_1_6?keywords=Under+Armour+ColdGear+Armour+Fitted+Mock+Youth&amp;qid=1695171149&amp;sr=8-6", "https://www.amazon.com/Under-Armour-ColdGear-Fitted-X-Large/dp/B08LNZ94M7/ref=sr_1_6?keywords=Under+Armour+ColdGear+Armour+Fitted+Mock+Youth&amp;qid=1695171149&amp;sr=8-6")</f>
        <v/>
      </c>
      <c r="F4331" t="inlineStr">
        <is>
          <t>B08LNZ94M7</t>
        </is>
      </c>
      <c r="G4331">
        <f>_xludf.IMAGE("https://www.soccerplususa.com/prodimages//36053-WHITE-M.jpg")</f>
        <v/>
      </c>
      <c r="H4331">
        <f>_xludf.IMAGE("https://m.media-amazon.com/images/I/71+I+VK+RfL._AC_UL320_.jpg")</f>
        <v/>
      </c>
      <c r="K4331" t="inlineStr">
        <is>
          <t>39.95</t>
        </is>
      </c>
      <c r="L4331" t="n">
        <v>34.21</v>
      </c>
      <c r="M4331" s="1" t="inlineStr">
        <is>
          <t>-14.37%</t>
        </is>
      </c>
      <c r="N4331" s="3" t="n">
        <v>-14.37</v>
      </c>
      <c r="O4331" t="n">
        <v>4.8</v>
      </c>
      <c r="P4331" t="n">
        <v>612</v>
      </c>
      <c r="R4331" t="inlineStr">
        <is>
          <t>InStock</t>
        </is>
      </c>
      <c r="S4331" t="inlineStr">
        <is>
          <t>undefined</t>
        </is>
      </c>
      <c r="T4331" t="inlineStr">
        <is>
          <t>1366373-100</t>
        </is>
      </c>
    </row>
    <row r="4332" hidden="1" ht="15.75" customHeight="1">
      <c r="A4332" s="2">
        <f>HYPERLINK("https://www.soccerplususa.com/puma/puma-liga-jersey-youth-39601", "https://www.soccerplususa.com/puma/puma-liga-jersey-youth-39601")</f>
        <v/>
      </c>
      <c r="B4332" t="inlineStr">
        <is>
          <t>undefined</t>
        </is>
      </c>
      <c r="C4332" t="inlineStr">
        <is>
          <t>Puma Liga Jersey Youth</t>
        </is>
      </c>
      <c r="D4332" t="inlineStr">
        <is>
          <t>PUMA Youth Liga Jersey Core</t>
        </is>
      </c>
      <c r="E4332" s="2">
        <f>HYPERLINK("https://www.amazon.com/PUMA-Jersey-Redpuma-White-X-Large/dp/B07KWYRQKR/ref=sr_1_1?keywords=Puma+Liga+Jersey+Youth&amp;qid=1695171161&amp;sr=8-1", "https://www.amazon.com/PUMA-Jersey-Redpuma-White-X-Large/dp/B07KWYRQKR/ref=sr_1_1?keywords=Puma+Liga+Jersey+Youth&amp;qid=1695171161&amp;sr=8-1")</f>
        <v/>
      </c>
      <c r="F4332" t="inlineStr">
        <is>
          <t>B07KWYRQKR</t>
        </is>
      </c>
      <c r="G4332">
        <f>_xludf.IMAGE("https://www.soccerplususa.com/prodimages//36796-WHITE-M.jpg")</f>
        <v/>
      </c>
      <c r="H4332">
        <f>_xludf.IMAGE("https://m.media-amazon.com/images/I/71154h+V-SL._AC_UL320_.jpg")</f>
        <v/>
      </c>
      <c r="K4332" t="inlineStr">
        <is>
          <t>20.99</t>
        </is>
      </c>
      <c r="L4332" t="n">
        <v>17.95</v>
      </c>
      <c r="M4332" s="1" t="inlineStr">
        <is>
          <t>-14.48%</t>
        </is>
      </c>
      <c r="N4332" s="3" t="n">
        <v>-14.48</v>
      </c>
      <c r="O4332" t="n">
        <v>3.5</v>
      </c>
      <c r="P4332" t="n">
        <v>320</v>
      </c>
      <c r="R4332" t="inlineStr">
        <is>
          <t>InStock</t>
        </is>
      </c>
      <c r="S4332" t="inlineStr">
        <is>
          <t>27.95</t>
        </is>
      </c>
      <c r="T4332" t="inlineStr">
        <is>
          <t>703418-14</t>
        </is>
      </c>
    </row>
    <row r="4333" hidden="1" ht="15.75" customHeight="1">
      <c r="A4333" s="2">
        <f>HYPERLINK("https://www.soccerplususa.com/puma/puma-liga-jersey-37884", "https://www.soccerplususa.com/puma/puma-liga-jersey-37884")</f>
        <v/>
      </c>
      <c r="B4333" t="inlineStr">
        <is>
          <t>undefined</t>
        </is>
      </c>
      <c r="C4333" t="inlineStr">
        <is>
          <t>Puma Liga Jersey</t>
        </is>
      </c>
      <c r="D4333" t="inlineStr">
        <is>
          <t>PUMA Youth Liga Jersey Core</t>
        </is>
      </c>
      <c r="E4333" s="2">
        <f>HYPERLINK("https://www.amazon.com/PUMA-Mens-Jersey-Redpuma-White/dp/B07B8DXZYL/ref=sr_1_6?keywords=Puma+Liga+Jersey&amp;qid=1695171168&amp;sr=8-6", "https://www.amazon.com/PUMA-Mens-Jersey-Redpuma-White/dp/B07B8DXZYL/ref=sr_1_6?keywords=Puma+Liga+Jersey&amp;qid=1695171168&amp;sr=8-6")</f>
        <v/>
      </c>
      <c r="F4333" t="inlineStr">
        <is>
          <t>B07B8DXZYL</t>
        </is>
      </c>
      <c r="G4333">
        <f>_xludf.IMAGE("https://www.soccerplususa.com/prodimages//35270-NAVYWHITE-M.jpg")</f>
        <v/>
      </c>
      <c r="H4333">
        <f>_xludf.IMAGE("https://m.media-amazon.com/images/I/71154h+V-SL._AC_UL320_.jpg")</f>
        <v/>
      </c>
      <c r="K4333" t="inlineStr">
        <is>
          <t>20.99</t>
        </is>
      </c>
      <c r="L4333" t="n">
        <v>17.95</v>
      </c>
      <c r="M4333" s="1" t="inlineStr">
        <is>
          <t>-14.48%</t>
        </is>
      </c>
      <c r="N4333" s="3" t="n">
        <v>-14.48</v>
      </c>
      <c r="O4333" t="n">
        <v>3.5</v>
      </c>
      <c r="P4333" t="n">
        <v>320</v>
      </c>
      <c r="R4333" t="inlineStr">
        <is>
          <t>InStock</t>
        </is>
      </c>
      <c r="S4333" t="inlineStr">
        <is>
          <t>27.95</t>
        </is>
      </c>
      <c r="T4333" t="inlineStr">
        <is>
          <t>703417-06</t>
        </is>
      </c>
    </row>
    <row r="4334" hidden="1" ht="15.75" customHeight="1">
      <c r="A4334" s="2">
        <f>HYPERLINK("https://www.soccerplususa.com/adidas/adidas-tabela-18-jersey-womens-33806", "https://www.soccerplususa.com/adidas/adidas-tabela-18-jersey-womens-33806")</f>
        <v/>
      </c>
      <c r="B4334" t="inlineStr">
        <is>
          <t>undefined</t>
        </is>
      </c>
      <c r="C4334" t="inlineStr">
        <is>
          <t>adidas Tabela 18 Jersey Women's</t>
        </is>
      </c>
      <c r="D4334" t="inlineStr">
        <is>
          <t>adidas Women's Core 18 Training Jersey</t>
        </is>
      </c>
      <c r="E4334" s="2">
        <f>HYPERLINK("https://www.amazon.com/adidas-Womens-Core18-Jersey-Black/dp/B073H8C1NS/ref=sr_1_2?keywords=adidas+Tabela+18+Jersey+Womens&amp;qid=1695171171&amp;sr=8-2", "https://www.amazon.com/adidas-Womens-Core18-Jersey-Black/dp/B073H8C1NS/ref=sr_1_2?keywords=adidas+Tabela+18+Jersey+Womens&amp;qid=1695171171&amp;sr=8-2")</f>
        <v/>
      </c>
      <c r="F4334" t="inlineStr">
        <is>
          <t>B073H8C1NS</t>
        </is>
      </c>
      <c r="G4334">
        <f>_xludf.IMAGE("https://www.soccerplususa.com/prodimages/35358-DEFAULT-l.jpg")</f>
        <v/>
      </c>
      <c r="H4334">
        <f>_xludf.IMAGE("https://m.media-amazon.com/images/I/61PBjxrobcL._AC_UL320_.jpg")</f>
        <v/>
      </c>
      <c r="K4334" t="inlineStr">
        <is>
          <t>21.99</t>
        </is>
      </c>
      <c r="L4334" t="n">
        <v>18.77</v>
      </c>
      <c r="M4334" s="1" t="inlineStr">
        <is>
          <t>-14.64%</t>
        </is>
      </c>
      <c r="N4334" s="3" t="n">
        <v>-14.64</v>
      </c>
      <c r="O4334" t="n">
        <v>4.5</v>
      </c>
      <c r="P4334" t="n">
        <v>2334</v>
      </c>
      <c r="R4334" t="inlineStr">
        <is>
          <t>InStock</t>
        </is>
      </c>
      <c r="S4334" t="inlineStr">
        <is>
          <t>29.95</t>
        </is>
      </c>
      <c r="T4334" t="inlineStr">
        <is>
          <t>CE8932</t>
        </is>
      </c>
    </row>
    <row r="4335" hidden="1" ht="15.75" customHeight="1">
      <c r="A4335" s="2">
        <f>HYPERLINK("https://www.soccerplususa.com/adidas/adidas-tabela-18-jersey-womens-33807", "https://www.soccerplususa.com/adidas/adidas-tabela-18-jersey-womens-33807")</f>
        <v/>
      </c>
      <c r="B4335" t="inlineStr">
        <is>
          <t>undefined</t>
        </is>
      </c>
      <c r="C4335" t="inlineStr">
        <is>
          <t>adidas Tabela 18 Jersey Women's</t>
        </is>
      </c>
      <c r="D4335" t="inlineStr">
        <is>
          <t>adidas Women's Core 18 Training Jersey</t>
        </is>
      </c>
      <c r="E4335" s="2">
        <f>HYPERLINK("https://www.amazon.com/adidas-Womens-Core18-Jersey-Black/dp/B073H8C1NS/ref=sr_1_2?keywords=adidas+Tabela+18+Jersey+Womens&amp;qid=1695171168&amp;sr=8-2", "https://www.amazon.com/adidas-Womens-Core18-Jersey-Black/dp/B073H8C1NS/ref=sr_1_2?keywords=adidas+Tabela+18+Jersey+Womens&amp;qid=1695171168&amp;sr=8-2")</f>
        <v/>
      </c>
      <c r="F4335" t="inlineStr">
        <is>
          <t>B073H8C1NS</t>
        </is>
      </c>
      <c r="G4335">
        <f>_xludf.IMAGE("https://www.soccerplususa.com/prodimages/35357-DEFAULT-l.jpg")</f>
        <v/>
      </c>
      <c r="H4335">
        <f>_xludf.IMAGE("https://m.media-amazon.com/images/I/61PBjxrobcL._AC_UL320_.jpg")</f>
        <v/>
      </c>
      <c r="K4335" t="inlineStr">
        <is>
          <t>21.99</t>
        </is>
      </c>
      <c r="L4335" t="n">
        <v>18.77</v>
      </c>
      <c r="M4335" s="1" t="inlineStr">
        <is>
          <t>-14.64%</t>
        </is>
      </c>
      <c r="N4335" s="3" t="n">
        <v>-14.64</v>
      </c>
      <c r="O4335" t="n">
        <v>4.5</v>
      </c>
      <c r="P4335" t="n">
        <v>2334</v>
      </c>
      <c r="R4335" t="inlineStr">
        <is>
          <t>InStock</t>
        </is>
      </c>
      <c r="S4335" t="inlineStr">
        <is>
          <t>29.95</t>
        </is>
      </c>
      <c r="T4335" t="inlineStr">
        <is>
          <t>CE8933</t>
        </is>
      </c>
    </row>
    <row r="4336" hidden="1" ht="15.75" customHeight="1">
      <c r="A4336" s="2">
        <f>HYPERLINK("https://www.soccerplususa.com/under-armour/under-armour-cold-gear-armour-crew-youth-33312", "https://www.soccerplususa.com/under-armour/under-armour-cold-gear-armour-crew-youth-33312")</f>
        <v/>
      </c>
      <c r="B4336" t="inlineStr">
        <is>
          <t>undefined</t>
        </is>
      </c>
      <c r="C4336" t="inlineStr">
        <is>
          <t>Under Armour Cold Gear Armour Crew Youth</t>
        </is>
      </c>
      <c r="D4336" t="inlineStr">
        <is>
          <t>Under Armour Men's ColdGear Fitted Crew</t>
        </is>
      </c>
      <c r="E4336" s="2">
        <f>HYPERLINK("https://www.amazon.com/Under-Armour-ColdGear-Fitted-Medium/dp/B08LP1BVL2/ref=sr_1_6?keywords=Under+Armour+Cold+Gear+Armour+Crew+Youth&amp;qid=1695171168&amp;sr=8-6", "https://www.amazon.com/Under-Armour-ColdGear-Fitted-Medium/dp/B08LP1BVL2/ref=sr_1_6?keywords=Under+Armour+Cold+Gear+Armour+Crew+Youth&amp;qid=1695171168&amp;sr=8-6")</f>
        <v/>
      </c>
      <c r="F4336" t="inlineStr">
        <is>
          <t>B08LP1BVL2</t>
        </is>
      </c>
      <c r="G4336">
        <f>_xludf.IMAGE("https://www.soccerplususa.com/prodimages/5584-DEFAULT-l.jpg")</f>
        <v/>
      </c>
      <c r="H4336">
        <f>_xludf.IMAGE("https://m.media-amazon.com/images/I/71+I+VK+RfL._AC_UL320_.jpg")</f>
        <v/>
      </c>
      <c r="K4336" t="inlineStr">
        <is>
          <t>39.95</t>
        </is>
      </c>
      <c r="L4336" t="n">
        <v>34.03</v>
      </c>
      <c r="M4336" s="1" t="inlineStr">
        <is>
          <t>-14.82%</t>
        </is>
      </c>
      <c r="N4336" s="3" t="n">
        <v>-14.82</v>
      </c>
      <c r="O4336" t="n">
        <v>4.8</v>
      </c>
      <c r="P4336" t="n">
        <v>612</v>
      </c>
      <c r="R4336" t="inlineStr">
        <is>
          <t>InStock</t>
        </is>
      </c>
      <c r="S4336" t="inlineStr">
        <is>
          <t>undefined</t>
        </is>
      </c>
      <c r="T4336" t="inlineStr">
        <is>
          <t>1288344-001</t>
        </is>
      </c>
    </row>
    <row r="4337" hidden="1" ht="15.75" customHeight="1">
      <c r="A4337" s="2">
        <f>HYPERLINK("https://www.soccerplususa.com/puma/puma-liga-hooped-jersey-youth-35527", "https://www.soccerplususa.com/puma/puma-liga-hooped-jersey-youth-35527")</f>
        <v/>
      </c>
      <c r="B4337" t="inlineStr">
        <is>
          <t>undefined</t>
        </is>
      </c>
      <c r="C4337" t="inlineStr">
        <is>
          <t>Puma Liga Hooped Jersey Youth</t>
        </is>
      </c>
      <c r="D4337" t="inlineStr">
        <is>
          <t>PUMA Unisex Youth Liga Jersey Core, Cyber Yellow/Black, M</t>
        </is>
      </c>
      <c r="E4337" s="2">
        <f>HYPERLINK("https://www.amazon.com/PUMA-Jersey-Cyber-Yellowpuma-Black/dp/B07KWYYR1G/ref=sr_1_8?keywords=Puma+Liga+Hooped+Jersey+Youth&amp;qid=1695171171&amp;sr=8-8", "https://www.amazon.com/PUMA-Jersey-Cyber-Yellowpuma-Black/dp/B07KWYYR1G/ref=sr_1_8?keywords=Puma+Liga+Hooped+Jersey+Youth&amp;qid=1695171171&amp;sr=8-8")</f>
        <v/>
      </c>
      <c r="F4337" t="inlineStr">
        <is>
          <t>B07KWYYR1G</t>
        </is>
      </c>
      <c r="G4337">
        <f>_xludf.IMAGE("https://www.soccerplususa.com/prodimages/32670-DEFAULT-l.jpg")</f>
        <v/>
      </c>
      <c r="H4337">
        <f>_xludf.IMAGE("https://m.media-amazon.com/images/I/61vDxC4BEBL._AC_UL320_.jpg")</f>
        <v/>
      </c>
      <c r="K4337" t="inlineStr">
        <is>
          <t>30.0</t>
        </is>
      </c>
      <c r="L4337" t="n">
        <v>25.5</v>
      </c>
      <c r="M4337" s="1" t="inlineStr">
        <is>
          <t>-15.00%</t>
        </is>
      </c>
      <c r="N4337" s="3" t="n">
        <v>-15</v>
      </c>
      <c r="O4337" t="n">
        <v>3.2</v>
      </c>
      <c r="P4337" t="n">
        <v>17</v>
      </c>
      <c r="R4337" t="inlineStr">
        <is>
          <t>InStock</t>
        </is>
      </c>
      <c r="S4337" t="inlineStr">
        <is>
          <t>39.95</t>
        </is>
      </c>
      <c r="T4337" t="inlineStr">
        <is>
          <t>703423-02</t>
        </is>
      </c>
    </row>
    <row r="4338" hidden="1" ht="15.75" customHeight="1">
      <c r="A4338" s="2">
        <f>HYPERLINK("https://www.soccerplususa.com/adidas/adidas-tiro-17-jersey-4869", "https://www.soccerplususa.com/adidas/adidas-tiro-17-jersey-4869")</f>
        <v/>
      </c>
      <c r="B4338" t="inlineStr">
        <is>
          <t>undefined</t>
        </is>
      </c>
      <c r="C4338" t="inlineStr">
        <is>
          <t>adidas Tiro 17 Jersey</t>
        </is>
      </c>
      <c r="D4338" t="inlineStr">
        <is>
          <t>adidas Tiro 17 Mens Soccer Training Jersey</t>
        </is>
      </c>
      <c r="E4338" s="2">
        <f>HYPERLINK("https://www.amazon.com/adidas-Training-Jersey-White-Black/dp/B01M29BN8D/ref=sr_1_5?keywords=adidas+Tiro+17+Jersey&amp;qid=1695171236&amp;sr=8-5", "https://www.amazon.com/adidas-Training-Jersey-White-Black/dp/B01M29BN8D/ref=sr_1_5?keywords=adidas+Tiro+17+Jersey&amp;qid=1695171236&amp;sr=8-5")</f>
        <v/>
      </c>
      <c r="F4338" t="inlineStr">
        <is>
          <t>B01M29BN8D</t>
        </is>
      </c>
      <c r="G4338">
        <f>_xludf.IMAGE("https://www.soccerplususa.com/prodimages/7451-DEFAULT-l.jpg")</f>
        <v/>
      </c>
      <c r="H4338">
        <f>_xludf.IMAGE("https://m.media-amazon.com/images/I/51KCXIG2tsL._AC_UL320_.jpg")</f>
        <v/>
      </c>
      <c r="K4338" t="inlineStr">
        <is>
          <t>20.0</t>
        </is>
      </c>
      <c r="L4338" t="n">
        <v>16.99</v>
      </c>
      <c r="M4338" s="1" t="inlineStr">
        <is>
          <t>-15.05%</t>
        </is>
      </c>
      <c r="N4338" s="3" t="n">
        <v>-15.05</v>
      </c>
      <c r="O4338" t="n">
        <v>4.2</v>
      </c>
      <c r="P4338" t="n">
        <v>51</v>
      </c>
      <c r="R4338" t="inlineStr">
        <is>
          <t>InStock</t>
        </is>
      </c>
      <c r="S4338" t="inlineStr">
        <is>
          <t>39.95</t>
        </is>
      </c>
      <c r="T4338" t="inlineStr">
        <is>
          <t>BK5437</t>
        </is>
      </c>
    </row>
    <row r="4339" hidden="1" ht="15.75" customHeight="1">
      <c r="A4339" s="2">
        <f>HYPERLINK("https://www.soccerplususa.com/adidas/adidas-tiro-17-jersey-4871", "https://www.soccerplususa.com/adidas/adidas-tiro-17-jersey-4871")</f>
        <v/>
      </c>
      <c r="B4339" t="inlineStr">
        <is>
          <t>undefined</t>
        </is>
      </c>
      <c r="C4339" t="inlineStr">
        <is>
          <t>adidas Tiro 17 Jersey</t>
        </is>
      </c>
      <c r="D4339" t="inlineStr">
        <is>
          <t>adidas Tiro 17 Mens Soccer Training Jersey</t>
        </is>
      </c>
      <c r="E4339" s="2">
        <f>HYPERLINK("https://www.amazon.com/adidas-Training-Jersey-White-Black/dp/B01M29BN8D/ref=sr_1_4?keywords=adidas+Tiro+17+Jersey&amp;qid=1695171224&amp;sr=8-4", "https://www.amazon.com/adidas-Training-Jersey-White-Black/dp/B01M29BN8D/ref=sr_1_4?keywords=adidas+Tiro+17+Jersey&amp;qid=1695171224&amp;sr=8-4")</f>
        <v/>
      </c>
      <c r="F4339" t="inlineStr">
        <is>
          <t>B01M29BN8D</t>
        </is>
      </c>
      <c r="G4339">
        <f>_xludf.IMAGE("https://www.soccerplususa.com/prodimages/31717-DEFAULT-l.jpg")</f>
        <v/>
      </c>
      <c r="H4339">
        <f>_xludf.IMAGE("https://m.media-amazon.com/images/I/51KCXIG2tsL._AC_UL320_.jpg")</f>
        <v/>
      </c>
      <c r="K4339" t="inlineStr">
        <is>
          <t>20.0</t>
        </is>
      </c>
      <c r="L4339" t="n">
        <v>16.99</v>
      </c>
      <c r="M4339" s="1" t="inlineStr">
        <is>
          <t>-15.05%</t>
        </is>
      </c>
      <c r="N4339" s="3" t="n">
        <v>-15.05</v>
      </c>
      <c r="O4339" t="n">
        <v>4.2</v>
      </c>
      <c r="P4339" t="n">
        <v>51</v>
      </c>
      <c r="R4339" t="inlineStr">
        <is>
          <t>InStock</t>
        </is>
      </c>
      <c r="S4339" t="inlineStr">
        <is>
          <t>39.95</t>
        </is>
      </c>
      <c r="T4339" t="inlineStr">
        <is>
          <t>BK5439</t>
        </is>
      </c>
    </row>
    <row r="4340" hidden="1" ht="15.75" customHeight="1">
      <c r="A4340" s="2">
        <f>HYPERLINK("https://www.soccerplususa.com/under-armour/under-armour-coldgear-compression-mock-44300", "https://www.soccerplususa.com/under-armour/under-armour-coldgear-compression-mock-44300")</f>
        <v/>
      </c>
      <c r="B4340" t="inlineStr">
        <is>
          <t>undefined</t>
        </is>
      </c>
      <c r="C4340" t="inlineStr">
        <is>
          <t>Under Armour ColdGear Compression Mock</t>
        </is>
      </c>
      <c r="D4340" t="inlineStr">
        <is>
          <t>Under Armour 2015 Mens Evo ColdGear Compression LS Thermal Winter Baselayer Mock</t>
        </is>
      </c>
      <c r="E4340" s="2">
        <f>HYPERLINK("https://www.amazon.com/Under-Armour-Coldgear-Compression-Mock/dp/B00GOGMSZO/ref=sr_1_5?keywords=Under+Armour+ColdGear+Compression+Mock&amp;qid=1695171160&amp;sr=8-5", "https://www.amazon.com/Under-Armour-Coldgear-Compression-Mock/dp/B00GOGMSZO/ref=sr_1_5?keywords=Under+Armour+ColdGear+Compression+Mock&amp;qid=1695171160&amp;sr=8-5")</f>
        <v/>
      </c>
      <c r="F4340" t="inlineStr">
        <is>
          <t>B00GOGMSZO</t>
        </is>
      </c>
      <c r="G4340">
        <f>_xludf.IMAGE("https://www.soccerplususa.com/prodimages//36057-BLACK-M.jpg")</f>
        <v/>
      </c>
      <c r="H4340">
        <f>_xludf.IMAGE("https://m.media-amazon.com/images/I/51zIE9uMmkL._AC_UL320_.jpg")</f>
        <v/>
      </c>
      <c r="K4340" t="inlineStr">
        <is>
          <t>54.95</t>
        </is>
      </c>
      <c r="L4340" t="n">
        <v>46</v>
      </c>
      <c r="M4340" s="1" t="inlineStr">
        <is>
          <t>-16.29%</t>
        </is>
      </c>
      <c r="N4340" s="3" t="n">
        <v>-16.29</v>
      </c>
      <c r="O4340" t="n">
        <v>4</v>
      </c>
      <c r="P4340" t="n">
        <v>24</v>
      </c>
      <c r="R4340" t="inlineStr">
        <is>
          <t>InStock</t>
        </is>
      </c>
      <c r="S4340" t="inlineStr">
        <is>
          <t>undefined</t>
        </is>
      </c>
      <c r="T4340" t="inlineStr">
        <is>
          <t>1366072-001</t>
        </is>
      </c>
    </row>
    <row r="4341" hidden="1" ht="15.75" customHeight="1">
      <c r="A4341" s="2">
        <f>HYPERLINK("https://www.soccerplususa.com/puma/puma-bench-jacket-42494", "https://www.soccerplususa.com/puma/puma-bench-jacket-42494")</f>
        <v/>
      </c>
      <c r="B4341" t="inlineStr">
        <is>
          <t>undefined</t>
        </is>
      </c>
      <c r="C4341" t="inlineStr">
        <is>
          <t>Puma Bench Jacket</t>
        </is>
      </c>
      <c r="D4341" t="inlineStr">
        <is>
          <t>PUMA Kids' Bench Jacket</t>
        </is>
      </c>
      <c r="E4341" s="2">
        <f>HYPERLINK("https://www.amazon.com/PUMA-65726903-Bench-Jacket/dp/B091BLW13T/ref=sr_1_3?keywords=Puma+Bench+Jacket&amp;qid=1695171144&amp;sr=8-3", "https://www.amazon.com/PUMA-65726903-Bench-Jacket/dp/B091BLW13T/ref=sr_1_3?keywords=Puma+Bench+Jacket&amp;qid=1695171144&amp;sr=8-3")</f>
        <v/>
      </c>
      <c r="F4341" t="inlineStr">
        <is>
          <t>B091BLW13T</t>
        </is>
      </c>
      <c r="G4341">
        <f>_xludf.IMAGE("https://www.soccerplususa.com/prodimages//35571-BLACKWHITE-M.jpg")</f>
        <v/>
      </c>
      <c r="H4341">
        <f>_xludf.IMAGE("https://m.media-amazon.com/images/I/61aH3fioCnS._AC_UL320_.jpg")</f>
        <v/>
      </c>
      <c r="K4341" t="inlineStr">
        <is>
          <t>99.95</t>
        </is>
      </c>
      <c r="L4341" t="n">
        <v>83.45</v>
      </c>
      <c r="M4341" s="1" t="inlineStr">
        <is>
          <t>-16.51%</t>
        </is>
      </c>
      <c r="N4341" s="3" t="n">
        <v>-16.51</v>
      </c>
      <c r="O4341" t="n">
        <v>4.6</v>
      </c>
      <c r="P4341" t="n">
        <v>3</v>
      </c>
      <c r="R4341" t="inlineStr">
        <is>
          <t>InStock</t>
        </is>
      </c>
      <c r="S4341" t="inlineStr">
        <is>
          <t>undefined</t>
        </is>
      </c>
      <c r="T4341" t="inlineStr">
        <is>
          <t>657268-03</t>
        </is>
      </c>
    </row>
    <row r="4342" hidden="1" ht="15.75" customHeight="1">
      <c r="A4342" s="2">
        <f>HYPERLINK("https://www.soccerplususa.com/storelli-sports/storelli-bodyshield-sleeveless-undershirt-32102", "https://www.soccerplususa.com/storelli-sports/storelli-bodyshield-sleeveless-undershirt-32102")</f>
        <v/>
      </c>
      <c r="B4342" t="inlineStr">
        <is>
          <t>undefined</t>
        </is>
      </c>
      <c r="C4342" t="inlineStr">
        <is>
          <t>Storelli BodyShield Sleeveless Undershirt</t>
        </is>
      </c>
      <c r="D4342" t="inlineStr">
        <is>
          <t>Storelli BodyShield Sleeveless Undershirt | Protective Soccer Base Layer | Lightweight Compression Top</t>
        </is>
      </c>
      <c r="E4342" s="2">
        <f>HYPERLINK("https://www.amazon.com/Storelli-BSFPTOPNSWHS-BodyShield-Sleeveless-Undershirt/dp/B00N4VYI7S/ref=sr_1_fkmr0_1?keywords=Storelli+BodyShield+Sleeveless+Undershirt&amp;qid=1695171181&amp;sr=8-1-fkmr0", "https://www.amazon.com/Storelli-BSFPTOPNSWHS-BodyShield-Sleeveless-Undershirt/dp/B00N4VYI7S/ref=sr_1_fkmr0_1?keywords=Storelli+BodyShield+Sleeveless+Undershirt&amp;qid=1695171181&amp;sr=8-1-fkmr0")</f>
        <v/>
      </c>
      <c r="F4342" t="inlineStr">
        <is>
          <t>B00N4VYI7S</t>
        </is>
      </c>
      <c r="G4342">
        <f>_xludf.IMAGE("https://www.soccerplususa.com/prodimages/2096-DEFAULT-l.jpg")</f>
        <v/>
      </c>
      <c r="H4342">
        <f>_xludf.IMAGE("https://m.media-amazon.com/images/I/51XihgDpk7L._AC_UL320_.jpg")</f>
        <v/>
      </c>
      <c r="K4342" t="inlineStr">
        <is>
          <t>59.95</t>
        </is>
      </c>
      <c r="L4342" t="n">
        <v>49.99</v>
      </c>
      <c r="M4342" s="1" t="inlineStr">
        <is>
          <t>-16.61%</t>
        </is>
      </c>
      <c r="N4342" s="3" t="n">
        <v>-16.61</v>
      </c>
      <c r="O4342" t="n">
        <v>4.9</v>
      </c>
      <c r="P4342" t="n">
        <v>16</v>
      </c>
      <c r="R4342" t="inlineStr">
        <is>
          <t>InStock</t>
        </is>
      </c>
      <c r="S4342" t="inlineStr">
        <is>
          <t>undefined</t>
        </is>
      </c>
      <c r="T4342" t="inlineStr">
        <is>
          <t>BSFPTOPNSBK</t>
        </is>
      </c>
    </row>
    <row r="4343" hidden="1" ht="15.75" customHeight="1">
      <c r="A4343" s="2">
        <f>HYPERLINK("https://www.soccerplususa.com/adidas/adidas-condivo-22-winter-jacket-youth-42365", "https://www.soccerplususa.com/adidas/adidas-condivo-22-winter-jacket-youth-42365")</f>
        <v/>
      </c>
      <c r="B4343" t="inlineStr">
        <is>
          <t>undefined</t>
        </is>
      </c>
      <c r="C4343" t="inlineStr">
        <is>
          <t>adidas Condivo 22 Winter Jacket Youth</t>
        </is>
      </c>
      <c r="D4343" t="inlineStr">
        <is>
          <t>adidas Condivo 22 Winter Jacket Kids'</t>
        </is>
      </c>
      <c r="E4343" s="2">
        <f>HYPERLINK("https://www.amazon.com/adidas-Condivo-Winter-Jacket-Black/dp/B0BCL39HDC/ref=sr_1_1?keywords=adidas+Condivo+22+Winter+Jacket+Youth&amp;qid=1695171145&amp;sr=8-1", "https://www.amazon.com/adidas-Condivo-Winter-Jacket-Black/dp/B0BCL39HDC/ref=sr_1_1?keywords=adidas+Condivo+22+Winter+Jacket+Youth&amp;qid=1695171145&amp;sr=8-1")</f>
        <v/>
      </c>
      <c r="F4343" t="inlineStr">
        <is>
          <t>B0BCL39HDC</t>
        </is>
      </c>
      <c r="G4343">
        <f>_xludf.IMAGE("https://www.soccerplususa.com/prodimages//35161-BLACKWHITE-M.jpg")</f>
        <v/>
      </c>
      <c r="H4343">
        <f>_xludf.IMAGE("https://m.media-amazon.com/images/I/41lMBZeQn3L._AC_UL320_.jpg")</f>
        <v/>
      </c>
      <c r="K4343" t="inlineStr">
        <is>
          <t>119.95</t>
        </is>
      </c>
      <c r="L4343" t="n">
        <v>99.98999999999999</v>
      </c>
      <c r="M4343" s="1" t="inlineStr">
        <is>
          <t>-16.64%</t>
        </is>
      </c>
      <c r="N4343" s="3" t="n">
        <v>-16.64</v>
      </c>
      <c r="O4343" t="n">
        <v>4</v>
      </c>
      <c r="P4343" t="n">
        <v>1</v>
      </c>
      <c r="R4343" t="inlineStr">
        <is>
          <t>InStock</t>
        </is>
      </c>
      <c r="S4343" t="inlineStr">
        <is>
          <t>undefined</t>
        </is>
      </c>
      <c r="T4343" t="inlineStr">
        <is>
          <t>H21284</t>
        </is>
      </c>
    </row>
    <row r="4344" hidden="1" ht="15.75" customHeight="1">
      <c r="A4344" s="2">
        <f>HYPERLINK("https://www.soccerplususa.com/adidas/adidas-condivo-22-winter-jacket-youth-45455", "https://www.soccerplususa.com/adidas/adidas-condivo-22-winter-jacket-youth-45455")</f>
        <v/>
      </c>
      <c r="B4344" t="inlineStr">
        <is>
          <t>undefined</t>
        </is>
      </c>
      <c r="C4344" t="inlineStr">
        <is>
          <t>adidas Condivo 22 Winter Jacket Youth</t>
        </is>
      </c>
      <c r="D4344" t="inlineStr">
        <is>
          <t>adidas Condivo 22 Winter Jacket Kids'</t>
        </is>
      </c>
      <c r="E4344" s="2">
        <f>HYPERLINK("https://www.amazon.com/adidas-Condivo-Winter-Jacket-Black/dp/B0BCL39HDC/ref=sr_1_1?keywords=adidas+Condivo+22+Winter+Jacket+Youth&amp;qid=1695171144&amp;sr=8-1", "https://www.amazon.com/adidas-Condivo-Winter-Jacket-Black/dp/B0BCL39HDC/ref=sr_1_1?keywords=adidas+Condivo+22+Winter+Jacket+Youth&amp;qid=1695171144&amp;sr=8-1")</f>
        <v/>
      </c>
      <c r="F4344" t="inlineStr">
        <is>
          <t>B0BCL39HDC</t>
        </is>
      </c>
      <c r="G4344">
        <f>_xludf.IMAGE("https://www.soccerplususa.com/prodimages//37387-BLACKWHITE-M.jpg")</f>
        <v/>
      </c>
      <c r="H4344">
        <f>_xludf.IMAGE("https://m.media-amazon.com/images/I/41lMBZeQn3L._AC_UL320_.jpg")</f>
        <v/>
      </c>
      <c r="K4344" t="inlineStr">
        <is>
          <t>119.95</t>
        </is>
      </c>
      <c r="L4344" t="n">
        <v>99.98999999999999</v>
      </c>
      <c r="M4344" s="1" t="inlineStr">
        <is>
          <t>-16.64%</t>
        </is>
      </c>
      <c r="N4344" s="3" t="n">
        <v>-16.64</v>
      </c>
      <c r="O4344" t="n">
        <v>4</v>
      </c>
      <c r="P4344" t="n">
        <v>1</v>
      </c>
      <c r="R4344" t="inlineStr">
        <is>
          <t>InStock</t>
        </is>
      </c>
      <c r="S4344" t="inlineStr">
        <is>
          <t>undefined</t>
        </is>
      </c>
      <c r="T4344" t="inlineStr">
        <is>
          <t>IC2239</t>
        </is>
      </c>
    </row>
    <row r="4345" hidden="1" ht="15.75" customHeight="1">
      <c r="A4345" s="2">
        <f>HYPERLINK("https://www.soccerplususa.com/adidas/adidas-tiro-17-jersey-33798", "https://www.soccerplususa.com/adidas/adidas-tiro-17-jersey-33798")</f>
        <v/>
      </c>
      <c r="B4345" t="inlineStr">
        <is>
          <t>undefined</t>
        </is>
      </c>
      <c r="C4345" t="inlineStr">
        <is>
          <t>adidas Tiro 17 Jersey</t>
        </is>
      </c>
      <c r="D4345" t="inlineStr">
        <is>
          <t>adidas Climacool TIRO 17 Soccer Jersey Womens Active Shirts &amp; Tees</t>
        </is>
      </c>
      <c r="E4345" s="2">
        <f>HYPERLINK("https://www.amazon.com/adidas-Climacool-Soccer-Jersey-Womens/dp/B0BM3MSHQ6/ref=sr_1_1?keywords=adidas+Tiro+17+Jersey&amp;qid=1695171166&amp;sr=8-1", "https://www.amazon.com/adidas-Climacool-Soccer-Jersey-Womens/dp/B0BM3MSHQ6/ref=sr_1_1?keywords=adidas+Tiro+17+Jersey&amp;qid=1695171166&amp;sr=8-1")</f>
        <v/>
      </c>
      <c r="F4345" t="inlineStr">
        <is>
          <t>B0BM3MSHQ6</t>
        </is>
      </c>
      <c r="G4345">
        <f>_xludf.IMAGE("https://www.soccerplususa.com/prodimages/7452-DEFAULT-l.jpg")</f>
        <v/>
      </c>
      <c r="H4345">
        <f>_xludf.IMAGE("https://m.media-amazon.com/images/I/41vbz2JJbLL._AC_UL320_.jpg")</f>
        <v/>
      </c>
      <c r="K4345" t="inlineStr">
        <is>
          <t>23.97</t>
        </is>
      </c>
      <c r="L4345" t="n">
        <v>19.91</v>
      </c>
      <c r="M4345" s="1" t="inlineStr">
        <is>
          <t>-16.94%</t>
        </is>
      </c>
      <c r="N4345" s="3" t="n">
        <v>-16.94</v>
      </c>
      <c r="O4345" t="n">
        <v>5</v>
      </c>
      <c r="P4345" t="n">
        <v>3</v>
      </c>
      <c r="R4345" t="inlineStr">
        <is>
          <t>InStock</t>
        </is>
      </c>
      <c r="S4345" t="inlineStr">
        <is>
          <t>39.95</t>
        </is>
      </c>
      <c r="T4345" t="inlineStr">
        <is>
          <t>BS4216</t>
        </is>
      </c>
    </row>
    <row r="4346" hidden="1" ht="15.75" customHeight="1">
      <c r="A4346" s="2">
        <f>HYPERLINK("https://www.soccerplususa.com/adidas/adidas-condivo-22-winter-jacket-youth-42365", "https://www.soccerplususa.com/adidas/adidas-condivo-22-winter-jacket-youth-42365")</f>
        <v/>
      </c>
      <c r="B4346" t="inlineStr">
        <is>
          <t>undefined</t>
        </is>
      </c>
      <c r="C4346" t="inlineStr">
        <is>
          <t>adidas Condivo 22 Winter Jacket Youth</t>
        </is>
      </c>
      <c r="D4346" t="inlineStr">
        <is>
          <t>adidas Youth Soccer Condivo 18 Winter Jacket - Kid's Soccer</t>
        </is>
      </c>
      <c r="E4346" s="2">
        <f>HYPERLINK("https://www.amazon.com/adidas-Soccer-Condivo-Winter-Jacket/dp/B078LC9YKV/ref=sr_1_6?keywords=adidas+Condivo+22+Winter+Jacket+Youth&amp;qid=1695171145&amp;sr=8-6", "https://www.amazon.com/adidas-Soccer-Condivo-Winter-Jacket/dp/B078LC9YKV/ref=sr_1_6?keywords=adidas+Condivo+22+Winter+Jacket+Youth&amp;qid=1695171145&amp;sr=8-6")</f>
        <v/>
      </c>
      <c r="F4346" t="inlineStr">
        <is>
          <t>B078LC9YKV</t>
        </is>
      </c>
      <c r="G4346">
        <f>_xludf.IMAGE("https://www.soccerplususa.com/prodimages//35161-BLACKWHITE-M.jpg")</f>
        <v/>
      </c>
      <c r="H4346">
        <f>_xludf.IMAGE("https://m.media-amazon.com/images/I/41o7dZPORXL._AC_UL320_.jpg")</f>
        <v/>
      </c>
      <c r="K4346" t="inlineStr">
        <is>
          <t>119.95</t>
        </is>
      </c>
      <c r="L4346" t="n">
        <v>99.31</v>
      </c>
      <c r="M4346" s="1" t="inlineStr">
        <is>
          <t>-17.21%</t>
        </is>
      </c>
      <c r="N4346" s="3" t="n">
        <v>-17.21</v>
      </c>
      <c r="O4346" t="n">
        <v>4.1</v>
      </c>
      <c r="P4346" t="n">
        <v>14</v>
      </c>
      <c r="R4346" t="inlineStr">
        <is>
          <t>InStock</t>
        </is>
      </c>
      <c r="S4346" t="inlineStr">
        <is>
          <t>undefined</t>
        </is>
      </c>
      <c r="T4346" t="inlineStr">
        <is>
          <t>H21284</t>
        </is>
      </c>
    </row>
    <row r="4347" hidden="1" ht="15.75" customHeight="1">
      <c r="A4347" s="2">
        <f>HYPERLINK("https://www.soccerplususa.com/puma/puma-liga-jersey-womens-39602", "https://www.soccerplususa.com/puma/puma-liga-jersey-womens-39602")</f>
        <v/>
      </c>
      <c r="B4347" t="inlineStr">
        <is>
          <t>undefined</t>
        </is>
      </c>
      <c r="C4347" t="inlineStr">
        <is>
          <t>Puma Liga Jersey Women's</t>
        </is>
      </c>
      <c r="D4347" t="inlineStr">
        <is>
          <t>PUMA Men's Liga Jersey</t>
        </is>
      </c>
      <c r="E4347" s="2">
        <f>HYPERLINK("https://www.amazon.com/PUMA-70342613-LIGA-Jersey-W/dp/B075RFV4VD/ref=sr_1_10?keywords=Puma+Liga+Jersey+Womens&amp;qid=1695171150&amp;sr=8-10", "https://www.amazon.com/PUMA-70342613-LIGA-Jersey-W/dp/B075RFV4VD/ref=sr_1_10?keywords=Puma+Liga+Jersey+Womens&amp;qid=1695171150&amp;sr=8-10")</f>
        <v/>
      </c>
      <c r="F4347" t="inlineStr">
        <is>
          <t>B075RFV4VD</t>
        </is>
      </c>
      <c r="G4347">
        <f>_xludf.IMAGE("https://www.soccerplususa.com/prodimages//36786-REDWHITE-M.jpg")</f>
        <v/>
      </c>
      <c r="H4347">
        <f>_xludf.IMAGE("https://m.media-amazon.com/images/I/51ufXLu6e3L._AC_UL320_.jpg")</f>
        <v/>
      </c>
      <c r="K4347" t="inlineStr">
        <is>
          <t>20.99</t>
        </is>
      </c>
      <c r="L4347" t="n">
        <v>17.35</v>
      </c>
      <c r="M4347" s="1" t="inlineStr">
        <is>
          <t>-17.34%</t>
        </is>
      </c>
      <c r="N4347" s="3" t="n">
        <v>-17.34</v>
      </c>
      <c r="O4347" t="n">
        <v>4.6</v>
      </c>
      <c r="P4347" t="n">
        <v>20</v>
      </c>
      <c r="R4347" t="inlineStr">
        <is>
          <t>InStock</t>
        </is>
      </c>
      <c r="S4347" t="inlineStr">
        <is>
          <t>27.95</t>
        </is>
      </c>
      <c r="T4347" t="inlineStr">
        <is>
          <t>703426-01</t>
        </is>
      </c>
    </row>
    <row r="4348" hidden="1" ht="15.75" customHeight="1">
      <c r="A4348" s="2">
        <f>HYPERLINK("https://www.soccerplususa.com/adidas/adidas-core-18-training-top-33852", "https://www.soccerplususa.com/adidas/adidas-core-18-training-top-33852")</f>
        <v/>
      </c>
      <c r="B4348" t="inlineStr">
        <is>
          <t>undefined</t>
        </is>
      </c>
      <c r="C4348" t="inlineStr">
        <is>
          <t>adidas Core 18 Training Top</t>
        </is>
      </c>
      <c r="D4348" t="inlineStr">
        <is>
          <t>adidas Men's Core 18 Training Jersey</t>
        </is>
      </c>
      <c r="E4348" s="2">
        <f>HYPERLINK("https://www.amazon.com/adidas-Core18-Jersey-White-Medium/dp/B0721VYW2R/ref=sr_1_3?keywords=adidas+Core+18+Training+Top&amp;qid=1695171165&amp;sr=8-3", "https://www.amazon.com/adidas-Core18-Jersey-White-Medium/dp/B0721VYW2R/ref=sr_1_3?keywords=adidas+Core+18+Training+Top&amp;qid=1695171165&amp;sr=8-3")</f>
        <v/>
      </c>
      <c r="F4348" t="inlineStr">
        <is>
          <t>B0721VYW2R</t>
        </is>
      </c>
      <c r="G4348">
        <f>_xludf.IMAGE("https://www.soccerplususa.com/prodimages/33345-DEFAULT-l.jpg")</f>
        <v/>
      </c>
      <c r="H4348">
        <f>_xludf.IMAGE("https://m.media-amazon.com/images/I/51Qfy9nv0PL._AC_UL320_.jpg")</f>
        <v/>
      </c>
      <c r="K4348" t="inlineStr">
        <is>
          <t>22.99</t>
        </is>
      </c>
      <c r="L4348" t="n">
        <v>18.99</v>
      </c>
      <c r="M4348" s="1" t="inlineStr">
        <is>
          <t>-17.40%</t>
        </is>
      </c>
      <c r="N4348" s="3" t="n">
        <v>-17.4</v>
      </c>
      <c r="O4348" t="n">
        <v>4.5</v>
      </c>
      <c r="P4348" t="n">
        <v>3246</v>
      </c>
      <c r="R4348" t="inlineStr">
        <is>
          <t>InStock</t>
        </is>
      </c>
      <c r="S4348" t="inlineStr">
        <is>
          <t>30.95</t>
        </is>
      </c>
      <c r="T4348" t="inlineStr">
        <is>
          <t>CV4000</t>
        </is>
      </c>
    </row>
    <row r="4349" hidden="1" ht="15.75" customHeight="1">
      <c r="A4349" s="2">
        <f>HYPERLINK("https://www.soccerplususa.com/adidas/adidas-tiro-13-jersey-youth-9166", "https://www.soccerplususa.com/adidas/adidas-tiro-13-jersey-youth-9166")</f>
        <v/>
      </c>
      <c r="B4349" t="inlineStr">
        <is>
          <t>undefined</t>
        </is>
      </c>
      <c r="C4349" t="inlineStr">
        <is>
          <t>adidas Tiro 13 Jersey Youth</t>
        </is>
      </c>
      <c r="D4349" t="inlineStr">
        <is>
          <t>adidas Boys' Alphaskin Tiro Youth Jersey</t>
        </is>
      </c>
      <c r="E4349" s="2">
        <f>HYPERLINK("https://www.amazon.com/adidas-Alphaskin-Youth-Jersey-X-Large/dp/B07DXQYZG1/ref=sr_1_1?keywords=adidas+Tiro+13+Jersey+Youth&amp;qid=1695171198&amp;sr=8-1", "https://www.amazon.com/adidas-Alphaskin-Youth-Jersey-X-Large/dp/B07DXQYZG1/ref=sr_1_1?keywords=adidas+Tiro+13+Jersey+Youth&amp;qid=1695171198&amp;sr=8-1")</f>
        <v/>
      </c>
      <c r="F4349" t="inlineStr">
        <is>
          <t>B07DXQYZG1</t>
        </is>
      </c>
      <c r="G4349">
        <f>_xludf.IMAGE("https://www.soccerplususa.com/prodimages/3220-DEFAULT-l.jpg")</f>
        <v/>
      </c>
      <c r="H4349">
        <f>_xludf.IMAGE("https://m.media-amazon.com/images/I/51FrkChU33L._AC_UL320_.jpg")</f>
        <v/>
      </c>
      <c r="K4349" t="inlineStr">
        <is>
          <t>17.0</t>
        </is>
      </c>
      <c r="L4349" t="n">
        <v>14.04</v>
      </c>
      <c r="M4349" s="1" t="inlineStr">
        <is>
          <t>-17.41%</t>
        </is>
      </c>
      <c r="N4349" s="3" t="n">
        <v>-17.41</v>
      </c>
      <c r="O4349" t="n">
        <v>4.9</v>
      </c>
      <c r="P4349" t="n">
        <v>40</v>
      </c>
      <c r="R4349" t="inlineStr">
        <is>
          <t>InStock</t>
        </is>
      </c>
      <c r="S4349" t="inlineStr">
        <is>
          <t>34.95</t>
        </is>
      </c>
      <c r="T4349" t="inlineStr">
        <is>
          <t>Z71495</t>
        </is>
      </c>
    </row>
    <row r="4350" hidden="1" ht="15.75" customHeight="1">
      <c r="A4350" s="2">
        <f>HYPERLINK("https://www.soccerplususa.com/adidas/adidas-tiro-13-jersey-youth-8932", "https://www.soccerplususa.com/adidas/adidas-tiro-13-jersey-youth-8932")</f>
        <v/>
      </c>
      <c r="B4350" t="inlineStr">
        <is>
          <t>undefined</t>
        </is>
      </c>
      <c r="C4350" t="inlineStr">
        <is>
          <t>adidas Tiro 13 Jersey Youth</t>
        </is>
      </c>
      <c r="D4350" t="inlineStr">
        <is>
          <t>adidas Boys' Alphaskin Tiro Youth Jersey</t>
        </is>
      </c>
      <c r="E4350" s="2">
        <f>HYPERLINK("https://www.amazon.com/adidas-Alphaskin-Youth-Jersey-X-Large/dp/B07DXQYZG1/ref=sr_1_1?keywords=adidas+Tiro+13+Jersey+Youth&amp;qid=1695171191&amp;sr=8-1", "https://www.amazon.com/adidas-Alphaskin-Youth-Jersey-X-Large/dp/B07DXQYZG1/ref=sr_1_1?keywords=adidas+Tiro+13+Jersey+Youth&amp;qid=1695171191&amp;sr=8-1")</f>
        <v/>
      </c>
      <c r="F4350" t="inlineStr">
        <is>
          <t>B07DXQYZG1</t>
        </is>
      </c>
      <c r="G4350">
        <f>_xludf.IMAGE("https://www.soccerplususa.com/prodimages/3219-DEFAULT-l.jpg")</f>
        <v/>
      </c>
      <c r="H4350">
        <f>_xludf.IMAGE("https://m.media-amazon.com/images/I/51FrkChU33L._AC_UL320_.jpg")</f>
        <v/>
      </c>
      <c r="K4350" t="inlineStr">
        <is>
          <t>17.0</t>
        </is>
      </c>
      <c r="L4350" t="n">
        <v>14.04</v>
      </c>
      <c r="M4350" s="1" t="inlineStr">
        <is>
          <t>-17.41%</t>
        </is>
      </c>
      <c r="N4350" s="3" t="n">
        <v>-17.41</v>
      </c>
      <c r="O4350" t="n">
        <v>4.9</v>
      </c>
      <c r="P4350" t="n">
        <v>40</v>
      </c>
      <c r="R4350" t="inlineStr">
        <is>
          <t>InStock</t>
        </is>
      </c>
      <c r="S4350" t="inlineStr">
        <is>
          <t>34.95</t>
        </is>
      </c>
      <c r="T4350" t="inlineStr">
        <is>
          <t>X58022</t>
        </is>
      </c>
    </row>
    <row r="4351" hidden="1" ht="15.75" customHeight="1">
      <c r="A4351" s="2">
        <f>HYPERLINK("https://www.soccerplususa.com/adidas/adidas-tiro-13-jersey-youth-9168", "https://www.soccerplususa.com/adidas/adidas-tiro-13-jersey-youth-9168")</f>
        <v/>
      </c>
      <c r="B4351" t="inlineStr">
        <is>
          <t>undefined</t>
        </is>
      </c>
      <c r="C4351" t="inlineStr">
        <is>
          <t>adidas Tiro 13 Jersey Youth</t>
        </is>
      </c>
      <c r="D4351" t="inlineStr">
        <is>
          <t>adidas Boys' Alphaskin Tiro Youth Jersey</t>
        </is>
      </c>
      <c r="E4351" s="2">
        <f>HYPERLINK("https://www.amazon.com/adidas-Alphaskin-Youth-Jersey-X-Large/dp/B07DXQYZG1/ref=sr_1_1?keywords=adidas+Tiro+13+Jersey+Youth&amp;qid=1695171197&amp;sr=8-1", "https://www.amazon.com/adidas-Alphaskin-Youth-Jersey-X-Large/dp/B07DXQYZG1/ref=sr_1_1?keywords=adidas+Tiro+13+Jersey+Youth&amp;qid=1695171197&amp;sr=8-1")</f>
        <v/>
      </c>
      <c r="F4351" t="inlineStr">
        <is>
          <t>B07DXQYZG1</t>
        </is>
      </c>
      <c r="G4351">
        <f>_xludf.IMAGE("https://www.soccerplususa.com/prodimages/3221-DEFAULT-l.jpg")</f>
        <v/>
      </c>
      <c r="H4351">
        <f>_xludf.IMAGE("https://m.media-amazon.com/images/I/51FrkChU33L._AC_UL320_.jpg")</f>
        <v/>
      </c>
      <c r="K4351" t="inlineStr">
        <is>
          <t>17.0</t>
        </is>
      </c>
      <c r="L4351" t="n">
        <v>14.04</v>
      </c>
      <c r="M4351" s="1" t="inlineStr">
        <is>
          <t>-17.41%</t>
        </is>
      </c>
      <c r="N4351" s="3" t="n">
        <v>-17.41</v>
      </c>
      <c r="O4351" t="n">
        <v>4.9</v>
      </c>
      <c r="P4351" t="n">
        <v>40</v>
      </c>
      <c r="R4351" t="inlineStr">
        <is>
          <t>InStock</t>
        </is>
      </c>
      <c r="S4351" t="inlineStr">
        <is>
          <t>34.95</t>
        </is>
      </c>
      <c r="T4351" t="inlineStr">
        <is>
          <t>Z71497</t>
        </is>
      </c>
    </row>
    <row r="4352" hidden="1" ht="15.75" customHeight="1">
      <c r="A4352" s="2">
        <f>HYPERLINK("https://www.soccerplususa.com/adidas/adidas-tiro-17-jersey-4868", "https://www.soccerplususa.com/adidas/adidas-tiro-17-jersey-4868")</f>
        <v/>
      </c>
      <c r="B4352" t="inlineStr">
        <is>
          <t>undefined</t>
        </is>
      </c>
      <c r="C4352" t="inlineStr">
        <is>
          <t>adidas Tiro 17 Jersey</t>
        </is>
      </c>
      <c r="D4352" t="inlineStr">
        <is>
          <t>adidas Womens Tiro 17 Jersey</t>
        </is>
      </c>
      <c r="E4352" s="2">
        <f>HYPERLINK("https://www.amazon.com/adidas-Womens-Embellished-T-Shirt-Medium/dp/B06XX4BHD2/ref=sr_1_5?keywords=adidas+Tiro+17+Jersey&amp;qid=1695171228&amp;sr=8-5", "https://www.amazon.com/adidas-Womens-Embellished-T-Shirt-Medium/dp/B06XX4BHD2/ref=sr_1_5?keywords=adidas+Tiro+17+Jersey&amp;qid=1695171228&amp;sr=8-5")</f>
        <v/>
      </c>
      <c r="F4352" t="inlineStr">
        <is>
          <t>B06XX4BHD2</t>
        </is>
      </c>
      <c r="G4352">
        <f>_xludf.IMAGE("https://www.soccerplususa.com/prodimages/32792-DEFAULT-l.jpg")</f>
        <v/>
      </c>
      <c r="H4352">
        <f>_xludf.IMAGE("https://m.media-amazon.com/images/I/51mgSEt736L._AC_UL320_.jpg")</f>
        <v/>
      </c>
      <c r="K4352" t="inlineStr">
        <is>
          <t>29.99</t>
        </is>
      </c>
      <c r="L4352" t="n">
        <v>24.74</v>
      </c>
      <c r="M4352" s="1" t="inlineStr">
        <is>
          <t>-17.51%</t>
        </is>
      </c>
      <c r="N4352" s="3" t="n">
        <v>-17.51</v>
      </c>
      <c r="O4352" t="n">
        <v>5</v>
      </c>
      <c r="P4352" t="n">
        <v>6</v>
      </c>
      <c r="R4352" t="inlineStr">
        <is>
          <t>InStock</t>
        </is>
      </c>
      <c r="S4352" t="inlineStr">
        <is>
          <t>39.95</t>
        </is>
      </c>
      <c r="T4352" t="inlineStr">
        <is>
          <t>BK5435</t>
        </is>
      </c>
    </row>
    <row r="4353" hidden="1" ht="15.75" customHeight="1">
      <c r="A4353" s="2">
        <f>HYPERLINK("https://www.soccerplususa.com/new-balance/new-balance-knit-training-jacket-34482", "https://www.soccerplususa.com/new-balance/new-balance-knit-training-jacket-34482")</f>
        <v/>
      </c>
      <c r="B4353" t="inlineStr">
        <is>
          <t>undefined</t>
        </is>
      </c>
      <c r="C4353" t="inlineStr">
        <is>
          <t>New Balance Knit Training Jacket</t>
        </is>
      </c>
      <c r="D4353" t="inlineStr">
        <is>
          <t>New Balance Men's Tenacity Football Training Track Jacket</t>
        </is>
      </c>
      <c r="E4353" s="2">
        <f>HYPERLINK("https://www.amazon.com/New-Balance-Tenacity-Phantom-X-Large/dp/B09HY61V3Q/ref=sr_1_3?keywords=New+Balance+Knit+Training+Jacket&amp;qid=1695171164&amp;sr=8-3", "https://www.amazon.com/New-Balance-Tenacity-Phantom-X-Large/dp/B09HY61V3Q/ref=sr_1_3?keywords=New+Balance+Knit+Training+Jacket&amp;qid=1695171164&amp;sr=8-3")</f>
        <v/>
      </c>
      <c r="F4353" t="inlineStr">
        <is>
          <t>B09HY61V3Q</t>
        </is>
      </c>
      <c r="G4353">
        <f>_xludf.IMAGE("https://www.soccerplususa.com/prodimages/32418-DEFAULT-l.jpg")</f>
        <v/>
      </c>
      <c r="H4353">
        <f>_xludf.IMAGE("https://m.media-amazon.com/images/I/81kYHOqRulL._AC_UL320_.jpg")</f>
        <v/>
      </c>
      <c r="K4353" t="inlineStr">
        <is>
          <t>52.0</t>
        </is>
      </c>
      <c r="L4353" t="n">
        <v>42.65</v>
      </c>
      <c r="M4353" s="1" t="inlineStr">
        <is>
          <t>-17.98%</t>
        </is>
      </c>
      <c r="N4353" s="3" t="n">
        <v>-17.98</v>
      </c>
      <c r="O4353" t="n">
        <v>4.2</v>
      </c>
      <c r="P4353" t="n">
        <v>3</v>
      </c>
      <c r="R4353" t="inlineStr">
        <is>
          <t>InStock</t>
        </is>
      </c>
      <c r="S4353" t="inlineStr">
        <is>
          <t>69.95</t>
        </is>
      </c>
      <c r="T4353" t="inlineStr">
        <is>
          <t>TMMJ599</t>
        </is>
      </c>
    </row>
    <row r="4354" hidden="1" ht="15.75" customHeight="1">
      <c r="A4354" s="2">
        <f>HYPERLINK("https://www.soccerplususa.com/under-armour/under-armour-coldgear-armour-fitted-mock-41592", "https://www.soccerplususa.com/under-armour/under-armour-coldgear-armour-fitted-mock-41592")</f>
        <v/>
      </c>
      <c r="B4354" t="inlineStr">
        <is>
          <t>undefined</t>
        </is>
      </c>
      <c r="C4354" t="inlineStr">
        <is>
          <t>Under Armour ColdGear Armour Fitted Mock</t>
        </is>
      </c>
      <c r="D4354" t="inlineStr">
        <is>
          <t>Under Armour Men's ColdGear Compression Mock</t>
        </is>
      </c>
      <c r="E4354" s="2">
        <f>HYPERLINK("https://www.amazon.com/Under-Armour-ColdGear-Compression-Black/dp/B08LPM6J1C/ref=sr_1_2?keywords=Under+Armour+ColdGear+Armour+Fitted+Mock&amp;qid=1695171146&amp;sr=8-2", "https://www.amazon.com/Under-Armour-ColdGear-Compression-Black/dp/B08LPM6J1C/ref=sr_1_2?keywords=Under+Armour+ColdGear+Armour+Fitted+Mock&amp;qid=1695171146&amp;sr=8-2")</f>
        <v/>
      </c>
      <c r="F4354" t="inlineStr">
        <is>
          <t>B08LPM6J1C</t>
        </is>
      </c>
      <c r="G4354">
        <f>_xludf.IMAGE("https://www.soccerplususa.com/prodimages//36795-BLACK-M.jpg")</f>
        <v/>
      </c>
      <c r="H4354">
        <f>_xludf.IMAGE("https://m.media-amazon.com/images/I/71OiO5xp7oL._AC_UL320_.jpg")</f>
        <v/>
      </c>
      <c r="K4354" t="inlineStr">
        <is>
          <t>54.95</t>
        </is>
      </c>
      <c r="L4354" t="n">
        <v>45</v>
      </c>
      <c r="M4354" s="1" t="inlineStr">
        <is>
          <t>-18.11%</t>
        </is>
      </c>
      <c r="N4354" s="3" t="n">
        <v>-18.11</v>
      </c>
      <c r="O4354" t="n">
        <v>4.7</v>
      </c>
      <c r="P4354" t="n">
        <v>2091</v>
      </c>
      <c r="R4354" t="inlineStr">
        <is>
          <t>InStock</t>
        </is>
      </c>
      <c r="S4354" t="inlineStr">
        <is>
          <t>undefined</t>
        </is>
      </c>
      <c r="T4354" t="inlineStr">
        <is>
          <t>1366066-001</t>
        </is>
      </c>
    </row>
    <row r="4355" hidden="1" ht="15.75" customHeight="1">
      <c r="A4355" s="2">
        <f>HYPERLINK("https://www.soccerplususa.com/under-armour/under-armour-coldgear-compression-mock-44300", "https://www.soccerplususa.com/under-armour/under-armour-coldgear-compression-mock-44300")</f>
        <v/>
      </c>
      <c r="B4355" t="inlineStr">
        <is>
          <t>undefined</t>
        </is>
      </c>
      <c r="C4355" t="inlineStr">
        <is>
          <t>Under Armour ColdGear Compression Mock</t>
        </is>
      </c>
      <c r="D4355" t="inlineStr">
        <is>
          <t>Under Armour Men's ColdGear Compression Mock</t>
        </is>
      </c>
      <c r="E4355" s="2">
        <f>HYPERLINK("https://www.amazon.com/Under-Armour-ColdGear-Compression-Black/dp/B08LPM6J1C/ref=sr_1_1?keywords=Under+Armour+ColdGear+Compression+Mock&amp;qid=1695171160&amp;sr=8-1", "https://www.amazon.com/Under-Armour-ColdGear-Compression-Black/dp/B08LPM6J1C/ref=sr_1_1?keywords=Under+Armour+ColdGear+Compression+Mock&amp;qid=1695171160&amp;sr=8-1")</f>
        <v/>
      </c>
      <c r="F4355" t="inlineStr">
        <is>
          <t>B08LPM6J1C</t>
        </is>
      </c>
      <c r="G4355">
        <f>_xludf.IMAGE("https://www.soccerplususa.com/prodimages//36057-BLACK-M.jpg")</f>
        <v/>
      </c>
      <c r="H4355">
        <f>_xludf.IMAGE("https://m.media-amazon.com/images/I/71OiO5xp7oL._AC_UL320_.jpg")</f>
        <v/>
      </c>
      <c r="K4355" t="inlineStr">
        <is>
          <t>54.95</t>
        </is>
      </c>
      <c r="L4355" t="n">
        <v>45</v>
      </c>
      <c r="M4355" s="1" t="inlineStr">
        <is>
          <t>-18.11%</t>
        </is>
      </c>
      <c r="N4355" s="3" t="n">
        <v>-18.11</v>
      </c>
      <c r="O4355" t="n">
        <v>4.7</v>
      </c>
      <c r="P4355" t="n">
        <v>2091</v>
      </c>
      <c r="R4355" t="inlineStr">
        <is>
          <t>InStock</t>
        </is>
      </c>
      <c r="S4355" t="inlineStr">
        <is>
          <t>undefined</t>
        </is>
      </c>
      <c r="T4355" t="inlineStr">
        <is>
          <t>1366072-001</t>
        </is>
      </c>
    </row>
    <row r="4356" hidden="1" ht="15.75" customHeight="1">
      <c r="A4356" s="2">
        <f>HYPERLINK("https://www.soccerplususa.com/adidas/adidas-tabela-18-jersey-5115", "https://www.soccerplususa.com/adidas/adidas-tabela-18-jersey-5115")</f>
        <v/>
      </c>
      <c r="B4356" t="inlineStr">
        <is>
          <t>undefined</t>
        </is>
      </c>
      <c r="C4356" t="inlineStr">
        <is>
          <t>adidas Tabela 18 Jersey</t>
        </is>
      </c>
      <c r="D4356" t="inlineStr">
        <is>
          <t>adidas Mens Tabela 18 Soccer Jersey</t>
        </is>
      </c>
      <c r="E4356" s="2">
        <f>HYPERLINK("https://www.amazon.com/adidas-191034919038-TABELA-18-Jersey/dp/B078LCD4RX/ref=sr_1_2?keywords=adidas+Tabela+18+Jersey&amp;qid=1695171223&amp;sr=8-2", "https://www.amazon.com/adidas-191034919038-TABELA-18-Jersey/dp/B078LCD4RX/ref=sr_1_2?keywords=adidas+Tabela+18+Jersey&amp;qid=1695171223&amp;sr=8-2")</f>
        <v/>
      </c>
      <c r="F4356" t="inlineStr">
        <is>
          <t>B078LCD4RX</t>
        </is>
      </c>
      <c r="G4356">
        <f>_xludf.IMAGE("https://www.soccerplususa.com/prodimages//31724-GRAY-M.jpg")</f>
        <v/>
      </c>
      <c r="H4356">
        <f>_xludf.IMAGE("https://m.media-amazon.com/images/I/71SEmpIbeaL._AC_UL320_.jpg")</f>
        <v/>
      </c>
      <c r="K4356" t="inlineStr">
        <is>
          <t>21.99</t>
        </is>
      </c>
      <c r="L4356" t="n">
        <v>18</v>
      </c>
      <c r="M4356" s="1" t="inlineStr">
        <is>
          <t>-18.14%</t>
        </is>
      </c>
      <c r="N4356" s="3" t="n">
        <v>-18.14</v>
      </c>
      <c r="O4356" t="n">
        <v>4.7</v>
      </c>
      <c r="P4356" t="n">
        <v>197</v>
      </c>
      <c r="R4356" t="inlineStr">
        <is>
          <t>InStock</t>
        </is>
      </c>
      <c r="S4356" t="inlineStr">
        <is>
          <t>29.95</t>
        </is>
      </c>
      <c r="T4356" t="inlineStr">
        <is>
          <t>CE8940</t>
        </is>
      </c>
    </row>
    <row r="4357" hidden="1" ht="15.75" customHeight="1">
      <c r="A4357" s="2">
        <f>HYPERLINK("https://www.soccerplususa.com/adidas/adidas-tabela-18-jersey-5113", "https://www.soccerplususa.com/adidas/adidas-tabela-18-jersey-5113")</f>
        <v/>
      </c>
      <c r="B4357" t="inlineStr">
        <is>
          <t>undefined</t>
        </is>
      </c>
      <c r="C4357" t="inlineStr">
        <is>
          <t>adidas Tabela 18 Jersey</t>
        </is>
      </c>
      <c r="D4357" t="inlineStr">
        <is>
          <t>adidas Mens Tabela 18 Soccer Jersey</t>
        </is>
      </c>
      <c r="E4357" s="2">
        <f>HYPERLINK("https://www.amazon.com/adidas-191034919038-TABELA-18-Jersey/dp/B078LCD4RX/ref=sr_1_2?keywords=adidas+Tabela+18+Jersey&amp;qid=1695171233&amp;sr=8-2", "https://www.amazon.com/adidas-191034919038-TABELA-18-Jersey/dp/B078LCD4RX/ref=sr_1_2?keywords=adidas+Tabela+18+Jersey&amp;qid=1695171233&amp;sr=8-2")</f>
        <v/>
      </c>
      <c r="F4357" t="inlineStr">
        <is>
          <t>B078LCD4RX</t>
        </is>
      </c>
      <c r="G4357">
        <f>_xludf.IMAGE("https://www.soccerplususa.com/prodimages//31723-BLACK-M.jpg")</f>
        <v/>
      </c>
      <c r="H4357">
        <f>_xludf.IMAGE("https://m.media-amazon.com/images/I/71SEmpIbeaL._AC_UL320_.jpg")</f>
        <v/>
      </c>
      <c r="K4357" t="inlineStr">
        <is>
          <t>21.99</t>
        </is>
      </c>
      <c r="L4357" t="n">
        <v>18</v>
      </c>
      <c r="M4357" s="1" t="inlineStr">
        <is>
          <t>-18.14%</t>
        </is>
      </c>
      <c r="N4357" s="3" t="n">
        <v>-18.14</v>
      </c>
      <c r="O4357" t="n">
        <v>4.7</v>
      </c>
      <c r="P4357" t="n">
        <v>197</v>
      </c>
      <c r="R4357" t="inlineStr">
        <is>
          <t>InStock</t>
        </is>
      </c>
      <c r="S4357" t="inlineStr">
        <is>
          <t>29.95</t>
        </is>
      </c>
      <c r="T4357" t="inlineStr">
        <is>
          <t>CE8934</t>
        </is>
      </c>
    </row>
    <row r="4358" hidden="1" ht="15.75" customHeight="1">
      <c r="A4358" s="2">
        <f>HYPERLINK("https://www.soccerplususa.com/adidas/adidas-tabela-18-jersey-5113", "https://www.soccerplususa.com/adidas/adidas-tabela-18-jersey-5113")</f>
        <v/>
      </c>
      <c r="B4358" t="inlineStr">
        <is>
          <t>undefined</t>
        </is>
      </c>
      <c r="C4358" t="inlineStr">
        <is>
          <t>adidas Tabela 18 Jersey</t>
        </is>
      </c>
      <c r="D4358" t="inlineStr">
        <is>
          <t>adidas mens Tabela 18 Soccer Jersey</t>
        </is>
      </c>
      <c r="E4358" s="2">
        <f>HYPERLINK("https://www.amazon.com/adidas-TABELA-18-Jersey%E2%9D%97%EF%B8%8FShips-Directly/dp/B078LC7FNL/ref=sr_1_3?keywords=adidas+Tabela+18+Jersey&amp;qid=1695171233&amp;sr=8-3", "https://www.amazon.com/adidas-TABELA-18-Jersey%E2%9D%97%EF%B8%8FShips-Directly/dp/B078LC7FNL/ref=sr_1_3?keywords=adidas+Tabela+18+Jersey&amp;qid=1695171233&amp;sr=8-3")</f>
        <v/>
      </c>
      <c r="F4358" t="inlineStr">
        <is>
          <t>B078LC7FNL</t>
        </is>
      </c>
      <c r="G4358">
        <f>_xludf.IMAGE("https://www.soccerplususa.com/prodimages//31723-BLACK-M.jpg")</f>
        <v/>
      </c>
      <c r="H4358">
        <f>_xludf.IMAGE("https://m.media-amazon.com/images/I/71jcM+IqhyL._AC_UL320_.jpg")</f>
        <v/>
      </c>
      <c r="K4358" t="inlineStr">
        <is>
          <t>21.99</t>
        </is>
      </c>
      <c r="L4358" t="n">
        <v>18</v>
      </c>
      <c r="M4358" s="1" t="inlineStr">
        <is>
          <t>-18.14%</t>
        </is>
      </c>
      <c r="N4358" s="3" t="n">
        <v>-18.14</v>
      </c>
      <c r="O4358" t="n">
        <v>4.7</v>
      </c>
      <c r="P4358" t="n">
        <v>12</v>
      </c>
      <c r="R4358" t="inlineStr">
        <is>
          <t>InStock</t>
        </is>
      </c>
      <c r="S4358" t="inlineStr">
        <is>
          <t>29.95</t>
        </is>
      </c>
      <c r="T4358" t="inlineStr">
        <is>
          <t>CE8934</t>
        </is>
      </c>
    </row>
    <row r="4359" hidden="1" ht="15.75" customHeight="1">
      <c r="A4359" s="2">
        <f>HYPERLINK("https://www.soccerplususa.com/adidas/adidas-tabela-18-jersey-33808", "https://www.soccerplususa.com/adidas/adidas-tabela-18-jersey-33808")</f>
        <v/>
      </c>
      <c r="B4359" t="inlineStr">
        <is>
          <t>undefined</t>
        </is>
      </c>
      <c r="C4359" t="inlineStr">
        <is>
          <t>adidas Tabela 18 Jersey</t>
        </is>
      </c>
      <c r="D4359" t="inlineStr">
        <is>
          <t>adidas mens Tabela 18 Soccer Jersey</t>
        </is>
      </c>
      <c r="E4359" s="2">
        <f>HYPERLINK("https://www.amazon.com/adidas-TABELA-18-Jersey%E2%9D%97%EF%B8%8FShips-Directly/dp/B078LC7FNL/ref=sr_1_3?keywords=adidas+Tabela+18+Jersey&amp;qid=1695171170&amp;sr=8-3", "https://www.amazon.com/adidas-TABELA-18-Jersey%E2%9D%97%EF%B8%8FShips-Directly/dp/B078LC7FNL/ref=sr_1_3?keywords=adidas+Tabela+18+Jersey&amp;qid=1695171170&amp;sr=8-3")</f>
        <v/>
      </c>
      <c r="F4359" t="inlineStr">
        <is>
          <t>B078LC7FNL</t>
        </is>
      </c>
      <c r="G4359">
        <f>_xludf.IMAGE("https://www.soccerplususa.com/prodimages//35356-REDWHITE-M.jpg")</f>
        <v/>
      </c>
      <c r="H4359">
        <f>_xludf.IMAGE("https://m.media-amazon.com/images/I/71jcM+IqhyL._AC_UL320_.jpg")</f>
        <v/>
      </c>
      <c r="K4359" t="inlineStr">
        <is>
          <t>21.99</t>
        </is>
      </c>
      <c r="L4359" t="n">
        <v>18</v>
      </c>
      <c r="M4359" s="1" t="inlineStr">
        <is>
          <t>-18.14%</t>
        </is>
      </c>
      <c r="N4359" s="3" t="n">
        <v>-18.14</v>
      </c>
      <c r="O4359" t="n">
        <v>4.7</v>
      </c>
      <c r="P4359" t="n">
        <v>12</v>
      </c>
      <c r="R4359" t="inlineStr">
        <is>
          <t>InStock</t>
        </is>
      </c>
      <c r="S4359" t="inlineStr">
        <is>
          <t>29.95</t>
        </is>
      </c>
      <c r="T4359" t="inlineStr">
        <is>
          <t>CE8935</t>
        </is>
      </c>
    </row>
    <row r="4360" hidden="1" ht="15.75" customHeight="1">
      <c r="A4360" s="2">
        <f>HYPERLINK("https://www.soccerplususa.com/adidas/adidas-tabela-18-jersey-33808", "https://www.soccerplususa.com/adidas/adidas-tabela-18-jersey-33808")</f>
        <v/>
      </c>
      <c r="B4360" t="inlineStr">
        <is>
          <t>undefined</t>
        </is>
      </c>
      <c r="C4360" t="inlineStr">
        <is>
          <t>adidas Tabela 18 Jersey</t>
        </is>
      </c>
      <c r="D4360" t="inlineStr">
        <is>
          <t>adidas Mens Tabela 18 Soccer Jersey</t>
        </is>
      </c>
      <c r="E4360" s="2">
        <f>HYPERLINK("https://www.amazon.com/adidas-191034919038-TABELA-18-Jersey/dp/B078LCD4RX/ref=sr_1_2?keywords=adidas+Tabela+18+Jersey&amp;qid=1695171170&amp;sr=8-2", "https://www.amazon.com/adidas-191034919038-TABELA-18-Jersey/dp/B078LCD4RX/ref=sr_1_2?keywords=adidas+Tabela+18+Jersey&amp;qid=1695171170&amp;sr=8-2")</f>
        <v/>
      </c>
      <c r="F4360" t="inlineStr">
        <is>
          <t>B078LCD4RX</t>
        </is>
      </c>
      <c r="G4360">
        <f>_xludf.IMAGE("https://www.soccerplususa.com/prodimages//35356-REDWHITE-M.jpg")</f>
        <v/>
      </c>
      <c r="H4360">
        <f>_xludf.IMAGE("https://m.media-amazon.com/images/I/71SEmpIbeaL._AC_UL320_.jpg")</f>
        <v/>
      </c>
      <c r="K4360" t="inlineStr">
        <is>
          <t>21.99</t>
        </is>
      </c>
      <c r="L4360" t="n">
        <v>18</v>
      </c>
      <c r="M4360" s="1" t="inlineStr">
        <is>
          <t>-18.14%</t>
        </is>
      </c>
      <c r="N4360" s="3" t="n">
        <v>-18.14</v>
      </c>
      <c r="O4360" t="n">
        <v>4.7</v>
      </c>
      <c r="P4360" t="n">
        <v>197</v>
      </c>
      <c r="R4360" t="inlineStr">
        <is>
          <t>InStock</t>
        </is>
      </c>
      <c r="S4360" t="inlineStr">
        <is>
          <t>29.95</t>
        </is>
      </c>
      <c r="T4360" t="inlineStr">
        <is>
          <t>CE8935</t>
        </is>
      </c>
    </row>
    <row r="4361" hidden="1" ht="15.75" customHeight="1">
      <c r="A4361" s="2">
        <f>HYPERLINK("https://www.soccerplususa.com/adidas/adidas-tabela-18-jersey-5116", "https://www.soccerplususa.com/adidas/adidas-tabela-18-jersey-5116")</f>
        <v/>
      </c>
      <c r="B4361" t="inlineStr">
        <is>
          <t>undefined</t>
        </is>
      </c>
      <c r="C4361" t="inlineStr">
        <is>
          <t>adidas Tabela 18 Jersey</t>
        </is>
      </c>
      <c r="D4361" t="inlineStr">
        <is>
          <t>adidas Mens Tabela 18 Soccer Jersey</t>
        </is>
      </c>
      <c r="E4361" s="2">
        <f>HYPERLINK("https://www.amazon.com/adidas-191034919038-TABELA-18-Jersey/dp/B078LCD4RX/ref=sr_1_2?keywords=adidas+Tabela+18+Jersey&amp;qid=1695171247&amp;sr=8-2", "https://www.amazon.com/adidas-191034919038-TABELA-18-Jersey/dp/B078LCD4RX/ref=sr_1_2?keywords=adidas+Tabela+18+Jersey&amp;qid=1695171247&amp;sr=8-2")</f>
        <v/>
      </c>
      <c r="F4361" t="inlineStr">
        <is>
          <t>B078LCD4RX</t>
        </is>
      </c>
      <c r="G4361">
        <f>_xludf.IMAGE("https://www.soccerplususa.com/prodimages//31725-YELLOW-M.jpg")</f>
        <v/>
      </c>
      <c r="H4361">
        <f>_xludf.IMAGE("https://m.media-amazon.com/images/I/71SEmpIbeaL._AC_UL320_.jpg")</f>
        <v/>
      </c>
      <c r="K4361" t="inlineStr">
        <is>
          <t>21.99</t>
        </is>
      </c>
      <c r="L4361" t="n">
        <v>18</v>
      </c>
      <c r="M4361" s="1" t="inlineStr">
        <is>
          <t>-18.14%</t>
        </is>
      </c>
      <c r="N4361" s="3" t="n">
        <v>-18.14</v>
      </c>
      <c r="O4361" t="n">
        <v>4.7</v>
      </c>
      <c r="P4361" t="n">
        <v>197</v>
      </c>
      <c r="R4361" t="inlineStr">
        <is>
          <t>InStock</t>
        </is>
      </c>
      <c r="S4361" t="inlineStr">
        <is>
          <t>29.95</t>
        </is>
      </c>
      <c r="T4361" t="inlineStr">
        <is>
          <t>CE8941</t>
        </is>
      </c>
    </row>
    <row r="4362" hidden="1" ht="15.75" customHeight="1">
      <c r="A4362" s="2">
        <f>HYPERLINK("https://www.soccerplususa.com/adidas/adidas-tabela-18-jersey-5116", "https://www.soccerplususa.com/adidas/adidas-tabela-18-jersey-5116")</f>
        <v/>
      </c>
      <c r="B4362" t="inlineStr">
        <is>
          <t>undefined</t>
        </is>
      </c>
      <c r="C4362" t="inlineStr">
        <is>
          <t>adidas Tabela 18 Jersey</t>
        </is>
      </c>
      <c r="D4362" t="inlineStr">
        <is>
          <t>adidas mens Tabela 18 Soccer Jersey</t>
        </is>
      </c>
      <c r="E4362" s="2">
        <f>HYPERLINK("https://www.amazon.com/adidas-TABELA-18-Jersey%E2%9D%97%EF%B8%8FShips-Directly/dp/B078LC7FNL/ref=sr_1_3?keywords=adidas+Tabela+18+Jersey&amp;qid=1695171247&amp;sr=8-3", "https://www.amazon.com/adidas-TABELA-18-Jersey%E2%9D%97%EF%B8%8FShips-Directly/dp/B078LC7FNL/ref=sr_1_3?keywords=adidas+Tabela+18+Jersey&amp;qid=1695171247&amp;sr=8-3")</f>
        <v/>
      </c>
      <c r="F4362" t="inlineStr">
        <is>
          <t>B078LC7FNL</t>
        </is>
      </c>
      <c r="G4362">
        <f>_xludf.IMAGE("https://www.soccerplususa.com/prodimages//31725-YELLOW-M.jpg")</f>
        <v/>
      </c>
      <c r="H4362">
        <f>_xludf.IMAGE("https://m.media-amazon.com/images/I/71jcM+IqhyL._AC_UL320_.jpg")</f>
        <v/>
      </c>
      <c r="K4362" t="inlineStr">
        <is>
          <t>21.99</t>
        </is>
      </c>
      <c r="L4362" t="n">
        <v>18</v>
      </c>
      <c r="M4362" s="1" t="inlineStr">
        <is>
          <t>-18.14%</t>
        </is>
      </c>
      <c r="N4362" s="3" t="n">
        <v>-18.14</v>
      </c>
      <c r="O4362" t="n">
        <v>4.7</v>
      </c>
      <c r="P4362" t="n">
        <v>12</v>
      </c>
      <c r="R4362" t="inlineStr">
        <is>
          <t>InStock</t>
        </is>
      </c>
      <c r="S4362" t="inlineStr">
        <is>
          <t>29.95</t>
        </is>
      </c>
      <c r="T4362" t="inlineStr">
        <is>
          <t>CE8941</t>
        </is>
      </c>
    </row>
    <row r="4363" hidden="1" ht="15.75" customHeight="1">
      <c r="A4363" s="2">
        <f>HYPERLINK("https://www.soccerplususa.com/adidas/adidas-tabela-18-jersey-5115", "https://www.soccerplususa.com/adidas/adidas-tabela-18-jersey-5115")</f>
        <v/>
      </c>
      <c r="B4363" t="inlineStr">
        <is>
          <t>undefined</t>
        </is>
      </c>
      <c r="C4363" t="inlineStr">
        <is>
          <t>adidas Tabela 18 Jersey</t>
        </is>
      </c>
      <c r="D4363" t="inlineStr">
        <is>
          <t>adidas mens Tabela 18 Soccer Jersey</t>
        </is>
      </c>
      <c r="E4363" s="2">
        <f>HYPERLINK("https://www.amazon.com/adidas-TABELA-18-Jersey%E2%9D%97%EF%B8%8FShips-Directly/dp/B078LC7FNL/ref=sr_1_3?keywords=adidas+Tabela+18+Jersey&amp;qid=1695171223&amp;sr=8-3", "https://www.amazon.com/adidas-TABELA-18-Jersey%E2%9D%97%EF%B8%8FShips-Directly/dp/B078LC7FNL/ref=sr_1_3?keywords=adidas+Tabela+18+Jersey&amp;qid=1695171223&amp;sr=8-3")</f>
        <v/>
      </c>
      <c r="F4363" t="inlineStr">
        <is>
          <t>B078LC7FNL</t>
        </is>
      </c>
      <c r="G4363">
        <f>_xludf.IMAGE("https://www.soccerplususa.com/prodimages//31724-GRAY-M.jpg")</f>
        <v/>
      </c>
      <c r="H4363">
        <f>_xludf.IMAGE("https://m.media-amazon.com/images/I/71jcM+IqhyL._AC_UL320_.jpg")</f>
        <v/>
      </c>
      <c r="K4363" t="inlineStr">
        <is>
          <t>21.99</t>
        </is>
      </c>
      <c r="L4363" t="n">
        <v>18</v>
      </c>
      <c r="M4363" s="1" t="inlineStr">
        <is>
          <t>-18.14%</t>
        </is>
      </c>
      <c r="N4363" s="3" t="n">
        <v>-18.14</v>
      </c>
      <c r="O4363" t="n">
        <v>4.7</v>
      </c>
      <c r="P4363" t="n">
        <v>12</v>
      </c>
      <c r="R4363" t="inlineStr">
        <is>
          <t>InStock</t>
        </is>
      </c>
      <c r="S4363" t="inlineStr">
        <is>
          <t>29.95</t>
        </is>
      </c>
      <c r="T4363" t="inlineStr">
        <is>
          <t>CE8940</t>
        </is>
      </c>
    </row>
    <row r="4364" hidden="1" ht="15.75" customHeight="1">
      <c r="A4364" s="2">
        <f>HYPERLINK("https://www.soccerplususa.com/adidas/adidas-regista-14-jersey-6065", "https://www.soccerplususa.com/adidas/adidas-regista-14-jersey-6065")</f>
        <v/>
      </c>
      <c r="B4364" t="inlineStr">
        <is>
          <t>undefined</t>
        </is>
      </c>
      <c r="C4364" t="inlineStr">
        <is>
          <t>adidas Regista 14 Jersey</t>
        </is>
      </c>
      <c r="D4364" t="inlineStr">
        <is>
          <t>adidas Mens Regista 14 Shorts, Cobalt/White, Small</t>
        </is>
      </c>
      <c r="E4364" s="2">
        <f>HYPERLINK("https://www.amazon.com/Adidas-Climacool-Regista-Short-Cobalt/dp/B00IZHZJP6/ref=sr_1_7?keywords=adidas+Regista+14+Jersey&amp;qid=1695171215&amp;sr=8-7", "https://www.amazon.com/Adidas-Climacool-Regista-Short-Cobalt/dp/B00IZHZJP6/ref=sr_1_7?keywords=adidas+Regista+14+Jersey&amp;qid=1695171215&amp;sr=8-7")</f>
        <v/>
      </c>
      <c r="F4364" t="inlineStr">
        <is>
          <t>B00IZHZJP6</t>
        </is>
      </c>
      <c r="G4364">
        <f>_xludf.IMAGE("https://www.soccerplususa.com/prodimages/32793-DEFAULT-l.jpg")</f>
        <v/>
      </c>
      <c r="H4364">
        <f>_xludf.IMAGE("https://m.media-amazon.com/images/I/415mGa6u4NL._AC_UL320_.jpg")</f>
        <v/>
      </c>
      <c r="K4364" t="inlineStr">
        <is>
          <t>22.0</t>
        </is>
      </c>
      <c r="L4364" t="n">
        <v>17.99</v>
      </c>
      <c r="M4364" s="1" t="inlineStr">
        <is>
          <t>-18.23%</t>
        </is>
      </c>
      <c r="N4364" s="3" t="n">
        <v>-18.23</v>
      </c>
      <c r="O4364" t="n">
        <v>5</v>
      </c>
      <c r="P4364" t="n">
        <v>1</v>
      </c>
      <c r="R4364" t="inlineStr">
        <is>
          <t>InStock</t>
        </is>
      </c>
      <c r="S4364" t="inlineStr">
        <is>
          <t>44.95</t>
        </is>
      </c>
      <c r="T4364" t="inlineStr">
        <is>
          <t>F50009</t>
        </is>
      </c>
    </row>
    <row r="4365" hidden="1" ht="15.75" customHeight="1">
      <c r="A4365" s="2">
        <f>HYPERLINK("https://www.soccerplususa.com/adidas/adidas-regista-16-jersey-4149", "https://www.soccerplususa.com/adidas/adidas-regista-16-jersey-4149")</f>
        <v/>
      </c>
      <c r="B4365" t="inlineStr">
        <is>
          <t>undefined</t>
        </is>
      </c>
      <c r="C4365" t="inlineStr">
        <is>
          <t>adidas Regista 16 Jersey</t>
        </is>
      </c>
      <c r="D4365" t="inlineStr">
        <is>
          <t>adidas Mens Regista Jersey</t>
        </is>
      </c>
      <c r="E4365" s="2">
        <f>HYPERLINK("https://www.amazon.com/adidas-Regista-Jersey-Soccer-White-Bold/dp/B078LLZRDF/ref=sr_1_5?keywords=adidas+Regista+16+Jersey&amp;qid=1695171233&amp;sr=8-5", "https://www.amazon.com/adidas-Regista-Jersey-Soccer-White-Bold/dp/B078LLZRDF/ref=sr_1_5?keywords=adidas+Regista+16+Jersey&amp;qid=1695171233&amp;sr=8-5")</f>
        <v/>
      </c>
      <c r="F4365" t="inlineStr">
        <is>
          <t>B078LLZRDF</t>
        </is>
      </c>
      <c r="G4365">
        <f>_xludf.IMAGE("https://www.soccerplususa.com/prodimages/32795-DEFAULT-l.jpg")</f>
        <v/>
      </c>
      <c r="H4365">
        <f>_xludf.IMAGE("https://m.media-amazon.com/images/I/418ed8POJFL._AC_UL320_.jpg")</f>
        <v/>
      </c>
      <c r="K4365" t="inlineStr">
        <is>
          <t>17.0</t>
        </is>
      </c>
      <c r="L4365" t="n">
        <v>13.9</v>
      </c>
      <c r="M4365" s="1" t="inlineStr">
        <is>
          <t>-18.24%</t>
        </is>
      </c>
      <c r="N4365" s="3" t="n">
        <v>-18.24</v>
      </c>
      <c r="O4365" t="n">
        <v>3.5</v>
      </c>
      <c r="P4365" t="n">
        <v>10</v>
      </c>
      <c r="R4365" t="inlineStr">
        <is>
          <t>InStock</t>
        </is>
      </c>
      <c r="S4365" t="inlineStr">
        <is>
          <t>34.95</t>
        </is>
      </c>
      <c r="T4365" t="inlineStr">
        <is>
          <t>AP0535</t>
        </is>
      </c>
    </row>
    <row r="4366" hidden="1" ht="15.75" customHeight="1">
      <c r="A4366" s="2">
        <f>HYPERLINK("https://www.soccerplususa.com/adidas/adidas-essentials-hoodie-41596", "https://www.soccerplususa.com/adidas/adidas-essentials-hoodie-41596")</f>
        <v/>
      </c>
      <c r="B4366" t="inlineStr">
        <is>
          <t>undefined</t>
        </is>
      </c>
      <c r="C4366" t="inlineStr">
        <is>
          <t>adidas Essentials Hoodie</t>
        </is>
      </c>
      <c r="D4366" t="inlineStr">
        <is>
          <t>adidas Men's Tall Size Essentials French Terry 3-Stripes Hoodie</t>
        </is>
      </c>
      <c r="E4366" s="2">
        <f>HYPERLINK("https://www.amazon.com/adidas-Essentials-French-3-Stripes-Hoodie/dp/B09XCB26KZ/ref=sr_1_9?keywords=adidas+Essentials+Hoodie&amp;qid=1695171148&amp;sr=8-9", "https://www.amazon.com/adidas-Essentials-French-3-Stripes-Hoodie/dp/B09XCB26KZ/ref=sr_1_9?keywords=adidas+Essentials+Hoodie&amp;qid=1695171148&amp;sr=8-9")</f>
        <v/>
      </c>
      <c r="F4366" t="inlineStr">
        <is>
          <t>B09XCB26KZ</t>
        </is>
      </c>
      <c r="G4366">
        <f>_xludf.IMAGE("https://www.soccerplususa.com/prodimages//35143-BLACKWHITE-M.jpg")</f>
        <v/>
      </c>
      <c r="H4366">
        <f>_xludf.IMAGE("https://m.media-amazon.com/images/I/71D8P80V+IL._AC_UL320_.jpg")</f>
        <v/>
      </c>
      <c r="K4366" t="inlineStr">
        <is>
          <t>44.99</t>
        </is>
      </c>
      <c r="L4366" t="n">
        <v>36.74</v>
      </c>
      <c r="M4366" s="1" t="inlineStr">
        <is>
          <t>-18.34%</t>
        </is>
      </c>
      <c r="N4366" s="3" t="n">
        <v>-18.34</v>
      </c>
      <c r="O4366" t="n">
        <v>4.6</v>
      </c>
      <c r="P4366" t="n">
        <v>66</v>
      </c>
      <c r="R4366" t="inlineStr">
        <is>
          <t>InStock</t>
        </is>
      </c>
      <c r="S4366" t="inlineStr">
        <is>
          <t>59.95</t>
        </is>
      </c>
      <c r="T4366" t="inlineStr">
        <is>
          <t>GK9062</t>
        </is>
      </c>
    </row>
    <row r="4367" hidden="1" ht="15.75" customHeight="1">
      <c r="A4367" s="2">
        <f>HYPERLINK("https://www.soccerplususa.com/adidas/adidas-tabela-18-jersey-5113", "https://www.soccerplususa.com/adidas/adidas-tabela-18-jersey-5113")</f>
        <v/>
      </c>
      <c r="B4367" t="inlineStr">
        <is>
          <t>undefined</t>
        </is>
      </c>
      <c r="C4367" t="inlineStr">
        <is>
          <t>adidas Tabela 18 Jersey</t>
        </is>
      </c>
      <c r="D4367" t="inlineStr">
        <is>
          <t>adidas Womens Tabela 18 Soccer Jersey</t>
        </is>
      </c>
      <c r="E4367" s="2">
        <f>HYPERLINK("https://www.amazon.com/adidas-TABELA-18-Jersey-W/dp/B078LC53ZJ/ref=sr_1_1?keywords=adidas+Tabela+18+Jersey&amp;qid=1695171233&amp;sr=8-1", "https://www.amazon.com/adidas-TABELA-18-Jersey-W/dp/B078LC53ZJ/ref=sr_1_1?keywords=adidas+Tabela+18+Jersey&amp;qid=1695171233&amp;sr=8-1")</f>
        <v/>
      </c>
      <c r="F4367" t="inlineStr">
        <is>
          <t>B078LC53ZJ</t>
        </is>
      </c>
      <c r="G4367">
        <f>_xludf.IMAGE("https://www.soccerplususa.com/prodimages//31723-BLACK-M.jpg")</f>
        <v/>
      </c>
      <c r="H4367">
        <f>_xludf.IMAGE("https://m.media-amazon.com/images/I/61EdyK1tavL._AC_UL320_.jpg")</f>
        <v/>
      </c>
      <c r="K4367" t="inlineStr">
        <is>
          <t>21.99</t>
        </is>
      </c>
      <c r="L4367" t="n">
        <v>17.95</v>
      </c>
      <c r="M4367" s="1" t="inlineStr">
        <is>
          <t>-18.37%</t>
        </is>
      </c>
      <c r="N4367" s="3" t="n">
        <v>-18.37</v>
      </c>
      <c r="O4367" t="n">
        <v>4.6</v>
      </c>
      <c r="P4367" t="n">
        <v>135</v>
      </c>
      <c r="R4367" t="inlineStr">
        <is>
          <t>InStock</t>
        </is>
      </c>
      <c r="S4367" t="inlineStr">
        <is>
          <t>29.95</t>
        </is>
      </c>
      <c r="T4367" t="inlineStr">
        <is>
          <t>CE8934</t>
        </is>
      </c>
    </row>
    <row r="4368" hidden="1" ht="15.75" customHeight="1">
      <c r="A4368" s="2">
        <f>HYPERLINK("https://www.soccerplususa.com/adidas/adidas-tabela-18-jersey-33808", "https://www.soccerplususa.com/adidas/adidas-tabela-18-jersey-33808")</f>
        <v/>
      </c>
      <c r="B4368" t="inlineStr">
        <is>
          <t>undefined</t>
        </is>
      </c>
      <c r="C4368" t="inlineStr">
        <is>
          <t>adidas Tabela 18 Jersey</t>
        </is>
      </c>
      <c r="D4368" t="inlineStr">
        <is>
          <t>adidas Womens Tabela 18 Soccer Jersey</t>
        </is>
      </c>
      <c r="E4368" s="2">
        <f>HYPERLINK("https://www.amazon.com/adidas-TABELA-18-Jersey-W/dp/B078LC53ZJ/ref=sr_1_1?keywords=adidas+Tabela+18+Jersey&amp;qid=1695171170&amp;sr=8-1", "https://www.amazon.com/adidas-TABELA-18-Jersey-W/dp/B078LC53ZJ/ref=sr_1_1?keywords=adidas+Tabela+18+Jersey&amp;qid=1695171170&amp;sr=8-1")</f>
        <v/>
      </c>
      <c r="F4368" t="inlineStr">
        <is>
          <t>B078LC53ZJ</t>
        </is>
      </c>
      <c r="G4368">
        <f>_xludf.IMAGE("https://www.soccerplususa.com/prodimages//35356-REDWHITE-M.jpg")</f>
        <v/>
      </c>
      <c r="H4368">
        <f>_xludf.IMAGE("https://m.media-amazon.com/images/I/61EdyK1tavL._AC_UL320_.jpg")</f>
        <v/>
      </c>
      <c r="K4368" t="inlineStr">
        <is>
          <t>21.99</t>
        </is>
      </c>
      <c r="L4368" t="n">
        <v>17.95</v>
      </c>
      <c r="M4368" s="1" t="inlineStr">
        <is>
          <t>-18.37%</t>
        </is>
      </c>
      <c r="N4368" s="3" t="n">
        <v>-18.37</v>
      </c>
      <c r="O4368" t="n">
        <v>4.6</v>
      </c>
      <c r="P4368" t="n">
        <v>135</v>
      </c>
      <c r="R4368" t="inlineStr">
        <is>
          <t>InStock</t>
        </is>
      </c>
      <c r="S4368" t="inlineStr">
        <is>
          <t>29.95</t>
        </is>
      </c>
      <c r="T4368" t="inlineStr">
        <is>
          <t>CE8935</t>
        </is>
      </c>
    </row>
    <row r="4369" hidden="1" ht="15.75" customHeight="1">
      <c r="A4369" s="2">
        <f>HYPERLINK("https://www.soccerplususa.com/adidas/adidas-tabela-18-jersey-5115", "https://www.soccerplususa.com/adidas/adidas-tabela-18-jersey-5115")</f>
        <v/>
      </c>
      <c r="B4369" t="inlineStr">
        <is>
          <t>undefined</t>
        </is>
      </c>
      <c r="C4369" t="inlineStr">
        <is>
          <t>adidas Tabela 18 Jersey</t>
        </is>
      </c>
      <c r="D4369" t="inlineStr">
        <is>
          <t>adidas Womens Tabela 18 Soccer Jersey</t>
        </is>
      </c>
      <c r="E4369" s="2">
        <f>HYPERLINK("https://www.amazon.com/adidas-TABELA-18-Jersey-W/dp/B078LC53ZJ/ref=sr_1_1?keywords=adidas+Tabela+18+Jersey&amp;qid=1695171223&amp;sr=8-1", "https://www.amazon.com/adidas-TABELA-18-Jersey-W/dp/B078LC53ZJ/ref=sr_1_1?keywords=adidas+Tabela+18+Jersey&amp;qid=1695171223&amp;sr=8-1")</f>
        <v/>
      </c>
      <c r="F4369" t="inlineStr">
        <is>
          <t>B078LC53ZJ</t>
        </is>
      </c>
      <c r="G4369">
        <f>_xludf.IMAGE("https://www.soccerplususa.com/prodimages//31724-GRAY-M.jpg")</f>
        <v/>
      </c>
      <c r="H4369">
        <f>_xludf.IMAGE("https://m.media-amazon.com/images/I/61EdyK1tavL._AC_UL320_.jpg")</f>
        <v/>
      </c>
      <c r="K4369" t="inlineStr">
        <is>
          <t>21.99</t>
        </is>
      </c>
      <c r="L4369" t="n">
        <v>17.95</v>
      </c>
      <c r="M4369" s="1" t="inlineStr">
        <is>
          <t>-18.37%</t>
        </is>
      </c>
      <c r="N4369" s="3" t="n">
        <v>-18.37</v>
      </c>
      <c r="O4369" t="n">
        <v>4.6</v>
      </c>
      <c r="P4369" t="n">
        <v>135</v>
      </c>
      <c r="R4369" t="inlineStr">
        <is>
          <t>InStock</t>
        </is>
      </c>
      <c r="S4369" t="inlineStr">
        <is>
          <t>29.95</t>
        </is>
      </c>
      <c r="T4369" t="inlineStr">
        <is>
          <t>CE8940</t>
        </is>
      </c>
    </row>
    <row r="4370" hidden="1" ht="15.75" customHeight="1">
      <c r="A4370" s="2">
        <f>HYPERLINK("https://www.soccerplususa.com/adidas/adidas-tabela-18-jersey-5116", "https://www.soccerplususa.com/adidas/adidas-tabela-18-jersey-5116")</f>
        <v/>
      </c>
      <c r="B4370" t="inlineStr">
        <is>
          <t>undefined</t>
        </is>
      </c>
      <c r="C4370" t="inlineStr">
        <is>
          <t>adidas Tabela 18 Jersey</t>
        </is>
      </c>
      <c r="D4370" t="inlineStr">
        <is>
          <t>adidas Womens Tabela 18 Soccer Jersey</t>
        </is>
      </c>
      <c r="E4370" s="2">
        <f>HYPERLINK("https://www.amazon.com/adidas-TABELA-18-Jersey-W/dp/B078LC53ZJ/ref=sr_1_1?keywords=adidas+Tabela+18+Jersey&amp;qid=1695171247&amp;sr=8-1", "https://www.amazon.com/adidas-TABELA-18-Jersey-W/dp/B078LC53ZJ/ref=sr_1_1?keywords=adidas+Tabela+18+Jersey&amp;qid=1695171247&amp;sr=8-1")</f>
        <v/>
      </c>
      <c r="F4370" t="inlineStr">
        <is>
          <t>B078LC53ZJ</t>
        </is>
      </c>
      <c r="G4370">
        <f>_xludf.IMAGE("https://www.soccerplususa.com/prodimages//31725-YELLOW-M.jpg")</f>
        <v/>
      </c>
      <c r="H4370">
        <f>_xludf.IMAGE("https://m.media-amazon.com/images/I/61EdyK1tavL._AC_UL320_.jpg")</f>
        <v/>
      </c>
      <c r="K4370" t="inlineStr">
        <is>
          <t>21.99</t>
        </is>
      </c>
      <c r="L4370" t="n">
        <v>17.95</v>
      </c>
      <c r="M4370" s="1" t="inlineStr">
        <is>
          <t>-18.37%</t>
        </is>
      </c>
      <c r="N4370" s="3" t="n">
        <v>-18.37</v>
      </c>
      <c r="O4370" t="n">
        <v>4.6</v>
      </c>
      <c r="P4370" t="n">
        <v>135</v>
      </c>
      <c r="R4370" t="inlineStr">
        <is>
          <t>InStock</t>
        </is>
      </c>
      <c r="S4370" t="inlineStr">
        <is>
          <t>29.95</t>
        </is>
      </c>
      <c r="T4370" t="inlineStr">
        <is>
          <t>CE8941</t>
        </is>
      </c>
    </row>
    <row r="4371" hidden="1" ht="15.75" customHeight="1">
      <c r="A4371" s="2">
        <f>HYPERLINK("https://www.soccerplususa.com/adidas/adidas-tabela-18-jersey-5113", "https://www.soccerplususa.com/adidas/adidas-tabela-18-jersey-5113")</f>
        <v/>
      </c>
      <c r="B4371" t="inlineStr">
        <is>
          <t>undefined</t>
        </is>
      </c>
      <c r="C4371" t="inlineStr">
        <is>
          <t>adidas Tabela 18 Jersey</t>
        </is>
      </c>
      <c r="D4371" t="inlineStr">
        <is>
          <t>adidas Boy's Entrada 18 Jersey</t>
        </is>
      </c>
      <c r="E4371" s="2">
        <f>HYPERLINK("https://www.amazon.com/adidas-Entrada-Jersey-Light-White/dp/B072RCFXFL/ref=sr_1_4?keywords=adidas+Tabela+18+Jersey&amp;qid=1695171233&amp;sr=8-4", "https://www.amazon.com/adidas-Entrada-Jersey-Light-White/dp/B072RCFXFL/ref=sr_1_4?keywords=adidas+Tabela+18+Jersey&amp;qid=1695171233&amp;sr=8-4")</f>
        <v/>
      </c>
      <c r="F4371" t="inlineStr">
        <is>
          <t>B072RCFXFL</t>
        </is>
      </c>
      <c r="G4371">
        <f>_xludf.IMAGE("https://www.soccerplususa.com/prodimages//31723-BLACK-M.jpg")</f>
        <v/>
      </c>
      <c r="H4371">
        <f>_xludf.IMAGE("https://m.media-amazon.com/images/I/41q-X3hB3fL._AC_UL320_.jpg")</f>
        <v/>
      </c>
      <c r="K4371" t="inlineStr">
        <is>
          <t>21.99</t>
        </is>
      </c>
      <c r="L4371" t="n">
        <v>17.91</v>
      </c>
      <c r="M4371" s="1" t="inlineStr">
        <is>
          <t>-18.55%</t>
        </is>
      </c>
      <c r="N4371" s="3" t="n">
        <v>-18.55</v>
      </c>
      <c r="O4371" t="n">
        <v>4.5</v>
      </c>
      <c r="P4371" t="n">
        <v>4493</v>
      </c>
      <c r="R4371" t="inlineStr">
        <is>
          <t>InStock</t>
        </is>
      </c>
      <c r="S4371" t="inlineStr">
        <is>
          <t>29.95</t>
        </is>
      </c>
      <c r="T4371" t="inlineStr">
        <is>
          <t>CE8934</t>
        </is>
      </c>
    </row>
    <row r="4372" hidden="1" ht="15.75" customHeight="1">
      <c r="A4372" s="2">
        <f>HYPERLINK("https://www.soccerplususa.com/puma/puma-liga-casuals-padded-jacket-35508", "https://www.soccerplususa.com/puma/puma-liga-casuals-padded-jacket-35508")</f>
        <v/>
      </c>
      <c r="B4372" t="inlineStr">
        <is>
          <t>undefined</t>
        </is>
      </c>
      <c r="C4372" t="inlineStr">
        <is>
          <t>Puma Liga Casuals Padded Jacket</t>
        </is>
      </c>
      <c r="D4372" t="inlineStr">
        <is>
          <t>PUMA Men's Teamliga Padded Jacket</t>
        </is>
      </c>
      <c r="E4372" s="2">
        <f>HYPERLINK("https://www.amazon.com/PUMA-TeamLIGA-Padded-Jacket-Black/dp/B091DF1938/ref=sr_1_10?keywords=Puma+Liga+Casuals+Padded+Jacket&amp;qid=1695171160&amp;sr=8-10", "https://www.amazon.com/PUMA-TeamLIGA-Padded-Jacket-Black/dp/B091DF1938/ref=sr_1_10?keywords=Puma+Liga+Casuals+Padded+Jacket&amp;qid=1695171160&amp;sr=8-10")</f>
        <v/>
      </c>
      <c r="F4372" t="inlineStr">
        <is>
          <t>B091DF1938</t>
        </is>
      </c>
      <c r="G4372">
        <f>_xludf.IMAGE("https://www.soccerplususa.com/prodimages/32204-DEFAULT-l.jpg")</f>
        <v/>
      </c>
      <c r="H4372">
        <f>_xludf.IMAGE("https://m.media-amazon.com/images/I/71qaflwB4QL._AC_UL320_.jpg")</f>
        <v/>
      </c>
      <c r="K4372" t="inlineStr">
        <is>
          <t>109.95</t>
        </is>
      </c>
      <c r="L4372" t="n">
        <v>89.5</v>
      </c>
      <c r="M4372" s="1" t="inlineStr">
        <is>
          <t>-18.60%</t>
        </is>
      </c>
      <c r="N4372" s="3" t="n">
        <v>-18.6</v>
      </c>
      <c r="O4372" t="n">
        <v>4.3</v>
      </c>
      <c r="P4372" t="n">
        <v>14</v>
      </c>
      <c r="R4372" t="inlineStr">
        <is>
          <t>InStock</t>
        </is>
      </c>
      <c r="S4372" t="inlineStr">
        <is>
          <t>undefined</t>
        </is>
      </c>
      <c r="T4372" t="inlineStr">
        <is>
          <t>655301-02</t>
        </is>
      </c>
    </row>
    <row r="4373" hidden="1" ht="15.75" customHeight="1">
      <c r="A4373" s="2">
        <f>HYPERLINK("https://www.soccerplususa.com/puma/puma-liga-hooped-jersey-35526", "https://www.soccerplususa.com/puma/puma-liga-hooped-jersey-35526")</f>
        <v/>
      </c>
      <c r="B4373" t="inlineStr">
        <is>
          <t>undefined</t>
        </is>
      </c>
      <c r="C4373" t="inlineStr">
        <is>
          <t>Puma Liga Hooped Jersey</t>
        </is>
      </c>
      <c r="D4373" t="inlineStr">
        <is>
          <t>PUMA Men's Liga Long Sleeve Jersey</t>
        </is>
      </c>
      <c r="E4373" s="2">
        <f>HYPERLINK("https://www.amazon.com/PUMA-Jersey-Sleeve-Electric-Lemonadewhite/dp/B07892Y29D/ref=sr_1_3?keywords=Puma+Liga+Hooped+Jersey&amp;qid=1695171162&amp;sr=8-3", "https://www.amazon.com/PUMA-Jersey-Sleeve-Electric-Lemonadewhite/dp/B07892Y29D/ref=sr_1_3?keywords=Puma+Liga+Hooped+Jersey&amp;qid=1695171162&amp;sr=8-3")</f>
        <v/>
      </c>
      <c r="F4373" t="inlineStr">
        <is>
          <t>B07892Y29D</t>
        </is>
      </c>
      <c r="G4373">
        <f>_xludf.IMAGE("https://www.soccerplususa.com/prodimages/32667-DEFAULT-l.jpg")</f>
        <v/>
      </c>
      <c r="H4373">
        <f>_xludf.IMAGE("https://m.media-amazon.com/images/I/81o8g03CC7S._AC_UL320_.jpg")</f>
        <v/>
      </c>
      <c r="K4373" t="inlineStr">
        <is>
          <t>30.0</t>
        </is>
      </c>
      <c r="L4373" t="n">
        <v>24.37</v>
      </c>
      <c r="M4373" s="1" t="inlineStr">
        <is>
          <t>-18.77%</t>
        </is>
      </c>
      <c r="N4373" s="3" t="n">
        <v>-18.77</v>
      </c>
      <c r="O4373" t="n">
        <v>4.5</v>
      </c>
      <c r="P4373" t="n">
        <v>410</v>
      </c>
      <c r="R4373" t="inlineStr">
        <is>
          <t>InStock</t>
        </is>
      </c>
      <c r="S4373" t="inlineStr">
        <is>
          <t>39.95</t>
        </is>
      </c>
      <c r="T4373" t="inlineStr">
        <is>
          <t>703422-02</t>
        </is>
      </c>
    </row>
    <row r="4374" hidden="1" ht="15.75" customHeight="1">
      <c r="A4374" s="2">
        <f>HYPERLINK("https://www.soccerplususa.com/adidas/adidas-tiro-17-jersey-youth-8176", "https://www.soccerplususa.com/adidas/adidas-tiro-17-jersey-youth-8176")</f>
        <v/>
      </c>
      <c r="B4374" t="inlineStr">
        <is>
          <t>undefined</t>
        </is>
      </c>
      <c r="C4374" t="inlineStr">
        <is>
          <t>adidas Tiro 17 Jersey Youth</t>
        </is>
      </c>
      <c r="D4374" t="inlineStr">
        <is>
          <t>adidas Tiro 17 Mens Soccer Training Jersey</t>
        </is>
      </c>
      <c r="E4374" s="2">
        <f>HYPERLINK("https://www.amazon.com/adidas-Training-Jersey-White-Black/dp/B01M29BN8D/ref=sr_1_5?keywords=adidas+Tiro+17+Jersey+Youth&amp;qid=1695171210&amp;sr=8-5", "https://www.amazon.com/adidas-Training-Jersey-White-Black/dp/B01M29BN8D/ref=sr_1_5?keywords=adidas+Tiro+17+Jersey+Youth&amp;qid=1695171210&amp;sr=8-5")</f>
        <v/>
      </c>
      <c r="F4374" t="inlineStr">
        <is>
          <t>B01M29BN8D</t>
        </is>
      </c>
      <c r="G4374">
        <f>_xludf.IMAGE("https://www.soccerplususa.com/prodimages/7857-DEFAULT-l.jpg")</f>
        <v/>
      </c>
      <c r="H4374">
        <f>_xludf.IMAGE("https://m.media-amazon.com/images/I/51KCXIG2tsL._AC_UL320_.jpg")</f>
        <v/>
      </c>
      <c r="K4374" t="inlineStr">
        <is>
          <t>20.97</t>
        </is>
      </c>
      <c r="L4374" t="n">
        <v>16.99</v>
      </c>
      <c r="M4374" s="1" t="inlineStr">
        <is>
          <t>-18.98%</t>
        </is>
      </c>
      <c r="N4374" s="3" t="n">
        <v>-18.98</v>
      </c>
      <c r="O4374" t="n">
        <v>4.2</v>
      </c>
      <c r="P4374" t="n">
        <v>51</v>
      </c>
      <c r="R4374" t="inlineStr">
        <is>
          <t>InStock</t>
        </is>
      </c>
      <c r="S4374" t="inlineStr">
        <is>
          <t>34.95</t>
        </is>
      </c>
      <c r="T4374" t="inlineStr">
        <is>
          <t>S99148</t>
        </is>
      </c>
    </row>
    <row r="4375" hidden="1" ht="15.75" customHeight="1">
      <c r="A4375" s="2">
        <f>HYPERLINK("https://www.soccerplususa.com/puma/puma-teamgoal-23-casuals-hoody-40903", "https://www.soccerplususa.com/puma/puma-teamgoal-23-casuals-hoody-40903")</f>
        <v/>
      </c>
      <c r="B4375" t="inlineStr">
        <is>
          <t>undefined</t>
        </is>
      </c>
      <c r="C4375" t="inlineStr">
        <is>
          <t>Puma TeamGoal 23 Casuals Hoody</t>
        </is>
      </c>
      <c r="D4375" t="inlineStr">
        <is>
          <t>PUMA - Mens Teamgoal 23 Causals Hoody</t>
        </is>
      </c>
      <c r="E4375" s="2">
        <f>HYPERLINK("https://www.amazon.com/PUMA-teamGOAL-Sweatshirt-656580-konfektionsgr%C3%B6%C3%9Fe/dp/B07X8PJC6C/ref=sr_1_1?keywords=Puma+TeamGoal+23+Casuals+Hoody&amp;qid=1695171152&amp;sr=8-1", "https://www.amazon.com/PUMA-teamGOAL-Sweatshirt-656580-konfektionsgr%C3%B6%C3%9Fe/dp/B07X8PJC6C/ref=sr_1_1?keywords=Puma+TeamGoal+23+Casuals+Hoody&amp;qid=1695171152&amp;sr=8-1")</f>
        <v/>
      </c>
      <c r="F4375" t="inlineStr">
        <is>
          <t>B07X8PJC6C</t>
        </is>
      </c>
      <c r="G4375">
        <f>_xludf.IMAGE("https://www.soccerplususa.com/prodimages//35868-GREY-M.jpg")</f>
        <v/>
      </c>
      <c r="H4375">
        <f>_xludf.IMAGE("https://m.media-amazon.com/images/I/714XaaDTmeL._AC_UL320_.jpg")</f>
        <v/>
      </c>
      <c r="K4375" t="inlineStr">
        <is>
          <t>54.95</t>
        </is>
      </c>
      <c r="L4375" t="n">
        <v>44.37</v>
      </c>
      <c r="M4375" s="1" t="inlineStr">
        <is>
          <t>-19.25%</t>
        </is>
      </c>
      <c r="N4375" s="3" t="n">
        <v>-19.25</v>
      </c>
      <c r="O4375" t="n">
        <v>4.5</v>
      </c>
      <c r="P4375" t="n">
        <v>1331</v>
      </c>
      <c r="R4375" t="inlineStr">
        <is>
          <t>InStock</t>
        </is>
      </c>
      <c r="S4375" t="inlineStr">
        <is>
          <t>undefined</t>
        </is>
      </c>
      <c r="T4375" t="inlineStr">
        <is>
          <t>656580-33</t>
        </is>
      </c>
    </row>
    <row r="4376" hidden="1" ht="15.75" customHeight="1">
      <c r="A4376" s="2">
        <f>HYPERLINK("https://www.soccerplususa.com/adidas/adidas-tiro-17-training-jacket-youth-4851", "https://www.soccerplususa.com/adidas/adidas-tiro-17-training-jacket-youth-4851")</f>
        <v/>
      </c>
      <c r="B4376" t="inlineStr">
        <is>
          <t>undefined</t>
        </is>
      </c>
      <c r="C4376" t="inlineStr">
        <is>
          <t>adidas Tiro 17 Training Jacket Youth</t>
        </is>
      </c>
      <c r="D4376" t="inlineStr">
        <is>
          <t>adidas mens Youth Tiro 17 Soccer Training Jacket</t>
        </is>
      </c>
      <c r="E4376" s="2">
        <f>HYPERLINK("https://www.amazon.com/adidas-Soccer-Training-Jacket-Blue-Black-White/dp/B01N0B8GRV/ref=sr_1_1?keywords=adidas+Tiro+17+Training+Jacket+Youth&amp;qid=1695171224&amp;sr=8-1", "https://www.amazon.com/adidas-Soccer-Training-Jacket-Blue-Black-White/dp/B01N0B8GRV/ref=sr_1_1?keywords=adidas+Tiro+17+Training+Jacket+Youth&amp;qid=1695171224&amp;sr=8-1")</f>
        <v/>
      </c>
      <c r="F4376" t="inlineStr">
        <is>
          <t>B01N0B8GRV</t>
        </is>
      </c>
      <c r="G4376">
        <f>_xludf.IMAGE("https://www.soccerplususa.com/prodimages/4535-DEFAULT-l.jpg")</f>
        <v/>
      </c>
      <c r="H4376">
        <f>_xludf.IMAGE("https://m.media-amazon.com/images/I/61z+6e8It+L._AC_UL320_.jpg")</f>
        <v/>
      </c>
      <c r="K4376" t="inlineStr">
        <is>
          <t>31.0</t>
        </is>
      </c>
      <c r="L4376" t="n">
        <v>24.99</v>
      </c>
      <c r="M4376" s="1" t="inlineStr">
        <is>
          <t>-19.39%</t>
        </is>
      </c>
      <c r="N4376" s="3" t="n">
        <v>-19.39</v>
      </c>
      <c r="O4376" t="n">
        <v>3.6</v>
      </c>
      <c r="P4376" t="n">
        <v>37</v>
      </c>
      <c r="R4376" t="inlineStr">
        <is>
          <t>InStock</t>
        </is>
      </c>
      <c r="S4376" t="inlineStr">
        <is>
          <t>59.95</t>
        </is>
      </c>
      <c r="T4376" t="inlineStr">
        <is>
          <t>BJ9296</t>
        </is>
      </c>
    </row>
    <row r="4377" hidden="1" ht="15.75" customHeight="1">
      <c r="A4377" s="2">
        <f>HYPERLINK("https://www.soccerplususa.com/adidas/adidas-tiro-17-training-jacket-youth-4975", "https://www.soccerplususa.com/adidas/adidas-tiro-17-training-jacket-youth-4975")</f>
        <v/>
      </c>
      <c r="B4377" t="inlineStr">
        <is>
          <t>undefined</t>
        </is>
      </c>
      <c r="C4377" t="inlineStr">
        <is>
          <t>adidas Tiro 17 Training Jacket Youth</t>
        </is>
      </c>
      <c r="D4377" t="inlineStr">
        <is>
          <t>adidas mens Youth Tiro 17 Soccer Training Jacket</t>
        </is>
      </c>
      <c r="E4377" s="2">
        <f>HYPERLINK("https://www.amazon.com/adidas-Soccer-Training-Jacket-Blue-Black-White/dp/B01N0B8GRV/ref=sr_1_1?keywords=adidas+Tiro+17+Training+Jacket+Youth&amp;qid=1695171246&amp;sr=8-1", "https://www.amazon.com/adidas-Soccer-Training-Jacket-Blue-Black-White/dp/B01N0B8GRV/ref=sr_1_1?keywords=adidas+Tiro+17+Training+Jacket+Youth&amp;qid=1695171246&amp;sr=8-1")</f>
        <v/>
      </c>
      <c r="F4377" t="inlineStr">
        <is>
          <t>B01N0B8GRV</t>
        </is>
      </c>
      <c r="G4377">
        <f>_xludf.IMAGE("https://www.soccerplususa.com/prodimages/4537-DEFAULT-l.jpg")</f>
        <v/>
      </c>
      <c r="H4377">
        <f>_xludf.IMAGE("https://m.media-amazon.com/images/I/61z+6e8It+L._AC_UL320_.jpg")</f>
        <v/>
      </c>
      <c r="K4377" t="inlineStr">
        <is>
          <t>31.0</t>
        </is>
      </c>
      <c r="L4377" t="n">
        <v>24.99</v>
      </c>
      <c r="M4377" s="1" t="inlineStr">
        <is>
          <t>-19.39%</t>
        </is>
      </c>
      <c r="N4377" s="3" t="n">
        <v>-19.39</v>
      </c>
      <c r="O4377" t="n">
        <v>3.6</v>
      </c>
      <c r="P4377" t="n">
        <v>37</v>
      </c>
      <c r="R4377" t="inlineStr">
        <is>
          <t>InStock</t>
        </is>
      </c>
      <c r="S4377" t="inlineStr">
        <is>
          <t>59.95</t>
        </is>
      </c>
      <c r="T4377" t="inlineStr">
        <is>
          <t>BR2704</t>
        </is>
      </c>
    </row>
    <row r="4378" hidden="1" ht="15.75" customHeight="1">
      <c r="A4378" s="2">
        <f>HYPERLINK("https://www.soccerplususa.com/adidas/adidas-tiro-15-jersey-youth-7892", "https://www.soccerplususa.com/adidas/adidas-tiro-15-jersey-youth-7892")</f>
        <v/>
      </c>
      <c r="B4378" t="inlineStr">
        <is>
          <t>undefined</t>
        </is>
      </c>
      <c r="C4378" t="inlineStr">
        <is>
          <t>adidas Tiro 15 Jersey Youth</t>
        </is>
      </c>
      <c r="D4378" t="inlineStr">
        <is>
          <t>adidas Boys' Alphaskin Tiro Youth Jersey</t>
        </is>
      </c>
      <c r="E4378" s="2">
        <f>HYPERLINK("https://www.amazon.com/adidas-Alphaskin-Youth-Jersey-X-Large/dp/B07DXQYZG1/ref=sr_1_3?keywords=adidas+Tiro+15+Jersey+Youth&amp;qid=1695171200&amp;sr=8-3", "https://www.amazon.com/adidas-Alphaskin-Youth-Jersey-X-Large/dp/B07DXQYZG1/ref=sr_1_3?keywords=adidas+Tiro+15+Jersey+Youth&amp;qid=1695171200&amp;sr=8-3")</f>
        <v/>
      </c>
      <c r="F4378" t="inlineStr">
        <is>
          <t>B07DXQYZG1</t>
        </is>
      </c>
      <c r="G4378">
        <f>_xludf.IMAGE("https://www.soccerplususa.com/prodimages/5431-DEFAULT-l.jpg")</f>
        <v/>
      </c>
      <c r="H4378">
        <f>_xludf.IMAGE("https://m.media-amazon.com/images/I/51FrkChU33L._AC_UL320_.jpg")</f>
        <v/>
      </c>
      <c r="K4378" t="inlineStr">
        <is>
          <t>17.5</t>
        </is>
      </c>
      <c r="L4378" t="n">
        <v>14.04</v>
      </c>
      <c r="M4378" s="1" t="inlineStr">
        <is>
          <t>-19.77%</t>
        </is>
      </c>
      <c r="N4378" s="3" t="n">
        <v>-19.77</v>
      </c>
      <c r="O4378" t="n">
        <v>4.9</v>
      </c>
      <c r="P4378" t="n">
        <v>40</v>
      </c>
      <c r="R4378" t="inlineStr">
        <is>
          <t>InStock</t>
        </is>
      </c>
      <c r="S4378" t="inlineStr">
        <is>
          <t>34.95</t>
        </is>
      </c>
      <c r="T4378" t="inlineStr">
        <is>
          <t>S22375</t>
        </is>
      </c>
    </row>
    <row r="4379" hidden="1" ht="15.75" customHeight="1">
      <c r="A4379" s="2">
        <f>HYPERLINK("https://www.soccerplususa.com/puma/puma-liga-training-rain-jacket-youth-35518", "https://www.soccerplususa.com/puma/puma-liga-training-rain-jacket-youth-35518")</f>
        <v/>
      </c>
      <c r="B4379" t="inlineStr">
        <is>
          <t>undefined</t>
        </is>
      </c>
      <c r="C4379" t="inlineStr">
        <is>
          <t>Puma Liga Training Rain Jacket Youth</t>
        </is>
      </c>
      <c r="D4379" t="inlineStr">
        <is>
          <t>PUMA Men's Liga Training Rain Jacket</t>
        </is>
      </c>
      <c r="E4379" s="2">
        <f>HYPERLINK("https://www.amazon.com/PUMA-Training-Jacket-Black-White/dp/B07DY9HZBP/ref=sr_1_3?keywords=Puma+Liga+Training+Rain+Jacket+Youth&amp;qid=1695171159&amp;sr=8-3", "https://www.amazon.com/PUMA-Training-Jacket-Black-White/dp/B07DY9HZBP/ref=sr_1_3?keywords=Puma+Liga+Training+Rain+Jacket+Youth&amp;qid=1695171159&amp;sr=8-3")</f>
        <v/>
      </c>
      <c r="F4379" t="inlineStr">
        <is>
          <t>B07DY9HZBP</t>
        </is>
      </c>
      <c r="G4379">
        <f>_xludf.IMAGE("https://www.soccerplususa.com/prodimages/13113-DEFAULT-l.jpg")</f>
        <v/>
      </c>
      <c r="H4379">
        <f>_xludf.IMAGE("https://m.media-amazon.com/images/I/81LmNBkmtXL._AC_UL320_.jpg")</f>
        <v/>
      </c>
      <c r="K4379" t="inlineStr">
        <is>
          <t>59.95</t>
        </is>
      </c>
      <c r="L4379" t="n">
        <v>48.08</v>
      </c>
      <c r="M4379" s="1" t="inlineStr">
        <is>
          <t>-19.80%</t>
        </is>
      </c>
      <c r="N4379" s="3" t="n">
        <v>-19.8</v>
      </c>
      <c r="O4379" t="n">
        <v>4.4</v>
      </c>
      <c r="P4379" t="n">
        <v>40</v>
      </c>
      <c r="R4379" t="inlineStr">
        <is>
          <t>InStock</t>
        </is>
      </c>
      <c r="S4379" t="inlineStr">
        <is>
          <t>undefined</t>
        </is>
      </c>
      <c r="T4379" t="inlineStr">
        <is>
          <t>655660-03</t>
        </is>
      </c>
    </row>
    <row r="4380" hidden="1" ht="15.75" customHeight="1">
      <c r="A4380" s="2">
        <f>HYPERLINK("https://www.soccerplususa.com/adidas/adidas-regista-14-jersey-6067", "https://www.soccerplususa.com/adidas/adidas-regista-14-jersey-6067")</f>
        <v/>
      </c>
      <c r="B4380" t="inlineStr">
        <is>
          <t>undefined</t>
        </is>
      </c>
      <c r="C4380" t="inlineStr">
        <is>
          <t>adidas Regista 14 Jersey</t>
        </is>
      </c>
      <c r="D4380" t="inlineStr">
        <is>
          <t>adidas Mens Regista 14 Shorts, Cobalt/White, Small</t>
        </is>
      </c>
      <c r="E4380" s="2">
        <f>HYPERLINK("https://www.amazon.com/Adidas-Climacool-Regista-Short-Cobalt/dp/B00IZHZJP6/ref=sr_1_7?keywords=adidas+Regista+14+Jersey&amp;qid=1695171231&amp;sr=8-7", "https://www.amazon.com/Adidas-Climacool-Regista-Short-Cobalt/dp/B00IZHZJP6/ref=sr_1_7?keywords=adidas+Regista+14+Jersey&amp;qid=1695171231&amp;sr=8-7")</f>
        <v/>
      </c>
      <c r="F4380" t="inlineStr">
        <is>
          <t>B00IZHZJP6</t>
        </is>
      </c>
      <c r="G4380">
        <f>_xludf.IMAGE("https://www.soccerplususa.com/prodimages/10329-DEFAULT-l.jpg")</f>
        <v/>
      </c>
      <c r="H4380">
        <f>_xludf.IMAGE("https://m.media-amazon.com/images/I/415mGa6u4NL._AC_UL320_.jpg")</f>
        <v/>
      </c>
      <c r="K4380" t="inlineStr">
        <is>
          <t>22.5</t>
        </is>
      </c>
      <c r="L4380" t="n">
        <v>17.99</v>
      </c>
      <c r="M4380" s="1" t="inlineStr">
        <is>
          <t>-20.04%</t>
        </is>
      </c>
      <c r="N4380" s="3" t="n">
        <v>-20.04</v>
      </c>
      <c r="O4380" t="n">
        <v>5</v>
      </c>
      <c r="P4380" t="n">
        <v>1</v>
      </c>
      <c r="R4380" t="inlineStr">
        <is>
          <t>InStock</t>
        </is>
      </c>
      <c r="S4380" t="inlineStr">
        <is>
          <t>44.95</t>
        </is>
      </c>
      <c r="T4380" t="inlineStr">
        <is>
          <t>F50011</t>
        </is>
      </c>
    </row>
    <row r="4381" hidden="1" ht="15.75" customHeight="1">
      <c r="A4381" s="2">
        <f>HYPERLINK("https://www.soccerplususa.com/adidas/adidas-regista-14-jersey-6672", "https://www.soccerplususa.com/adidas/adidas-regista-14-jersey-6672")</f>
        <v/>
      </c>
      <c r="B4381" t="inlineStr">
        <is>
          <t>undefined</t>
        </is>
      </c>
      <c r="C4381" t="inlineStr">
        <is>
          <t>adidas Regista 14 Jersey</t>
        </is>
      </c>
      <c r="D4381" t="inlineStr">
        <is>
          <t>adidas Mens Regista 14 Shorts, Cobalt/White, Small</t>
        </is>
      </c>
      <c r="E4381" s="2">
        <f>HYPERLINK("https://www.amazon.com/Adidas-Climacool-Regista-Short-Cobalt/dp/B00IZHZJP6/ref=sr_1_7?keywords=adidas+Regista+14+Jersey&amp;qid=1695171217&amp;sr=8-7", "https://www.amazon.com/Adidas-Climacool-Regista-Short-Cobalt/dp/B00IZHZJP6/ref=sr_1_7?keywords=adidas+Regista+14+Jersey&amp;qid=1695171217&amp;sr=8-7")</f>
        <v/>
      </c>
      <c r="F4381" t="inlineStr">
        <is>
          <t>B00IZHZJP6</t>
        </is>
      </c>
      <c r="G4381">
        <f>_xludf.IMAGE("https://www.soccerplususa.com/prodimages/10435-DEFAULT-l.jpg")</f>
        <v/>
      </c>
      <c r="H4381">
        <f>_xludf.IMAGE("https://m.media-amazon.com/images/I/415mGa6u4NL._AC_UL320_.jpg")</f>
        <v/>
      </c>
      <c r="K4381" t="inlineStr">
        <is>
          <t>22.5</t>
        </is>
      </c>
      <c r="L4381" t="n">
        <v>17.99</v>
      </c>
      <c r="M4381" s="1" t="inlineStr">
        <is>
          <t>-20.04%</t>
        </is>
      </c>
      <c r="N4381" s="3" t="n">
        <v>-20.04</v>
      </c>
      <c r="O4381" t="n">
        <v>5</v>
      </c>
      <c r="P4381" t="n">
        <v>1</v>
      </c>
      <c r="R4381" t="inlineStr">
        <is>
          <t>InStock</t>
        </is>
      </c>
      <c r="S4381" t="inlineStr">
        <is>
          <t>44.95</t>
        </is>
      </c>
      <c r="T4381" t="inlineStr">
        <is>
          <t>G70830</t>
        </is>
      </c>
    </row>
    <row r="4382" hidden="1" ht="15.75" customHeight="1">
      <c r="A4382" s="2">
        <f>HYPERLINK("https://www.soccerplususa.com/adidas/adidas-tiro-17-jersey-womens-35760", "https://www.soccerplususa.com/adidas/adidas-tiro-17-jersey-womens-35760")</f>
        <v/>
      </c>
      <c r="B4382" t="inlineStr">
        <is>
          <t>undefined</t>
        </is>
      </c>
      <c r="C4382" t="inlineStr">
        <is>
          <t>adidas Tiro 17 Jersey Women's</t>
        </is>
      </c>
      <c r="D4382" t="inlineStr">
        <is>
          <t>adidas Tiro 17 Womens Soccer Jersey Rave Green-White</t>
        </is>
      </c>
      <c r="E4382" s="2">
        <f>HYPERLINK("https://www.amazon.com/adidas-Womens-Soccer-Jersey-Green-White/dp/B01MRQME91/ref=sr_1_5?keywords=adidas+Tiro+17+Jersey+Womens&amp;qid=1695171224&amp;sr=8-5", "https://www.amazon.com/adidas-Womens-Soccer-Jersey-Green-White/dp/B01MRQME91/ref=sr_1_5?keywords=adidas+Tiro+17+Jersey+Womens&amp;qid=1695171224&amp;sr=8-5")</f>
        <v/>
      </c>
      <c r="F4382" t="inlineStr">
        <is>
          <t>B01MRQME91</t>
        </is>
      </c>
      <c r="G4382">
        <f>_xludf.IMAGE("https://www.soccerplususa.com/prodimages/9819-DEFAULT-l.jpg")</f>
        <v/>
      </c>
      <c r="H4382">
        <f>_xludf.IMAGE("https://m.media-amazon.com/images/I/612I3NWEYPL._AC_UL320_.jpg")</f>
        <v/>
      </c>
      <c r="K4382" t="inlineStr">
        <is>
          <t>20.0</t>
        </is>
      </c>
      <c r="L4382" t="n">
        <v>15.99</v>
      </c>
      <c r="M4382" s="1" t="inlineStr">
        <is>
          <t>-20.05%</t>
        </is>
      </c>
      <c r="N4382" s="3" t="n">
        <v>-20.05</v>
      </c>
      <c r="O4382" t="n">
        <v>1</v>
      </c>
      <c r="P4382" t="n">
        <v>1</v>
      </c>
      <c r="R4382" t="inlineStr">
        <is>
          <t>InStock</t>
        </is>
      </c>
      <c r="S4382" t="inlineStr">
        <is>
          <t>39.95</t>
        </is>
      </c>
      <c r="T4382" t="inlineStr">
        <is>
          <t>BJ9096</t>
        </is>
      </c>
    </row>
    <row r="4383" hidden="1" ht="15.75" customHeight="1">
      <c r="A4383" s="2">
        <f>HYPERLINK("https://www.soccerplususa.com/adidas/adidas-tiro-21-track-jacket-41183", "https://www.soccerplususa.com/adidas/adidas-tiro-21-track-jacket-41183")</f>
        <v/>
      </c>
      <c r="B4383" t="inlineStr">
        <is>
          <t>undefined</t>
        </is>
      </c>
      <c r="C4383" t="inlineStr">
        <is>
          <t>adidas Tiro 21 Track Jacket</t>
        </is>
      </c>
      <c r="D4383" t="inlineStr">
        <is>
          <t>adidas Women's Tiro 21 Track Jacket</t>
        </is>
      </c>
      <c r="E4383" s="2">
        <f>HYPERLINK("https://www.amazon.com/adidas-Pride-Track-Jacket-Multicolor/dp/B093G5QT3Z/ref=sr_1_7?keywords=adidas+Tiro+21+Track+Jacket&amp;qid=1695171147&amp;sr=8-7", "https://www.amazon.com/adidas-Pride-Track-Jacket-Multicolor/dp/B093G5QT3Z/ref=sr_1_7?keywords=adidas+Tiro+21+Track+Jacket&amp;qid=1695171147&amp;sr=8-7")</f>
        <v/>
      </c>
      <c r="F4383" t="inlineStr">
        <is>
          <t>B093G5QT3Z</t>
        </is>
      </c>
      <c r="G4383">
        <f>_xludf.IMAGE("https://www.soccerplususa.com/prodimages//36165-BLACKWHITE-M.jpg")</f>
        <v/>
      </c>
      <c r="H4383">
        <f>_xludf.IMAGE("https://m.media-amazon.com/images/I/61xR83MCPVL._AC_UL320_.jpg")</f>
        <v/>
      </c>
      <c r="K4383" t="inlineStr">
        <is>
          <t>50.0</t>
        </is>
      </c>
      <c r="L4383" t="n">
        <v>39.95</v>
      </c>
      <c r="M4383" s="1" t="inlineStr">
        <is>
          <t>-20.10%</t>
        </is>
      </c>
      <c r="N4383" s="3" t="n">
        <v>-20.1</v>
      </c>
      <c r="O4383" t="n">
        <v>4.5</v>
      </c>
      <c r="P4383" t="n">
        <v>2</v>
      </c>
      <c r="R4383" t="inlineStr">
        <is>
          <t>InStock</t>
        </is>
      </c>
      <c r="S4383" t="inlineStr">
        <is>
          <t>undefined</t>
        </is>
      </c>
      <c r="T4383" t="inlineStr">
        <is>
          <t>GM7319</t>
        </is>
      </c>
    </row>
    <row r="4384" hidden="1" ht="15.75" customHeight="1">
      <c r="A4384" s="2">
        <f>HYPERLINK("https://www.soccerplususa.com/adidas/adidas-tiro-21-track-jacket-womens-41184", "https://www.soccerplususa.com/adidas/adidas-tiro-21-track-jacket-womens-41184")</f>
        <v/>
      </c>
      <c r="B4384" t="inlineStr">
        <is>
          <t>undefined</t>
        </is>
      </c>
      <c r="C4384" t="inlineStr">
        <is>
          <t>adidas Tiro 21 Track Jacket Women's</t>
        </is>
      </c>
      <c r="D4384" t="inlineStr">
        <is>
          <t>adidas Women's Tiro 21 Track Jacket</t>
        </is>
      </c>
      <c r="E4384" s="2">
        <f>HYPERLINK("https://www.amazon.com/adidas-Pride-Track-Jacket-Multicolor/dp/B093G6L91H/ref=sr_1_5?keywords=adidas+Tiro+21+Track+Jacket+Women%27s&amp;qid=1695171150&amp;sr=8-5", "https://www.amazon.com/adidas-Pride-Track-Jacket-Multicolor/dp/B093G6L91H/ref=sr_1_5?keywords=adidas+Tiro+21+Track+Jacket+Women%27s&amp;qid=1695171150&amp;sr=8-5")</f>
        <v/>
      </c>
      <c r="F4384" t="inlineStr">
        <is>
          <t>B093G6L91H</t>
        </is>
      </c>
      <c r="G4384">
        <f>_xludf.IMAGE("https://www.soccerplususa.com/prodimages//36136-BLACKWHITE-M.jpg")</f>
        <v/>
      </c>
      <c r="H4384">
        <f>_xludf.IMAGE("https://m.media-amazon.com/images/I/61xR83MCPVL._AC_UL320_.jpg")</f>
        <v/>
      </c>
      <c r="K4384" t="inlineStr">
        <is>
          <t>50.0</t>
        </is>
      </c>
      <c r="L4384" t="n">
        <v>39.95</v>
      </c>
      <c r="M4384" s="1" t="inlineStr">
        <is>
          <t>-20.10%</t>
        </is>
      </c>
      <c r="N4384" s="3" t="n">
        <v>-20.1</v>
      </c>
      <c r="O4384" t="n">
        <v>4.5</v>
      </c>
      <c r="P4384" t="n">
        <v>2</v>
      </c>
      <c r="R4384" t="inlineStr">
        <is>
          <t>InStock</t>
        </is>
      </c>
      <c r="S4384" t="inlineStr">
        <is>
          <t>undefined</t>
        </is>
      </c>
      <c r="T4384" t="inlineStr">
        <is>
          <t>GM7307</t>
        </is>
      </c>
    </row>
    <row r="4385" hidden="1" ht="15.75" customHeight="1">
      <c r="A4385" s="2">
        <f>HYPERLINK("https://www.soccerplususa.com/puma/puma-teamgoal-23-training-jacket-38703", "https://www.soccerplususa.com/puma/puma-teamgoal-23-training-jacket-38703")</f>
        <v/>
      </c>
      <c r="B4385" t="inlineStr">
        <is>
          <t>undefined</t>
        </is>
      </c>
      <c r="C4385" t="inlineStr">
        <is>
          <t>Puma Teamgoal 23 Training Jacket</t>
        </is>
      </c>
      <c r="D4385" t="inlineStr">
        <is>
          <t>PUMA Womens Teamgoal 23 Training Jacket W, Size: X-Large, Color: Electric Blue Lemonade/Team Power Blue</t>
        </is>
      </c>
      <c r="E4385" s="2">
        <f>HYPERLINK("https://www.amazon.com/PUMA-Teamgoal-Training-Electric-Lemonade/dp/B083NJ9CC5/ref=sr_1_4?keywords=Puma+Teamgoal+23+Training+Jacket&amp;qid=1695171154&amp;sr=8-4", "https://www.amazon.com/PUMA-Teamgoal-Training-Electric-Lemonade/dp/B083NJ9CC5/ref=sr_1_4?keywords=Puma+Teamgoal+23+Training+Jacket&amp;qid=1695171154&amp;sr=8-4")</f>
        <v/>
      </c>
      <c r="F4385" t="inlineStr">
        <is>
          <t>B083NJ9CC5</t>
        </is>
      </c>
      <c r="G4385">
        <f>_xludf.IMAGE("https://www.soccerplususa.com/prodimages//35608-Electric_Blue-M.jpg")</f>
        <v/>
      </c>
      <c r="H4385">
        <f>_xludf.IMAGE("https://m.media-amazon.com/images/I/516xDMm45zL._AC_UL320_.jpg")</f>
        <v/>
      </c>
      <c r="K4385" t="inlineStr">
        <is>
          <t>44.99</t>
        </is>
      </c>
      <c r="L4385" t="n">
        <v>35.93</v>
      </c>
      <c r="M4385" s="1" t="inlineStr">
        <is>
          <t>-20.14%</t>
        </is>
      </c>
      <c r="N4385" s="3" t="n">
        <v>-20.14</v>
      </c>
      <c r="O4385" t="n">
        <v>3.3</v>
      </c>
      <c r="P4385" t="n">
        <v>7</v>
      </c>
      <c r="R4385" t="inlineStr">
        <is>
          <t>InStock</t>
        </is>
      </c>
      <c r="S4385" t="inlineStr">
        <is>
          <t>59.95</t>
        </is>
      </c>
      <c r="T4385" t="inlineStr">
        <is>
          <t>656561-02</t>
        </is>
      </c>
    </row>
    <row r="4386" hidden="1" ht="15.75" customHeight="1">
      <c r="A4386" s="2">
        <f>HYPERLINK("https://www.soccerplususa.com/adidas/adidas-tabela-18-jersey-womens-33807", "https://www.soccerplususa.com/adidas/adidas-tabela-18-jersey-womens-33807")</f>
        <v/>
      </c>
      <c r="B4386" t="inlineStr">
        <is>
          <t>undefined</t>
        </is>
      </c>
      <c r="C4386" t="inlineStr">
        <is>
          <t>adidas Tabela 18 Jersey Women's</t>
        </is>
      </c>
      <c r="D4386" t="inlineStr">
        <is>
          <t>adidas Women's Tabela 14 Jersey T-Shirt White</t>
        </is>
      </c>
      <c r="E4386" s="2">
        <f>HYPERLINK("https://www.amazon.com/Adidas-Tabela-Womens-Soccer-Jersey/dp/B00HWLDS9U/ref=sr_1_8?keywords=adidas+Tabela+18+Jersey+Womens&amp;qid=1695171168&amp;sr=8-8", "https://www.amazon.com/Adidas-Tabela-Womens-Soccer-Jersey/dp/B00HWLDS9U/ref=sr_1_8?keywords=adidas+Tabela+18+Jersey+Womens&amp;qid=1695171168&amp;sr=8-8")</f>
        <v/>
      </c>
      <c r="F4386" t="inlineStr">
        <is>
          <t>B00HWLDS9U</t>
        </is>
      </c>
      <c r="G4386">
        <f>_xludf.IMAGE("https://www.soccerplususa.com/prodimages/35357-DEFAULT-l.jpg")</f>
        <v/>
      </c>
      <c r="H4386">
        <f>_xludf.IMAGE("https://m.media-amazon.com/images/I/51P9FbjE8BL._AC_UL320_.jpg")</f>
        <v/>
      </c>
      <c r="K4386" t="inlineStr">
        <is>
          <t>21.99</t>
        </is>
      </c>
      <c r="L4386" t="n">
        <v>17.5</v>
      </c>
      <c r="M4386" s="1" t="inlineStr">
        <is>
          <t>-20.42%</t>
        </is>
      </c>
      <c r="N4386" s="3" t="n">
        <v>-20.42</v>
      </c>
      <c r="O4386" t="n">
        <v>3.6</v>
      </c>
      <c r="P4386" t="n">
        <v>16</v>
      </c>
      <c r="R4386" t="inlineStr">
        <is>
          <t>InStock</t>
        </is>
      </c>
      <c r="S4386" t="inlineStr">
        <is>
          <t>29.95</t>
        </is>
      </c>
      <c r="T4386" t="inlineStr">
        <is>
          <t>CE8933</t>
        </is>
      </c>
    </row>
    <row r="4387" hidden="1" ht="15.75" customHeight="1">
      <c r="A4387" s="2">
        <f>HYPERLINK("https://www.soccerplususa.com/adidas/adidas-tabela-18-jersey-womens-33806", "https://www.soccerplususa.com/adidas/adidas-tabela-18-jersey-womens-33806")</f>
        <v/>
      </c>
      <c r="B4387" t="inlineStr">
        <is>
          <t>undefined</t>
        </is>
      </c>
      <c r="C4387" t="inlineStr">
        <is>
          <t>adidas Tabela 18 Jersey Women's</t>
        </is>
      </c>
      <c r="D4387" t="inlineStr">
        <is>
          <t>adidas Women's Tabela 14 Jersey T-Shirt White</t>
        </is>
      </c>
      <c r="E4387" s="2">
        <f>HYPERLINK("https://www.amazon.com/Adidas-Tabela-Womens-Soccer-Jersey/dp/B00HWLDS9U/ref=sr_1_8?keywords=adidas+Tabela+18+Jersey+Womens&amp;qid=1695171171&amp;sr=8-8", "https://www.amazon.com/Adidas-Tabela-Womens-Soccer-Jersey/dp/B00HWLDS9U/ref=sr_1_8?keywords=adidas+Tabela+18+Jersey+Womens&amp;qid=1695171171&amp;sr=8-8")</f>
        <v/>
      </c>
      <c r="F4387" t="inlineStr">
        <is>
          <t>B00HWLDS9U</t>
        </is>
      </c>
      <c r="G4387">
        <f>_xludf.IMAGE("https://www.soccerplususa.com/prodimages/35358-DEFAULT-l.jpg")</f>
        <v/>
      </c>
      <c r="H4387">
        <f>_xludf.IMAGE("https://m.media-amazon.com/images/I/51P9FbjE8BL._AC_UL320_.jpg")</f>
        <v/>
      </c>
      <c r="K4387" t="inlineStr">
        <is>
          <t>21.99</t>
        </is>
      </c>
      <c r="L4387" t="n">
        <v>17.5</v>
      </c>
      <c r="M4387" s="1" t="inlineStr">
        <is>
          <t>-20.42%</t>
        </is>
      </c>
      <c r="N4387" s="3" t="n">
        <v>-20.42</v>
      </c>
      <c r="O4387" t="n">
        <v>3.6</v>
      </c>
      <c r="P4387" t="n">
        <v>16</v>
      </c>
      <c r="R4387" t="inlineStr">
        <is>
          <t>InStock</t>
        </is>
      </c>
      <c r="S4387" t="inlineStr">
        <is>
          <t>29.95</t>
        </is>
      </c>
      <c r="T4387" t="inlineStr">
        <is>
          <t>CE8932</t>
        </is>
      </c>
    </row>
    <row r="4388" hidden="1" ht="15.75" customHeight="1">
      <c r="A4388" s="2">
        <f>HYPERLINK("https://www.soccerplususa.com/adidas/adidas-tiro-17-jersey-33798", "https://www.soccerplususa.com/adidas/adidas-tiro-17-jersey-33798")</f>
        <v/>
      </c>
      <c r="B4388" t="inlineStr">
        <is>
          <t>undefined</t>
        </is>
      </c>
      <c r="C4388" t="inlineStr">
        <is>
          <t>adidas Tiro 17 Jersey</t>
        </is>
      </c>
      <c r="D4388" t="inlineStr">
        <is>
          <t>adidas Mens Tiro 17 Jersey Black/White S</t>
        </is>
      </c>
      <c r="E4388" s="2">
        <f>HYPERLINK("https://www.amazon.com/Adidas-Mens-Jersey-Black-White/dp/B01N64GCZ6/ref=sr_1_3?keywords=adidas+Tiro+17+Jersey&amp;qid=1695171166&amp;sr=8-3", "https://www.amazon.com/Adidas-Mens-Jersey-Black-White/dp/B01N64GCZ6/ref=sr_1_3?keywords=adidas+Tiro+17+Jersey&amp;qid=1695171166&amp;sr=8-3")</f>
        <v/>
      </c>
      <c r="F4388" t="inlineStr">
        <is>
          <t>B01N64GCZ6</t>
        </is>
      </c>
      <c r="G4388">
        <f>_xludf.IMAGE("https://www.soccerplususa.com/prodimages/7452-DEFAULT-l.jpg")</f>
        <v/>
      </c>
      <c r="H4388">
        <f>_xludf.IMAGE("https://m.media-amazon.com/images/I/61WO-O2xDLL._AC_UL320_.jpg")</f>
        <v/>
      </c>
      <c r="K4388" t="inlineStr">
        <is>
          <t>23.97</t>
        </is>
      </c>
      <c r="L4388" t="n">
        <v>19.07</v>
      </c>
      <c r="M4388" s="1" t="inlineStr">
        <is>
          <t>-20.44%</t>
        </is>
      </c>
      <c r="N4388" s="3" t="n">
        <v>-20.44</v>
      </c>
      <c r="O4388" t="n">
        <v>4.3</v>
      </c>
      <c r="P4388" t="n">
        <v>8</v>
      </c>
      <c r="R4388" t="inlineStr">
        <is>
          <t>InStock</t>
        </is>
      </c>
      <c r="S4388" t="inlineStr">
        <is>
          <t>39.95</t>
        </is>
      </c>
      <c r="T4388" t="inlineStr">
        <is>
          <t>BS4216</t>
        </is>
      </c>
    </row>
    <row r="4389" hidden="1" ht="15.75" customHeight="1">
      <c r="A4389" s="2">
        <f>HYPERLINK("https://www.soccerplususa.com/adidas/adidas-regista-16-jersey-4147", "https://www.soccerplususa.com/adidas/adidas-regista-16-jersey-4147")</f>
        <v/>
      </c>
      <c r="B4389" t="inlineStr">
        <is>
          <t>undefined</t>
        </is>
      </c>
      <c r="C4389" t="inlineStr">
        <is>
          <t>adidas Regista 16 Jersey</t>
        </is>
      </c>
      <c r="D4389" t="inlineStr">
        <is>
          <t>adidas Mens Regista Jersey</t>
        </is>
      </c>
      <c r="E4389" s="2">
        <f>HYPERLINK("https://www.amazon.com/adidas-Regista-Jersey-Soccer-White-Bold/dp/B078LLZRDF/ref=sr_1_5?keywords=adidas+Regista+16+Jersey&amp;qid=1695171233&amp;sr=8-5", "https://www.amazon.com/adidas-Regista-Jersey-Soccer-White-Bold/dp/B078LLZRDF/ref=sr_1_5?keywords=adidas+Regista+16+Jersey&amp;qid=1695171233&amp;sr=8-5")</f>
        <v/>
      </c>
      <c r="F4389" t="inlineStr">
        <is>
          <t>B078LLZRDF</t>
        </is>
      </c>
      <c r="G4389">
        <f>_xludf.IMAGE("https://www.soccerplususa.com/prodimages/7616-DEFAULT-l.jpg")</f>
        <v/>
      </c>
      <c r="H4389">
        <f>_xludf.IMAGE("https://m.media-amazon.com/images/I/418ed8POJFL._AC_UL320_.jpg")</f>
        <v/>
      </c>
      <c r="K4389" t="inlineStr">
        <is>
          <t>17.5</t>
        </is>
      </c>
      <c r="L4389" t="n">
        <v>13.9</v>
      </c>
      <c r="M4389" s="1" t="inlineStr">
        <is>
          <t>-20.57%</t>
        </is>
      </c>
      <c r="N4389" s="3" t="n">
        <v>-20.57</v>
      </c>
      <c r="O4389" t="n">
        <v>3.5</v>
      </c>
      <c r="P4389" t="n">
        <v>10</v>
      </c>
      <c r="R4389" t="inlineStr">
        <is>
          <t>InStock</t>
        </is>
      </c>
      <c r="S4389" t="inlineStr">
        <is>
          <t>34.95</t>
        </is>
      </c>
      <c r="T4389" t="inlineStr">
        <is>
          <t>AP0529</t>
        </is>
      </c>
    </row>
    <row r="4390" hidden="1" ht="15.75" customHeight="1">
      <c r="A4390" s="2">
        <f>HYPERLINK("https://www.soccerplususa.com/nike/nike-dry-academy-18-football-jacket-youth-34589", "https://www.soccerplususa.com/nike/nike-dry-academy-18-football-jacket-youth-34589")</f>
        <v/>
      </c>
      <c r="B4390" t="inlineStr">
        <is>
          <t>undefined</t>
        </is>
      </c>
      <c r="C4390" t="inlineStr">
        <is>
          <t>Nike Dry Academy 18 Football Jacket Youth</t>
        </is>
      </c>
      <c r="D4390" t="inlineStr">
        <is>
          <t>Nike Men's Dry Park18 Football Jacket</t>
        </is>
      </c>
      <c r="E4390" s="2">
        <f>HYPERLINK("https://www.amazon.com/NIKE-Park18-Football-Jacket-Royal/dp/B078XCJ1SQ/ref=sr_1_5?keywords=Nike+Dry+Academy+18+Football+Jacket+Youth&amp;qid=1695171163&amp;sr=8-5", "https://www.amazon.com/NIKE-Park18-Football-Jacket-Royal/dp/B078XCJ1SQ/ref=sr_1_5?keywords=Nike+Dry+Academy+18+Football+Jacket+Youth&amp;qid=1695171163&amp;sr=8-5")</f>
        <v/>
      </c>
      <c r="F4390" t="inlineStr">
        <is>
          <t>B078XCJ1SQ</t>
        </is>
      </c>
      <c r="G4390">
        <f>_xludf.IMAGE("https://www.soccerplususa.com/prodimages/7468-DEFAULT-l.jpg")</f>
        <v/>
      </c>
      <c r="H4390">
        <f>_xludf.IMAGE("https://m.media-amazon.com/images/I/51Tjc+5QNQL._AC_UL320_.jpg")</f>
        <v/>
      </c>
      <c r="K4390" t="inlineStr">
        <is>
          <t>111.99</t>
        </is>
      </c>
      <c r="L4390" t="n">
        <v>88.90000000000001</v>
      </c>
      <c r="M4390" s="1" t="inlineStr">
        <is>
          <t>-20.62%</t>
        </is>
      </c>
      <c r="N4390" s="3" t="n">
        <v>-20.62</v>
      </c>
      <c r="O4390" t="n">
        <v>4.1</v>
      </c>
      <c r="P4390" t="n">
        <v>2438</v>
      </c>
      <c r="R4390" t="inlineStr">
        <is>
          <t>InStock</t>
        </is>
      </c>
      <c r="S4390" t="inlineStr">
        <is>
          <t>149.95</t>
        </is>
      </c>
      <c r="T4390" t="inlineStr">
        <is>
          <t>893827-010</t>
        </is>
      </c>
    </row>
    <row r="4391" hidden="1" ht="15.75" customHeight="1">
      <c r="A4391" s="2">
        <f>HYPERLINK("https://www.soccerplususa.com/under-armour/under-armour-cold-gear-armour-mock-youth-33310", "https://www.soccerplususa.com/under-armour/under-armour-cold-gear-armour-mock-youth-33310")</f>
        <v/>
      </c>
      <c r="B4391" t="inlineStr">
        <is>
          <t>undefined</t>
        </is>
      </c>
      <c r="C4391" t="inlineStr">
        <is>
          <t>Under Armour Cold Gear Armour Mock Youth</t>
        </is>
      </c>
      <c r="D4391" t="inlineStr">
        <is>
          <t>Under Armour Boys' ColdGear Armour Compression Crew</t>
        </is>
      </c>
      <c r="E4391" s="2">
        <f>HYPERLINK("https://www.amazon.com/Under-Armour-Coldgear-Pitch-Black/dp/B07CZMYVFH/ref=sr_1_7?keywords=Under+Armour+Cold+Gear+Armour+Mock+Youth&amp;qid=1695171174&amp;sr=8-7", "https://www.amazon.com/Under-Armour-Coldgear-Pitch-Black/dp/B07CZMYVFH/ref=sr_1_7?keywords=Under+Armour+Cold+Gear+Armour+Mock+Youth&amp;qid=1695171174&amp;sr=8-7")</f>
        <v/>
      </c>
      <c r="F4391" t="inlineStr">
        <is>
          <t>B07CZMYVFH</t>
        </is>
      </c>
      <c r="G4391">
        <f>_xludf.IMAGE("https://www.soccerplususa.com/prodimages/5586-DEFAULT-l.jpg")</f>
        <v/>
      </c>
      <c r="H4391">
        <f>_xludf.IMAGE("https://m.media-amazon.com/images/I/81FcthYrprL._AC_UL320_.jpg")</f>
        <v/>
      </c>
      <c r="K4391" t="inlineStr">
        <is>
          <t>39.95</t>
        </is>
      </c>
      <c r="L4391" t="n">
        <v>31.67</v>
      </c>
      <c r="M4391" s="1" t="inlineStr">
        <is>
          <t>-20.73%</t>
        </is>
      </c>
      <c r="N4391" s="3" t="n">
        <v>-20.73</v>
      </c>
      <c r="O4391" t="n">
        <v>4.7</v>
      </c>
      <c r="P4391" t="n">
        <v>367</v>
      </c>
      <c r="R4391" t="inlineStr">
        <is>
          <t>InStock</t>
        </is>
      </c>
      <c r="S4391" t="inlineStr">
        <is>
          <t>undefined</t>
        </is>
      </c>
      <c r="T4391" t="inlineStr">
        <is>
          <t>1288343-001</t>
        </is>
      </c>
    </row>
    <row r="4392" hidden="1" ht="15.75" customHeight="1">
      <c r="A4392" s="2">
        <f>HYPERLINK("https://www.soccerplususa.com/under-armour/under-armour-cold-gear-armour-mock-youth-33311", "https://www.soccerplususa.com/under-armour/under-armour-cold-gear-armour-mock-youth-33311")</f>
        <v/>
      </c>
      <c r="B4392" t="inlineStr">
        <is>
          <t>undefined</t>
        </is>
      </c>
      <c r="C4392" t="inlineStr">
        <is>
          <t>Under Armour Cold Gear Armour Mock Youth</t>
        </is>
      </c>
      <c r="D4392" t="inlineStr">
        <is>
          <t>Under Armour Boys' ColdGear Armour Compression Crew</t>
        </is>
      </c>
      <c r="E4392" s="2">
        <f>HYPERLINK("https://www.amazon.com/Under-Armour-Coldgear-Pitch-Black/dp/B07CZMYVFH/ref=sr_1_9?keywords=Under+Armour+Cold+Gear+Armour+Mock+Youth&amp;qid=1695171169&amp;sr=8-9", "https://www.amazon.com/Under-Armour-Coldgear-Pitch-Black/dp/B07CZMYVFH/ref=sr_1_9?keywords=Under+Armour+Cold+Gear+Armour+Mock+Youth&amp;qid=1695171169&amp;sr=8-9")</f>
        <v/>
      </c>
      <c r="F4392" t="inlineStr">
        <is>
          <t>B07CZMYVFH</t>
        </is>
      </c>
      <c r="G4392">
        <f>_xludf.IMAGE("https://www.soccerplususa.com/prodimages/5585-DEFAULT-l.jpg")</f>
        <v/>
      </c>
      <c r="H4392">
        <f>_xludf.IMAGE("https://m.media-amazon.com/images/I/81FcthYrprL._AC_UL320_.jpg")</f>
        <v/>
      </c>
      <c r="K4392" t="inlineStr">
        <is>
          <t>39.95</t>
        </is>
      </c>
      <c r="L4392" t="n">
        <v>31.67</v>
      </c>
      <c r="M4392" s="1" t="inlineStr">
        <is>
          <t>-20.73%</t>
        </is>
      </c>
      <c r="N4392" s="3" t="n">
        <v>-20.73</v>
      </c>
      <c r="O4392" t="n">
        <v>4.7</v>
      </c>
      <c r="P4392" t="n">
        <v>367</v>
      </c>
      <c r="R4392" t="inlineStr">
        <is>
          <t>InStock</t>
        </is>
      </c>
      <c r="S4392" t="inlineStr">
        <is>
          <t>undefined</t>
        </is>
      </c>
      <c r="T4392" t="inlineStr">
        <is>
          <t>1288343-100</t>
        </is>
      </c>
    </row>
    <row r="4393" hidden="1" ht="15.75" customHeight="1">
      <c r="A4393" s="2">
        <f>HYPERLINK("https://www.soccerplususa.com/under-armour/under-armour-cold-gear-armour-crew-youth-33312", "https://www.soccerplususa.com/under-armour/under-armour-cold-gear-armour-crew-youth-33312")</f>
        <v/>
      </c>
      <c r="B4393" t="inlineStr">
        <is>
          <t>undefined</t>
        </is>
      </c>
      <c r="C4393" t="inlineStr">
        <is>
          <t>Under Armour Cold Gear Armour Crew Youth</t>
        </is>
      </c>
      <c r="D4393" t="inlineStr">
        <is>
          <t>Under Armour Boys' ColdGear Armour Compression Crew</t>
        </is>
      </c>
      <c r="E4393" s="2">
        <f>HYPERLINK("https://www.amazon.com/Under-Armour-Coldgear-Pitch-Black/dp/B07CZMYVFH/ref=sr_1_1?keywords=Under+Armour+Cold+Gear+Armour+Crew+Youth&amp;qid=1695171168&amp;sr=8-1", "https://www.amazon.com/Under-Armour-Coldgear-Pitch-Black/dp/B07CZMYVFH/ref=sr_1_1?keywords=Under+Armour+Cold+Gear+Armour+Crew+Youth&amp;qid=1695171168&amp;sr=8-1")</f>
        <v/>
      </c>
      <c r="F4393" t="inlineStr">
        <is>
          <t>B07CZMYVFH</t>
        </is>
      </c>
      <c r="G4393">
        <f>_xludf.IMAGE("https://www.soccerplususa.com/prodimages/5584-DEFAULT-l.jpg")</f>
        <v/>
      </c>
      <c r="H4393">
        <f>_xludf.IMAGE("https://m.media-amazon.com/images/I/81FcthYrprL._AC_UL320_.jpg")</f>
        <v/>
      </c>
      <c r="K4393" t="inlineStr">
        <is>
          <t>39.95</t>
        </is>
      </c>
      <c r="L4393" t="n">
        <v>31.67</v>
      </c>
      <c r="M4393" s="1" t="inlineStr">
        <is>
          <t>-20.73%</t>
        </is>
      </c>
      <c r="N4393" s="3" t="n">
        <v>-20.73</v>
      </c>
      <c r="O4393" t="n">
        <v>4.7</v>
      </c>
      <c r="P4393" t="n">
        <v>367</v>
      </c>
      <c r="R4393" t="inlineStr">
        <is>
          <t>InStock</t>
        </is>
      </c>
      <c r="S4393" t="inlineStr">
        <is>
          <t>undefined</t>
        </is>
      </c>
      <c r="T4393" t="inlineStr">
        <is>
          <t>1288344-001</t>
        </is>
      </c>
    </row>
    <row r="4394" hidden="1" ht="15.75" customHeight="1">
      <c r="A4394" s="2">
        <f>HYPERLINK("https://www.soccerplususa.com/adidas/adidas-tiro-21-track-jacket-41183", "https://www.soccerplususa.com/adidas/adidas-tiro-21-track-jacket-41183")</f>
        <v/>
      </c>
      <c r="B4394" t="inlineStr">
        <is>
          <t>undefined</t>
        </is>
      </c>
      <c r="C4394" t="inlineStr">
        <is>
          <t>adidas Tiro 21 Track Jacket</t>
        </is>
      </c>
      <c r="D4394" t="inlineStr">
        <is>
          <t>adidas Women's Tiro 21 Track Jacket</t>
        </is>
      </c>
      <c r="E4394" s="2">
        <f>HYPERLINK("https://www.amazon.com/adidas-Womens-Tiro-Track-Jacket/dp/B089K5WHML/ref=sr_1_4?keywords=adidas+Tiro+21+Track+Jacket&amp;qid=1695171147&amp;sr=8-4", "https://www.amazon.com/adidas-Womens-Tiro-Track-Jacket/dp/B089K5WHML/ref=sr_1_4?keywords=adidas+Tiro+21+Track+Jacket&amp;qid=1695171147&amp;sr=8-4")</f>
        <v/>
      </c>
      <c r="F4394" t="inlineStr">
        <is>
          <t>B089K5WHML</t>
        </is>
      </c>
      <c r="G4394">
        <f>_xludf.IMAGE("https://www.soccerplususa.com/prodimages//36165-BLACKWHITE-M.jpg")</f>
        <v/>
      </c>
      <c r="H4394">
        <f>_xludf.IMAGE("https://m.media-amazon.com/images/I/81yS8T3hJhS._AC_UL320_.jpg")</f>
        <v/>
      </c>
      <c r="K4394" t="inlineStr">
        <is>
          <t>50.0</t>
        </is>
      </c>
      <c r="L4394" t="n">
        <v>39.62</v>
      </c>
      <c r="M4394" s="1" t="inlineStr">
        <is>
          <t>-20.76%</t>
        </is>
      </c>
      <c r="N4394" s="3" t="n">
        <v>-20.76</v>
      </c>
      <c r="O4394" t="n">
        <v>3.7</v>
      </c>
      <c r="P4394" t="n">
        <v>12</v>
      </c>
      <c r="R4394" t="inlineStr">
        <is>
          <t>InStock</t>
        </is>
      </c>
      <c r="S4394" t="inlineStr">
        <is>
          <t>undefined</t>
        </is>
      </c>
      <c r="T4394" t="inlineStr">
        <is>
          <t>GM7319</t>
        </is>
      </c>
    </row>
    <row r="4395" hidden="1" ht="15.75" customHeight="1">
      <c r="A4395" s="2">
        <f>HYPERLINK("https://www.soccerplususa.com/adidas/adidas-squadra-17-jersey-youth-45935", "https://www.soccerplususa.com/adidas/adidas-squadra-17-jersey-youth-45935")</f>
        <v/>
      </c>
      <c r="B4395" t="inlineStr">
        <is>
          <t>undefined</t>
        </is>
      </c>
      <c r="C4395" t="inlineStr">
        <is>
          <t>adidas Squadra 17 Jersey Youth</t>
        </is>
      </c>
      <c r="D4395" t="inlineStr">
        <is>
          <t>adidas Boys Squadra 17 Unisex Soccer Jersey</t>
        </is>
      </c>
      <c r="E4395" s="2">
        <f>HYPERLINK("https://www.amazon.com/adidas-Youth-Squadra-Jersey-Black/dp/B074585TVM/ref=sr_1_1?keywords=adidas+Squadra+17+Jersey+Youth&amp;qid=1695171144&amp;sr=8-1", "https://www.amazon.com/adidas-Youth-Squadra-Jersey-Black/dp/B074585TVM/ref=sr_1_1?keywords=adidas+Squadra+17+Jersey+Youth&amp;qid=1695171144&amp;sr=8-1")</f>
        <v/>
      </c>
      <c r="F4395" t="inlineStr">
        <is>
          <t>B074585TVM</t>
        </is>
      </c>
      <c r="G4395">
        <f>_xludf.IMAGE("https://www.soccerplususa.com/prodimages//37351-ORANGEWHITE-M.jpg")</f>
        <v/>
      </c>
      <c r="H4395">
        <f>_xludf.IMAGE("https://m.media-amazon.com/images/I/61kr+zjTC1L._AC_UL320_.jpg")</f>
        <v/>
      </c>
      <c r="K4395" t="inlineStr">
        <is>
          <t>18.99</t>
        </is>
      </c>
      <c r="L4395" t="n">
        <v>15</v>
      </c>
      <c r="M4395" s="1" t="inlineStr">
        <is>
          <t>-21.01%</t>
        </is>
      </c>
      <c r="N4395" s="3" t="n">
        <v>-21.01</v>
      </c>
      <c r="O4395" t="n">
        <v>4.3</v>
      </c>
      <c r="P4395" t="n">
        <v>41</v>
      </c>
      <c r="R4395" t="inlineStr">
        <is>
          <t>InStock</t>
        </is>
      </c>
      <c r="S4395" t="inlineStr">
        <is>
          <t>25.0</t>
        </is>
      </c>
      <c r="T4395" t="inlineStr">
        <is>
          <t>BJ9198</t>
        </is>
      </c>
    </row>
    <row r="4396" hidden="1" ht="15.75" customHeight="1">
      <c r="A4396" s="2">
        <f>HYPERLINK("https://www.soccerplususa.com/puma/puma-liga-training-1-4-zip-jacket-29028", "https://www.soccerplususa.com/puma/puma-liga-training-1-4-zip-jacket-29028")</f>
        <v/>
      </c>
      <c r="B4396" t="inlineStr">
        <is>
          <t>undefined</t>
        </is>
      </c>
      <c r="C4396" t="inlineStr">
        <is>
          <t>Puma Liga Training 1/4 Zip Jacket</t>
        </is>
      </c>
      <c r="D4396" t="inlineStr">
        <is>
          <t>PUMA Cup Training 1/4 Zip TOP</t>
        </is>
      </c>
      <c r="E4396" s="2">
        <f>HYPERLINK("https://www.amazon.com/PUMA-Cup-Training-Zip-TOP/dp/B07NFQSXGS/ref=sr_1_6?keywords=Puma+Liga+Training+1%2F4+Zip+Jacket&amp;qid=1695171178&amp;sr=8-6", "https://www.amazon.com/PUMA-Cup-Training-Zip-TOP/dp/B07NFQSXGS/ref=sr_1_6?keywords=Puma+Liga+Training+1%2F4+Zip+Jacket&amp;qid=1695171178&amp;sr=8-6")</f>
        <v/>
      </c>
      <c r="F4396" t="inlineStr">
        <is>
          <t>B07NFQSXGS</t>
        </is>
      </c>
      <c r="G4396">
        <f>_xludf.IMAGE("https://www.soccerplususa.com/prodimages/6871-DEFAULT-l.jpg")</f>
        <v/>
      </c>
      <c r="H4396">
        <f>_xludf.IMAGE("https://m.media-amazon.com/images/I/51YIJPT8S2L._AC_UL320_.jpg")</f>
        <v/>
      </c>
      <c r="K4396" t="inlineStr">
        <is>
          <t>38.0</t>
        </is>
      </c>
      <c r="L4396" t="n">
        <v>29.95</v>
      </c>
      <c r="M4396" s="1" t="inlineStr">
        <is>
          <t>-21.18%</t>
        </is>
      </c>
      <c r="N4396" s="3" t="n">
        <v>-21.18</v>
      </c>
      <c r="O4396" t="n">
        <v>1</v>
      </c>
      <c r="P4396" t="n">
        <v>1</v>
      </c>
      <c r="R4396" t="inlineStr">
        <is>
          <t>InStock</t>
        </is>
      </c>
      <c r="S4396" t="inlineStr">
        <is>
          <t>50.0</t>
        </is>
      </c>
      <c r="T4396" t="inlineStr">
        <is>
          <t>655606-06</t>
        </is>
      </c>
    </row>
    <row r="4397" hidden="1" ht="15.75" customHeight="1">
      <c r="A4397" s="2">
        <f>HYPERLINK("https://www.soccerplususa.com/adidas/adidas-core-18-training-top-33852", "https://www.soccerplususa.com/adidas/adidas-core-18-training-top-33852")</f>
        <v/>
      </c>
      <c r="B4397" t="inlineStr">
        <is>
          <t>undefined</t>
        </is>
      </c>
      <c r="C4397" t="inlineStr">
        <is>
          <t>adidas Core 18 Training Top</t>
        </is>
      </c>
      <c r="D4397" t="inlineStr">
        <is>
          <t>adidas Core18 Tank Top Black/White LG</t>
        </is>
      </c>
      <c r="E4397" s="2">
        <f>HYPERLINK("https://www.amazon.com/adidas-Womens-Core18-Black-White/dp/B071KHT4FR/ref=sr_1_10?keywords=adidas+Core+18+Training+Top&amp;qid=1695171165&amp;sr=8-10", "https://www.amazon.com/adidas-Womens-Core18-Black-White/dp/B071KHT4FR/ref=sr_1_10?keywords=adidas+Core+18+Training+Top&amp;qid=1695171165&amp;sr=8-10")</f>
        <v/>
      </c>
      <c r="F4397" t="inlineStr">
        <is>
          <t>B071KHT4FR</t>
        </is>
      </c>
      <c r="G4397">
        <f>_xludf.IMAGE("https://www.soccerplususa.com/prodimages/33345-DEFAULT-l.jpg")</f>
        <v/>
      </c>
      <c r="H4397">
        <f>_xludf.IMAGE("https://m.media-amazon.com/images/I/61ECF4MdBSL._AC_UL320_.jpg")</f>
        <v/>
      </c>
      <c r="K4397" t="inlineStr">
        <is>
          <t>22.99</t>
        </is>
      </c>
      <c r="L4397" t="n">
        <v>17.99</v>
      </c>
      <c r="M4397" s="1" t="inlineStr">
        <is>
          <t>-21.75%</t>
        </is>
      </c>
      <c r="N4397" s="3" t="n">
        <v>-21.75</v>
      </c>
      <c r="O4397" t="n">
        <v>3.4</v>
      </c>
      <c r="P4397" t="n">
        <v>10</v>
      </c>
      <c r="R4397" t="inlineStr">
        <is>
          <t>InStock</t>
        </is>
      </c>
      <c r="S4397" t="inlineStr">
        <is>
          <t>30.95</t>
        </is>
      </c>
      <c r="T4397" t="inlineStr">
        <is>
          <t>CV4000</t>
        </is>
      </c>
    </row>
    <row r="4398" hidden="1" ht="15.75" customHeight="1">
      <c r="A4398" s="2">
        <f>HYPERLINK("https://www.soccerplususa.com/adidas/adidas-tiro-21-track-jacket-womens-41184", "https://www.soccerplususa.com/adidas/adidas-tiro-21-track-jacket-womens-41184")</f>
        <v/>
      </c>
      <c r="B4398" t="inlineStr">
        <is>
          <t>undefined</t>
        </is>
      </c>
      <c r="C4398" t="inlineStr">
        <is>
          <t>adidas Tiro 21 Track Jacket Women's</t>
        </is>
      </c>
      <c r="D4398" t="inlineStr">
        <is>
          <t>adidas womens Tiro 21 Track Jacket Team Navy Blue X-Small</t>
        </is>
      </c>
      <c r="E4398" s="2">
        <f>HYPERLINK("https://www.amazon.com/adidas-Womens-Track-Jacket-X-Small/dp/B087C39ST8/ref=sr_1_2?keywords=adidas+Tiro+21+Track+Jacket+Women%27s&amp;qid=1695171150&amp;sr=8-2", "https://www.amazon.com/adidas-Womens-Track-Jacket-X-Small/dp/B087C39ST8/ref=sr_1_2?keywords=adidas+Tiro+21+Track+Jacket+Women%27s&amp;qid=1695171150&amp;sr=8-2")</f>
        <v/>
      </c>
      <c r="F4398" t="inlineStr">
        <is>
          <t>B087C39ST8</t>
        </is>
      </c>
      <c r="G4398">
        <f>_xludf.IMAGE("https://www.soccerplususa.com/prodimages//36136-BLACKWHITE-M.jpg")</f>
        <v/>
      </c>
      <c r="H4398">
        <f>_xludf.IMAGE("https://m.media-amazon.com/images/I/51lXSCfKOYL._AC_UL320_.jpg")</f>
        <v/>
      </c>
      <c r="K4398" t="inlineStr">
        <is>
          <t>50.0</t>
        </is>
      </c>
      <c r="L4398" t="n">
        <v>38.98</v>
      </c>
      <c r="M4398" s="1" t="inlineStr">
        <is>
          <t>-22.04%</t>
        </is>
      </c>
      <c r="N4398" s="3" t="n">
        <v>-22.04</v>
      </c>
      <c r="O4398" t="n">
        <v>4.6</v>
      </c>
      <c r="P4398" t="n">
        <v>8</v>
      </c>
      <c r="R4398" t="inlineStr">
        <is>
          <t>InStock</t>
        </is>
      </c>
      <c r="S4398" t="inlineStr">
        <is>
          <t>undefined</t>
        </is>
      </c>
      <c r="T4398" t="inlineStr">
        <is>
          <t>GM7307</t>
        </is>
      </c>
    </row>
    <row r="4399" hidden="1" ht="15.75" customHeight="1">
      <c r="A4399" s="2">
        <f>HYPERLINK("https://www.soccerplususa.com/adidas/adidas-tiro-21-track-jacket-41183", "https://www.soccerplususa.com/adidas/adidas-tiro-21-track-jacket-41183")</f>
        <v/>
      </c>
      <c r="B4399" t="inlineStr">
        <is>
          <t>undefined</t>
        </is>
      </c>
      <c r="C4399" t="inlineStr">
        <is>
          <t>adidas Tiro 21 Track Jacket</t>
        </is>
      </c>
      <c r="D4399" t="inlineStr">
        <is>
          <t>adidas womens Tiro 21 Track Jacket Team Navy Blue X-Small</t>
        </is>
      </c>
      <c r="E4399" s="2">
        <f>HYPERLINK("https://www.amazon.com/adidas-Womens-Track-Jacket-X-Small/dp/B087C39ST8/ref=sr_1_6?keywords=adidas+Tiro+21+Track+Jacket&amp;qid=1695171147&amp;sr=8-6", "https://www.amazon.com/adidas-Womens-Track-Jacket-X-Small/dp/B087C39ST8/ref=sr_1_6?keywords=adidas+Tiro+21+Track+Jacket&amp;qid=1695171147&amp;sr=8-6")</f>
        <v/>
      </c>
      <c r="F4399" t="inlineStr">
        <is>
          <t>B087C39ST8</t>
        </is>
      </c>
      <c r="G4399">
        <f>_xludf.IMAGE("https://www.soccerplususa.com/prodimages//36165-BLACKWHITE-M.jpg")</f>
        <v/>
      </c>
      <c r="H4399">
        <f>_xludf.IMAGE("https://m.media-amazon.com/images/I/51lXSCfKOYL._AC_UL320_.jpg")</f>
        <v/>
      </c>
      <c r="K4399" t="inlineStr">
        <is>
          <t>50.0</t>
        </is>
      </c>
      <c r="L4399" t="n">
        <v>38.98</v>
      </c>
      <c r="M4399" s="1" t="inlineStr">
        <is>
          <t>-22.04%</t>
        </is>
      </c>
      <c r="N4399" s="3" t="n">
        <v>-22.04</v>
      </c>
      <c r="O4399" t="n">
        <v>4.6</v>
      </c>
      <c r="P4399" t="n">
        <v>8</v>
      </c>
      <c r="R4399" t="inlineStr">
        <is>
          <t>InStock</t>
        </is>
      </c>
      <c r="S4399" t="inlineStr">
        <is>
          <t>undefined</t>
        </is>
      </c>
      <c r="T4399" t="inlineStr">
        <is>
          <t>GM7319</t>
        </is>
      </c>
    </row>
    <row r="4400" hidden="1" ht="15.75" customHeight="1">
      <c r="A4400" s="2">
        <f>HYPERLINK("https://www.soccerplususa.com/puma/puma-teamgoal-23-training-jacket-38703", "https://www.soccerplususa.com/puma/puma-teamgoal-23-training-jacket-38703")</f>
        <v/>
      </c>
      <c r="B4400" t="inlineStr">
        <is>
          <t>undefined</t>
        </is>
      </c>
      <c r="C4400" t="inlineStr">
        <is>
          <t>Puma Teamgoal 23 Training Jacket</t>
        </is>
      </c>
      <c r="D4400" t="inlineStr">
        <is>
          <t>PUMA Womens Teamgoal 23 Training Jacket W, Size: Large, Color: Pepper Green/Power Green</t>
        </is>
      </c>
      <c r="E4400" s="2">
        <f>HYPERLINK("https://www.amazon.com/PUMA-Womens-Teamgoal-Training-Jacket/dp/B086MYHSXT/ref=sr_1_5?keywords=Puma+Teamgoal+23+Training+Jacket&amp;qid=1695171154&amp;sr=8-5", "https://www.amazon.com/PUMA-Womens-Teamgoal-Training-Jacket/dp/B086MYHSXT/ref=sr_1_5?keywords=Puma+Teamgoal+23+Training+Jacket&amp;qid=1695171154&amp;sr=8-5")</f>
        <v/>
      </c>
      <c r="F4400" t="inlineStr">
        <is>
          <t>B086MYHSXT</t>
        </is>
      </c>
      <c r="G4400">
        <f>_xludf.IMAGE("https://www.soccerplususa.com/prodimages//35608-Electric_Blue-M.jpg")</f>
        <v/>
      </c>
      <c r="H4400">
        <f>_xludf.IMAGE("https://m.media-amazon.com/images/I/61ii7h8RXbL._AC_UL320_.jpg")</f>
        <v/>
      </c>
      <c r="K4400" t="inlineStr">
        <is>
          <t>44.99</t>
        </is>
      </c>
      <c r="L4400" t="n">
        <v>34.95</v>
      </c>
      <c r="M4400" s="1" t="inlineStr">
        <is>
          <t>-22.32%</t>
        </is>
      </c>
      <c r="N4400" s="3" t="n">
        <v>-22.32</v>
      </c>
      <c r="O4400" t="n">
        <v>5</v>
      </c>
      <c r="P4400" t="n">
        <v>1</v>
      </c>
      <c r="R4400" t="inlineStr">
        <is>
          <t>InStock</t>
        </is>
      </c>
      <c r="S4400" t="inlineStr">
        <is>
          <t>59.95</t>
        </is>
      </c>
      <c r="T4400" t="inlineStr">
        <is>
          <t>656561-02</t>
        </is>
      </c>
    </row>
    <row r="4401" hidden="1" ht="15.75" customHeight="1">
      <c r="A4401" s="2">
        <f>HYPERLINK("https://www.soccerplususa.com/puma/puma-liga-training-jacket-youth-35521", "https://www.soccerplususa.com/puma/puma-liga-training-jacket-youth-35521")</f>
        <v/>
      </c>
      <c r="B4401" t="inlineStr">
        <is>
          <t>undefined</t>
        </is>
      </c>
      <c r="C4401" t="inlineStr">
        <is>
          <t>Puma Liga Training Jacket Youth</t>
        </is>
      </c>
      <c r="D4401" t="inlineStr">
        <is>
          <t>PUMA Youth Liga Training Rain Jacket</t>
        </is>
      </c>
      <c r="E4401" s="2">
        <f>HYPERLINK("https://www.amazon.com/PUMA-Training-Jacket-Black-White/dp/B07DXZ1N14/ref=sr_1_3?keywords=Puma+Liga+Training+Jacket+Youth&amp;qid=1695171158&amp;sr=8-3", "https://www.amazon.com/PUMA-Training-Jacket-Black-White/dp/B07DXZ1N14/ref=sr_1_3?keywords=Puma+Liga+Training+Jacket+Youth&amp;qid=1695171158&amp;sr=8-3")</f>
        <v/>
      </c>
      <c r="F4401" t="inlineStr">
        <is>
          <t>B07DXZ1N14</t>
        </is>
      </c>
      <c r="G4401">
        <f>_xludf.IMAGE("https://www.soccerplususa.com/prodimages/32219-DEFAULT-l.jpg")</f>
        <v/>
      </c>
      <c r="H4401">
        <f>_xludf.IMAGE("https://m.media-amazon.com/images/I/81zxCvmnqxL._AC_UL320_.jpg")</f>
        <v/>
      </c>
      <c r="K4401" t="inlineStr">
        <is>
          <t>45.0</t>
        </is>
      </c>
      <c r="L4401" t="n">
        <v>34.95</v>
      </c>
      <c r="M4401" s="1" t="inlineStr">
        <is>
          <t>-22.33%</t>
        </is>
      </c>
      <c r="N4401" s="3" t="n">
        <v>-22.33</v>
      </c>
      <c r="O4401" t="n">
        <v>3.3</v>
      </c>
      <c r="P4401" t="n">
        <v>22</v>
      </c>
      <c r="R4401" t="inlineStr">
        <is>
          <t>InStock</t>
        </is>
      </c>
      <c r="S4401" t="inlineStr">
        <is>
          <t>59.95</t>
        </is>
      </c>
      <c r="T4401" t="inlineStr">
        <is>
          <t>655688-02</t>
        </is>
      </c>
    </row>
    <row r="4402" hidden="1" ht="15.75" customHeight="1">
      <c r="A4402" s="2">
        <f>HYPERLINK("https://www.soccerplususa.com/under-armour/under-armour-coldgear-armour-fitted-mock-youth-41594", "https://www.soccerplususa.com/under-armour/under-armour-coldgear-armour-fitted-mock-youth-41594")</f>
        <v/>
      </c>
      <c r="B4402" t="inlineStr">
        <is>
          <t>undefined</t>
        </is>
      </c>
      <c r="C4402" t="inlineStr">
        <is>
          <t>Under Armour ColdGear Armour Fitted Mock Youth</t>
        </is>
      </c>
      <c r="D4402" t="inlineStr">
        <is>
          <t>Under Armour Boys' ColdGear Mock Long Sleeve T-Shirt</t>
        </is>
      </c>
      <c r="E4402" s="2">
        <f>HYPERLINK("https://www.amazon.com/Under-Armour-ColdGear-T-Shirt-X-Large/dp/B08LMKJ2PZ/ref=sr_1_1?keywords=Under+Armour+ColdGear+Armour+Fitted+Mock+Youth&amp;qid=1695171149&amp;sr=8-1", "https://www.amazon.com/Under-Armour-ColdGear-T-Shirt-X-Large/dp/B08LMKJ2PZ/ref=sr_1_1?keywords=Under+Armour+ColdGear+Armour+Fitted+Mock+Youth&amp;qid=1695171149&amp;sr=8-1")</f>
        <v/>
      </c>
      <c r="F4402" t="inlineStr">
        <is>
          <t>B08LMKJ2PZ</t>
        </is>
      </c>
      <c r="G4402">
        <f>_xludf.IMAGE("https://www.soccerplususa.com/prodimages//36053-WHITE-M.jpg")</f>
        <v/>
      </c>
      <c r="H4402">
        <f>_xludf.IMAGE("https://m.media-amazon.com/images/I/41RZhJHj3DL._AC_UL320_.jpg")</f>
        <v/>
      </c>
      <c r="K4402" t="inlineStr">
        <is>
          <t>39.95</t>
        </is>
      </c>
      <c r="L4402" t="n">
        <v>30.97</v>
      </c>
      <c r="M4402" s="1" t="inlineStr">
        <is>
          <t>-22.48%</t>
        </is>
      </c>
      <c r="N4402" s="3" t="n">
        <v>-22.48</v>
      </c>
      <c r="O4402" t="n">
        <v>4.8</v>
      </c>
      <c r="P4402" t="n">
        <v>345</v>
      </c>
      <c r="R4402" t="inlineStr">
        <is>
          <t>InStock</t>
        </is>
      </c>
      <c r="S4402" t="inlineStr">
        <is>
          <t>undefined</t>
        </is>
      </c>
      <c r="T4402" t="inlineStr">
        <is>
          <t>1366373-100</t>
        </is>
      </c>
    </row>
    <row r="4403" hidden="1" ht="15.75" customHeight="1">
      <c r="A4403" s="2">
        <f>HYPERLINK("https://www.soccerplususa.com/under-armour/under-armour-coldgear-armour-fitted-mock-youth-41593", "https://www.soccerplususa.com/under-armour/under-armour-coldgear-armour-fitted-mock-youth-41593")</f>
        <v/>
      </c>
      <c r="B4403" t="inlineStr">
        <is>
          <t>undefined</t>
        </is>
      </c>
      <c r="C4403" t="inlineStr">
        <is>
          <t>Under Armour ColdGear Armour Fitted Mock Youth</t>
        </is>
      </c>
      <c r="D4403" t="inlineStr">
        <is>
          <t>Under Armour Boys' ColdGear Mock Long Sleeve T-Shirt</t>
        </is>
      </c>
      <c r="E4403" s="2">
        <f>HYPERLINK("https://www.amazon.com/Under-Armour-ColdGear-T-Shirt-X-Large/dp/B08LMKJ2PZ/ref=sr_1_1?keywords=Under+Armour+ColdGear+Armour+Fitted+Mock+Youth&amp;qid=1695171155&amp;sr=8-1", "https://www.amazon.com/Under-Armour-ColdGear-T-Shirt-X-Large/dp/B08LMKJ2PZ/ref=sr_1_1?keywords=Under+Armour+ColdGear+Armour+Fitted+Mock+Youth&amp;qid=1695171155&amp;sr=8-1")</f>
        <v/>
      </c>
      <c r="F4403" t="inlineStr">
        <is>
          <t>B08LMKJ2PZ</t>
        </is>
      </c>
      <c r="G4403">
        <f>_xludf.IMAGE("https://www.soccerplususa.com/prodimages//36054-BLACK-M.jpg")</f>
        <v/>
      </c>
      <c r="H4403">
        <f>_xludf.IMAGE("https://m.media-amazon.com/images/I/41RZhJHj3DL._AC_UL320_.jpg")</f>
        <v/>
      </c>
      <c r="K4403" t="inlineStr">
        <is>
          <t>39.95</t>
        </is>
      </c>
      <c r="L4403" t="n">
        <v>30.97</v>
      </c>
      <c r="M4403" s="1" t="inlineStr">
        <is>
          <t>-22.48%</t>
        </is>
      </c>
      <c r="N4403" s="3" t="n">
        <v>-22.48</v>
      </c>
      <c r="O4403" t="n">
        <v>4.8</v>
      </c>
      <c r="P4403" t="n">
        <v>345</v>
      </c>
      <c r="R4403" t="inlineStr">
        <is>
          <t>InStock</t>
        </is>
      </c>
      <c r="S4403" t="inlineStr">
        <is>
          <t>undefined</t>
        </is>
      </c>
      <c r="T4403" t="inlineStr">
        <is>
          <t>1366373-001</t>
        </is>
      </c>
    </row>
    <row r="4404" hidden="1" ht="15.75" customHeight="1">
      <c r="A4404" s="2">
        <f>HYPERLINK("https://www.soccerplususa.com/adidas/adidas-tiro-21-track-jacket-41183", "https://www.soccerplususa.com/adidas/adidas-tiro-21-track-jacket-41183")</f>
        <v/>
      </c>
      <c r="B4404" t="inlineStr">
        <is>
          <t>undefined</t>
        </is>
      </c>
      <c r="C4404" t="inlineStr">
        <is>
          <t>adidas Tiro 21 Track Jacket</t>
        </is>
      </c>
      <c r="D4404" t="inlineStr">
        <is>
          <t>adidas Women's Tiro Track Jacket</t>
        </is>
      </c>
      <c r="E4404" s="2">
        <f>HYPERLINK("https://www.amazon.com/adidas-Womens-Standard-Jacket-Medium/dp/B093QQ66XY/ref=sr_1_10?keywords=adidas+Tiro+21+Track+Jacket&amp;qid=1695171147&amp;sr=8-10", "https://www.amazon.com/adidas-Womens-Standard-Jacket-Medium/dp/B093QQ66XY/ref=sr_1_10?keywords=adidas+Tiro+21+Track+Jacket&amp;qid=1695171147&amp;sr=8-10")</f>
        <v/>
      </c>
      <c r="F4404" t="inlineStr">
        <is>
          <t>B093QQ66XY</t>
        </is>
      </c>
      <c r="G4404">
        <f>_xludf.IMAGE("https://www.soccerplususa.com/prodimages//36165-BLACKWHITE-M.jpg")</f>
        <v/>
      </c>
      <c r="H4404">
        <f>_xludf.IMAGE("https://m.media-amazon.com/images/I/51nCT80SB4L._AC_UL320_.jpg")</f>
        <v/>
      </c>
      <c r="K4404" t="inlineStr">
        <is>
          <t>50.0</t>
        </is>
      </c>
      <c r="L4404" t="n">
        <v>38.67</v>
      </c>
      <c r="M4404" s="1" t="inlineStr">
        <is>
          <t>-22.66%</t>
        </is>
      </c>
      <c r="N4404" s="3" t="n">
        <v>-22.66</v>
      </c>
      <c r="O4404" t="n">
        <v>4.4</v>
      </c>
      <c r="P4404" t="n">
        <v>527</v>
      </c>
      <c r="R4404" t="inlineStr">
        <is>
          <t>InStock</t>
        </is>
      </c>
      <c r="S4404" t="inlineStr">
        <is>
          <t>undefined</t>
        </is>
      </c>
      <c r="T4404" t="inlineStr">
        <is>
          <t>GM7319</t>
        </is>
      </c>
    </row>
    <row r="4405" hidden="1" ht="15.75" customHeight="1">
      <c r="A4405" s="2">
        <f>HYPERLINK("https://www.soccerplususa.com/puma/puma-team-liga-all-weather-jacket-youth-42141", "https://www.soccerplususa.com/puma/puma-team-liga-all-weather-jacket-youth-42141")</f>
        <v/>
      </c>
      <c r="B4405" t="inlineStr">
        <is>
          <t>undefined</t>
        </is>
      </c>
      <c r="C4405" t="inlineStr">
        <is>
          <t>Puma Team Liga All Weather Jacket Youth</t>
        </is>
      </c>
      <c r="D4405" t="inlineStr">
        <is>
          <t>PUMA Men's Teamliga All Weather Jacket</t>
        </is>
      </c>
      <c r="E4405" s="2">
        <f>HYPERLINK("https://www.amazon.com/PUMA-TeamLIGA-Weather-Jacket-Black/dp/B091DFVR6Q/ref=sr_1_10?keywords=Puma+Team+Liga+All+Weather+Jacket+Youth&amp;qid=1695171144&amp;sr=8-10", "https://www.amazon.com/PUMA-TeamLIGA-Weather-Jacket-Black/dp/B091DFVR6Q/ref=sr_1_10?keywords=Puma+Team+Liga+All+Weather+Jacket+Youth&amp;qid=1695171144&amp;sr=8-10")</f>
        <v/>
      </c>
      <c r="F4405" t="inlineStr">
        <is>
          <t>B091DFVR6Q</t>
        </is>
      </c>
      <c r="G4405">
        <f>_xludf.IMAGE("https://www.soccerplususa.com/prodimages//37890-BLACK-M.jpg")</f>
        <v/>
      </c>
      <c r="H4405">
        <f>_xludf.IMAGE("https://m.media-amazon.com/images/I/81vaIe846UL._AC_UL320_.jpg")</f>
        <v/>
      </c>
      <c r="K4405" t="inlineStr">
        <is>
          <t>54.95</t>
        </is>
      </c>
      <c r="L4405" t="n">
        <v>42.43</v>
      </c>
      <c r="M4405" s="1" t="inlineStr">
        <is>
          <t>-22.78%</t>
        </is>
      </c>
      <c r="N4405" s="3" t="n">
        <v>-22.78</v>
      </c>
      <c r="O4405" t="n">
        <v>4.3</v>
      </c>
      <c r="P4405" t="n">
        <v>130</v>
      </c>
      <c r="R4405" t="inlineStr">
        <is>
          <t>InStock</t>
        </is>
      </c>
      <c r="S4405" t="inlineStr">
        <is>
          <t>undefined</t>
        </is>
      </c>
      <c r="T4405" t="inlineStr">
        <is>
          <t>657246-03</t>
        </is>
      </c>
    </row>
    <row r="4406" hidden="1" ht="15.75" customHeight="1">
      <c r="A4406" s="2">
        <f>HYPERLINK("https://www.soccerplususa.com/adidas/adidas-tiro-21-track-jacket-womens-41184", "https://www.soccerplususa.com/adidas/adidas-tiro-21-track-jacket-womens-41184")</f>
        <v/>
      </c>
      <c r="B4406" t="inlineStr">
        <is>
          <t>undefined</t>
        </is>
      </c>
      <c r="C4406" t="inlineStr">
        <is>
          <t>adidas Tiro 21 Track Jacket Women's</t>
        </is>
      </c>
      <c r="D4406" t="inlineStr">
        <is>
          <t>adidas womens Tiro 21 Track Jacket Team Grey XX-Large</t>
        </is>
      </c>
      <c r="E4406" s="2">
        <f>HYPERLINK("https://www.amazon.com/adidas-Womens-Track-Jacket-XX-Large/dp/B089K7QN53/ref=sr_1_8?keywords=adidas+Tiro+21+Track+Jacket+Women%27s&amp;qid=1695171150&amp;sr=8-8", "https://www.amazon.com/adidas-Womens-Track-Jacket-XX-Large/dp/B089K7QN53/ref=sr_1_8?keywords=adidas+Tiro+21+Track+Jacket+Women%27s&amp;qid=1695171150&amp;sr=8-8")</f>
        <v/>
      </c>
      <c r="F4406" t="inlineStr">
        <is>
          <t>B089K7QN53</t>
        </is>
      </c>
      <c r="G4406">
        <f>_xludf.IMAGE("https://www.soccerplususa.com/prodimages//36136-BLACKWHITE-M.jpg")</f>
        <v/>
      </c>
      <c r="H4406">
        <f>_xludf.IMAGE("https://m.media-amazon.com/images/I/51GSE5g4YEL._AC_UL320_.jpg")</f>
        <v/>
      </c>
      <c r="K4406" t="inlineStr">
        <is>
          <t>50.0</t>
        </is>
      </c>
      <c r="L4406" t="n">
        <v>38.41</v>
      </c>
      <c r="M4406" s="1" t="inlineStr">
        <is>
          <t>-23.18%</t>
        </is>
      </c>
      <c r="N4406" s="3" t="n">
        <v>-23.18</v>
      </c>
      <c r="O4406" t="n">
        <v>4.9</v>
      </c>
      <c r="P4406" t="n">
        <v>13</v>
      </c>
      <c r="R4406" t="inlineStr">
        <is>
          <t>InStock</t>
        </is>
      </c>
      <c r="S4406" t="inlineStr">
        <is>
          <t>undefined</t>
        </is>
      </c>
      <c r="T4406" t="inlineStr">
        <is>
          <t>GM7307</t>
        </is>
      </c>
    </row>
    <row r="4407" hidden="1" ht="15.75" customHeight="1">
      <c r="A4407" s="2">
        <f>HYPERLINK("https://www.soccerplususa.com/adidas/adidas-tiro-21-track-jacket-womens-41184", "https://www.soccerplususa.com/adidas/adidas-tiro-21-track-jacket-womens-41184")</f>
        <v/>
      </c>
      <c r="B4407" t="inlineStr">
        <is>
          <t>undefined</t>
        </is>
      </c>
      <c r="C4407" t="inlineStr">
        <is>
          <t>adidas Tiro 21 Track Jacket Women's</t>
        </is>
      </c>
      <c r="D4407" t="inlineStr">
        <is>
          <t>adidas womens Tiro 21 Track Jacket Team Navy Blue 2X</t>
        </is>
      </c>
      <c r="E4407" s="2">
        <f>HYPERLINK("https://www.amazon.com/adidas-Womens-Tiro-Track-Jacket/dp/B087C3RQHW/ref=sr_1_6?keywords=adidas+Tiro+21+Track+Jacket+Women%27s&amp;qid=1695171150&amp;sr=8-6", "https://www.amazon.com/adidas-Womens-Tiro-Track-Jacket/dp/B087C3RQHW/ref=sr_1_6?keywords=adidas+Tiro+21+Track+Jacket+Women%27s&amp;qid=1695171150&amp;sr=8-6")</f>
        <v/>
      </c>
      <c r="F4407" t="inlineStr">
        <is>
          <t>B087C3RQHW</t>
        </is>
      </c>
      <c r="G4407">
        <f>_xludf.IMAGE("https://www.soccerplususa.com/prodimages//36136-BLACKWHITE-M.jpg")</f>
        <v/>
      </c>
      <c r="H4407">
        <f>_xludf.IMAGE("https://m.media-amazon.com/images/I/51b6kIHFKML._AC_UL320_.jpg")</f>
        <v/>
      </c>
      <c r="K4407" t="inlineStr">
        <is>
          <t>50.0</t>
        </is>
      </c>
      <c r="L4407" t="n">
        <v>38.26</v>
      </c>
      <c r="M4407" s="1" t="inlineStr">
        <is>
          <t>-23.48%</t>
        </is>
      </c>
      <c r="N4407" s="3" t="n">
        <v>-23.48</v>
      </c>
      <c r="O4407" t="n">
        <v>4.4</v>
      </c>
      <c r="P4407" t="n">
        <v>13</v>
      </c>
      <c r="R4407" t="inlineStr">
        <is>
          <t>InStock</t>
        </is>
      </c>
      <c r="S4407" t="inlineStr">
        <is>
          <t>undefined</t>
        </is>
      </c>
      <c r="T4407" t="inlineStr">
        <is>
          <t>GM7307</t>
        </is>
      </c>
    </row>
    <row r="4408" hidden="1" ht="15.75" customHeight="1">
      <c r="A4408" s="2">
        <f>HYPERLINK("https://www.soccerplususa.com/under-armour/under-armour-coldgear-compression-mock-44300", "https://www.soccerplususa.com/under-armour/under-armour-coldgear-compression-mock-44300")</f>
        <v/>
      </c>
      <c r="B4408" t="inlineStr">
        <is>
          <t>undefined</t>
        </is>
      </c>
      <c r="C4408" t="inlineStr">
        <is>
          <t>Under Armour ColdGear Compression Mock</t>
        </is>
      </c>
      <c r="D4408" t="inlineStr">
        <is>
          <t>Under Armour Men's ColdGear Armour Compression Mock Long-Sleeve T-Shirt</t>
        </is>
      </c>
      <c r="E4408" s="2">
        <f>HYPERLINK("https://www.amazon.com/Under-Armour-ColdGear-Compression-White/dp/B00QHAPD9K/ref=sr_1_3?keywords=Under+Armour+ColdGear+Compression+Mock&amp;qid=1695171160&amp;sr=8-3", "https://www.amazon.com/Under-Armour-ColdGear-Compression-White/dp/B00QHAPD9K/ref=sr_1_3?keywords=Under+Armour+ColdGear+Compression+Mock&amp;qid=1695171160&amp;sr=8-3")</f>
        <v/>
      </c>
      <c r="F4408" t="inlineStr">
        <is>
          <t>B00QHAPD9K</t>
        </is>
      </c>
      <c r="G4408">
        <f>_xludf.IMAGE("https://www.soccerplususa.com/prodimages//36057-BLACK-M.jpg")</f>
        <v/>
      </c>
      <c r="H4408">
        <f>_xludf.IMAGE("https://m.media-amazon.com/images/I/61e0siO0pJL._AC_UL320_.jpg")</f>
        <v/>
      </c>
      <c r="K4408" t="inlineStr">
        <is>
          <t>54.95</t>
        </is>
      </c>
      <c r="L4408" t="n">
        <v>42</v>
      </c>
      <c r="M4408" s="1" t="inlineStr">
        <is>
          <t>-23.57%</t>
        </is>
      </c>
      <c r="N4408" s="3" t="n">
        <v>-23.57</v>
      </c>
      <c r="O4408" t="n">
        <v>4.7</v>
      </c>
      <c r="P4408" t="n">
        <v>12512</v>
      </c>
      <c r="R4408" t="inlineStr">
        <is>
          <t>InStock</t>
        </is>
      </c>
      <c r="S4408" t="inlineStr">
        <is>
          <t>undefined</t>
        </is>
      </c>
      <c r="T4408" t="inlineStr">
        <is>
          <t>1366072-001</t>
        </is>
      </c>
    </row>
    <row r="4409" hidden="1" ht="15.75" customHeight="1">
      <c r="A4409" s="2">
        <f>HYPERLINK("https://www.soccerplususa.com/adidas/adidas-essentials-hoodie-41596", "https://www.soccerplususa.com/adidas/adidas-essentials-hoodie-41596")</f>
        <v/>
      </c>
      <c r="B4409" t="inlineStr">
        <is>
          <t>undefined</t>
        </is>
      </c>
      <c r="C4409" t="inlineStr">
        <is>
          <t>adidas Essentials Hoodie</t>
        </is>
      </c>
      <c r="D4409" t="inlineStr">
        <is>
          <t>adidas Men's Essentials Fleece Hoodie</t>
        </is>
      </c>
      <c r="E4409" s="2">
        <f>HYPERLINK("https://www.amazon.com/adidas-Standard-Essentials-Fleece-Hoodie/dp/B08MJC9MWD/ref=sr_1_2?keywords=adidas+Essentials+Hoodie&amp;qid=1695171148&amp;sr=8-2", "https://www.amazon.com/adidas-Standard-Essentials-Fleece-Hoodie/dp/B08MJC9MWD/ref=sr_1_2?keywords=adidas+Essentials+Hoodie&amp;qid=1695171148&amp;sr=8-2")</f>
        <v/>
      </c>
      <c r="F4409" t="inlineStr">
        <is>
          <t>B08MJC9MWD</t>
        </is>
      </c>
      <c r="G4409">
        <f>_xludf.IMAGE("https://www.soccerplususa.com/prodimages//35143-BLACKWHITE-M.jpg")</f>
        <v/>
      </c>
      <c r="H4409">
        <f>_xludf.IMAGE("https://m.media-amazon.com/images/I/615FrV6jELL._AC_UL320_.jpg")</f>
        <v/>
      </c>
      <c r="K4409" t="inlineStr">
        <is>
          <t>44.99</t>
        </is>
      </c>
      <c r="L4409" t="n">
        <v>34.2</v>
      </c>
      <c r="M4409" s="1" t="inlineStr">
        <is>
          <t>-23.98%</t>
        </is>
      </c>
      <c r="N4409" s="3" t="n">
        <v>-23.98</v>
      </c>
      <c r="O4409" t="n">
        <v>4.7</v>
      </c>
      <c r="P4409" t="n">
        <v>2403</v>
      </c>
      <c r="R4409" t="inlineStr">
        <is>
          <t>InStock</t>
        </is>
      </c>
      <c r="S4409" t="inlineStr">
        <is>
          <t>59.95</t>
        </is>
      </c>
      <c r="T4409" t="inlineStr">
        <is>
          <t>GK9062</t>
        </is>
      </c>
    </row>
    <row r="4410" hidden="1" ht="15.75" customHeight="1">
      <c r="A4410" s="2">
        <f>HYPERLINK("https://www.soccerplususa.com/new-balance/new-balance-thermal-half-zip-top-womens-39182", "https://www.soccerplususa.com/new-balance/new-balance-thermal-half-zip-top-womens-39182")</f>
        <v/>
      </c>
      <c r="B4410" t="inlineStr">
        <is>
          <t>undefined</t>
        </is>
      </c>
      <c r="C4410" t="inlineStr">
        <is>
          <t>New Balance Thermal Half Zip Top Women's</t>
        </is>
      </c>
      <c r="D4410" t="inlineStr">
        <is>
          <t>BALEAF Women's Thermal Fleece Pullover Tops Half Zip Thumbholes Winter Long Sleeve Running Jacket Cold Weather</t>
        </is>
      </c>
      <c r="E4410" s="2">
        <f>HYPERLINK("https://www.amazon.com/Baleaf-Womens-Thermal-Thumbholes-Running/dp/B01JLOON08/ref=sr_1_9?keywords=New+Balance+Thermal+Half+Zip+Top+Womens&amp;qid=1695171153&amp;sr=8-9", "https://www.amazon.com/Baleaf-Womens-Thermal-Thumbholes-Running/dp/B01JLOON08/ref=sr_1_9?keywords=New+Balance+Thermal+Half+Zip+Top+Womens&amp;qid=1695171153&amp;sr=8-9")</f>
        <v/>
      </c>
      <c r="F4410" t="inlineStr">
        <is>
          <t>B01JLOON08</t>
        </is>
      </c>
      <c r="G4410">
        <f>_xludf.IMAGE("https://www.soccerplususa.com/prodimages/35277-DEFAULT-l.jpg")</f>
        <v/>
      </c>
      <c r="H4410">
        <f>_xludf.IMAGE("https://m.media-amazon.com/images/I/61CUL8iJ6gL._AC_UL320_.jpg")</f>
        <v/>
      </c>
      <c r="K4410" t="inlineStr">
        <is>
          <t>48.99</t>
        </is>
      </c>
      <c r="L4410" t="n">
        <v>36.99</v>
      </c>
      <c r="M4410" s="1" t="inlineStr">
        <is>
          <t>-24.49%</t>
        </is>
      </c>
      <c r="N4410" s="3" t="n">
        <v>-24.49</v>
      </c>
      <c r="O4410" t="n">
        <v>4.5</v>
      </c>
      <c r="P4410" t="n">
        <v>2953</v>
      </c>
      <c r="R4410" t="inlineStr">
        <is>
          <t>InStock</t>
        </is>
      </c>
      <c r="S4410" t="inlineStr">
        <is>
          <t>65.0</t>
        </is>
      </c>
      <c r="T4410" t="inlineStr">
        <is>
          <t>TMWT725</t>
        </is>
      </c>
    </row>
    <row r="4411" hidden="1" ht="15.75" customHeight="1">
      <c r="A4411" s="2">
        <f>HYPERLINK("https://www.soccerplususa.com/adidas/adidas-tiro-21-track-jacket-youth-41182", "https://www.soccerplususa.com/adidas/adidas-tiro-21-track-jacket-youth-41182")</f>
        <v/>
      </c>
      <c r="B4411" t="inlineStr">
        <is>
          <t>undefined</t>
        </is>
      </c>
      <c r="C4411" t="inlineStr">
        <is>
          <t>adidas Tiro 21 Track Jacket Youth</t>
        </is>
      </c>
      <c r="D4411" t="inlineStr">
        <is>
          <t>adidas Men's Tiro 21 Track Jacket</t>
        </is>
      </c>
      <c r="E4411" s="2">
        <f>HYPERLINK("https://www.amazon.com/adidas-Track-Jacket-Black-Medium/dp/B087C3R1GH/ref=sr_1_4?keywords=adidas+Tiro+21+Track+Jacket+Youth&amp;qid=1695171152&amp;sr=8-4", "https://www.amazon.com/adidas-Track-Jacket-Black-Medium/dp/B087C3R1GH/ref=sr_1_4?keywords=adidas+Tiro+21+Track+Jacket+Youth&amp;qid=1695171152&amp;sr=8-4")</f>
        <v/>
      </c>
      <c r="F4411" t="inlineStr">
        <is>
          <t>B087C3R1GH</t>
        </is>
      </c>
      <c r="G4411">
        <f>_xludf.IMAGE("https://www.soccerplususa.com/prodimages//35391-BLACKWHITE-M.jpg")</f>
        <v/>
      </c>
      <c r="H4411">
        <f>_xludf.IMAGE("https://m.media-amazon.com/images/I/916pGrtW0WL._AC_UL320_.jpg")</f>
        <v/>
      </c>
      <c r="K4411" t="inlineStr">
        <is>
          <t>45.0</t>
        </is>
      </c>
      <c r="L4411" t="n">
        <v>33.88</v>
      </c>
      <c r="M4411" s="1" t="inlineStr">
        <is>
          <t>-24.71%</t>
        </is>
      </c>
      <c r="N4411" s="3" t="n">
        <v>-24.71</v>
      </c>
      <c r="O4411" t="n">
        <v>4.6</v>
      </c>
      <c r="P4411" t="n">
        <v>3449</v>
      </c>
      <c r="R4411" t="inlineStr">
        <is>
          <t>InStock</t>
        </is>
      </c>
      <c r="S4411" t="inlineStr">
        <is>
          <t>undefined</t>
        </is>
      </c>
      <c r="T4411" t="inlineStr">
        <is>
          <t>GM7314</t>
        </is>
      </c>
    </row>
    <row r="4412" hidden="1" ht="15.75" customHeight="1">
      <c r="A4412" s="2">
        <f>HYPERLINK("https://www.soccerplususa.com/puma/puma-liga-training-rain-jacket-youth-35518", "https://www.soccerplususa.com/puma/puma-liga-training-rain-jacket-youth-35518")</f>
        <v/>
      </c>
      <c r="B4412" t="inlineStr">
        <is>
          <t>undefined</t>
        </is>
      </c>
      <c r="C4412" t="inlineStr">
        <is>
          <t>Puma Liga Training Rain Jacket Youth</t>
        </is>
      </c>
      <c r="D4412" t="inlineStr">
        <is>
          <t>PUMA Youth Liga Training Rain Jacket</t>
        </is>
      </c>
      <c r="E4412" s="2">
        <f>HYPERLINK("https://www.amazon.com/PUMA-Training-Jacket-Black-X-Large/dp/B07FGTQQH1/ref=sr_1_1?keywords=Puma+Liga+Training+Rain+Jacket+Youth&amp;qid=1695171159&amp;sr=8-1", "https://www.amazon.com/PUMA-Training-Jacket-Black-X-Large/dp/B07FGTQQH1/ref=sr_1_1?keywords=Puma+Liga+Training+Rain+Jacket+Youth&amp;qid=1695171159&amp;sr=8-1")</f>
        <v/>
      </c>
      <c r="F4412" t="inlineStr">
        <is>
          <t>B07FGTQQH1</t>
        </is>
      </c>
      <c r="G4412">
        <f>_xludf.IMAGE("https://www.soccerplususa.com/prodimages/13113-DEFAULT-l.jpg")</f>
        <v/>
      </c>
      <c r="H4412">
        <f>_xludf.IMAGE("https://m.media-amazon.com/images/I/81zxCvmnqxL._AC_UL320_.jpg")</f>
        <v/>
      </c>
      <c r="K4412" t="inlineStr">
        <is>
          <t>59.95</t>
        </is>
      </c>
      <c r="L4412" t="n">
        <v>44.98</v>
      </c>
      <c r="M4412" s="1" t="inlineStr">
        <is>
          <t>-24.97%</t>
        </is>
      </c>
      <c r="N4412" s="3" t="n">
        <v>-24.97</v>
      </c>
      <c r="O4412" t="n">
        <v>3.3</v>
      </c>
      <c r="P4412" t="n">
        <v>22</v>
      </c>
      <c r="R4412" t="inlineStr">
        <is>
          <t>InStock</t>
        </is>
      </c>
      <c r="S4412" t="inlineStr">
        <is>
          <t>undefined</t>
        </is>
      </c>
      <c r="T4412" t="inlineStr">
        <is>
          <t>655660-03</t>
        </is>
      </c>
    </row>
    <row r="4413" hidden="1" ht="15.75" customHeight="1">
      <c r="A4413" s="2">
        <f>HYPERLINK("https://www.soccerplususa.com/under-armour/under-armour-coldgear-mock-womens-33129", "https://www.soccerplususa.com/under-armour/under-armour-coldgear-mock-womens-33129")</f>
        <v/>
      </c>
      <c r="B4413" t="inlineStr">
        <is>
          <t>undefined</t>
        </is>
      </c>
      <c r="C4413" t="inlineStr">
        <is>
          <t>Under Armour Coldgear Mock Women's</t>
        </is>
      </c>
      <c r="D4413" t="inlineStr">
        <is>
          <t>Under Armour Women's ColdGear Infrared Storm Long Sleeve Mock Neck</t>
        </is>
      </c>
      <c r="E4413" s="2">
        <f>HYPERLINK("https://www.amazon.com/Under-Armour-Standard-ColdGear-Infrared/dp/B09G2XZF91/ref=sr_1_2?keywords=Under+Armour+Coldgear+Mock+Women%27s&amp;qid=1695171175&amp;sr=8-2", "https://www.amazon.com/Under-Armour-Standard-ColdGear-Infrared/dp/B09G2XZF91/ref=sr_1_2?keywords=Under+Armour+Coldgear+Mock+Women%27s&amp;qid=1695171175&amp;sr=8-2")</f>
        <v/>
      </c>
      <c r="F4413" t="inlineStr">
        <is>
          <t>B09G2XZF91</t>
        </is>
      </c>
      <c r="G4413">
        <f>_xludf.IMAGE("https://www.soccerplususa.com/prodimages/2365-DEFAULT-l.jpg")</f>
        <v/>
      </c>
      <c r="H4413">
        <f>_xludf.IMAGE("https://m.media-amazon.com/images/I/71miIMRY1rL._AC_UL320_.jpg")</f>
        <v/>
      </c>
      <c r="K4413" t="inlineStr">
        <is>
          <t>49.95</t>
        </is>
      </c>
      <c r="L4413" t="n">
        <v>37.37</v>
      </c>
      <c r="M4413" s="1" t="inlineStr">
        <is>
          <t>-25.19%</t>
        </is>
      </c>
      <c r="N4413" s="3" t="n">
        <v>-25.19</v>
      </c>
      <c r="O4413" t="n">
        <v>4.2</v>
      </c>
      <c r="P4413" t="n">
        <v>15</v>
      </c>
      <c r="R4413" t="inlineStr">
        <is>
          <t>InStock</t>
        </is>
      </c>
      <c r="S4413" t="inlineStr">
        <is>
          <t>undefined</t>
        </is>
      </c>
      <c r="T4413" t="inlineStr">
        <is>
          <t>1215968-100</t>
        </is>
      </c>
    </row>
    <row r="4414" hidden="1" ht="15.75" customHeight="1">
      <c r="A4414" s="2">
        <f>HYPERLINK("https://www.soccerplususa.com/adidas/adidas-toque-13-jersey-8996", "https://www.soccerplususa.com/adidas/adidas-toque-13-jersey-8996")</f>
        <v/>
      </c>
      <c r="B4414" t="inlineStr">
        <is>
          <t>undefined</t>
        </is>
      </c>
      <c r="C4414" t="inlineStr">
        <is>
          <t>adidas Toque 13 Jersey</t>
        </is>
      </c>
      <c r="D4414" t="inlineStr">
        <is>
          <t>adidas Toque 13 SS-Z20266-Size M</t>
        </is>
      </c>
      <c r="E4414" s="2">
        <f>HYPERLINK("https://www.amazon.com/adidas-Toque-13-SS-Z20266-Size-M/dp/B00D9S1PRM/ref=sr_1_4?keywords=adidas+Toque+13+Jersey&amp;qid=1695171185&amp;sr=8-4", "https://www.amazon.com/adidas-Toque-13-SS-Z20266-Size-M/dp/B00D9S1PRM/ref=sr_1_4?keywords=adidas+Toque+13+Jersey&amp;qid=1695171185&amp;sr=8-4")</f>
        <v/>
      </c>
      <c r="F4414" t="inlineStr">
        <is>
          <t>B00D9S1PRM</t>
        </is>
      </c>
      <c r="G4414">
        <f>_xludf.IMAGE("https://www.soccerplususa.com/prodimages/5432-DEFAULT-l.jpg")</f>
        <v/>
      </c>
      <c r="H4414">
        <f>_xludf.IMAGE("https://m.media-amazon.com/images/I/513ELDMzXVL._AC_UL320_.jpg")</f>
        <v/>
      </c>
      <c r="K4414" t="inlineStr">
        <is>
          <t>20.0</t>
        </is>
      </c>
      <c r="L4414" t="n">
        <v>14.95</v>
      </c>
      <c r="M4414" s="1" t="inlineStr">
        <is>
          <t>-25.25%</t>
        </is>
      </c>
      <c r="N4414" s="3" t="n">
        <v>-25.25</v>
      </c>
      <c r="O4414" t="n">
        <v>5</v>
      </c>
      <c r="P4414" t="n">
        <v>1</v>
      </c>
      <c r="R4414" t="inlineStr">
        <is>
          <t>InStock</t>
        </is>
      </c>
      <c r="S4414" t="inlineStr">
        <is>
          <t>39.95</t>
        </is>
      </c>
      <c r="T4414" t="inlineStr">
        <is>
          <t>Z20262</t>
        </is>
      </c>
    </row>
    <row r="4415" hidden="1" ht="15.75" customHeight="1">
      <c r="A4415" s="2">
        <f>HYPERLINK("https://www.soccerplususa.com/under-armour/under-armour-cold-gear-armour-mock-youth-33310", "https://www.soccerplususa.com/under-armour/under-armour-cold-gear-armour-mock-youth-33310")</f>
        <v/>
      </c>
      <c r="B4415" t="inlineStr">
        <is>
          <t>undefined</t>
        </is>
      </c>
      <c r="C4415" t="inlineStr">
        <is>
          <t>Under Armour Cold Gear Armour Mock Youth</t>
        </is>
      </c>
      <c r="D4415" t="inlineStr">
        <is>
          <t>Under Armour Boys' HeatGear Mock Long Sleeve</t>
        </is>
      </c>
      <c r="E4415" s="2">
        <f>HYPERLINK("https://www.amazon.com/Under-Armour-HeatGear-Sleeve-Black/dp/B093LQXHRV/ref=sr_1_10?keywords=Under+Armour+Cold+Gear+Armour+Mock+Youth&amp;qid=1695171174&amp;sr=8-10", "https://www.amazon.com/Under-Armour-HeatGear-Sleeve-Black/dp/B093LQXHRV/ref=sr_1_10?keywords=Under+Armour+Cold+Gear+Armour+Mock+Youth&amp;qid=1695171174&amp;sr=8-10")</f>
        <v/>
      </c>
      <c r="F4415" t="inlineStr">
        <is>
          <t>B093LQXHRV</t>
        </is>
      </c>
      <c r="G4415">
        <f>_xludf.IMAGE("https://www.soccerplususa.com/prodimages/5586-DEFAULT-l.jpg")</f>
        <v/>
      </c>
      <c r="H4415">
        <f>_xludf.IMAGE("https://m.media-amazon.com/images/I/41y7n6GcMpL._AC_UL320_.jpg")</f>
        <v/>
      </c>
      <c r="K4415" t="inlineStr">
        <is>
          <t>39.95</t>
        </is>
      </c>
      <c r="L4415" t="n">
        <v>29.8</v>
      </c>
      <c r="M4415" s="1" t="inlineStr">
        <is>
          <t>-25.41%</t>
        </is>
      </c>
      <c r="N4415" s="3" t="n">
        <v>-25.41</v>
      </c>
      <c r="O4415" t="n">
        <v>4.1</v>
      </c>
      <c r="P4415" t="n">
        <v>90</v>
      </c>
      <c r="R4415" t="inlineStr">
        <is>
          <t>InStock</t>
        </is>
      </c>
      <c r="S4415" t="inlineStr">
        <is>
          <t>undefined</t>
        </is>
      </c>
      <c r="T4415" t="inlineStr">
        <is>
          <t>1288343-001</t>
        </is>
      </c>
    </row>
    <row r="4416" hidden="1" ht="15.75" customHeight="1">
      <c r="A4416" s="2">
        <f>HYPERLINK("https://www.soccerplususa.com/adidas/adidas-tiro-17-jersey-4871", "https://www.soccerplususa.com/adidas/adidas-tiro-17-jersey-4871")</f>
        <v/>
      </c>
      <c r="B4416" t="inlineStr">
        <is>
          <t>undefined</t>
        </is>
      </c>
      <c r="C4416" t="inlineStr">
        <is>
          <t>adidas Tiro 17 Jersey</t>
        </is>
      </c>
      <c r="D4416" t="inlineStr">
        <is>
          <t>adidas Tiro 17 Womens Soccer Jersey 2XS Power Red-White</t>
        </is>
      </c>
      <c r="E4416" s="2">
        <f>HYPERLINK("https://www.amazon.com/adidas-Womens-Soccer-Jersey-Red-White/dp/B01N76Z1OB/ref=sr_1_9?keywords=adidas+Tiro+17+Jersey&amp;qid=1695171224&amp;sr=8-9", "https://www.amazon.com/adidas-Womens-Soccer-Jersey-Red-White/dp/B01N76Z1OB/ref=sr_1_9?keywords=adidas+Tiro+17+Jersey&amp;qid=1695171224&amp;sr=8-9")</f>
        <v/>
      </c>
      <c r="F4416" t="inlineStr">
        <is>
          <t>B01N76Z1OB</t>
        </is>
      </c>
      <c r="G4416">
        <f>_xludf.IMAGE("https://www.soccerplususa.com/prodimages/31717-DEFAULT-l.jpg")</f>
        <v/>
      </c>
      <c r="H4416">
        <f>_xludf.IMAGE("https://m.media-amazon.com/images/I/51gJIbK-kFL._AC_UL320_.jpg")</f>
        <v/>
      </c>
      <c r="K4416" t="inlineStr">
        <is>
          <t>20.0</t>
        </is>
      </c>
      <c r="L4416" t="n">
        <v>14.89</v>
      </c>
      <c r="M4416" s="1" t="inlineStr">
        <is>
          <t>-25.55%</t>
        </is>
      </c>
      <c r="N4416" s="3" t="n">
        <v>-25.55</v>
      </c>
      <c r="O4416" t="n">
        <v>5</v>
      </c>
      <c r="P4416" t="n">
        <v>1</v>
      </c>
      <c r="R4416" t="inlineStr">
        <is>
          <t>InStock</t>
        </is>
      </c>
      <c r="S4416" t="inlineStr">
        <is>
          <t>39.95</t>
        </is>
      </c>
      <c r="T4416" t="inlineStr">
        <is>
          <t>BK5439</t>
        </is>
      </c>
    </row>
    <row r="4417" hidden="1" ht="15.75" customHeight="1">
      <c r="A4417" s="2">
        <f>HYPERLINK("https://www.soccerplususa.com/adidas/adidas-tiro-17-jersey-womens-35760", "https://www.soccerplususa.com/adidas/adidas-tiro-17-jersey-womens-35760")</f>
        <v/>
      </c>
      <c r="B4417" t="inlineStr">
        <is>
          <t>undefined</t>
        </is>
      </c>
      <c r="C4417" t="inlineStr">
        <is>
          <t>adidas Tiro 17 Jersey Women's</t>
        </is>
      </c>
      <c r="D4417" t="inlineStr">
        <is>
          <t>adidas Tiro 17 Womens Soccer Jersey 2XS Power Red-White</t>
        </is>
      </c>
      <c r="E4417" s="2">
        <f>HYPERLINK("https://www.amazon.com/adidas-Womens-Soccer-Jersey-Red-White/dp/B01N76Z1OB/ref=sr_1_4?keywords=adidas+Tiro+17+Jersey+Womens&amp;qid=1695171224&amp;sr=8-4", "https://www.amazon.com/adidas-Womens-Soccer-Jersey-Red-White/dp/B01N76Z1OB/ref=sr_1_4?keywords=adidas+Tiro+17+Jersey+Womens&amp;qid=1695171224&amp;sr=8-4")</f>
        <v/>
      </c>
      <c r="F4417" t="inlineStr">
        <is>
          <t>B01N76Z1OB</t>
        </is>
      </c>
      <c r="G4417">
        <f>_xludf.IMAGE("https://www.soccerplususa.com/prodimages/9819-DEFAULT-l.jpg")</f>
        <v/>
      </c>
      <c r="H4417">
        <f>_xludf.IMAGE("https://m.media-amazon.com/images/I/51gJIbK-kFL._AC_UL320_.jpg")</f>
        <v/>
      </c>
      <c r="K4417" t="inlineStr">
        <is>
          <t>20.0</t>
        </is>
      </c>
      <c r="L4417" t="n">
        <v>14.89</v>
      </c>
      <c r="M4417" s="1" t="inlineStr">
        <is>
          <t>-25.55%</t>
        </is>
      </c>
      <c r="N4417" s="3" t="n">
        <v>-25.55</v>
      </c>
      <c r="O4417" t="n">
        <v>5</v>
      </c>
      <c r="P4417" t="n">
        <v>1</v>
      </c>
      <c r="R4417" t="inlineStr">
        <is>
          <t>InStock</t>
        </is>
      </c>
      <c r="S4417" t="inlineStr">
        <is>
          <t>39.95</t>
        </is>
      </c>
      <c r="T4417" t="inlineStr">
        <is>
          <t>BJ9096</t>
        </is>
      </c>
    </row>
    <row r="4418" hidden="1" ht="15.75" customHeight="1">
      <c r="A4418" s="2">
        <f>HYPERLINK("https://www.soccerplususa.com/adidas/adidas-tiro-17-jersey-4869", "https://www.soccerplususa.com/adidas/adidas-tiro-17-jersey-4869")</f>
        <v/>
      </c>
      <c r="B4418" t="inlineStr">
        <is>
          <t>undefined</t>
        </is>
      </c>
      <c r="C4418" t="inlineStr">
        <is>
          <t>adidas Tiro 17 Jersey</t>
        </is>
      </c>
      <c r="D4418" t="inlineStr">
        <is>
          <t>adidas Tiro 17 Womens Soccer Jersey 2XS Power Red-White</t>
        </is>
      </c>
      <c r="E4418" s="2">
        <f>HYPERLINK("https://www.amazon.com/adidas-Womens-Soccer-Jersey-Red-White/dp/B01N76Z1OB/ref=sr_1_10?keywords=adidas+Tiro+17+Jersey&amp;qid=1695171236&amp;sr=8-10", "https://www.amazon.com/adidas-Womens-Soccer-Jersey-Red-White/dp/B01N76Z1OB/ref=sr_1_10?keywords=adidas+Tiro+17+Jersey&amp;qid=1695171236&amp;sr=8-10")</f>
        <v/>
      </c>
      <c r="F4418" t="inlineStr">
        <is>
          <t>B01N76Z1OB</t>
        </is>
      </c>
      <c r="G4418">
        <f>_xludf.IMAGE("https://www.soccerplususa.com/prodimages/7451-DEFAULT-l.jpg")</f>
        <v/>
      </c>
      <c r="H4418">
        <f>_xludf.IMAGE("https://m.media-amazon.com/images/I/51gJIbK-kFL._AC_UL320_.jpg")</f>
        <v/>
      </c>
      <c r="K4418" t="inlineStr">
        <is>
          <t>20.0</t>
        </is>
      </c>
      <c r="L4418" t="n">
        <v>14.89</v>
      </c>
      <c r="M4418" s="1" t="inlineStr">
        <is>
          <t>-25.55%</t>
        </is>
      </c>
      <c r="N4418" s="3" t="n">
        <v>-25.55</v>
      </c>
      <c r="O4418" t="n">
        <v>5</v>
      </c>
      <c r="P4418" t="n">
        <v>1</v>
      </c>
      <c r="R4418" t="inlineStr">
        <is>
          <t>InStock</t>
        </is>
      </c>
      <c r="S4418" t="inlineStr">
        <is>
          <t>39.95</t>
        </is>
      </c>
      <c r="T4418" t="inlineStr">
        <is>
          <t>BK5437</t>
        </is>
      </c>
    </row>
    <row r="4419" hidden="1" ht="15.75" customHeight="1">
      <c r="A4419" s="2">
        <f>HYPERLINK("https://www.soccerplususa.com/puma/puma-liga-training-jacket-35519", "https://www.soccerplususa.com/puma/puma-liga-training-jacket-35519")</f>
        <v/>
      </c>
      <c r="B4419" t="inlineStr">
        <is>
          <t>undefined</t>
        </is>
      </c>
      <c r="C4419" t="inlineStr">
        <is>
          <t>Puma Liga Training Jacket</t>
        </is>
      </c>
      <c r="D4419" t="inlineStr">
        <is>
          <t>PUMA Men's Standard Team Liga Training Jacket</t>
        </is>
      </c>
      <c r="E4419" s="2">
        <f>HYPERLINK("https://www.amazon.com/PUMA-TeamLIGA-Training-Jacket-Black/dp/B091DCKQ81/ref=sr_1_2?keywords=Puma+Liga+Training+Jacket&amp;qid=1695171164&amp;sr=8-2", "https://www.amazon.com/PUMA-TeamLIGA-Training-Jacket-Black/dp/B091DCKQ81/ref=sr_1_2?keywords=Puma+Liga+Training+Jacket&amp;qid=1695171164&amp;sr=8-2")</f>
        <v/>
      </c>
      <c r="F4419" t="inlineStr">
        <is>
          <t>B091DCKQ81</t>
        </is>
      </c>
      <c r="G4419">
        <f>_xludf.IMAGE("https://www.soccerplususa.com/prodimages/32207-DEFAULT-l.jpg")</f>
        <v/>
      </c>
      <c r="H4419">
        <f>_xludf.IMAGE("https://m.media-amazon.com/images/I/71-29QBQXmS._AC_UL320_.jpg")</f>
        <v/>
      </c>
      <c r="K4419" t="inlineStr">
        <is>
          <t>45.0</t>
        </is>
      </c>
      <c r="L4419" t="n">
        <v>33.5</v>
      </c>
      <c r="M4419" s="1" t="inlineStr">
        <is>
          <t>-25.56%</t>
        </is>
      </c>
      <c r="N4419" s="3" t="n">
        <v>-25.56</v>
      </c>
      <c r="O4419" t="n">
        <v>4.6</v>
      </c>
      <c r="P4419" t="n">
        <v>38</v>
      </c>
      <c r="R4419" t="inlineStr">
        <is>
          <t>InStock</t>
        </is>
      </c>
      <c r="S4419" t="inlineStr">
        <is>
          <t>59.95</t>
        </is>
      </c>
      <c r="T4419" t="inlineStr">
        <is>
          <t>655687-02</t>
        </is>
      </c>
    </row>
    <row r="4420" hidden="1" ht="15.75" customHeight="1">
      <c r="A4420" s="2">
        <f>HYPERLINK("https://www.soccerplususa.com/puma/puma-liga-training-jacket-35519", "https://www.soccerplususa.com/puma/puma-liga-training-jacket-35519")</f>
        <v/>
      </c>
      <c r="B4420" t="inlineStr">
        <is>
          <t>undefined</t>
        </is>
      </c>
      <c r="C4420" t="inlineStr">
        <is>
          <t>Puma Liga Training Jacket</t>
        </is>
      </c>
      <c r="D4420" t="inlineStr">
        <is>
          <t>PUMA Men's Liga Training 1/4 Zip Top</t>
        </is>
      </c>
      <c r="E4420" s="2">
        <f>HYPERLINK("https://www.amazon.com/PUMA-Mens-Training-Black-White/dp/B07CGFVJHQ/ref=sr_1_9?keywords=Puma+Liga+Training+Jacket&amp;qid=1695171164&amp;sr=8-9", "https://www.amazon.com/PUMA-Mens-Training-Black-White/dp/B07CGFVJHQ/ref=sr_1_9?keywords=Puma+Liga+Training+Jacket&amp;qid=1695171164&amp;sr=8-9")</f>
        <v/>
      </c>
      <c r="F4420" t="inlineStr">
        <is>
          <t>B07CGFVJHQ</t>
        </is>
      </c>
      <c r="G4420">
        <f>_xludf.IMAGE("https://www.soccerplususa.com/prodimages/32207-DEFAULT-l.jpg")</f>
        <v/>
      </c>
      <c r="H4420">
        <f>_xludf.IMAGE("https://m.media-amazon.com/images/I/51lTgUAO49L._AC_UL320_.jpg")</f>
        <v/>
      </c>
      <c r="K4420" t="inlineStr">
        <is>
          <t>45.0</t>
        </is>
      </c>
      <c r="L4420" t="n">
        <v>33.35</v>
      </c>
      <c r="M4420" s="1" t="inlineStr">
        <is>
          <t>-25.89%</t>
        </is>
      </c>
      <c r="N4420" s="3" t="n">
        <v>-25.89</v>
      </c>
      <c r="O4420" t="n">
        <v>4.6</v>
      </c>
      <c r="P4420" t="n">
        <v>313</v>
      </c>
      <c r="R4420" t="inlineStr">
        <is>
          <t>InStock</t>
        </is>
      </c>
      <c r="S4420" t="inlineStr">
        <is>
          <t>59.95</t>
        </is>
      </c>
      <c r="T4420" t="inlineStr">
        <is>
          <t>655687-02</t>
        </is>
      </c>
    </row>
    <row r="4421" hidden="1" ht="15.75" customHeight="1">
      <c r="A4421" s="2">
        <f>HYPERLINK("https://www.soccerplususa.com/adidas/adidas-condivo-21-training-top-womens-41950", "https://www.soccerplususa.com/adidas/adidas-condivo-21-training-top-womens-41950")</f>
        <v/>
      </c>
      <c r="B4421" t="inlineStr">
        <is>
          <t>undefined</t>
        </is>
      </c>
      <c r="C4421" t="inlineStr">
        <is>
          <t>adidas Condivo 21 Training Top Women's</t>
        </is>
      </c>
      <c r="D4421" t="inlineStr">
        <is>
          <t>adidas Women's Condivo 22 Training Top</t>
        </is>
      </c>
      <c r="E4421" s="2">
        <f>HYPERLINK("https://www.amazon.com/adidas-Womens-Condivo-Training-Medium/dp/B09HJKW33X/ref=sr_1_3?keywords=adidas+Condivo+21+Training+Top+Womens&amp;qid=1695171149&amp;sr=8-3", "https://www.amazon.com/adidas-Womens-Condivo-Training-Medium/dp/B09HJKW33X/ref=sr_1_3?keywords=adidas+Condivo+21+Training+Top+Womens&amp;qid=1695171149&amp;sr=8-3")</f>
        <v/>
      </c>
      <c r="F4421" t="inlineStr">
        <is>
          <t>B09HJKW33X</t>
        </is>
      </c>
      <c r="G4421">
        <f>_xludf.IMAGE("https://www.soccerplususa.com/prodimages//37061-GREYWHITE-M.jpg")</f>
        <v/>
      </c>
      <c r="H4421">
        <f>_xludf.IMAGE("https://m.media-amazon.com/images/I/51809whMXpL._MCnd_AC_UL320_.jpg")</f>
        <v/>
      </c>
      <c r="K4421" t="inlineStr">
        <is>
          <t>48.49</t>
        </is>
      </c>
      <c r="L4421" t="n">
        <v>35.75</v>
      </c>
      <c r="M4421" s="1" t="inlineStr">
        <is>
          <t>-26.27%</t>
        </is>
      </c>
      <c r="N4421" s="3" t="n">
        <v>-26.27</v>
      </c>
      <c r="O4421" t="n">
        <v>5</v>
      </c>
      <c r="P4421" t="n">
        <v>4</v>
      </c>
      <c r="R4421" t="inlineStr">
        <is>
          <t>InStock</t>
        </is>
      </c>
      <c r="S4421" t="inlineStr">
        <is>
          <t>64.95</t>
        </is>
      </c>
      <c r="T4421" t="inlineStr">
        <is>
          <t>GP1902</t>
        </is>
      </c>
    </row>
    <row r="4422" hidden="1" ht="15.75" customHeight="1">
      <c r="A4422" s="2">
        <f>HYPERLINK("https://www.soccerplususa.com/puma/puma-bench-jacket-42494", "https://www.soccerplususa.com/puma/puma-bench-jacket-42494")</f>
        <v/>
      </c>
      <c r="B4422" t="inlineStr">
        <is>
          <t>undefined</t>
        </is>
      </c>
      <c r="C4422" t="inlineStr">
        <is>
          <t>Puma Bench Jacket</t>
        </is>
      </c>
      <c r="D4422" t="inlineStr">
        <is>
          <t>PUMA Men's Bench Jacket</t>
        </is>
      </c>
      <c r="E4422" s="2">
        <f>HYPERLINK("https://www.amazon.com/PUMA-Bench-Jacket-Black-White/dp/B091DGKGS7/ref=sr_1_1?keywords=Puma+Bench+Jacket&amp;qid=1695171144&amp;sr=8-1", "https://www.amazon.com/PUMA-Bench-Jacket-Black-White/dp/B091DGKGS7/ref=sr_1_1?keywords=Puma+Bench+Jacket&amp;qid=1695171144&amp;sr=8-1")</f>
        <v/>
      </c>
      <c r="F4422" t="inlineStr">
        <is>
          <t>B091DGKGS7</t>
        </is>
      </c>
      <c r="G4422">
        <f>_xludf.IMAGE("https://www.soccerplususa.com/prodimages//35571-BLACKWHITE-M.jpg")</f>
        <v/>
      </c>
      <c r="H4422">
        <f>_xludf.IMAGE("https://m.media-amazon.com/images/I/81KlwwVuczL._AC_UL320_.jpg")</f>
        <v/>
      </c>
      <c r="K4422" t="inlineStr">
        <is>
          <t>99.95</t>
        </is>
      </c>
      <c r="L4422" t="n">
        <v>71.89</v>
      </c>
      <c r="M4422" s="1" t="inlineStr">
        <is>
          <t>-28.07%</t>
        </is>
      </c>
      <c r="N4422" s="3" t="n">
        <v>-28.07</v>
      </c>
      <c r="O4422" t="n">
        <v>4.4</v>
      </c>
      <c r="P4422" t="n">
        <v>94</v>
      </c>
      <c r="R4422" t="inlineStr">
        <is>
          <t>InStock</t>
        </is>
      </c>
      <c r="S4422" t="inlineStr">
        <is>
          <t>undefined</t>
        </is>
      </c>
      <c r="T4422" t="inlineStr">
        <is>
          <t>657268-03</t>
        </is>
      </c>
    </row>
    <row r="4423" hidden="1" ht="15.75" customHeight="1">
      <c r="A4423" s="2">
        <f>HYPERLINK("https://www.soccerplususa.com/puma/puma-liga-jersey-37883", "https://www.soccerplususa.com/puma/puma-liga-jersey-37883")</f>
        <v/>
      </c>
      <c r="B4423" t="inlineStr">
        <is>
          <t>undefined</t>
        </is>
      </c>
      <c r="C4423" t="inlineStr">
        <is>
          <t>Puma Liga Jersey</t>
        </is>
      </c>
      <c r="D4423" t="inlineStr">
        <is>
          <t>PUMA Unisex Youth Liga Jersey</t>
        </is>
      </c>
      <c r="E4423" s="2">
        <f>HYPERLINK("https://www.amazon.com/PUMA-Mens-LIGA-Jersey-White/dp/B07DY9HZB2/ref=sr_1_7?keywords=Puma+Liga+Jersey&amp;qid=1695171159&amp;sr=8-7", "https://www.amazon.com/PUMA-Mens-LIGA-Jersey-White/dp/B07DY9HZB2/ref=sr_1_7?keywords=Puma+Liga+Jersey&amp;qid=1695171159&amp;sr=8-7")</f>
        <v/>
      </c>
      <c r="F4423" t="inlineStr">
        <is>
          <t>B07DY9HZB2</t>
        </is>
      </c>
      <c r="G4423">
        <f>_xludf.IMAGE("https://www.soccerplususa.com/prodimages//36780-REDWHITE-M.jpg")</f>
        <v/>
      </c>
      <c r="H4423">
        <f>_xludf.IMAGE("https://m.media-amazon.com/images/I/61tvgoNrhmL._AC_UL320_.jpg")</f>
        <v/>
      </c>
      <c r="K4423" t="inlineStr">
        <is>
          <t>27.95</t>
        </is>
      </c>
      <c r="L4423" t="n">
        <v>20.09</v>
      </c>
      <c r="M4423" s="1" t="inlineStr">
        <is>
          <t>-28.12%</t>
        </is>
      </c>
      <c r="N4423" s="3" t="n">
        <v>-28.12</v>
      </c>
      <c r="O4423" t="n">
        <v>4</v>
      </c>
      <c r="P4423" t="n">
        <v>37</v>
      </c>
      <c r="R4423" t="inlineStr">
        <is>
          <t>InStock</t>
        </is>
      </c>
      <c r="S4423" t="inlineStr">
        <is>
          <t>undefined</t>
        </is>
      </c>
      <c r="T4423" t="inlineStr">
        <is>
          <t>703417-01</t>
        </is>
      </c>
    </row>
    <row r="4424" hidden="1" ht="15.75" customHeight="1">
      <c r="A4424" s="2">
        <f>HYPERLINK("https://www.soccerplususa.com/adidas/adidas-condivo-22-winter-jacket-45454", "https://www.soccerplususa.com/adidas/adidas-condivo-22-winter-jacket-45454")</f>
        <v/>
      </c>
      <c r="B4424" t="inlineStr">
        <is>
          <t>undefined</t>
        </is>
      </c>
      <c r="C4424" t="inlineStr">
        <is>
          <t>adidas Condivo 22 Winter Jacket</t>
        </is>
      </c>
      <c r="D4424" t="inlineStr">
        <is>
          <t>adidas Condivo 22 Winter Jacket Kids'</t>
        </is>
      </c>
      <c r="E4424" s="2">
        <f>HYPERLINK("https://www.amazon.com/adidas-Condivo-Winter-Jacket-Black/dp/B0BCL39HDC/ref=sr_1_3?keywords=adidas+Condivo+22+Winter+Jacket&amp;qid=1695171146&amp;sr=8-3", "https://www.amazon.com/adidas-Condivo-Winter-Jacket-Black/dp/B0BCL39HDC/ref=sr_1_3?keywords=adidas+Condivo+22+Winter+Jacket&amp;qid=1695171146&amp;sr=8-3")</f>
        <v/>
      </c>
      <c r="F4424" t="inlineStr">
        <is>
          <t>B0BCL39HDC</t>
        </is>
      </c>
      <c r="G4424">
        <f>_xludf.IMAGE("https://www.soccerplususa.com/prodimages//37456-BLACKWHITE-M.jpg")</f>
        <v/>
      </c>
      <c r="H4424">
        <f>_xludf.IMAGE("https://m.media-amazon.com/images/I/41lMBZeQn3L._AC_UL320_.jpg")</f>
        <v/>
      </c>
      <c r="K4424" t="inlineStr">
        <is>
          <t>139.95</t>
        </is>
      </c>
      <c r="L4424" t="n">
        <v>99.98999999999999</v>
      </c>
      <c r="M4424" s="1" t="inlineStr">
        <is>
          <t>-28.55%</t>
        </is>
      </c>
      <c r="N4424" s="3" t="n">
        <v>-28.55</v>
      </c>
      <c r="O4424" t="n">
        <v>4</v>
      </c>
      <c r="P4424" t="n">
        <v>1</v>
      </c>
      <c r="R4424" t="inlineStr">
        <is>
          <t>InStock</t>
        </is>
      </c>
      <c r="S4424" t="inlineStr">
        <is>
          <t>undefined</t>
        </is>
      </c>
      <c r="T4424" t="inlineStr">
        <is>
          <t>HT2542</t>
        </is>
      </c>
    </row>
    <row r="4425" hidden="1" ht="15.75" customHeight="1">
      <c r="A4425" s="2">
        <f>HYPERLINK("https://www.soccerplususa.com/adidas/adidas-condivo-22-winter-jacket-42215", "https://www.soccerplususa.com/adidas/adidas-condivo-22-winter-jacket-42215")</f>
        <v/>
      </c>
      <c r="B4425" t="inlineStr">
        <is>
          <t>undefined</t>
        </is>
      </c>
      <c r="C4425" t="inlineStr">
        <is>
          <t>adidas Condivo 22 Winter Jacket</t>
        </is>
      </c>
      <c r="D4425" t="inlineStr">
        <is>
          <t>adidas Condivo 22 Winter Jacket Kids'</t>
        </is>
      </c>
      <c r="E4425" s="2">
        <f>HYPERLINK("https://www.amazon.com/adidas-Condivo-Winter-Jacket-Black/dp/B0BCL39HDC/ref=sr_1_3?keywords=adidas+Condivo+22+Winter+Jacket&amp;qid=1695171144&amp;sr=8-3", "https://www.amazon.com/adidas-Condivo-Winter-Jacket-Black/dp/B0BCL39HDC/ref=sr_1_3?keywords=adidas+Condivo+22+Winter+Jacket&amp;qid=1695171144&amp;sr=8-3")</f>
        <v/>
      </c>
      <c r="F4425" t="inlineStr">
        <is>
          <t>B0BCL39HDC</t>
        </is>
      </c>
      <c r="G4425">
        <f>_xludf.IMAGE("https://www.soccerplususa.com/prodimages//35132-BLACKWHITE-M.jpg")</f>
        <v/>
      </c>
      <c r="H4425">
        <f>_xludf.IMAGE("https://m.media-amazon.com/images/I/41lMBZeQn3L._AC_UL320_.jpg")</f>
        <v/>
      </c>
      <c r="K4425" t="inlineStr">
        <is>
          <t>139.95</t>
        </is>
      </c>
      <c r="L4425" t="n">
        <v>99.98999999999999</v>
      </c>
      <c r="M4425" s="1" t="inlineStr">
        <is>
          <t>-28.55%</t>
        </is>
      </c>
      <c r="N4425" s="3" t="n">
        <v>-28.55</v>
      </c>
      <c r="O4425" t="n">
        <v>4</v>
      </c>
      <c r="P4425" t="n">
        <v>1</v>
      </c>
      <c r="R4425" t="inlineStr">
        <is>
          <t>InStock</t>
        </is>
      </c>
      <c r="S4425" t="inlineStr">
        <is>
          <t>undefined</t>
        </is>
      </c>
      <c r="T4425" t="inlineStr">
        <is>
          <t>H21280</t>
        </is>
      </c>
    </row>
    <row r="4426" hidden="1" ht="15.75" customHeight="1">
      <c r="A4426" s="2">
        <f>HYPERLINK("https://www.soccerplususa.com/puma/puma-liga-jersey-youth-39601", "https://www.soccerplususa.com/puma/puma-liga-jersey-youth-39601")</f>
        <v/>
      </c>
      <c r="B4426" t="inlineStr">
        <is>
          <t>undefined</t>
        </is>
      </c>
      <c r="C4426" t="inlineStr">
        <is>
          <t>Puma Liga Jersey Youth</t>
        </is>
      </c>
      <c r="D4426" t="inlineStr">
        <is>
          <t>PUMA Unisex Youth Liga Jersey</t>
        </is>
      </c>
      <c r="E4426" s="2">
        <f>HYPERLINK("https://www.amazon.com/PUMA-Jersey-Cyber-Yellowpuma-X-Large/dp/B07KWYGMG7/ref=sr_1_3?keywords=Puma+Liga+Jersey+Youth&amp;qid=1695171161&amp;sr=8-3", "https://www.amazon.com/PUMA-Jersey-Cyber-Yellowpuma-X-Large/dp/B07KWYGMG7/ref=sr_1_3?keywords=Puma+Liga+Jersey+Youth&amp;qid=1695171161&amp;sr=8-3")</f>
        <v/>
      </c>
      <c r="F4426" t="inlineStr">
        <is>
          <t>B07KWYGMG7</t>
        </is>
      </c>
      <c r="G4426">
        <f>_xludf.IMAGE("https://www.soccerplususa.com/prodimages//36796-WHITE-M.jpg")</f>
        <v/>
      </c>
      <c r="H4426">
        <f>_xludf.IMAGE("https://m.media-amazon.com/images/I/61NmJE8EwpL._AC_UL320_.jpg")</f>
        <v/>
      </c>
      <c r="K4426" t="inlineStr">
        <is>
          <t>20.99</t>
        </is>
      </c>
      <c r="L4426" t="n">
        <v>14.95</v>
      </c>
      <c r="M4426" s="1" t="inlineStr">
        <is>
          <t>-28.78%</t>
        </is>
      </c>
      <c r="N4426" s="3" t="n">
        <v>-28.78</v>
      </c>
      <c r="O4426" t="n">
        <v>4.1</v>
      </c>
      <c r="P4426" t="n">
        <v>81</v>
      </c>
      <c r="R4426" t="inlineStr">
        <is>
          <t>InStock</t>
        </is>
      </c>
      <c r="S4426" t="inlineStr">
        <is>
          <t>27.95</t>
        </is>
      </c>
      <c r="T4426" t="inlineStr">
        <is>
          <t>703418-14</t>
        </is>
      </c>
    </row>
    <row r="4427" hidden="1" ht="15.75" customHeight="1">
      <c r="A4427" s="2">
        <f>HYPERLINK("https://www.soccerplususa.com/puma/puma-liga-jersey-youth-37885", "https://www.soccerplususa.com/puma/puma-liga-jersey-youth-37885")</f>
        <v/>
      </c>
      <c r="B4427" t="inlineStr">
        <is>
          <t>undefined</t>
        </is>
      </c>
      <c r="C4427" t="inlineStr">
        <is>
          <t>Puma Liga Jersey Youth</t>
        </is>
      </c>
      <c r="D4427" t="inlineStr">
        <is>
          <t>PUMA Unisex Youth Liga Jersey</t>
        </is>
      </c>
      <c r="E4427" s="2">
        <f>HYPERLINK("https://www.amazon.com/PUMA-Jersey-Black-White-X-Large/dp/B07DXZ5R84/ref=sr_1_2?keywords=Puma+Liga+Jersey+Youth&amp;qid=1695171154&amp;sr=8-2", "https://www.amazon.com/PUMA-Jersey-Black-White-X-Large/dp/B07DXZ5R84/ref=sr_1_2?keywords=Puma+Liga+Jersey+Youth&amp;qid=1695171154&amp;sr=8-2")</f>
        <v/>
      </c>
      <c r="F4427" t="inlineStr">
        <is>
          <t>B07DXZ5R84</t>
        </is>
      </c>
      <c r="G4427">
        <f>_xludf.IMAGE("https://www.soccerplususa.com/prodimages//36779-REDWHITE-M.jpg")</f>
        <v/>
      </c>
      <c r="H4427">
        <f>_xludf.IMAGE("https://m.media-amazon.com/images/I/71f+GPiGtdL._AC_UL320_.jpg")</f>
        <v/>
      </c>
      <c r="K4427" t="inlineStr">
        <is>
          <t>20.99</t>
        </is>
      </c>
      <c r="L4427" t="n">
        <v>14.95</v>
      </c>
      <c r="M4427" s="1" t="inlineStr">
        <is>
          <t>-28.78%</t>
        </is>
      </c>
      <c r="N4427" s="3" t="n">
        <v>-28.78</v>
      </c>
      <c r="O4427" t="n">
        <v>4</v>
      </c>
      <c r="P4427" t="n">
        <v>37</v>
      </c>
      <c r="R4427" t="inlineStr">
        <is>
          <t>InStock</t>
        </is>
      </c>
      <c r="S4427" t="inlineStr">
        <is>
          <t>27.95</t>
        </is>
      </c>
      <c r="T4427" t="inlineStr">
        <is>
          <t>703418-01</t>
        </is>
      </c>
    </row>
    <row r="4428" hidden="1" ht="15.75" customHeight="1">
      <c r="A4428" s="2">
        <f>HYPERLINK("https://www.soccerplususa.com/puma/puma-liga-jersey-youth-37886", "https://www.soccerplususa.com/puma/puma-liga-jersey-youth-37886")</f>
        <v/>
      </c>
      <c r="B4428" t="inlineStr">
        <is>
          <t>undefined</t>
        </is>
      </c>
      <c r="C4428" t="inlineStr">
        <is>
          <t>Puma Liga Jersey Youth</t>
        </is>
      </c>
      <c r="D4428" t="inlineStr">
        <is>
          <t>PUMA Unisex Youth Liga Jersey</t>
        </is>
      </c>
      <c r="E4428" s="2">
        <f>HYPERLINK("https://www.amazon.com/PUMA-Jersey-Black-White-X-Large/dp/B07DXZ5R84/ref=sr_1_2?keywords=Puma+Liga+Jersey+Youth&amp;qid=1695171188&amp;sr=8-2", "https://www.amazon.com/PUMA-Jersey-Black-White-X-Large/dp/B07DXZ5R84/ref=sr_1_2?keywords=Puma+Liga+Jersey+Youth&amp;qid=1695171188&amp;sr=8-2")</f>
        <v/>
      </c>
      <c r="F4428" t="inlineStr">
        <is>
          <t>B07DXZ5R84</t>
        </is>
      </c>
      <c r="G4428">
        <f>_xludf.IMAGE("https://www.soccerplususa.com/prodimages//35271-NAVYWHITE-M.jpg")</f>
        <v/>
      </c>
      <c r="H4428">
        <f>_xludf.IMAGE("https://m.media-amazon.com/images/I/71f+GPiGtdL._AC_UL320_.jpg")</f>
        <v/>
      </c>
      <c r="K4428" t="inlineStr">
        <is>
          <t>20.99</t>
        </is>
      </c>
      <c r="L4428" t="n">
        <v>14.95</v>
      </c>
      <c r="M4428" s="1" t="inlineStr">
        <is>
          <t>-28.78%</t>
        </is>
      </c>
      <c r="N4428" s="3" t="n">
        <v>-28.78</v>
      </c>
      <c r="O4428" t="n">
        <v>4</v>
      </c>
      <c r="P4428" t="n">
        <v>37</v>
      </c>
      <c r="R4428" t="inlineStr">
        <is>
          <t>InStock</t>
        </is>
      </c>
      <c r="S4428" t="inlineStr">
        <is>
          <t>27.95</t>
        </is>
      </c>
      <c r="T4428" t="inlineStr">
        <is>
          <t>703418-06</t>
        </is>
      </c>
    </row>
    <row r="4429" hidden="1" ht="15.75" customHeight="1">
      <c r="A4429" s="2">
        <f>HYPERLINK("https://www.soccerplususa.com/puma/puma-liga-jersey-youth-37886", "https://www.soccerplususa.com/puma/puma-liga-jersey-youth-37886")</f>
        <v/>
      </c>
      <c r="B4429" t="inlineStr">
        <is>
          <t>undefined</t>
        </is>
      </c>
      <c r="C4429" t="inlineStr">
        <is>
          <t>Puma Liga Jersey Youth</t>
        </is>
      </c>
      <c r="D4429" t="inlineStr">
        <is>
          <t>PUMA Youth Liga Jersey Hooped</t>
        </is>
      </c>
      <c r="E4429" s="2">
        <f>HYPERLINK("https://www.amazon.com/PUMA-Jersey-Hooped-Pepper-Greenpuma/dp/B07KWYFQ2B/ref=sr_1_5?keywords=Puma+Liga+Jersey+Youth&amp;qid=1695171188&amp;sr=8-5", "https://www.amazon.com/PUMA-Jersey-Hooped-Pepper-Greenpuma/dp/B07KWYFQ2B/ref=sr_1_5?keywords=Puma+Liga+Jersey+Youth&amp;qid=1695171188&amp;sr=8-5")</f>
        <v/>
      </c>
      <c r="F4429" t="inlineStr">
        <is>
          <t>B07KWYFQ2B</t>
        </is>
      </c>
      <c r="G4429">
        <f>_xludf.IMAGE("https://www.soccerplususa.com/prodimages//35271-NAVYWHITE-M.jpg")</f>
        <v/>
      </c>
      <c r="H4429">
        <f>_xludf.IMAGE("https://m.media-amazon.com/images/I/71MmWWnHWBL._AC_UL320_.jpg")</f>
        <v/>
      </c>
      <c r="K4429" t="inlineStr">
        <is>
          <t>20.99</t>
        </is>
      </c>
      <c r="L4429" t="n">
        <v>14.95</v>
      </c>
      <c r="M4429" s="1" t="inlineStr">
        <is>
          <t>-28.78%</t>
        </is>
      </c>
      <c r="N4429" s="3" t="n">
        <v>-28.78</v>
      </c>
      <c r="O4429" t="n">
        <v>3.3</v>
      </c>
      <c r="P4429" t="n">
        <v>106</v>
      </c>
      <c r="R4429" t="inlineStr">
        <is>
          <t>InStock</t>
        </is>
      </c>
      <c r="S4429" t="inlineStr">
        <is>
          <t>27.95</t>
        </is>
      </c>
      <c r="T4429" t="inlineStr">
        <is>
          <t>703418-06</t>
        </is>
      </c>
    </row>
    <row r="4430" hidden="1" ht="15.75" customHeight="1">
      <c r="A4430" s="2">
        <f>HYPERLINK("https://www.soccerplususa.com/puma/puma-liga-jersey-youth-37885", "https://www.soccerplususa.com/puma/puma-liga-jersey-youth-37885")</f>
        <v/>
      </c>
      <c r="B4430" t="inlineStr">
        <is>
          <t>undefined</t>
        </is>
      </c>
      <c r="C4430" t="inlineStr">
        <is>
          <t>Puma Liga Jersey Youth</t>
        </is>
      </c>
      <c r="D4430" t="inlineStr">
        <is>
          <t>PUMA Unisex Youth Liga Jersey</t>
        </is>
      </c>
      <c r="E4430" s="2">
        <f>HYPERLINK("https://www.amazon.com/PUMA-Jersey-Cyber-Yellowpuma-X-Large/dp/B07KWYGMG7/ref=sr_1_3?keywords=Puma+Liga+Jersey+Youth&amp;qid=1695171154&amp;sr=8-3", "https://www.amazon.com/PUMA-Jersey-Cyber-Yellowpuma-X-Large/dp/B07KWYGMG7/ref=sr_1_3?keywords=Puma+Liga+Jersey+Youth&amp;qid=1695171154&amp;sr=8-3")</f>
        <v/>
      </c>
      <c r="F4430" t="inlineStr">
        <is>
          <t>B07KWYGMG7</t>
        </is>
      </c>
      <c r="G4430">
        <f>_xludf.IMAGE("https://www.soccerplususa.com/prodimages//36779-REDWHITE-M.jpg")</f>
        <v/>
      </c>
      <c r="H4430">
        <f>_xludf.IMAGE("https://m.media-amazon.com/images/I/61NmJE8EwpL._AC_UL320_.jpg")</f>
        <v/>
      </c>
      <c r="K4430" t="inlineStr">
        <is>
          <t>20.99</t>
        </is>
      </c>
      <c r="L4430" t="n">
        <v>14.95</v>
      </c>
      <c r="M4430" s="1" t="inlineStr">
        <is>
          <t>-28.78%</t>
        </is>
      </c>
      <c r="N4430" s="3" t="n">
        <v>-28.78</v>
      </c>
      <c r="O4430" t="n">
        <v>4.1</v>
      </c>
      <c r="P4430" t="n">
        <v>81</v>
      </c>
      <c r="R4430" t="inlineStr">
        <is>
          <t>InStock</t>
        </is>
      </c>
      <c r="S4430" t="inlineStr">
        <is>
          <t>27.95</t>
        </is>
      </c>
      <c r="T4430" t="inlineStr">
        <is>
          <t>703418-01</t>
        </is>
      </c>
    </row>
    <row r="4431" hidden="1" ht="15.75" customHeight="1">
      <c r="A4431" s="2">
        <f>HYPERLINK("https://www.soccerplususa.com/puma/puma-liga-jersey-youth-37886", "https://www.soccerplususa.com/puma/puma-liga-jersey-youth-37886")</f>
        <v/>
      </c>
      <c r="B4431" t="inlineStr">
        <is>
          <t>undefined</t>
        </is>
      </c>
      <c r="C4431" t="inlineStr">
        <is>
          <t>Puma Liga Jersey Youth</t>
        </is>
      </c>
      <c r="D4431" t="inlineStr">
        <is>
          <t>PUMA Unisex Youth Liga Jersey</t>
        </is>
      </c>
      <c r="E4431" s="2">
        <f>HYPERLINK("https://www.amazon.com/PUMA-Jersey-Cyber-Yellowpuma-X-Large/dp/B07KWYGMG7/ref=sr_1_3?keywords=Puma+Liga+Jersey+Youth&amp;qid=1695171188&amp;sr=8-3", "https://www.amazon.com/PUMA-Jersey-Cyber-Yellowpuma-X-Large/dp/B07KWYGMG7/ref=sr_1_3?keywords=Puma+Liga+Jersey+Youth&amp;qid=1695171188&amp;sr=8-3")</f>
        <v/>
      </c>
      <c r="F4431" t="inlineStr">
        <is>
          <t>B07KWYGMG7</t>
        </is>
      </c>
      <c r="G4431">
        <f>_xludf.IMAGE("https://www.soccerplususa.com/prodimages//35271-NAVYWHITE-M.jpg")</f>
        <v/>
      </c>
      <c r="H4431">
        <f>_xludf.IMAGE("https://m.media-amazon.com/images/I/61NmJE8EwpL._AC_UL320_.jpg")</f>
        <v/>
      </c>
      <c r="K4431" t="inlineStr">
        <is>
          <t>20.99</t>
        </is>
      </c>
      <c r="L4431" t="n">
        <v>14.95</v>
      </c>
      <c r="M4431" s="1" t="inlineStr">
        <is>
          <t>-28.78%</t>
        </is>
      </c>
      <c r="N4431" s="3" t="n">
        <v>-28.78</v>
      </c>
      <c r="O4431" t="n">
        <v>4.1</v>
      </c>
      <c r="P4431" t="n">
        <v>81</v>
      </c>
      <c r="R4431" t="inlineStr">
        <is>
          <t>InStock</t>
        </is>
      </c>
      <c r="S4431" t="inlineStr">
        <is>
          <t>27.95</t>
        </is>
      </c>
      <c r="T4431" t="inlineStr">
        <is>
          <t>703418-06</t>
        </is>
      </c>
    </row>
    <row r="4432" hidden="1" ht="15.75" customHeight="1">
      <c r="A4432" s="2">
        <f>HYPERLINK("https://www.soccerplususa.com/puma/puma-liga-jersey-youth-39601", "https://www.soccerplususa.com/puma/puma-liga-jersey-youth-39601")</f>
        <v/>
      </c>
      <c r="B4432" t="inlineStr">
        <is>
          <t>undefined</t>
        </is>
      </c>
      <c r="C4432" t="inlineStr">
        <is>
          <t>Puma Liga Jersey Youth</t>
        </is>
      </c>
      <c r="D4432" t="inlineStr">
        <is>
          <t>PUMA Unisex Youth Liga Jersey</t>
        </is>
      </c>
      <c r="E4432" s="2">
        <f>HYPERLINK("https://www.amazon.com/PUMA-Jersey-Black-White-X-Large/dp/B07DXZ5R84/ref=sr_1_2?keywords=Puma+Liga+Jersey+Youth&amp;qid=1695171161&amp;sr=8-2", "https://www.amazon.com/PUMA-Jersey-Black-White-X-Large/dp/B07DXZ5R84/ref=sr_1_2?keywords=Puma+Liga+Jersey+Youth&amp;qid=1695171161&amp;sr=8-2")</f>
        <v/>
      </c>
      <c r="F4432" t="inlineStr">
        <is>
          <t>B07DXZ5R84</t>
        </is>
      </c>
      <c r="G4432">
        <f>_xludf.IMAGE("https://www.soccerplususa.com/prodimages//36796-WHITE-M.jpg")</f>
        <v/>
      </c>
      <c r="H4432">
        <f>_xludf.IMAGE("https://m.media-amazon.com/images/I/71f+GPiGtdL._AC_UL320_.jpg")</f>
        <v/>
      </c>
      <c r="K4432" t="inlineStr">
        <is>
          <t>20.99</t>
        </is>
      </c>
      <c r="L4432" t="n">
        <v>14.95</v>
      </c>
      <c r="M4432" s="1" t="inlineStr">
        <is>
          <t>-28.78%</t>
        </is>
      </c>
      <c r="N4432" s="3" t="n">
        <v>-28.78</v>
      </c>
      <c r="O4432" t="n">
        <v>4</v>
      </c>
      <c r="P4432" t="n">
        <v>37</v>
      </c>
      <c r="R4432" t="inlineStr">
        <is>
          <t>InStock</t>
        </is>
      </c>
      <c r="S4432" t="inlineStr">
        <is>
          <t>27.95</t>
        </is>
      </c>
      <c r="T4432" t="inlineStr">
        <is>
          <t>703418-14</t>
        </is>
      </c>
    </row>
    <row r="4433" hidden="1" ht="15.75" customHeight="1">
      <c r="A4433" s="2">
        <f>HYPERLINK("https://www.soccerplususa.com/puma/puma-liga-jersey-youth-37885", "https://www.soccerplususa.com/puma/puma-liga-jersey-youth-37885")</f>
        <v/>
      </c>
      <c r="B4433" t="inlineStr">
        <is>
          <t>undefined</t>
        </is>
      </c>
      <c r="C4433" t="inlineStr">
        <is>
          <t>Puma Liga Jersey Youth</t>
        </is>
      </c>
      <c r="D4433" t="inlineStr">
        <is>
          <t>PUMA Youth Liga Jersey Hooped</t>
        </is>
      </c>
      <c r="E4433" s="2">
        <f>HYPERLINK("https://www.amazon.com/PUMA-Jersey-Hooped-Pepper-Greenpuma/dp/B07KWYFQ2B/ref=sr_1_5?keywords=Puma+Liga+Jersey+Youth&amp;qid=1695171154&amp;sr=8-5", "https://www.amazon.com/PUMA-Jersey-Hooped-Pepper-Greenpuma/dp/B07KWYFQ2B/ref=sr_1_5?keywords=Puma+Liga+Jersey+Youth&amp;qid=1695171154&amp;sr=8-5")</f>
        <v/>
      </c>
      <c r="F4433" t="inlineStr">
        <is>
          <t>B07KWYFQ2B</t>
        </is>
      </c>
      <c r="G4433">
        <f>_xludf.IMAGE("https://www.soccerplususa.com/prodimages//36779-REDWHITE-M.jpg")</f>
        <v/>
      </c>
      <c r="H4433">
        <f>_xludf.IMAGE("https://m.media-amazon.com/images/I/71MmWWnHWBL._AC_UL320_.jpg")</f>
        <v/>
      </c>
      <c r="K4433" t="inlineStr">
        <is>
          <t>20.99</t>
        </is>
      </c>
      <c r="L4433" t="n">
        <v>14.95</v>
      </c>
      <c r="M4433" s="1" t="inlineStr">
        <is>
          <t>-28.78%</t>
        </is>
      </c>
      <c r="N4433" s="3" t="n">
        <v>-28.78</v>
      </c>
      <c r="O4433" t="n">
        <v>3.3</v>
      </c>
      <c r="P4433" t="n">
        <v>106</v>
      </c>
      <c r="R4433" t="inlineStr">
        <is>
          <t>InStock</t>
        </is>
      </c>
      <c r="S4433" t="inlineStr">
        <is>
          <t>27.95</t>
        </is>
      </c>
      <c r="T4433" t="inlineStr">
        <is>
          <t>703418-01</t>
        </is>
      </c>
    </row>
    <row r="4434" hidden="1" ht="15.75" customHeight="1">
      <c r="A4434" s="2">
        <f>HYPERLINK("https://www.soccerplususa.com/puma/puma-liga-jersey-youth-39601", "https://www.soccerplususa.com/puma/puma-liga-jersey-youth-39601")</f>
        <v/>
      </c>
      <c r="B4434" t="inlineStr">
        <is>
          <t>undefined</t>
        </is>
      </c>
      <c r="C4434" t="inlineStr">
        <is>
          <t>Puma Liga Jersey Youth</t>
        </is>
      </c>
      <c r="D4434" t="inlineStr">
        <is>
          <t>PUMA Youth Liga Jersey Hooped</t>
        </is>
      </c>
      <c r="E4434" s="2">
        <f>HYPERLINK("https://www.amazon.com/PUMA-Jersey-Hooped-Pepper-Greenpuma/dp/B07KWYFQ2B/ref=sr_1_5?keywords=Puma+Liga+Jersey+Youth&amp;qid=1695171161&amp;sr=8-5", "https://www.amazon.com/PUMA-Jersey-Hooped-Pepper-Greenpuma/dp/B07KWYFQ2B/ref=sr_1_5?keywords=Puma+Liga+Jersey+Youth&amp;qid=1695171161&amp;sr=8-5")</f>
        <v/>
      </c>
      <c r="F4434" t="inlineStr">
        <is>
          <t>B07KWYFQ2B</t>
        </is>
      </c>
      <c r="G4434">
        <f>_xludf.IMAGE("https://www.soccerplususa.com/prodimages//36796-WHITE-M.jpg")</f>
        <v/>
      </c>
      <c r="H4434">
        <f>_xludf.IMAGE("https://m.media-amazon.com/images/I/71MmWWnHWBL._AC_UL320_.jpg")</f>
        <v/>
      </c>
      <c r="K4434" t="inlineStr">
        <is>
          <t>20.99</t>
        </is>
      </c>
      <c r="L4434" t="n">
        <v>14.95</v>
      </c>
      <c r="M4434" s="1" t="inlineStr">
        <is>
          <t>-28.78%</t>
        </is>
      </c>
      <c r="N4434" s="3" t="n">
        <v>-28.78</v>
      </c>
      <c r="O4434" t="n">
        <v>3.3</v>
      </c>
      <c r="P4434" t="n">
        <v>106</v>
      </c>
      <c r="R4434" t="inlineStr">
        <is>
          <t>InStock</t>
        </is>
      </c>
      <c r="S4434" t="inlineStr">
        <is>
          <t>27.95</t>
        </is>
      </c>
      <c r="T4434" t="inlineStr">
        <is>
          <t>703418-14</t>
        </is>
      </c>
    </row>
    <row r="4435" hidden="1" ht="15.75" customHeight="1">
      <c r="A4435" s="2">
        <f>HYPERLINK("https://www.soccerplususa.com/adidas/adidas-condivo-22-winter-jacket-42215", "https://www.soccerplususa.com/adidas/adidas-condivo-22-winter-jacket-42215")</f>
        <v/>
      </c>
      <c r="B4435" t="inlineStr">
        <is>
          <t>undefined</t>
        </is>
      </c>
      <c r="C4435" t="inlineStr">
        <is>
          <t>adidas Condivo 22 Winter Jacket</t>
        </is>
      </c>
      <c r="D4435" t="inlineStr">
        <is>
          <t>adidas Youth Soccer Condivo 18 Winter Jacket - Kid's Soccer</t>
        </is>
      </c>
      <c r="E4435" s="2">
        <f>HYPERLINK("https://www.amazon.com/adidas-Soccer-Condivo-Winter-Jacket/dp/B078LC9YKV/ref=sr_1_9?keywords=adidas+Condivo+22+Winter+Jacket&amp;qid=1695171144&amp;sr=8-9", "https://www.amazon.com/adidas-Soccer-Condivo-Winter-Jacket/dp/B078LC9YKV/ref=sr_1_9?keywords=adidas+Condivo+22+Winter+Jacket&amp;qid=1695171144&amp;sr=8-9")</f>
        <v/>
      </c>
      <c r="F4435" t="inlineStr">
        <is>
          <t>B078LC9YKV</t>
        </is>
      </c>
      <c r="G4435">
        <f>_xludf.IMAGE("https://www.soccerplususa.com/prodimages//35132-BLACKWHITE-M.jpg")</f>
        <v/>
      </c>
      <c r="H4435">
        <f>_xludf.IMAGE("https://m.media-amazon.com/images/I/41o7dZPORXL._AC_UL320_.jpg")</f>
        <v/>
      </c>
      <c r="K4435" t="inlineStr">
        <is>
          <t>139.95</t>
        </is>
      </c>
      <c r="L4435" t="n">
        <v>99.31</v>
      </c>
      <c r="M4435" s="1" t="inlineStr">
        <is>
          <t>-29.04%</t>
        </is>
      </c>
      <c r="N4435" s="3" t="n">
        <v>-29.04</v>
      </c>
      <c r="O4435" t="n">
        <v>4.1</v>
      </c>
      <c r="P4435" t="n">
        <v>14</v>
      </c>
      <c r="R4435" t="inlineStr">
        <is>
          <t>InStock</t>
        </is>
      </c>
      <c r="S4435" t="inlineStr">
        <is>
          <t>undefined</t>
        </is>
      </c>
      <c r="T4435" t="inlineStr">
        <is>
          <t>H21280</t>
        </is>
      </c>
    </row>
    <row r="4436" hidden="1" ht="15.75" customHeight="1">
      <c r="A4436" s="2">
        <f>HYPERLINK("https://www.soccerplususa.com/adidas/adidas-condivo-22-winter-jacket-45454", "https://www.soccerplususa.com/adidas/adidas-condivo-22-winter-jacket-45454")</f>
        <v/>
      </c>
      <c r="B4436" t="inlineStr">
        <is>
          <t>undefined</t>
        </is>
      </c>
      <c r="C4436" t="inlineStr">
        <is>
          <t>adidas Condivo 22 Winter Jacket</t>
        </is>
      </c>
      <c r="D4436" t="inlineStr">
        <is>
          <t>adidas Youth Soccer Condivo 18 Winter Jacket - Kid's Soccer</t>
        </is>
      </c>
      <c r="E4436" s="2">
        <f>HYPERLINK("https://www.amazon.com/adidas-Soccer-Condivo-Winter-Jacket/dp/B078LC9YKV/ref=sr_1_9?keywords=adidas+Condivo+22+Winter+Jacket&amp;qid=1695171146&amp;sr=8-9", "https://www.amazon.com/adidas-Soccer-Condivo-Winter-Jacket/dp/B078LC9YKV/ref=sr_1_9?keywords=adidas+Condivo+22+Winter+Jacket&amp;qid=1695171146&amp;sr=8-9")</f>
        <v/>
      </c>
      <c r="F4436" t="inlineStr">
        <is>
          <t>B078LC9YKV</t>
        </is>
      </c>
      <c r="G4436">
        <f>_xludf.IMAGE("https://www.soccerplususa.com/prodimages//37456-BLACKWHITE-M.jpg")</f>
        <v/>
      </c>
      <c r="H4436">
        <f>_xludf.IMAGE("https://m.media-amazon.com/images/I/41o7dZPORXL._AC_UL320_.jpg")</f>
        <v/>
      </c>
      <c r="K4436" t="inlineStr">
        <is>
          <t>139.95</t>
        </is>
      </c>
      <c r="L4436" t="n">
        <v>99.31</v>
      </c>
      <c r="M4436" s="1" t="inlineStr">
        <is>
          <t>-29.04%</t>
        </is>
      </c>
      <c r="N4436" s="3" t="n">
        <v>-29.04</v>
      </c>
      <c r="O4436" t="n">
        <v>4.1</v>
      </c>
      <c r="P4436" t="n">
        <v>14</v>
      </c>
      <c r="R4436" t="inlineStr">
        <is>
          <t>InStock</t>
        </is>
      </c>
      <c r="S4436" t="inlineStr">
        <is>
          <t>undefined</t>
        </is>
      </c>
      <c r="T4436" t="inlineStr">
        <is>
          <t>HT2542</t>
        </is>
      </c>
    </row>
    <row r="4437" hidden="1" ht="15.75" customHeight="1">
      <c r="A4437" s="2">
        <f>HYPERLINK("https://www.soccerplususa.com/adidas/adidas-condivo-18-training-jacket-5182", "https://www.soccerplususa.com/adidas/adidas-condivo-18-training-jacket-5182")</f>
        <v/>
      </c>
      <c r="B4437" t="inlineStr">
        <is>
          <t>undefined</t>
        </is>
      </c>
      <c r="C4437" t="inlineStr">
        <is>
          <t>adidas Condivo 18 Training Jacket</t>
        </is>
      </c>
      <c r="D4437" t="inlineStr">
        <is>
          <t>adidas Men's Condivo 18 Polyester Jacket</t>
        </is>
      </c>
      <c r="E4437" s="2">
        <f>HYPERLINK("https://www.amazon.com/adidas-Condivo-Training-Jacket-Black/dp/B078WHPGXF/ref=sr_1_2?keywords=adidas+Condivo+18+Training+Jacket&amp;qid=1695171222&amp;sr=8-2", "https://www.amazon.com/adidas-Condivo-Training-Jacket-Black/dp/B078WHPGXF/ref=sr_1_2?keywords=adidas+Condivo+18+Training+Jacket&amp;qid=1695171222&amp;sr=8-2")</f>
        <v/>
      </c>
      <c r="F4437" t="inlineStr">
        <is>
          <t>B078WHPGXF</t>
        </is>
      </c>
      <c r="G4437">
        <f>_xludf.IMAGE("https://www.soccerplususa.com/prodimages/5961-DEFAULT-l.jpg")</f>
        <v/>
      </c>
      <c r="H4437">
        <f>_xludf.IMAGE("https://m.media-amazon.com/images/I/61KcOyoVpCL._AC_UL320_.jpg")</f>
        <v/>
      </c>
      <c r="K4437" t="inlineStr">
        <is>
          <t>49.0</t>
        </is>
      </c>
      <c r="L4437" t="n">
        <v>34.74</v>
      </c>
      <c r="M4437" s="1" t="inlineStr">
        <is>
          <t>-29.10%</t>
        </is>
      </c>
      <c r="N4437" s="3" t="n">
        <v>-29.1</v>
      </c>
      <c r="O4437" t="n">
        <v>4.5</v>
      </c>
      <c r="P4437" t="n">
        <v>162</v>
      </c>
      <c r="R4437" t="inlineStr">
        <is>
          <t>InStock</t>
        </is>
      </c>
      <c r="S4437" t="inlineStr">
        <is>
          <t>64.95</t>
        </is>
      </c>
      <c r="T4437" t="inlineStr">
        <is>
          <t>CF4319</t>
        </is>
      </c>
    </row>
    <row r="4438" hidden="1" ht="15.75" customHeight="1">
      <c r="A4438" s="2">
        <f>HYPERLINK("https://www.soccerplususa.com/adidas/adidas-condivo-18-training-jacket-5183", "https://www.soccerplususa.com/adidas/adidas-condivo-18-training-jacket-5183")</f>
        <v/>
      </c>
      <c r="B4438" t="inlineStr">
        <is>
          <t>undefined</t>
        </is>
      </c>
      <c r="C4438" t="inlineStr">
        <is>
          <t>adidas Condivo 18 Training Jacket</t>
        </is>
      </c>
      <c r="D4438" t="inlineStr">
        <is>
          <t>adidas Men's Condivo 18 Polyester Jacket</t>
        </is>
      </c>
      <c r="E4438" s="2">
        <f>HYPERLINK("https://www.amazon.com/adidas-Condivo-Training-Jacket-Black/dp/B078WHPGXF/ref=sr_1_3?keywords=adidas+Condivo+18+Training+Jacket&amp;qid=1695171224&amp;sr=8-3", "https://www.amazon.com/adidas-Condivo-Training-Jacket-Black/dp/B078WHPGXF/ref=sr_1_3?keywords=adidas+Condivo+18+Training+Jacket&amp;qid=1695171224&amp;sr=8-3")</f>
        <v/>
      </c>
      <c r="F4438" t="inlineStr">
        <is>
          <t>B078WHPGXF</t>
        </is>
      </c>
      <c r="G4438">
        <f>_xludf.IMAGE("https://www.soccerplususa.com/prodimages/5962-DEFAULT-l.jpg")</f>
        <v/>
      </c>
      <c r="H4438">
        <f>_xludf.IMAGE("https://m.media-amazon.com/images/I/61KcOyoVpCL._AC_UL320_.jpg")</f>
        <v/>
      </c>
      <c r="K4438" t="inlineStr">
        <is>
          <t>49.0</t>
        </is>
      </c>
      <c r="L4438" t="n">
        <v>34.74</v>
      </c>
      <c r="M4438" s="1" t="inlineStr">
        <is>
          <t>-29.10%</t>
        </is>
      </c>
      <c r="N4438" s="3" t="n">
        <v>-29.1</v>
      </c>
      <c r="O4438" t="n">
        <v>4.5</v>
      </c>
      <c r="P4438" t="n">
        <v>162</v>
      </c>
      <c r="R4438" t="inlineStr">
        <is>
          <t>InStock</t>
        </is>
      </c>
      <c r="S4438" t="inlineStr">
        <is>
          <t>64.95</t>
        </is>
      </c>
      <c r="T4438" t="inlineStr">
        <is>
          <t>CF4321</t>
        </is>
      </c>
    </row>
    <row r="4439" hidden="1" ht="15.75" customHeight="1">
      <c r="A4439" s="2">
        <f>HYPERLINK("https://www.soccerplususa.com/adidas/adidas-condivo-18-training-jacket-5184", "https://www.soccerplususa.com/adidas/adidas-condivo-18-training-jacket-5184")</f>
        <v/>
      </c>
      <c r="B4439" t="inlineStr">
        <is>
          <t>undefined</t>
        </is>
      </c>
      <c r="C4439" t="inlineStr">
        <is>
          <t>adidas Condivo 18 Training Jacket</t>
        </is>
      </c>
      <c r="D4439" t="inlineStr">
        <is>
          <t>adidas Men's Condivo 18 Polyester Jacket</t>
        </is>
      </c>
      <c r="E4439" s="2">
        <f>HYPERLINK("https://www.amazon.com/adidas-Condivo-Training-Jacket-Black/dp/B078WHPGXF/ref=sr_1_2?keywords=adidas+Condivo+18+Training+Jacket&amp;qid=1695171221&amp;sr=8-2", "https://www.amazon.com/adidas-Condivo-Training-Jacket-Black/dp/B078WHPGXF/ref=sr_1_2?keywords=adidas+Condivo+18+Training+Jacket&amp;qid=1695171221&amp;sr=8-2")</f>
        <v/>
      </c>
      <c r="F4439" t="inlineStr">
        <is>
          <t>B078WHPGXF</t>
        </is>
      </c>
      <c r="G4439">
        <f>_xludf.IMAGE("https://www.soccerplususa.com/prodimages/5963-DEFAULT-l.jpg")</f>
        <v/>
      </c>
      <c r="H4439">
        <f>_xludf.IMAGE("https://m.media-amazon.com/images/I/61KcOyoVpCL._AC_UL320_.jpg")</f>
        <v/>
      </c>
      <c r="K4439" t="inlineStr">
        <is>
          <t>49.0</t>
        </is>
      </c>
      <c r="L4439" t="n">
        <v>34.74</v>
      </c>
      <c r="M4439" s="1" t="inlineStr">
        <is>
          <t>-29.10%</t>
        </is>
      </c>
      <c r="N4439" s="3" t="n">
        <v>-29.1</v>
      </c>
      <c r="O4439" t="n">
        <v>4.5</v>
      </c>
      <c r="P4439" t="n">
        <v>162</v>
      </c>
      <c r="R4439" t="inlineStr">
        <is>
          <t>InStock</t>
        </is>
      </c>
      <c r="S4439" t="inlineStr">
        <is>
          <t>64.95</t>
        </is>
      </c>
      <c r="T4439" t="inlineStr">
        <is>
          <t>CF4322</t>
        </is>
      </c>
    </row>
    <row r="4440" hidden="1" ht="15.75" customHeight="1">
      <c r="A4440" s="2">
        <f>HYPERLINK("https://www.soccerplususa.com/adidas/adidas-condivo-18-training-jacket-5185", "https://www.soccerplususa.com/adidas/adidas-condivo-18-training-jacket-5185")</f>
        <v/>
      </c>
      <c r="B4440" t="inlineStr">
        <is>
          <t>undefined</t>
        </is>
      </c>
      <c r="C4440" t="inlineStr">
        <is>
          <t>adidas Condivo 18 Training Jacket</t>
        </is>
      </c>
      <c r="D4440" t="inlineStr">
        <is>
          <t>adidas Men's Condivo 18 Polyester Jacket</t>
        </is>
      </c>
      <c r="E4440" s="2">
        <f>HYPERLINK("https://www.amazon.com/adidas-Condivo-Training-Jacket-Black/dp/B078WHPGXF/ref=sr_1_3?keywords=adidas+Condivo+18+Training+Jacket&amp;qid=1695171252&amp;sr=8-3", "https://www.amazon.com/adidas-Condivo-Training-Jacket-Black/dp/B078WHPGXF/ref=sr_1_3?keywords=adidas+Condivo+18+Training+Jacket&amp;qid=1695171252&amp;sr=8-3")</f>
        <v/>
      </c>
      <c r="F4440" t="inlineStr">
        <is>
          <t>B078WHPGXF</t>
        </is>
      </c>
      <c r="G4440">
        <f>_xludf.IMAGE("https://www.soccerplususa.com/prodimages/5960-DEFAULT-l.jpg")</f>
        <v/>
      </c>
      <c r="H4440">
        <f>_xludf.IMAGE("https://m.media-amazon.com/images/I/61KcOyoVpCL._AC_UL320_.jpg")</f>
        <v/>
      </c>
      <c r="K4440" t="inlineStr">
        <is>
          <t>49.0</t>
        </is>
      </c>
      <c r="L4440" t="n">
        <v>34.74</v>
      </c>
      <c r="M4440" s="1" t="inlineStr">
        <is>
          <t>-29.10%</t>
        </is>
      </c>
      <c r="N4440" s="3" t="n">
        <v>-29.1</v>
      </c>
      <c r="O4440" t="n">
        <v>4.5</v>
      </c>
      <c r="P4440" t="n">
        <v>162</v>
      </c>
      <c r="R4440" t="inlineStr">
        <is>
          <t>InStock</t>
        </is>
      </c>
      <c r="S4440" t="inlineStr">
        <is>
          <t>64.95</t>
        </is>
      </c>
      <c r="T4440" t="inlineStr">
        <is>
          <t>CF4325</t>
        </is>
      </c>
    </row>
    <row r="4441" hidden="1" ht="15.75" customHeight="1">
      <c r="A4441" s="2">
        <f>HYPERLINK("https://www.soccerplususa.com/adidas/adidas-tiro-17-jersey-33798", "https://www.soccerplususa.com/adidas/adidas-tiro-17-jersey-33798")</f>
        <v/>
      </c>
      <c r="B4441" t="inlineStr">
        <is>
          <t>undefined</t>
        </is>
      </c>
      <c r="C4441" t="inlineStr">
        <is>
          <t>adidas Tiro 17 Jersey</t>
        </is>
      </c>
      <c r="D4441" t="inlineStr">
        <is>
          <t>adidas Tiro 17 Mens Soccer Training Jersey</t>
        </is>
      </c>
      <c r="E4441" s="2">
        <f>HYPERLINK("https://www.amazon.com/adidas-Training-Jersey-White-Black/dp/B01M29BN8D/ref=sr_1_4?keywords=adidas+Tiro+17+Jersey&amp;qid=1695171166&amp;sr=8-4", "https://www.amazon.com/adidas-Training-Jersey-White-Black/dp/B01M29BN8D/ref=sr_1_4?keywords=adidas+Tiro+17+Jersey&amp;qid=1695171166&amp;sr=8-4")</f>
        <v/>
      </c>
      <c r="F4441" t="inlineStr">
        <is>
          <t>B01M29BN8D</t>
        </is>
      </c>
      <c r="G4441">
        <f>_xludf.IMAGE("https://www.soccerplususa.com/prodimages/7452-DEFAULT-l.jpg")</f>
        <v/>
      </c>
      <c r="H4441">
        <f>_xludf.IMAGE("https://m.media-amazon.com/images/I/51KCXIG2tsL._AC_UL320_.jpg")</f>
        <v/>
      </c>
      <c r="K4441" t="inlineStr">
        <is>
          <t>23.97</t>
        </is>
      </c>
      <c r="L4441" t="n">
        <v>16.99</v>
      </c>
      <c r="M4441" s="1" t="inlineStr">
        <is>
          <t>-29.12%</t>
        </is>
      </c>
      <c r="N4441" s="3" t="n">
        <v>-29.12</v>
      </c>
      <c r="O4441" t="n">
        <v>4.2</v>
      </c>
      <c r="P4441" t="n">
        <v>51</v>
      </c>
      <c r="R4441" t="inlineStr">
        <is>
          <t>InStock</t>
        </is>
      </c>
      <c r="S4441" t="inlineStr">
        <is>
          <t>39.95</t>
        </is>
      </c>
      <c r="T4441" t="inlineStr">
        <is>
          <t>BS4216</t>
        </is>
      </c>
    </row>
    <row r="4442" hidden="1" ht="15.75" customHeight="1">
      <c r="A4442" s="2">
        <f>HYPERLINK("https://www.soccerplususa.com/adidas/adidas-essentials-hoodie-41596", "https://www.soccerplususa.com/adidas/adidas-essentials-hoodie-41596")</f>
        <v/>
      </c>
      <c r="B4442" t="inlineStr">
        <is>
          <t>undefined</t>
        </is>
      </c>
      <c r="C4442" t="inlineStr">
        <is>
          <t>adidas Essentials Hoodie</t>
        </is>
      </c>
      <c r="D4442" t="inlineStr">
        <is>
          <t>adidas Men's Essentials Logo Hoodie</t>
        </is>
      </c>
      <c r="E4442" s="2">
        <f>HYPERLINK("https://www.amazon.com/adidas-Essentials-Hoodie-Black-Medium/dp/B09XF9X62V/ref=sr_1_5?keywords=adidas+Essentials+Hoodie&amp;qid=1695171148&amp;sr=8-5", "https://www.amazon.com/adidas-Essentials-Hoodie-Black-Medium/dp/B09XF9X62V/ref=sr_1_5?keywords=adidas+Essentials+Hoodie&amp;qid=1695171148&amp;sr=8-5")</f>
        <v/>
      </c>
      <c r="F4442" t="inlineStr">
        <is>
          <t>B09XF9X62V</t>
        </is>
      </c>
      <c r="G4442">
        <f>_xludf.IMAGE("https://www.soccerplususa.com/prodimages//35143-BLACKWHITE-M.jpg")</f>
        <v/>
      </c>
      <c r="H4442">
        <f>_xludf.IMAGE("https://m.media-amazon.com/images/I/71225dW64HL._AC_UL320_.jpg")</f>
        <v/>
      </c>
      <c r="K4442" t="inlineStr">
        <is>
          <t>44.99</t>
        </is>
      </c>
      <c r="L4442" t="n">
        <v>30.97</v>
      </c>
      <c r="M4442" s="1" t="inlineStr">
        <is>
          <t>-31.16%</t>
        </is>
      </c>
      <c r="N4442" s="3" t="n">
        <v>-31.16</v>
      </c>
      <c r="O4442" t="n">
        <v>4.4</v>
      </c>
      <c r="P4442" t="n">
        <v>150</v>
      </c>
      <c r="R4442" t="inlineStr">
        <is>
          <t>InStock</t>
        </is>
      </c>
      <c r="S4442" t="inlineStr">
        <is>
          <t>59.95</t>
        </is>
      </c>
      <c r="T4442" t="inlineStr">
        <is>
          <t>GK9062</t>
        </is>
      </c>
    </row>
    <row r="4443" hidden="1" ht="15.75" customHeight="1">
      <c r="A4443" s="2">
        <f>HYPERLINK("https://www.soccerplususa.com/adidas/adidas-tiro-21-track-jacket-youth-41182", "https://www.soccerplususa.com/adidas/adidas-tiro-21-track-jacket-youth-41182")</f>
        <v/>
      </c>
      <c r="B4443" t="inlineStr">
        <is>
          <t>undefined</t>
        </is>
      </c>
      <c r="C4443" t="inlineStr">
        <is>
          <t>adidas Tiro 21 Track Jacket Youth</t>
        </is>
      </c>
      <c r="D4443" t="inlineStr">
        <is>
          <t>adidas Unisex-Child Tiro 21 Track Jacket</t>
        </is>
      </c>
      <c r="E4443" s="2">
        <f>HYPERLINK("https://www.amazon.com/adidas-unisex-child-Track-Jacket-X-Large/dp/B087C7FH79/ref=sr_1_3?keywords=adidas+Tiro+21+Track+Jacket+Youth&amp;qid=1695171152&amp;sr=8-3", "https://www.amazon.com/adidas-unisex-child-Track-Jacket-X-Large/dp/B087C7FH79/ref=sr_1_3?keywords=adidas+Tiro+21+Track+Jacket+Youth&amp;qid=1695171152&amp;sr=8-3")</f>
        <v/>
      </c>
      <c r="F4443" t="inlineStr">
        <is>
          <t>B087C7FH79</t>
        </is>
      </c>
      <c r="G4443">
        <f>_xludf.IMAGE("https://www.soccerplususa.com/prodimages//35391-BLACKWHITE-M.jpg")</f>
        <v/>
      </c>
      <c r="H4443">
        <f>_xludf.IMAGE("https://m.media-amazon.com/images/I/618W8IypD6L._AC_UL320_.jpg")</f>
        <v/>
      </c>
      <c r="K4443" t="inlineStr">
        <is>
          <t>45.0</t>
        </is>
      </c>
      <c r="L4443" t="n">
        <v>30.84</v>
      </c>
      <c r="M4443" s="1" t="inlineStr">
        <is>
          <t>-31.47%</t>
        </is>
      </c>
      <c r="N4443" s="3" t="n">
        <v>-31.47</v>
      </c>
      <c r="O4443" t="n">
        <v>4.5</v>
      </c>
      <c r="P4443" t="n">
        <v>338</v>
      </c>
      <c r="R4443" t="inlineStr">
        <is>
          <t>InStock</t>
        </is>
      </c>
      <c r="S4443" t="inlineStr">
        <is>
          <t>undefined</t>
        </is>
      </c>
      <c r="T4443" t="inlineStr">
        <is>
          <t>GM7314</t>
        </is>
      </c>
    </row>
    <row r="4444" hidden="1" ht="15.75" customHeight="1">
      <c r="A4444" s="2">
        <f>HYPERLINK("https://www.soccerplususa.com/under-armour/under-armour-coldgear-authentics-mock-womens-44305", "https://www.soccerplususa.com/under-armour/under-armour-coldgear-authentics-mock-womens-44305")</f>
        <v/>
      </c>
      <c r="B4444" t="inlineStr">
        <is>
          <t>undefined</t>
        </is>
      </c>
      <c r="C4444" t="inlineStr">
        <is>
          <t>Under Armour ColdGear Authentics Mock Women's</t>
        </is>
      </c>
      <c r="D4444" t="inlineStr">
        <is>
          <t>Under Armour Women's ColdGear Infrared Storm Long Sleeve Mock Neck</t>
        </is>
      </c>
      <c r="E4444" s="2">
        <f>HYPERLINK("https://www.amazon.com/Under-Armour-Standard-ColdGear-Infrared/dp/B09G2XZF91/ref=sr_1_7?keywords=Under+Armour+ColdGear+Authentics+Mock+Womens&amp;qid=1695171151&amp;sr=8-7", "https://www.amazon.com/Under-Armour-Standard-ColdGear-Infrared/dp/B09G2XZF91/ref=sr_1_7?keywords=Under+Armour+ColdGear+Authentics+Mock+Womens&amp;qid=1695171151&amp;sr=8-7")</f>
        <v/>
      </c>
      <c r="F4444" t="inlineStr">
        <is>
          <t>B09G2XZF91</t>
        </is>
      </c>
      <c r="G4444">
        <f>_xludf.IMAGE("https://www.soccerplususa.com/prodimages//36058-WHITE-M.jpg")</f>
        <v/>
      </c>
      <c r="H4444">
        <f>_xludf.IMAGE("https://m.media-amazon.com/images/I/71miIMRY1rL._AC_UL320_.jpg")</f>
        <v/>
      </c>
      <c r="K4444" t="inlineStr">
        <is>
          <t>54.95</t>
        </is>
      </c>
      <c r="L4444" t="n">
        <v>37.37</v>
      </c>
      <c r="M4444" s="1" t="inlineStr">
        <is>
          <t>-31.99%</t>
        </is>
      </c>
      <c r="N4444" s="3" t="n">
        <v>-31.99</v>
      </c>
      <c r="O4444" t="n">
        <v>4.2</v>
      </c>
      <c r="P4444" t="n">
        <v>15</v>
      </c>
      <c r="R4444" t="inlineStr">
        <is>
          <t>InStock</t>
        </is>
      </c>
      <c r="S4444" t="inlineStr">
        <is>
          <t>undefined</t>
        </is>
      </c>
      <c r="T4444" t="inlineStr">
        <is>
          <t>1368702-100</t>
        </is>
      </c>
    </row>
    <row r="4445" hidden="1" ht="15.75" customHeight="1">
      <c r="A4445" s="2">
        <f>HYPERLINK("https://www.soccerplususa.com/under-armour/under-armour-coldgear-authentics-mock-womens-44304", "https://www.soccerplususa.com/under-armour/under-armour-coldgear-authentics-mock-womens-44304")</f>
        <v/>
      </c>
      <c r="B4445" t="inlineStr">
        <is>
          <t>undefined</t>
        </is>
      </c>
      <c r="C4445" t="inlineStr">
        <is>
          <t>Under Armour ColdGear Authentics Mock Women's</t>
        </is>
      </c>
      <c r="D4445" t="inlineStr">
        <is>
          <t>Under Armour Women's ColdGear Infrared Storm Long Sleeve Mock Neck</t>
        </is>
      </c>
      <c r="E4445" s="2">
        <f>HYPERLINK("https://www.amazon.com/Under-Armour-Standard-ColdGear-Infrared/dp/B09G2XZF91/ref=sr_1_7?keywords=Under+Armour+ColdGear+Authentics+Mock+Womens&amp;qid=1695171145&amp;sr=8-7", "https://www.amazon.com/Under-Armour-Standard-ColdGear-Infrared/dp/B09G2XZF91/ref=sr_1_7?keywords=Under+Armour+ColdGear+Authentics+Mock+Womens&amp;qid=1695171145&amp;sr=8-7")</f>
        <v/>
      </c>
      <c r="F4445" t="inlineStr">
        <is>
          <t>B09G2XZF91</t>
        </is>
      </c>
      <c r="G4445">
        <f>_xludf.IMAGE("https://www.soccerplususa.com/prodimages//36059-BLACK-M.jpg")</f>
        <v/>
      </c>
      <c r="H4445">
        <f>_xludf.IMAGE("https://m.media-amazon.com/images/I/71miIMRY1rL._AC_UL320_.jpg")</f>
        <v/>
      </c>
      <c r="K4445" t="inlineStr">
        <is>
          <t>54.95</t>
        </is>
      </c>
      <c r="L4445" t="n">
        <v>37.37</v>
      </c>
      <c r="M4445" s="1" t="inlineStr">
        <is>
          <t>-31.99%</t>
        </is>
      </c>
      <c r="N4445" s="3" t="n">
        <v>-31.99</v>
      </c>
      <c r="O4445" t="n">
        <v>4.2</v>
      </c>
      <c r="P4445" t="n">
        <v>15</v>
      </c>
      <c r="R4445" t="inlineStr">
        <is>
          <t>InStock</t>
        </is>
      </c>
      <c r="S4445" t="inlineStr">
        <is>
          <t>undefined</t>
        </is>
      </c>
      <c r="T4445" t="inlineStr">
        <is>
          <t>1368702-001</t>
        </is>
      </c>
    </row>
    <row r="4446" hidden="1" ht="15.75" customHeight="1">
      <c r="A4446" s="2">
        <f>HYPERLINK("https://www.soccerplususa.com/adidas/adidas-regista-14-jersey-6065", "https://www.soccerplususa.com/adidas/adidas-regista-14-jersey-6065")</f>
        <v/>
      </c>
      <c r="B4446" t="inlineStr">
        <is>
          <t>undefined</t>
        </is>
      </c>
      <c r="C4446" t="inlineStr">
        <is>
          <t>adidas Regista 14 Jersey</t>
        </is>
      </c>
      <c r="D4446" t="inlineStr">
        <is>
          <t>adidas Mens Regista 14 Shorts, Cobalt/White, XLarge</t>
        </is>
      </c>
      <c r="E4446" s="2">
        <f>HYPERLINK("https://www.amazon.com/Adidas-Climacool-Regista-X-Large-Cobalt/dp/B00I1JNRDO/ref=sr_1_6?keywords=adidas+Regista+14+Jersey&amp;qid=1695171215&amp;sr=8-6", "https://www.amazon.com/Adidas-Climacool-Regista-X-Large-Cobalt/dp/B00I1JNRDO/ref=sr_1_6?keywords=adidas+Regista+14+Jersey&amp;qid=1695171215&amp;sr=8-6")</f>
        <v/>
      </c>
      <c r="F4446" t="inlineStr">
        <is>
          <t>B00I1JNRDO</t>
        </is>
      </c>
      <c r="G4446">
        <f>_xludf.IMAGE("https://www.soccerplususa.com/prodimages/32793-DEFAULT-l.jpg")</f>
        <v/>
      </c>
      <c r="H4446">
        <f>_xludf.IMAGE("https://m.media-amazon.com/images/I/51LaPP1PouL._AC_UL320_.jpg")</f>
        <v/>
      </c>
      <c r="K4446" t="inlineStr">
        <is>
          <t>22.0</t>
        </is>
      </c>
      <c r="L4446" t="n">
        <v>14.95</v>
      </c>
      <c r="M4446" s="1" t="inlineStr">
        <is>
          <t>-32.05%</t>
        </is>
      </c>
      <c r="N4446" s="3" t="n">
        <v>-32.05</v>
      </c>
      <c r="O4446" t="n">
        <v>5</v>
      </c>
      <c r="P4446" t="n">
        <v>1</v>
      </c>
      <c r="R4446" t="inlineStr">
        <is>
          <t>InStock</t>
        </is>
      </c>
      <c r="S4446" t="inlineStr">
        <is>
          <t>44.95</t>
        </is>
      </c>
      <c r="T4446" t="inlineStr">
        <is>
          <t>F50009</t>
        </is>
      </c>
    </row>
    <row r="4447" hidden="1" ht="15.75" customHeight="1">
      <c r="A4447" s="2">
        <f>HYPERLINK("https://www.soccerplususa.com/puma/puma-liga-training-rain-jacket-youth-35518", "https://www.soccerplususa.com/puma/puma-liga-training-rain-jacket-youth-35518")</f>
        <v/>
      </c>
      <c r="B4447" t="inlineStr">
        <is>
          <t>undefined</t>
        </is>
      </c>
      <c r="C4447" t="inlineStr">
        <is>
          <t>Puma Liga Training Rain Jacket Youth</t>
        </is>
      </c>
      <c r="D4447" t="inlineStr">
        <is>
          <t>PUMA Men's Standard Team Liga Training Jacket</t>
        </is>
      </c>
      <c r="E4447" s="2">
        <f>HYPERLINK("https://www.amazon.com/PUMA-TeamLIGA-Training-Jacket-Black/dp/B091DCVWN9/ref=sr_1_7?keywords=Puma+Liga+Training+Rain+Jacket+Youth&amp;qid=1695171159&amp;sr=8-7", "https://www.amazon.com/PUMA-TeamLIGA-Training-Jacket-Black/dp/B091DCVWN9/ref=sr_1_7?keywords=Puma+Liga+Training+Rain+Jacket+Youth&amp;qid=1695171159&amp;sr=8-7")</f>
        <v/>
      </c>
      <c r="F4447" t="inlineStr">
        <is>
          <t>B091DCVWN9</t>
        </is>
      </c>
      <c r="G4447">
        <f>_xludf.IMAGE("https://www.soccerplususa.com/prodimages/13113-DEFAULT-l.jpg")</f>
        <v/>
      </c>
      <c r="H4447">
        <f>_xludf.IMAGE("https://m.media-amazon.com/images/I/71-29QBQXmS._AC_UL320_.jpg")</f>
        <v/>
      </c>
      <c r="K4447" t="inlineStr">
        <is>
          <t>59.95</t>
        </is>
      </c>
      <c r="L4447" t="n">
        <v>40.7</v>
      </c>
      <c r="M4447" s="1" t="inlineStr">
        <is>
          <t>-32.11%</t>
        </is>
      </c>
      <c r="N4447" s="3" t="n">
        <v>-32.11</v>
      </c>
      <c r="O4447" t="n">
        <v>4.7</v>
      </c>
      <c r="P4447" t="n">
        <v>9</v>
      </c>
      <c r="R4447" t="inlineStr">
        <is>
          <t>InStock</t>
        </is>
      </c>
      <c r="S4447" t="inlineStr">
        <is>
          <t>undefined</t>
        </is>
      </c>
      <c r="T4447" t="inlineStr">
        <is>
          <t>655660-03</t>
        </is>
      </c>
    </row>
    <row r="4448" hidden="1" ht="15.75" customHeight="1">
      <c r="A4448" s="2">
        <f>HYPERLINK("https://www.soccerplususa.com/adidas/adidas-tiro-21-track-jacket-41183", "https://www.soccerplususa.com/adidas/adidas-tiro-21-track-jacket-41183")</f>
        <v/>
      </c>
      <c r="B4448" t="inlineStr">
        <is>
          <t>undefined</t>
        </is>
      </c>
      <c r="C4448" t="inlineStr">
        <is>
          <t>adidas Tiro 21 Track Jacket</t>
        </is>
      </c>
      <c r="D4448" t="inlineStr">
        <is>
          <t>adidas Men's Tiro 21 Track Jacket</t>
        </is>
      </c>
      <c r="E4448" s="2">
        <f>HYPERLINK("https://www.amazon.com/adidas-Track-Jacket-Black-Medium/dp/B087C3R1GH/ref=sr_1_1?keywords=adidas+Tiro+21+Track+Jacket&amp;qid=1695171147&amp;sr=8-1", "https://www.amazon.com/adidas-Track-Jacket-Black-Medium/dp/B087C3R1GH/ref=sr_1_1?keywords=adidas+Tiro+21+Track+Jacket&amp;qid=1695171147&amp;sr=8-1")</f>
        <v/>
      </c>
      <c r="F4448" t="inlineStr">
        <is>
          <t>B087C3R1GH</t>
        </is>
      </c>
      <c r="G4448">
        <f>_xludf.IMAGE("https://www.soccerplususa.com/prodimages//36165-BLACKWHITE-M.jpg")</f>
        <v/>
      </c>
      <c r="H4448">
        <f>_xludf.IMAGE("https://m.media-amazon.com/images/I/916pGrtW0WL._AC_UL320_.jpg")</f>
        <v/>
      </c>
      <c r="K4448" t="inlineStr">
        <is>
          <t>50.0</t>
        </is>
      </c>
      <c r="L4448" t="n">
        <v>33.88</v>
      </c>
      <c r="M4448" s="1" t="inlineStr">
        <is>
          <t>-32.24%</t>
        </is>
      </c>
      <c r="N4448" s="3" t="n">
        <v>-32.24</v>
      </c>
      <c r="O4448" t="n">
        <v>4.6</v>
      </c>
      <c r="P4448" t="n">
        <v>3449</v>
      </c>
      <c r="R4448" t="inlineStr">
        <is>
          <t>InStock</t>
        </is>
      </c>
      <c r="S4448" t="inlineStr">
        <is>
          <t>undefined</t>
        </is>
      </c>
      <c r="T4448" t="inlineStr">
        <is>
          <t>GM7319</t>
        </is>
      </c>
    </row>
    <row r="4449" hidden="1" ht="15.75" customHeight="1">
      <c r="A4449" s="2">
        <f>HYPERLINK("https://www.soccerplususa.com/under-armour/under-armour-coldgear-authentics-mock-womens-44304", "https://www.soccerplususa.com/under-armour/under-armour-coldgear-authentics-mock-womens-44304")</f>
        <v/>
      </c>
      <c r="B4449" t="inlineStr">
        <is>
          <t>undefined</t>
        </is>
      </c>
      <c r="C4449" t="inlineStr">
        <is>
          <t>Under Armour ColdGear Authentics Mock Women's</t>
        </is>
      </c>
      <c r="D4449" t="inlineStr">
        <is>
          <t>Under Armour Women's ColdGear Authentics Compression Mock</t>
        </is>
      </c>
      <c r="E4449" s="2">
        <f>HYPERLINK("https://www.amazon.com/Under-Armour-ColdGear-Authentic-X-Large/dp/B003Z711FI/ref=sr_1_2?keywords=Under+Armour+ColdGear+Authentics+Mock+Womens&amp;qid=1695171145&amp;sr=8-2", "https://www.amazon.com/Under-Armour-ColdGear-Authentic-X-Large/dp/B003Z711FI/ref=sr_1_2?keywords=Under+Armour+ColdGear+Authentics+Mock+Womens&amp;qid=1695171145&amp;sr=8-2")</f>
        <v/>
      </c>
      <c r="F4449" t="inlineStr">
        <is>
          <t>B003Z711FI</t>
        </is>
      </c>
      <c r="G4449">
        <f>_xludf.IMAGE("https://www.soccerplususa.com/prodimages//36059-BLACK-M.jpg")</f>
        <v/>
      </c>
      <c r="H4449">
        <f>_xludf.IMAGE("https://m.media-amazon.com/images/I/71rirqUzA6L._AC_UL320_.jpg")</f>
        <v/>
      </c>
      <c r="K4449" t="inlineStr">
        <is>
          <t>54.95</t>
        </is>
      </c>
      <c r="L4449" t="n">
        <v>37.01</v>
      </c>
      <c r="M4449" s="1" t="inlineStr">
        <is>
          <t>-32.65%</t>
        </is>
      </c>
      <c r="N4449" s="3" t="n">
        <v>-32.65</v>
      </c>
      <c r="O4449" t="n">
        <v>4.8</v>
      </c>
      <c r="P4449" t="n">
        <v>7721</v>
      </c>
      <c r="R4449" t="inlineStr">
        <is>
          <t>InStock</t>
        </is>
      </c>
      <c r="S4449" t="inlineStr">
        <is>
          <t>undefined</t>
        </is>
      </c>
      <c r="T4449" t="inlineStr">
        <is>
          <t>1368702-001</t>
        </is>
      </c>
    </row>
    <row r="4450" hidden="1" ht="15.75" customHeight="1">
      <c r="A4450" s="2">
        <f>HYPERLINK("https://www.soccerplususa.com/under-armour/under-armour-coldgear-armour-fitted-mock-41592", "https://www.soccerplususa.com/under-armour/under-armour-coldgear-armour-fitted-mock-41592")</f>
        <v/>
      </c>
      <c r="B4450" t="inlineStr">
        <is>
          <t>undefined</t>
        </is>
      </c>
      <c r="C4450" t="inlineStr">
        <is>
          <t>Under Armour ColdGear Armour Fitted Mock</t>
        </is>
      </c>
      <c r="D4450" t="inlineStr">
        <is>
          <t>Under Armour Men's ColdGear Fitted Mock</t>
        </is>
      </c>
      <c r="E4450" s="2">
        <f>HYPERLINK("https://www.amazon.com/Under-Armour-ColdGear-Fitted-Medium/dp/B08LNZ74C7/ref=sr_1_1?keywords=Under+Armour+ColdGear+Armour+Fitted+Mock&amp;qid=1695171146&amp;sr=8-1", "https://www.amazon.com/Under-Armour-ColdGear-Fitted-Medium/dp/B08LNZ74C7/ref=sr_1_1?keywords=Under+Armour+ColdGear+Armour+Fitted+Mock&amp;qid=1695171146&amp;sr=8-1")</f>
        <v/>
      </c>
      <c r="F4450" t="inlineStr">
        <is>
          <t>B08LNZ74C7</t>
        </is>
      </c>
      <c r="G4450">
        <f>_xludf.IMAGE("https://www.soccerplususa.com/prodimages//36795-BLACK-M.jpg")</f>
        <v/>
      </c>
      <c r="H4450">
        <f>_xludf.IMAGE("https://m.media-amazon.com/images/I/41kGm2fUC1L._AC_UL320_.jpg")</f>
        <v/>
      </c>
      <c r="K4450" t="inlineStr">
        <is>
          <t>54.95</t>
        </is>
      </c>
      <c r="L4450" t="n">
        <v>36.99</v>
      </c>
      <c r="M4450" s="1" t="inlineStr">
        <is>
          <t>-32.68%</t>
        </is>
      </c>
      <c r="N4450" s="3" t="n">
        <v>-32.68</v>
      </c>
      <c r="O4450" t="n">
        <v>4.7</v>
      </c>
      <c r="P4450" t="n">
        <v>2138</v>
      </c>
      <c r="R4450" t="inlineStr">
        <is>
          <t>InStock</t>
        </is>
      </c>
      <c r="S4450" t="inlineStr">
        <is>
          <t>undefined</t>
        </is>
      </c>
      <c r="T4450" t="inlineStr">
        <is>
          <t>1366066-001</t>
        </is>
      </c>
    </row>
    <row r="4451" hidden="1" ht="15.75" customHeight="1">
      <c r="A4451" s="2">
        <f>HYPERLINK("https://www.soccerplususa.com/adidas/adidas-tiro-17-jersey-youth-8176", "https://www.soccerplususa.com/adidas/adidas-tiro-17-jersey-youth-8176")</f>
        <v/>
      </c>
      <c r="B4451" t="inlineStr">
        <is>
          <t>undefined</t>
        </is>
      </c>
      <c r="C4451" t="inlineStr">
        <is>
          <t>adidas Tiro 17 Jersey Youth</t>
        </is>
      </c>
      <c r="D4451" t="inlineStr">
        <is>
          <t>adidas Boys' Alphaskin Tiro Youth Jersey</t>
        </is>
      </c>
      <c r="E4451" s="2">
        <f>HYPERLINK("https://www.amazon.com/adidas-Alphaskin-Youth-Jersey-X-Large/dp/B07DXQYZG1/ref=sr_1_7?keywords=adidas+Tiro+17+Jersey+Youth&amp;qid=1695171210&amp;sr=8-7", "https://www.amazon.com/adidas-Alphaskin-Youth-Jersey-X-Large/dp/B07DXQYZG1/ref=sr_1_7?keywords=adidas+Tiro+17+Jersey+Youth&amp;qid=1695171210&amp;sr=8-7")</f>
        <v/>
      </c>
      <c r="F4451" t="inlineStr">
        <is>
          <t>B07DXQYZG1</t>
        </is>
      </c>
      <c r="G4451">
        <f>_xludf.IMAGE("https://www.soccerplususa.com/prodimages/7857-DEFAULT-l.jpg")</f>
        <v/>
      </c>
      <c r="H4451">
        <f>_xludf.IMAGE("https://m.media-amazon.com/images/I/51FrkChU33L._AC_UL320_.jpg")</f>
        <v/>
      </c>
      <c r="K4451" t="inlineStr">
        <is>
          <t>20.97</t>
        </is>
      </c>
      <c r="L4451" t="n">
        <v>14.04</v>
      </c>
      <c r="M4451" s="1" t="inlineStr">
        <is>
          <t>-33.05%</t>
        </is>
      </c>
      <c r="N4451" s="3" t="n">
        <v>-33.05</v>
      </c>
      <c r="O4451" t="n">
        <v>4.9</v>
      </c>
      <c r="P4451" t="n">
        <v>40</v>
      </c>
      <c r="R4451" t="inlineStr">
        <is>
          <t>InStock</t>
        </is>
      </c>
      <c r="S4451" t="inlineStr">
        <is>
          <t>34.95</t>
        </is>
      </c>
      <c r="T4451" t="inlineStr">
        <is>
          <t>S99148</t>
        </is>
      </c>
    </row>
    <row r="4452" hidden="1" ht="15.75" customHeight="1">
      <c r="A4452" s="2">
        <f>HYPERLINK("https://www.soccerplususa.com/adidas/adidas-essentials-hoodie-41596", "https://www.soccerplususa.com/adidas/adidas-essentials-hoodie-41596")</f>
        <v/>
      </c>
      <c r="B4452" t="inlineStr">
        <is>
          <t>undefined</t>
        </is>
      </c>
      <c r="C4452" t="inlineStr">
        <is>
          <t>adidas Essentials Hoodie</t>
        </is>
      </c>
      <c r="D4452" t="inlineStr">
        <is>
          <t>adidas Men's Essentials Logo Hoodie</t>
        </is>
      </c>
      <c r="E4452" s="2">
        <f>HYPERLINK("https://www.amazon.com/adidas-Standard-Essentials-Hoodie-X-Large/dp/B08MHSDYD5/ref=sr_1_10?keywords=adidas+Essentials+Hoodie&amp;qid=1695171148&amp;sr=8-10", "https://www.amazon.com/adidas-Standard-Essentials-Hoodie-X-Large/dp/B08MHSDYD5/ref=sr_1_10?keywords=adidas+Essentials+Hoodie&amp;qid=1695171148&amp;sr=8-10")</f>
        <v/>
      </c>
      <c r="F4452" t="inlineStr">
        <is>
          <t>B08MHSDYD5</t>
        </is>
      </c>
      <c r="G4452">
        <f>_xludf.IMAGE("https://www.soccerplususa.com/prodimages//35143-BLACKWHITE-M.jpg")</f>
        <v/>
      </c>
      <c r="H4452">
        <f>_xludf.IMAGE("https://m.media-amazon.com/images/I/81iHsNpE7KL._AC_UL320_.jpg")</f>
        <v/>
      </c>
      <c r="K4452" t="inlineStr">
        <is>
          <t>44.99</t>
        </is>
      </c>
      <c r="L4452" t="n">
        <v>30.12</v>
      </c>
      <c r="M4452" s="1" t="inlineStr">
        <is>
          <t>-33.05%</t>
        </is>
      </c>
      <c r="N4452" s="3" t="n">
        <v>-33.05</v>
      </c>
      <c r="O4452" t="n">
        <v>4.5</v>
      </c>
      <c r="P4452" t="n">
        <v>1119</v>
      </c>
      <c r="R4452" t="inlineStr">
        <is>
          <t>InStock</t>
        </is>
      </c>
      <c r="S4452" t="inlineStr">
        <is>
          <t>59.95</t>
        </is>
      </c>
      <c r="T4452" t="inlineStr">
        <is>
          <t>GK9062</t>
        </is>
      </c>
    </row>
    <row r="4453" hidden="1" ht="15.75" customHeight="1">
      <c r="A4453" s="2">
        <f>HYPERLINK("https://www.soccerplususa.com/adidas/adidas-squadra-17-jersey-youth-4844", "https://www.soccerplususa.com/adidas/adidas-squadra-17-jersey-youth-4844")</f>
        <v/>
      </c>
      <c r="B4453" t="inlineStr">
        <is>
          <t>undefined</t>
        </is>
      </c>
      <c r="C4453" t="inlineStr">
        <is>
          <t>adidas Squadra 17 Jersey Youth</t>
        </is>
      </c>
      <c r="D4453" t="inlineStr">
        <is>
          <t>adidas Boys Squadra 17 Unisex Soccer Jersey</t>
        </is>
      </c>
      <c r="E4453" s="2">
        <f>HYPERLINK("https://www.amazon.com/adidas-Youth-Squadra-Jersey-Black/dp/B074585TVM/ref=sr_1_1?keywords=adidas+Squadra+17+Jersey+Youth&amp;qid=1695171227&amp;sr=8-1", "https://www.amazon.com/adidas-Youth-Squadra-Jersey-Black/dp/B074585TVM/ref=sr_1_1?keywords=adidas+Squadra+17+Jersey+Youth&amp;qid=1695171227&amp;sr=8-1")</f>
        <v/>
      </c>
      <c r="F4453" t="inlineStr">
        <is>
          <t>B074585TVM</t>
        </is>
      </c>
      <c r="G4453">
        <f>_xludf.IMAGE("https://www.soccerplususa.com/prodimages//37069-WHITE-M.jpg")</f>
        <v/>
      </c>
      <c r="H4453">
        <f>_xludf.IMAGE("https://m.media-amazon.com/images/I/61kr+zjTC1L._AC_UL320_.jpg")</f>
        <v/>
      </c>
      <c r="K4453" t="inlineStr">
        <is>
          <t>22.49</t>
        </is>
      </c>
      <c r="L4453" t="n">
        <v>15</v>
      </c>
      <c r="M4453" s="1" t="inlineStr">
        <is>
          <t>-33.30%</t>
        </is>
      </c>
      <c r="N4453" s="3" t="n">
        <v>-33.3</v>
      </c>
      <c r="O4453" t="n">
        <v>4.3</v>
      </c>
      <c r="P4453" t="n">
        <v>41</v>
      </c>
      <c r="R4453" t="inlineStr">
        <is>
          <t>InStock</t>
        </is>
      </c>
      <c r="S4453" t="inlineStr">
        <is>
          <t>29.95</t>
        </is>
      </c>
      <c r="T4453" t="inlineStr">
        <is>
          <t>BJ9197</t>
        </is>
      </c>
    </row>
    <row r="4454" hidden="1" ht="15.75" customHeight="1">
      <c r="A4454" s="2">
        <f>HYPERLINK("https://www.soccerplususa.com/adidas/adidas-condivo-16-jersey-youth-4210", "https://www.soccerplususa.com/adidas/adidas-condivo-16-jersey-youth-4210")</f>
        <v/>
      </c>
      <c r="B4454" t="inlineStr">
        <is>
          <t>undefined</t>
        </is>
      </c>
      <c r="C4454" t="inlineStr">
        <is>
          <t>adidas Condivo 16 Jersey Youth</t>
        </is>
      </c>
      <c r="D4454" t="inlineStr">
        <is>
          <t>adidas Women's Condivo 16 Soccer Jersey</t>
        </is>
      </c>
      <c r="E4454" s="2">
        <f>HYPERLINK("https://www.amazon.com/Adidas-Condivo-Womens-Soccer-Jersey/dp/B01E7NEQLY/ref=sr_1_2?keywords=adidas+Condivo+16+Jersey+Youth&amp;qid=1695171233&amp;sr=8-2", "https://www.amazon.com/Adidas-Condivo-Womens-Soccer-Jersey/dp/B01E7NEQLY/ref=sr_1_2?keywords=adidas+Condivo+16+Jersey+Youth&amp;qid=1695171233&amp;sr=8-2")</f>
        <v/>
      </c>
      <c r="F4454" t="inlineStr">
        <is>
          <t>B01E7NEQLY</t>
        </is>
      </c>
      <c r="G4454">
        <f>_xludf.IMAGE("https://www.soccerplususa.com/prodimages/7805-DEFAULT-l.jpg")</f>
        <v/>
      </c>
      <c r="H4454">
        <f>_xludf.IMAGE("https://m.media-amazon.com/images/I/61C3UkXQA4L._AC_UL320_.jpg")</f>
        <v/>
      </c>
      <c r="K4454" t="inlineStr">
        <is>
          <t>22.48</t>
        </is>
      </c>
      <c r="L4454" t="n">
        <v>14.99</v>
      </c>
      <c r="M4454" s="1" t="inlineStr">
        <is>
          <t>-33.32%</t>
        </is>
      </c>
      <c r="N4454" s="3" t="n">
        <v>-33.32</v>
      </c>
      <c r="O4454" t="n">
        <v>5</v>
      </c>
      <c r="P4454" t="n">
        <v>1</v>
      </c>
      <c r="R4454" t="inlineStr">
        <is>
          <t>InStock</t>
        </is>
      </c>
      <c r="S4454" t="inlineStr">
        <is>
          <t>44.95</t>
        </is>
      </c>
      <c r="T4454" t="inlineStr">
        <is>
          <t>AP4366</t>
        </is>
      </c>
    </row>
    <row r="4455" hidden="1" ht="15.75" customHeight="1">
      <c r="A4455" s="2">
        <f>HYPERLINK("https://www.soccerplususa.com/nike/nike-academy-18-jacket-youth-34588", "https://www.soccerplususa.com/nike/nike-academy-18-jacket-youth-34588")</f>
        <v/>
      </c>
      <c r="B4455" t="inlineStr">
        <is>
          <t>undefined</t>
        </is>
      </c>
      <c r="C4455" t="inlineStr">
        <is>
          <t>Nike Academy 18 Jacket Youth</t>
        </is>
      </c>
      <c r="D4455" t="inlineStr">
        <is>
          <t>Nike Youth Park 18 Track Jacket Black/White</t>
        </is>
      </c>
      <c r="E4455" s="2">
        <f>HYPERLINK("https://www.amazon.com/NIKE-Youth-Track-Jacket-Black/dp/B0797PXVVG/ref=sr_1_5?keywords=Nike+Academy+18+Jacket+Youth&amp;qid=1695171169&amp;sr=8-5", "https://www.amazon.com/NIKE-Youth-Track-Jacket-Black/dp/B0797PXVVG/ref=sr_1_5?keywords=Nike+Academy+18+Jacket+Youth&amp;qid=1695171169&amp;sr=8-5")</f>
        <v/>
      </c>
      <c r="F4455" t="inlineStr">
        <is>
          <t>B0797PXVVG</t>
        </is>
      </c>
      <c r="G4455">
        <f>_xludf.IMAGE("https://www.soccerplususa.com/prodimages/7669-DEFAULT-l.jpg")</f>
        <v/>
      </c>
      <c r="H4455">
        <f>_xludf.IMAGE("https://m.media-amazon.com/images/I/51SdFrsYTDL._AC_UL320_.jpg")</f>
        <v/>
      </c>
      <c r="K4455" t="inlineStr">
        <is>
          <t>59.99</t>
        </is>
      </c>
      <c r="L4455" t="n">
        <v>39.99</v>
      </c>
      <c r="M4455" s="1" t="inlineStr">
        <is>
          <t>-33.34%</t>
        </is>
      </c>
      <c r="N4455" s="3" t="n">
        <v>-33.34</v>
      </c>
      <c r="O4455" t="n">
        <v>4.3</v>
      </c>
      <c r="P4455" t="n">
        <v>52</v>
      </c>
      <c r="R4455" t="inlineStr">
        <is>
          <t>InStock</t>
        </is>
      </c>
      <c r="S4455" t="inlineStr">
        <is>
          <t>79.95</t>
        </is>
      </c>
      <c r="T4455" t="inlineStr">
        <is>
          <t>893819-010</t>
        </is>
      </c>
    </row>
    <row r="4456" hidden="1" ht="15.75" customHeight="1">
      <c r="A4456" s="2">
        <f>HYPERLINK("https://www.soccerplususa.com/adidas/adidas-condivo-18-training-jacket-youth-5190", "https://www.soccerplususa.com/adidas/adidas-condivo-18-training-jacket-youth-5190")</f>
        <v/>
      </c>
      <c r="B4456" t="inlineStr">
        <is>
          <t>undefined</t>
        </is>
      </c>
      <c r="C4456" t="inlineStr">
        <is>
          <t>adidas Condivo 18 Training Jacket Youth</t>
        </is>
      </c>
      <c r="D4456" t="inlineStr">
        <is>
          <t>adidas Youth Condivo 16 Training Black Jacket</t>
        </is>
      </c>
      <c r="E4456" s="2">
        <f>HYPERLINK("https://www.amazon.com/Adidas-Condivo-Training-Jacket-Black-Vista/dp/B016L2FT5Q/ref=sr_1_7?keywords=adidas+Condivo+18+Training+Jacket+Youth&amp;qid=1695171215&amp;sr=8-7", "https://www.amazon.com/Adidas-Condivo-Training-Jacket-Black-Vista/dp/B016L2FT5Q/ref=sr_1_7?keywords=adidas+Condivo+18+Training+Jacket+Youth&amp;qid=1695171215&amp;sr=8-7")</f>
        <v/>
      </c>
      <c r="F4456" t="inlineStr">
        <is>
          <t>B016L2FT5Q</t>
        </is>
      </c>
      <c r="G4456">
        <f>_xludf.IMAGE("https://www.soccerplususa.com/prodimages/5979-DEFAULT-l.jpg")</f>
        <v/>
      </c>
      <c r="H4456">
        <f>_xludf.IMAGE("https://m.media-amazon.com/images/I/61FtdbL8UVL._AC_UL320_.jpg")</f>
        <v/>
      </c>
      <c r="K4456" t="inlineStr">
        <is>
          <t>45.0</t>
        </is>
      </c>
      <c r="L4456" t="n">
        <v>29.99</v>
      </c>
      <c r="M4456" s="1" t="inlineStr">
        <is>
          <t>-33.36%</t>
        </is>
      </c>
      <c r="N4456" s="3" t="n">
        <v>-33.36</v>
      </c>
      <c r="O4456" t="n">
        <v>5</v>
      </c>
      <c r="P4456" t="n">
        <v>1</v>
      </c>
      <c r="R4456" t="inlineStr">
        <is>
          <t>InStock</t>
        </is>
      </c>
      <c r="S4456" t="inlineStr">
        <is>
          <t>59.95</t>
        </is>
      </c>
      <c r="T4456" t="inlineStr">
        <is>
          <t>CF4336</t>
        </is>
      </c>
    </row>
    <row r="4457" hidden="1" ht="15.75" customHeight="1">
      <c r="A4457" s="2">
        <f>HYPERLINK("https://www.soccerplususa.com/adidas/adidas-condivo-18-training-jacket-youth-5189", "https://www.soccerplususa.com/adidas/adidas-condivo-18-training-jacket-youth-5189")</f>
        <v/>
      </c>
      <c r="B4457" t="inlineStr">
        <is>
          <t>undefined</t>
        </is>
      </c>
      <c r="C4457" t="inlineStr">
        <is>
          <t>adidas Condivo 18 Training Jacket Youth</t>
        </is>
      </c>
      <c r="D4457" t="inlineStr">
        <is>
          <t>adidas Youth Condivo 16 Training Black Jacket</t>
        </is>
      </c>
      <c r="E4457" s="2">
        <f>HYPERLINK("https://www.amazon.com/Adidas-Condivo-Training-Jacket-Black-Vista/dp/B016L2FT5Q/ref=sr_1_7?keywords=adidas+Condivo+18+Training+Jacket+Youth&amp;qid=1695171218&amp;sr=8-7", "https://www.amazon.com/Adidas-Condivo-Training-Jacket-Black-Vista/dp/B016L2FT5Q/ref=sr_1_7?keywords=adidas+Condivo+18+Training+Jacket+Youth&amp;qid=1695171218&amp;sr=8-7")</f>
        <v/>
      </c>
      <c r="F4457" t="inlineStr">
        <is>
          <t>B016L2FT5Q</t>
        </is>
      </c>
      <c r="G4457">
        <f>_xludf.IMAGE("https://www.soccerplususa.com/prodimages/5978-DEFAULT-l.jpg")</f>
        <v/>
      </c>
      <c r="H4457">
        <f>_xludf.IMAGE("https://m.media-amazon.com/images/I/61FtdbL8UVL._AC_UL320_.jpg")</f>
        <v/>
      </c>
      <c r="K4457" t="inlineStr">
        <is>
          <t>45.0</t>
        </is>
      </c>
      <c r="L4457" t="n">
        <v>29.99</v>
      </c>
      <c r="M4457" s="1" t="inlineStr">
        <is>
          <t>-33.36%</t>
        </is>
      </c>
      <c r="N4457" s="3" t="n">
        <v>-33.36</v>
      </c>
      <c r="O4457" t="n">
        <v>5</v>
      </c>
      <c r="P4457" t="n">
        <v>1</v>
      </c>
      <c r="R4457" t="inlineStr">
        <is>
          <t>InStock</t>
        </is>
      </c>
      <c r="S4457" t="inlineStr">
        <is>
          <t>59.95</t>
        </is>
      </c>
      <c r="T4457" t="inlineStr">
        <is>
          <t>CF4334</t>
        </is>
      </c>
    </row>
    <row r="4458" hidden="1" ht="15.75" customHeight="1">
      <c r="A4458" s="2">
        <f>HYPERLINK("https://www.soccerplususa.com/adidas/adidas-condivo-18-training-jacket-youth-5192", "https://www.soccerplususa.com/adidas/adidas-condivo-18-training-jacket-youth-5192")</f>
        <v/>
      </c>
      <c r="B4458" t="inlineStr">
        <is>
          <t>undefined</t>
        </is>
      </c>
      <c r="C4458" t="inlineStr">
        <is>
          <t>adidas Condivo 18 Training Jacket Youth</t>
        </is>
      </c>
      <c r="D4458" t="inlineStr">
        <is>
          <t>adidas Youth Condivo 16 Training Black Jacket</t>
        </is>
      </c>
      <c r="E4458" s="2">
        <f>HYPERLINK("https://www.amazon.com/Adidas-Condivo-Training-Jacket-Black-Vista/dp/B016L2FT5Q/ref=sr_1_9?keywords=adidas+Condivo+18+Training+Jacket+Youth&amp;qid=1695171214&amp;sr=8-9", "https://www.amazon.com/Adidas-Condivo-Training-Jacket-Black-Vista/dp/B016L2FT5Q/ref=sr_1_9?keywords=adidas+Condivo+18+Training+Jacket+Youth&amp;qid=1695171214&amp;sr=8-9")</f>
        <v/>
      </c>
      <c r="F4458" t="inlineStr">
        <is>
          <t>B016L2FT5Q</t>
        </is>
      </c>
      <c r="G4458">
        <f>_xludf.IMAGE("https://www.soccerplususa.com/prodimages/5977-DEFAULT-l.jpg")</f>
        <v/>
      </c>
      <c r="H4458">
        <f>_xludf.IMAGE("https://m.media-amazon.com/images/I/61FtdbL8UVL._AC_UL320_.jpg")</f>
        <v/>
      </c>
      <c r="K4458" t="inlineStr">
        <is>
          <t>45.0</t>
        </is>
      </c>
      <c r="L4458" t="n">
        <v>29.99</v>
      </c>
      <c r="M4458" s="1" t="inlineStr">
        <is>
          <t>-33.36%</t>
        </is>
      </c>
      <c r="N4458" s="3" t="n">
        <v>-33.36</v>
      </c>
      <c r="O4458" t="n">
        <v>5</v>
      </c>
      <c r="P4458" t="n">
        <v>1</v>
      </c>
      <c r="R4458" t="inlineStr">
        <is>
          <t>InStock</t>
        </is>
      </c>
      <c r="S4458" t="inlineStr">
        <is>
          <t>59.95</t>
        </is>
      </c>
      <c r="T4458" t="inlineStr">
        <is>
          <t>CF4338</t>
        </is>
      </c>
    </row>
    <row r="4459" hidden="1" ht="15.75" customHeight="1">
      <c r="A4459" s="2">
        <f>HYPERLINK("https://www.soccerplususa.com/adidas/adidas-condivo-16-jersey-youth-4209", "https://www.soccerplususa.com/adidas/adidas-condivo-16-jersey-youth-4209")</f>
        <v/>
      </c>
      <c r="B4459" t="inlineStr">
        <is>
          <t>undefined</t>
        </is>
      </c>
      <c r="C4459" t="inlineStr">
        <is>
          <t>adidas Condivo 16 Jersey Youth</t>
        </is>
      </c>
      <c r="D4459" t="inlineStr">
        <is>
          <t>adidas Women's Condivo 16 Soccer Jersey</t>
        </is>
      </c>
      <c r="E4459" s="2">
        <f>HYPERLINK("https://www.amazon.com/Adidas-Condivo-Womens-Soccer-Jersey/dp/B01E7NEQLY/ref=sr_1_10?keywords=adidas+Condivo+16+Jersey+Youth&amp;qid=1695171235&amp;sr=8-10", "https://www.amazon.com/Adidas-Condivo-Womens-Soccer-Jersey/dp/B01E7NEQLY/ref=sr_1_10?keywords=adidas+Condivo+16+Jersey+Youth&amp;qid=1695171235&amp;sr=8-10")</f>
        <v/>
      </c>
      <c r="F4459" t="inlineStr">
        <is>
          <t>B01E7NEQLY</t>
        </is>
      </c>
      <c r="G4459">
        <f>_xludf.IMAGE("https://www.soccerplususa.com/prodimages/7665-DEFAULT-l.jpg")</f>
        <v/>
      </c>
      <c r="H4459">
        <f>_xludf.IMAGE("https://m.media-amazon.com/images/I/61C3UkXQA4L._AC_UL320_.jpg")</f>
        <v/>
      </c>
      <c r="K4459" t="inlineStr">
        <is>
          <t>22.5</t>
        </is>
      </c>
      <c r="L4459" t="n">
        <v>14.99</v>
      </c>
      <c r="M4459" s="1" t="inlineStr">
        <is>
          <t>-33.38%</t>
        </is>
      </c>
      <c r="N4459" s="3" t="n">
        <v>-33.38</v>
      </c>
      <c r="O4459" t="n">
        <v>5</v>
      </c>
      <c r="P4459" t="n">
        <v>1</v>
      </c>
      <c r="R4459" t="inlineStr">
        <is>
          <t>InStock</t>
        </is>
      </c>
      <c r="S4459" t="inlineStr">
        <is>
          <t>44.95</t>
        </is>
      </c>
      <c r="T4459" t="inlineStr">
        <is>
          <t>AP4365</t>
        </is>
      </c>
    </row>
    <row r="4460" hidden="1" ht="15.75" customHeight="1">
      <c r="A4460" s="2">
        <f>HYPERLINK("https://www.soccerplususa.com/adidas/adidas-condivo-16-jersey-youth-4211", "https://www.soccerplususa.com/adidas/adidas-condivo-16-jersey-youth-4211")</f>
        <v/>
      </c>
      <c r="B4460" t="inlineStr">
        <is>
          <t>undefined</t>
        </is>
      </c>
      <c r="C4460" t="inlineStr">
        <is>
          <t>adidas Condivo 16 Jersey Youth</t>
        </is>
      </c>
      <c r="D4460" t="inlineStr">
        <is>
          <t>adidas Women's Condivo 16 Soccer Jersey</t>
        </is>
      </c>
      <c r="E4460" s="2">
        <f>HYPERLINK("https://www.amazon.com/Adidas-Condivo-Womens-Soccer-Jersey/dp/B01E7NEQLY/ref=sr_1_2?keywords=adidas+Condivo+16+Jersey+Youth&amp;qid=1695171230&amp;sr=8-2", "https://www.amazon.com/Adidas-Condivo-Womens-Soccer-Jersey/dp/B01E7NEQLY/ref=sr_1_2?keywords=adidas+Condivo+16+Jersey+Youth&amp;qid=1695171230&amp;sr=8-2")</f>
        <v/>
      </c>
      <c r="F4460" t="inlineStr">
        <is>
          <t>B01E7NEQLY</t>
        </is>
      </c>
      <c r="G4460">
        <f>_xludf.IMAGE("https://www.soccerplususa.com/prodimages/6944-DEFAULT-l.jpg")</f>
        <v/>
      </c>
      <c r="H4460">
        <f>_xludf.IMAGE("https://m.media-amazon.com/images/I/61C3UkXQA4L._AC_UL320_.jpg")</f>
        <v/>
      </c>
      <c r="K4460" t="inlineStr">
        <is>
          <t>22.5</t>
        </is>
      </c>
      <c r="L4460" t="n">
        <v>14.99</v>
      </c>
      <c r="M4460" s="1" t="inlineStr">
        <is>
          <t>-33.38%</t>
        </is>
      </c>
      <c r="N4460" s="3" t="n">
        <v>-33.38</v>
      </c>
      <c r="O4460" t="n">
        <v>5</v>
      </c>
      <c r="P4460" t="n">
        <v>1</v>
      </c>
      <c r="R4460" t="inlineStr">
        <is>
          <t>InStock</t>
        </is>
      </c>
      <c r="S4460" t="inlineStr">
        <is>
          <t>44.95</t>
        </is>
      </c>
      <c r="T4460" t="inlineStr">
        <is>
          <t>AP4367</t>
        </is>
      </c>
    </row>
    <row r="4461" hidden="1" ht="15.75" customHeight="1">
      <c r="A4461" s="2">
        <f>HYPERLINK("https://www.soccerplususa.com/puma/puma-liga-casual-padded-jacket-37830", "https://www.soccerplususa.com/puma/puma-liga-casual-padded-jacket-37830")</f>
        <v/>
      </c>
      <c r="B4461" t="inlineStr">
        <is>
          <t>undefined</t>
        </is>
      </c>
      <c r="C4461" t="inlineStr">
        <is>
          <t>Puma Liga Casual Padded Jacket</t>
        </is>
      </c>
      <c r="D4461" t="inlineStr">
        <is>
          <t>PUMA Unisex Youth Liga Casuals Padded Jacket</t>
        </is>
      </c>
      <c r="E4461" s="2">
        <f>HYPERLINK("https://www.amazon.com/PUMA-Casuals-Electric-Lemonade-X-Large/dp/B07KX4CMN1/ref=sr_1_2?keywords=Puma+Liga+Casual+Padded+Jacket&amp;qid=1695171170&amp;sr=8-2", "https://www.amazon.com/PUMA-Casuals-Electric-Lemonade-X-Large/dp/B07KX4CMN1/ref=sr_1_2?keywords=Puma+Liga+Casual+Padded+Jacket&amp;qid=1695171170&amp;sr=8-2")</f>
        <v/>
      </c>
      <c r="F4461" t="inlineStr">
        <is>
          <t>B07KX4CMN1</t>
        </is>
      </c>
      <c r="G4461">
        <f>_xludf.IMAGE("https://www.soccerplususa.com/prodimages/32203-DEFAULT-l.jpg")</f>
        <v/>
      </c>
      <c r="H4461">
        <f>_xludf.IMAGE("https://m.media-amazon.com/images/I/81ndCWi0ZJL._AC_UL320_.jpg")</f>
        <v/>
      </c>
      <c r="K4461" t="inlineStr">
        <is>
          <t>82.49</t>
        </is>
      </c>
      <c r="L4461" t="n">
        <v>54.95</v>
      </c>
      <c r="M4461" s="1" t="inlineStr">
        <is>
          <t>-33.39%</t>
        </is>
      </c>
      <c r="N4461" s="3" t="n">
        <v>-33.39</v>
      </c>
      <c r="O4461" t="n">
        <v>3.9</v>
      </c>
      <c r="P4461" t="n">
        <v>31</v>
      </c>
      <c r="R4461" t="inlineStr">
        <is>
          <t>InStock</t>
        </is>
      </c>
      <c r="S4461" t="inlineStr">
        <is>
          <t>109.95</t>
        </is>
      </c>
      <c r="T4461" t="inlineStr">
        <is>
          <t>655301-01</t>
        </is>
      </c>
    </row>
    <row r="4462" hidden="1" ht="15.75" customHeight="1">
      <c r="A4462" s="2">
        <f>HYPERLINK("https://www.soccerplususa.com/puma/puma-liga-training-jacket-35519", "https://www.soccerplususa.com/puma/puma-liga-training-jacket-35519")</f>
        <v/>
      </c>
      <c r="B4462" t="inlineStr">
        <is>
          <t>undefined</t>
        </is>
      </c>
      <c r="C4462" t="inlineStr">
        <is>
          <t>Puma Liga Training Jacket</t>
        </is>
      </c>
      <c r="D4462" t="inlineStr">
        <is>
          <t>PUMA Youth Liga Training Jacket</t>
        </is>
      </c>
      <c r="E4462" s="2">
        <f>HYPERLINK("https://www.amazon.com/PUMA-Training-Jacket-Blackpuma-White/dp/B07KWQF1RF/ref=sr_1_1?keywords=Puma+Liga+Training+Jacket&amp;qid=1695171164&amp;sr=8-1", "https://www.amazon.com/PUMA-Training-Jacket-Blackpuma-White/dp/B07KWQF1RF/ref=sr_1_1?keywords=Puma+Liga+Training+Jacket&amp;qid=1695171164&amp;sr=8-1")</f>
        <v/>
      </c>
      <c r="F4462" t="inlineStr">
        <is>
          <t>B07KWQF1RF</t>
        </is>
      </c>
      <c r="G4462">
        <f>_xludf.IMAGE("https://www.soccerplususa.com/prodimages/32207-DEFAULT-l.jpg")</f>
        <v/>
      </c>
      <c r="H4462">
        <f>_xludf.IMAGE("https://m.media-amazon.com/images/I/71b2+Cj8o-L._AC_UL320_.jpg")</f>
        <v/>
      </c>
      <c r="K4462" t="inlineStr">
        <is>
          <t>45.0</t>
        </is>
      </c>
      <c r="L4462" t="n">
        <v>29.95</v>
      </c>
      <c r="M4462" s="1" t="inlineStr">
        <is>
          <t>-33.44%</t>
        </is>
      </c>
      <c r="N4462" s="3" t="n">
        <v>-33.44</v>
      </c>
      <c r="O4462" t="n">
        <v>3.5</v>
      </c>
      <c r="P4462" t="n">
        <v>80</v>
      </c>
      <c r="R4462" t="inlineStr">
        <is>
          <t>InStock</t>
        </is>
      </c>
      <c r="S4462" t="inlineStr">
        <is>
          <t>59.95</t>
        </is>
      </c>
      <c r="T4462" t="inlineStr">
        <is>
          <t>655687-02</t>
        </is>
      </c>
    </row>
    <row r="4463" hidden="1" ht="15.75" customHeight="1">
      <c r="A4463" s="2">
        <f>HYPERLINK("https://www.soccerplususa.com/puma/puma-liga-training-jacket-35519", "https://www.soccerplususa.com/puma/puma-liga-training-jacket-35519")</f>
        <v/>
      </c>
      <c r="B4463" t="inlineStr">
        <is>
          <t>undefined</t>
        </is>
      </c>
      <c r="C4463" t="inlineStr">
        <is>
          <t>Puma Liga Training Jacket</t>
        </is>
      </c>
      <c r="D4463" t="inlineStr">
        <is>
          <t>PUMA Women's Liga Training Jacket</t>
        </is>
      </c>
      <c r="E4463" s="2">
        <f>HYPERLINK("https://www.amazon.com/PUMA-Womens-Training-Jacket-Blackpuma/dp/B07FBJ7XK2/ref=sr_1_6?keywords=Puma+Liga+Training+Jacket&amp;qid=1695171164&amp;sr=8-6", "https://www.amazon.com/PUMA-Womens-Training-Jacket-Blackpuma/dp/B07FBJ7XK2/ref=sr_1_6?keywords=Puma+Liga+Training+Jacket&amp;qid=1695171164&amp;sr=8-6")</f>
        <v/>
      </c>
      <c r="F4463" t="inlineStr">
        <is>
          <t>B07FBJ7XK2</t>
        </is>
      </c>
      <c r="G4463">
        <f>_xludf.IMAGE("https://www.soccerplususa.com/prodimages/32207-DEFAULT-l.jpg")</f>
        <v/>
      </c>
      <c r="H4463">
        <f>_xludf.IMAGE("https://m.media-amazon.com/images/I/61RvUittiEL._AC_UL320_.jpg")</f>
        <v/>
      </c>
      <c r="K4463" t="inlineStr">
        <is>
          <t>45.0</t>
        </is>
      </c>
      <c r="L4463" t="n">
        <v>29.91</v>
      </c>
      <c r="M4463" s="1" t="inlineStr">
        <is>
          <t>-33.53%</t>
        </is>
      </c>
      <c r="N4463" s="3" t="n">
        <v>-33.53</v>
      </c>
      <c r="O4463" t="n">
        <v>4.5</v>
      </c>
      <c r="P4463" t="n">
        <v>489</v>
      </c>
      <c r="R4463" t="inlineStr">
        <is>
          <t>InStock</t>
        </is>
      </c>
      <c r="S4463" t="inlineStr">
        <is>
          <t>59.95</t>
        </is>
      </c>
      <c r="T4463" t="inlineStr">
        <is>
          <t>655687-02</t>
        </is>
      </c>
    </row>
    <row r="4464" hidden="1" ht="15.75" customHeight="1">
      <c r="A4464" s="2">
        <f>HYPERLINK("https://www.soccerplususa.com/adidas/adidas-regista-14-jersey-6067", "https://www.soccerplususa.com/adidas/adidas-regista-14-jersey-6067")</f>
        <v/>
      </c>
      <c r="B4464" t="inlineStr">
        <is>
          <t>undefined</t>
        </is>
      </c>
      <c r="C4464" t="inlineStr">
        <is>
          <t>adidas Regista 14 Jersey</t>
        </is>
      </c>
      <c r="D4464" t="inlineStr">
        <is>
          <t>adidas Mens Regista 14 Shorts, Cobalt/White, XLarge</t>
        </is>
      </c>
      <c r="E4464" s="2">
        <f>HYPERLINK("https://www.amazon.com/Adidas-Climacool-Regista-X-Large-Cobalt/dp/B00I1JNRDO/ref=sr_1_6?keywords=adidas+Regista+14+Jersey&amp;qid=1695171231&amp;sr=8-6", "https://www.amazon.com/Adidas-Climacool-Regista-X-Large-Cobalt/dp/B00I1JNRDO/ref=sr_1_6?keywords=adidas+Regista+14+Jersey&amp;qid=1695171231&amp;sr=8-6")</f>
        <v/>
      </c>
      <c r="F4464" t="inlineStr">
        <is>
          <t>B00I1JNRDO</t>
        </is>
      </c>
      <c r="G4464">
        <f>_xludf.IMAGE("https://www.soccerplususa.com/prodimages/10329-DEFAULT-l.jpg")</f>
        <v/>
      </c>
      <c r="H4464">
        <f>_xludf.IMAGE("https://m.media-amazon.com/images/I/51LaPP1PouL._AC_UL320_.jpg")</f>
        <v/>
      </c>
      <c r="K4464" t="inlineStr">
        <is>
          <t>22.5</t>
        </is>
      </c>
      <c r="L4464" t="n">
        <v>14.95</v>
      </c>
      <c r="M4464" s="1" t="inlineStr">
        <is>
          <t>-33.56%</t>
        </is>
      </c>
      <c r="N4464" s="3" t="n">
        <v>-33.56</v>
      </c>
      <c r="O4464" t="n">
        <v>5</v>
      </c>
      <c r="P4464" t="n">
        <v>1</v>
      </c>
      <c r="R4464" t="inlineStr">
        <is>
          <t>InStock</t>
        </is>
      </c>
      <c r="S4464" t="inlineStr">
        <is>
          <t>44.95</t>
        </is>
      </c>
      <c r="T4464" t="inlineStr">
        <is>
          <t>F50011</t>
        </is>
      </c>
    </row>
    <row r="4465" hidden="1" ht="15.75" customHeight="1">
      <c r="A4465" s="2">
        <f>HYPERLINK("https://www.soccerplususa.com/adidas/adidas-tiro-19-training-jacket-youth-33998", "https://www.soccerplususa.com/adidas/adidas-tiro-19-training-jacket-youth-33998")</f>
        <v/>
      </c>
      <c r="B4465" t="inlineStr">
        <is>
          <t>undefined</t>
        </is>
      </c>
      <c r="C4465" t="inlineStr">
        <is>
          <t>adidas Tiro 19 Training Jacket Youth</t>
        </is>
      </c>
      <c r="D4465" t="inlineStr">
        <is>
          <t>adidas Tiro 19 Training Jacket DW4795_Grey/White YXS</t>
        </is>
      </c>
      <c r="E4465" s="2">
        <f>HYPERLINK("https://www.amazon.com/adidas-Tiro-Youth-Jacket-White/dp/B07H3VHQMV/ref=sr_1_2?keywords=adidas+Tiro+19+Training+Jacket+Youth&amp;qid=1695171164&amp;sr=8-2", "https://www.amazon.com/adidas-Tiro-Youth-Jacket-White/dp/B07H3VHQMV/ref=sr_1_2?keywords=adidas+Tiro+19+Training+Jacket+Youth&amp;qid=1695171164&amp;sr=8-2")</f>
        <v/>
      </c>
      <c r="F4465" t="inlineStr">
        <is>
          <t>B07H3VHQMV</t>
        </is>
      </c>
      <c r="G4465">
        <f>_xludf.IMAGE("https://www.soccerplususa.com/prodimages/7897-DEFAULT-l.jpg")</f>
        <v/>
      </c>
      <c r="H4465">
        <f>_xludf.IMAGE("https://m.media-amazon.com/images/I/81i8MyHlXJL._AC_UL320_.jpg")</f>
        <v/>
      </c>
      <c r="K4465" t="inlineStr">
        <is>
          <t>45.0</t>
        </is>
      </c>
      <c r="L4465" t="n">
        <v>29.9</v>
      </c>
      <c r="M4465" s="1" t="inlineStr">
        <is>
          <t>-33.56%</t>
        </is>
      </c>
      <c r="N4465" s="3" t="n">
        <v>-33.56</v>
      </c>
      <c r="O4465" t="n">
        <v>4.1</v>
      </c>
      <c r="P4465" t="n">
        <v>5</v>
      </c>
      <c r="R4465" t="inlineStr">
        <is>
          <t>InStock</t>
        </is>
      </c>
      <c r="S4465" t="inlineStr">
        <is>
          <t>59.95</t>
        </is>
      </c>
      <c r="T4465" t="inlineStr">
        <is>
          <t>DT5276</t>
        </is>
      </c>
    </row>
    <row r="4466" hidden="1" ht="15.75" customHeight="1">
      <c r="A4466" s="2">
        <f>HYPERLINK("https://www.soccerplususa.com/adidas/adidas-regista-14-jersey-6672", "https://www.soccerplususa.com/adidas/adidas-regista-14-jersey-6672")</f>
        <v/>
      </c>
      <c r="B4466" t="inlineStr">
        <is>
          <t>undefined</t>
        </is>
      </c>
      <c r="C4466" t="inlineStr">
        <is>
          <t>adidas Regista 14 Jersey</t>
        </is>
      </c>
      <c r="D4466" t="inlineStr">
        <is>
          <t>adidas Mens Regista 14 Shorts, Cobalt/White, XLarge</t>
        </is>
      </c>
      <c r="E4466" s="2">
        <f>HYPERLINK("https://www.amazon.com/Adidas-Climacool-Regista-X-Large-Cobalt/dp/B00I1JNRDO/ref=sr_1_6?keywords=adidas+Regista+14+Jersey&amp;qid=1695171217&amp;sr=8-6", "https://www.amazon.com/Adidas-Climacool-Regista-X-Large-Cobalt/dp/B00I1JNRDO/ref=sr_1_6?keywords=adidas+Regista+14+Jersey&amp;qid=1695171217&amp;sr=8-6")</f>
        <v/>
      </c>
      <c r="F4466" t="inlineStr">
        <is>
          <t>B00I1JNRDO</t>
        </is>
      </c>
      <c r="G4466">
        <f>_xludf.IMAGE("https://www.soccerplususa.com/prodimages/10435-DEFAULT-l.jpg")</f>
        <v/>
      </c>
      <c r="H4466">
        <f>_xludf.IMAGE("https://m.media-amazon.com/images/I/51LaPP1PouL._AC_UL320_.jpg")</f>
        <v/>
      </c>
      <c r="K4466" t="inlineStr">
        <is>
          <t>22.5</t>
        </is>
      </c>
      <c r="L4466" t="n">
        <v>14.95</v>
      </c>
      <c r="M4466" s="1" t="inlineStr">
        <is>
          <t>-33.56%</t>
        </is>
      </c>
      <c r="N4466" s="3" t="n">
        <v>-33.56</v>
      </c>
      <c r="O4466" t="n">
        <v>5</v>
      </c>
      <c r="P4466" t="n">
        <v>1</v>
      </c>
      <c r="R4466" t="inlineStr">
        <is>
          <t>InStock</t>
        </is>
      </c>
      <c r="S4466" t="inlineStr">
        <is>
          <t>44.95</t>
        </is>
      </c>
      <c r="T4466" t="inlineStr">
        <is>
          <t>G70830</t>
        </is>
      </c>
    </row>
    <row r="4467" hidden="1" ht="15.75" customHeight="1">
      <c r="A4467" s="2">
        <f>HYPERLINK("https://www.soccerplususa.com/adidas/adidas-tiro-19-training-jacket-youth-33858", "https://www.soccerplususa.com/adidas/adidas-tiro-19-training-jacket-youth-33858")</f>
        <v/>
      </c>
      <c r="B4467" t="inlineStr">
        <is>
          <t>undefined</t>
        </is>
      </c>
      <c r="C4467" t="inlineStr">
        <is>
          <t>adidas Tiro 19 Training Jacket Youth</t>
        </is>
      </c>
      <c r="D4467" t="inlineStr">
        <is>
          <t>adidas Tiro 19 Training Jacket DW4795_Grey/White YXS</t>
        </is>
      </c>
      <c r="E4467" s="2">
        <f>HYPERLINK("https://www.amazon.com/adidas-Tiro-Youth-Jacket-White/dp/B07H3VHQMV/ref=sr_1_6?keywords=adidas+Tiro+19+Training+Jacket+Youth&amp;qid=1695171168&amp;sr=8-6", "https://www.amazon.com/adidas-Tiro-Youth-Jacket-White/dp/B07H3VHQMV/ref=sr_1_6?keywords=adidas+Tiro+19+Training+Jacket+Youth&amp;qid=1695171168&amp;sr=8-6")</f>
        <v/>
      </c>
      <c r="F4467" t="inlineStr">
        <is>
          <t>B07H3VHQMV</t>
        </is>
      </c>
      <c r="G4467">
        <f>_xludf.IMAGE("https://www.soccerplususa.com/prodimages/8020-DEFAULT-l.jpg")</f>
        <v/>
      </c>
      <c r="H4467">
        <f>_xludf.IMAGE("https://m.media-amazon.com/images/I/81i8MyHlXJL._AC_UL320_.jpg")</f>
        <v/>
      </c>
      <c r="K4467" t="inlineStr">
        <is>
          <t>45.0</t>
        </is>
      </c>
      <c r="L4467" t="n">
        <v>29.9</v>
      </c>
      <c r="M4467" s="1" t="inlineStr">
        <is>
          <t>-33.56%</t>
        </is>
      </c>
      <c r="N4467" s="3" t="n">
        <v>-33.56</v>
      </c>
      <c r="O4467" t="n">
        <v>4.1</v>
      </c>
      <c r="P4467" t="n">
        <v>5</v>
      </c>
      <c r="R4467" t="inlineStr">
        <is>
          <t>InStock</t>
        </is>
      </c>
      <c r="S4467" t="inlineStr">
        <is>
          <t>59.95</t>
        </is>
      </c>
      <c r="T4467" t="inlineStr">
        <is>
          <t>D95922</t>
        </is>
      </c>
    </row>
    <row r="4468" hidden="1" ht="15.75" customHeight="1">
      <c r="A4468" s="2">
        <f>HYPERLINK("https://www.soccerplususa.com/adidas/adidas-tiro-17-jersey-4868", "https://www.soccerplususa.com/adidas/adidas-tiro-17-jersey-4868")</f>
        <v/>
      </c>
      <c r="B4468" t="inlineStr">
        <is>
          <t>undefined</t>
        </is>
      </c>
      <c r="C4468" t="inlineStr">
        <is>
          <t>adidas Tiro 17 Jersey</t>
        </is>
      </c>
      <c r="D4468" t="inlineStr">
        <is>
          <t>adidas Climacool TIRO 17 Soccer Jersey Womens Active Shirts &amp; Tees</t>
        </is>
      </c>
      <c r="E4468" s="2">
        <f>HYPERLINK("https://www.amazon.com/adidas-Climacool-Soccer-Jersey-Womens/dp/B0BM3MSHQ6/ref=sr_1_1?keywords=adidas+Tiro+17+Jersey&amp;qid=1695171228&amp;sr=8-1", "https://www.amazon.com/adidas-Climacool-Soccer-Jersey-Womens/dp/B0BM3MSHQ6/ref=sr_1_1?keywords=adidas+Tiro+17+Jersey&amp;qid=1695171228&amp;sr=8-1")</f>
        <v/>
      </c>
      <c r="F4468" t="inlineStr">
        <is>
          <t>B0BM3MSHQ6</t>
        </is>
      </c>
      <c r="G4468">
        <f>_xludf.IMAGE("https://www.soccerplususa.com/prodimages/32792-DEFAULT-l.jpg")</f>
        <v/>
      </c>
      <c r="H4468">
        <f>_xludf.IMAGE("https://m.media-amazon.com/images/I/41vbz2JJbLL._AC_UL320_.jpg")</f>
        <v/>
      </c>
      <c r="K4468" t="inlineStr">
        <is>
          <t>29.99</t>
        </is>
      </c>
      <c r="L4468" t="n">
        <v>19.91</v>
      </c>
      <c r="M4468" s="1" t="inlineStr">
        <is>
          <t>-33.61%</t>
        </is>
      </c>
      <c r="N4468" s="3" t="n">
        <v>-33.61</v>
      </c>
      <c r="O4468" t="n">
        <v>5</v>
      </c>
      <c r="P4468" t="n">
        <v>3</v>
      </c>
      <c r="R4468" t="inlineStr">
        <is>
          <t>InStock</t>
        </is>
      </c>
      <c r="S4468" t="inlineStr">
        <is>
          <t>39.95</t>
        </is>
      </c>
      <c r="T4468" t="inlineStr">
        <is>
          <t>BK5435</t>
        </is>
      </c>
    </row>
    <row r="4469" hidden="1" ht="15.75" customHeight="1">
      <c r="A4469" s="2">
        <f>HYPERLINK("https://www.soccerplususa.com/adidas/adidas-tiro-17-jersey-womens-4818", "https://www.soccerplususa.com/adidas/adidas-tiro-17-jersey-womens-4818")</f>
        <v/>
      </c>
      <c r="B4469" t="inlineStr">
        <is>
          <t>undefined</t>
        </is>
      </c>
      <c r="C4469" t="inlineStr">
        <is>
          <t>adidas Tiro 17 Jersey Women's</t>
        </is>
      </c>
      <c r="D4469" t="inlineStr">
        <is>
          <t>adidas Climacool TIRO 17 Soccer Jersey Womens Active Shirts &amp; Tees</t>
        </is>
      </c>
      <c r="E4469" s="2">
        <f>HYPERLINK("https://www.amazon.com/adidas-Climacool-Soccer-Jersey-Womens/dp/B0BM3RLRP9/ref=sr_1_2?keywords=adidas+Tiro+17+Jersey+Women%27s&amp;qid=1695171228&amp;sr=8-2", "https://www.amazon.com/adidas-Climacool-Soccer-Jersey-Womens/dp/B0BM3RLRP9/ref=sr_1_2?keywords=adidas+Tiro+17+Jersey+Women%27s&amp;qid=1695171228&amp;sr=8-2")</f>
        <v/>
      </c>
      <c r="F4469" t="inlineStr">
        <is>
          <t>B0BM3RLRP9</t>
        </is>
      </c>
      <c r="G4469">
        <f>_xludf.IMAGE("https://www.soccerplususa.com/prodimages/33189-DEFAULT-l.jpg")</f>
        <v/>
      </c>
      <c r="H4469">
        <f>_xludf.IMAGE("https://m.media-amazon.com/images/I/41vbz2JJbLL._AC_UL320_.jpg")</f>
        <v/>
      </c>
      <c r="K4469" t="inlineStr">
        <is>
          <t>30.0</t>
        </is>
      </c>
      <c r="L4469" t="n">
        <v>19.91</v>
      </c>
      <c r="M4469" s="1" t="inlineStr">
        <is>
          <t>-33.63%</t>
        </is>
      </c>
      <c r="N4469" s="3" t="n">
        <v>-33.63</v>
      </c>
      <c r="O4469" t="n">
        <v>5</v>
      </c>
      <c r="P4469" t="n">
        <v>3</v>
      </c>
      <c r="R4469" t="inlineStr">
        <is>
          <t>InStock</t>
        </is>
      </c>
      <c r="S4469" t="inlineStr">
        <is>
          <t>39.95</t>
        </is>
      </c>
      <c r="T4469" t="inlineStr">
        <is>
          <t>BJ9095</t>
        </is>
      </c>
    </row>
    <row r="4470" hidden="1" ht="15.75" customHeight="1">
      <c r="A4470" s="2">
        <f>HYPERLINK("https://www.soccerplususa.com/adidas/adidas-fifa-world-cup-2018-emblem-tee-5351", "https://www.soccerplususa.com/adidas/adidas-fifa-world-cup-2018-emblem-tee-5351")</f>
        <v/>
      </c>
      <c r="B4470" t="inlineStr">
        <is>
          <t>undefined</t>
        </is>
      </c>
      <c r="C4470" t="inlineStr">
        <is>
          <t>adidas FIFA World Cup 2018 Emblem Tee</t>
        </is>
      </c>
      <c r="D4470" t="inlineStr">
        <is>
          <t>adidas Boys Soccer World Cup Emblem Tee</t>
        </is>
      </c>
      <c r="E4470" s="2">
        <f>HYPERLINK("https://www.amazon.com/adidas-World-Soccer-Emblem-Youth/dp/B075FBS26F/ref=sr_1_1?keywords=adidas+FIFA+World+Cup+2018+Emblem+Tee&amp;qid=1695171231&amp;sr=8-1", "https://www.amazon.com/adidas-World-Soccer-Emblem-Youth/dp/B075FBS26F/ref=sr_1_1?keywords=adidas+FIFA+World+Cup+2018+Emblem+Tee&amp;qid=1695171231&amp;sr=8-1")</f>
        <v/>
      </c>
      <c r="F4470" t="inlineStr">
        <is>
          <t>B075FBS26F</t>
        </is>
      </c>
      <c r="G4470">
        <f>_xludf.IMAGE("https://www.soccerplususa.com/prodimages/5610-DEFAULT-l.jpg")</f>
        <v/>
      </c>
      <c r="H4470">
        <f>_xludf.IMAGE("https://m.media-amazon.com/images/I/61DDYf6MAhL._AC_UL320_.jpg")</f>
        <v/>
      </c>
      <c r="K4470" t="inlineStr">
        <is>
          <t>15.0</t>
        </is>
      </c>
      <c r="L4470" t="n">
        <v>9.949999999999999</v>
      </c>
      <c r="M4470" s="1" t="inlineStr">
        <is>
          <t>-33.67%</t>
        </is>
      </c>
      <c r="N4470" s="3" t="n">
        <v>-33.67</v>
      </c>
      <c r="O4470" t="n">
        <v>3</v>
      </c>
      <c r="P4470" t="n">
        <v>1</v>
      </c>
      <c r="R4470" t="inlineStr">
        <is>
          <t>InStock</t>
        </is>
      </c>
      <c r="S4470" t="inlineStr">
        <is>
          <t>29.95</t>
        </is>
      </c>
      <c r="T4470" t="inlineStr">
        <is>
          <t>CV6337</t>
        </is>
      </c>
    </row>
    <row r="4471" hidden="1" ht="15.75" customHeight="1">
      <c r="A4471" s="2">
        <f>HYPERLINK("https://www.soccerplususa.com/adidas/adidas-regista-14-jersey-womens-6069", "https://www.soccerplususa.com/adidas/adidas-regista-14-jersey-womens-6069")</f>
        <v/>
      </c>
      <c r="B4471" t="inlineStr">
        <is>
          <t>undefined</t>
        </is>
      </c>
      <c r="C4471" t="inlineStr">
        <is>
          <t>adidas Regista 14 Jersey Women's</t>
        </is>
      </c>
      <c r="D4471" t="inlineStr">
        <is>
          <t>adidas Women's Regista 18 Jersey</t>
        </is>
      </c>
      <c r="E4471" s="2">
        <f>HYPERLINK("https://www.amazon.com/adidas-Regista-Jersey-W%E2%9D%97%EF%B8%8FShips-Directly/dp/B07BHKLXBB/ref=sr_1_4?keywords=adidas+Regista+14+Jersey+Womens&amp;qid=1695171219&amp;sr=8-4", "https://www.amazon.com/adidas-Regista-Jersey-W%E2%9D%97%EF%B8%8FShips-Directly/dp/B07BHKLXBB/ref=sr_1_4?keywords=adidas+Regista+14+Jersey+Womens&amp;qid=1695171219&amp;sr=8-4")</f>
        <v/>
      </c>
      <c r="F4471" t="inlineStr">
        <is>
          <t>B07BHKLXBB</t>
        </is>
      </c>
      <c r="G4471">
        <f>_xludf.IMAGE("https://www.soccerplususa.com/prodimages/31729-DEFAULT-l.jpg")</f>
        <v/>
      </c>
      <c r="H4471">
        <f>_xludf.IMAGE("https://m.media-amazon.com/images/I/41McoRO1GaL._AC_UL320_.jpg")</f>
        <v/>
      </c>
      <c r="K4471" t="inlineStr">
        <is>
          <t>33.99</t>
        </is>
      </c>
      <c r="L4471" t="n">
        <v>22.49</v>
      </c>
      <c r="M4471" s="1" t="inlineStr">
        <is>
          <t>-33.83%</t>
        </is>
      </c>
      <c r="N4471" s="3" t="n">
        <v>-33.83</v>
      </c>
      <c r="O4471" t="n">
        <v>4.4</v>
      </c>
      <c r="P4471" t="n">
        <v>146</v>
      </c>
      <c r="R4471" t="inlineStr">
        <is>
          <t>InStock</t>
        </is>
      </c>
      <c r="S4471" t="inlineStr">
        <is>
          <t>44.95</t>
        </is>
      </c>
      <c r="T4471" t="inlineStr">
        <is>
          <t>F50028</t>
        </is>
      </c>
    </row>
    <row r="4472" hidden="1" ht="15.75" customHeight="1">
      <c r="A4472" s="2">
        <f>HYPERLINK("https://www.soccerplususa.com/under-armour/under-armour-coldgear-armour-fitted-mock-41592", "https://www.soccerplususa.com/under-armour/under-armour-coldgear-armour-fitted-mock-41592")</f>
        <v/>
      </c>
      <c r="B4472" t="inlineStr">
        <is>
          <t>undefined</t>
        </is>
      </c>
      <c r="C4472" t="inlineStr">
        <is>
          <t>Under Armour ColdGear Armour Fitted Mock</t>
        </is>
      </c>
      <c r="D4472" t="inlineStr">
        <is>
          <t>Under Armour Men's ColdGear Fitted Mock Long-Sleeve T-Shirt</t>
        </is>
      </c>
      <c r="E4472" s="2">
        <f>HYPERLINK("https://www.amazon.com/Under-Armour-ColdGear-Fitted-XX-Large/dp/B077XMF8P4/ref=sr_1_4?keywords=Under+Armour+ColdGear+Armour+Fitted+Mock&amp;qid=1695171146&amp;sr=8-4", "https://www.amazon.com/Under-Armour-ColdGear-Fitted-XX-Large/dp/B077XMF8P4/ref=sr_1_4?keywords=Under+Armour+ColdGear+Armour+Fitted+Mock&amp;qid=1695171146&amp;sr=8-4")</f>
        <v/>
      </c>
      <c r="F4472" t="inlineStr">
        <is>
          <t>B077XMF8P4</t>
        </is>
      </c>
      <c r="G4472">
        <f>_xludf.IMAGE("https://www.soccerplususa.com/prodimages//36795-BLACK-M.jpg")</f>
        <v/>
      </c>
      <c r="H4472">
        <f>_xludf.IMAGE("https://m.media-amazon.com/images/I/91recmI-P1L._AC_UL320_.jpg")</f>
        <v/>
      </c>
      <c r="K4472" t="inlineStr">
        <is>
          <t>54.95</t>
        </is>
      </c>
      <c r="L4472" t="n">
        <v>36.13</v>
      </c>
      <c r="M4472" s="1" t="inlineStr">
        <is>
          <t>-34.25%</t>
        </is>
      </c>
      <c r="N4472" s="3" t="n">
        <v>-34.25</v>
      </c>
      <c r="O4472" t="n">
        <v>4.8</v>
      </c>
      <c r="P4472" t="n">
        <v>2969</v>
      </c>
      <c r="R4472" t="inlineStr">
        <is>
          <t>InStock</t>
        </is>
      </c>
      <c r="S4472" t="inlineStr">
        <is>
          <t>undefined</t>
        </is>
      </c>
      <c r="T4472" t="inlineStr">
        <is>
          <t>1366066-001</t>
        </is>
      </c>
    </row>
    <row r="4473" hidden="1" ht="15.75" customHeight="1">
      <c r="A4473" s="2">
        <f>HYPERLINK("https://www.soccerplususa.com/under-armour/under-armour-coldgear-compression-mock-44300", "https://www.soccerplususa.com/under-armour/under-armour-coldgear-compression-mock-44300")</f>
        <v/>
      </c>
      <c r="B4473" t="inlineStr">
        <is>
          <t>undefined</t>
        </is>
      </c>
      <c r="C4473" t="inlineStr">
        <is>
          <t>Under Armour ColdGear Compression Mock</t>
        </is>
      </c>
      <c r="D4473" t="inlineStr">
        <is>
          <t>Under Armour Men's ColdGear Fitted Mock Long-Sleeve T-Shirt</t>
        </is>
      </c>
      <c r="E4473" s="2">
        <f>HYPERLINK("https://www.amazon.com/Under-Armour-ColdGear-Fitted-XX-Large/dp/B077XMF8P4/ref=sr_1_6?keywords=Under+Armour+ColdGear+Compression+Mock&amp;qid=1695171160&amp;sr=8-6", "https://www.amazon.com/Under-Armour-ColdGear-Fitted-XX-Large/dp/B077XMF8P4/ref=sr_1_6?keywords=Under+Armour+ColdGear+Compression+Mock&amp;qid=1695171160&amp;sr=8-6")</f>
        <v/>
      </c>
      <c r="F4473" t="inlineStr">
        <is>
          <t>B077XMF8P4</t>
        </is>
      </c>
      <c r="G4473">
        <f>_xludf.IMAGE("https://www.soccerplususa.com/prodimages//36057-BLACK-M.jpg")</f>
        <v/>
      </c>
      <c r="H4473">
        <f>_xludf.IMAGE("https://m.media-amazon.com/images/I/91recmI-P1L._AC_UL320_.jpg")</f>
        <v/>
      </c>
      <c r="K4473" t="inlineStr">
        <is>
          <t>54.95</t>
        </is>
      </c>
      <c r="L4473" t="n">
        <v>36.13</v>
      </c>
      <c r="M4473" s="1" t="inlineStr">
        <is>
          <t>-34.25%</t>
        </is>
      </c>
      <c r="N4473" s="3" t="n">
        <v>-34.25</v>
      </c>
      <c r="O4473" t="n">
        <v>4.8</v>
      </c>
      <c r="P4473" t="n">
        <v>2969</v>
      </c>
      <c r="R4473" t="inlineStr">
        <is>
          <t>InStock</t>
        </is>
      </c>
      <c r="S4473" t="inlineStr">
        <is>
          <t>undefined</t>
        </is>
      </c>
      <c r="T4473" t="inlineStr">
        <is>
          <t>1366072-001</t>
        </is>
      </c>
    </row>
    <row r="4474" hidden="1" ht="15.75" customHeight="1">
      <c r="A4474" s="2">
        <f>HYPERLINK("https://www.soccerplususa.com/adidas/adidas-tiro-21-track-jacket-womens-41184", "https://www.soccerplususa.com/adidas/adidas-tiro-21-track-jacket-womens-41184")</f>
        <v/>
      </c>
      <c r="B4474" t="inlineStr">
        <is>
          <t>undefined</t>
        </is>
      </c>
      <c r="C4474" t="inlineStr">
        <is>
          <t>adidas Tiro 21 Track Jacket Women's</t>
        </is>
      </c>
      <c r="D4474" t="inlineStr">
        <is>
          <t>adidas womens Tiro 21 Track Jacket Black 2X</t>
        </is>
      </c>
      <c r="E4474" s="2">
        <f>HYPERLINK("https://www.amazon.com/adidas-Womens-Track-Jacket-Black/dp/B087C362PW/ref=sr_1_3?keywords=adidas+Tiro+21+Track+Jacket+Women%27s&amp;qid=1695171150&amp;sr=8-3", "https://www.amazon.com/adidas-Womens-Track-Jacket-Black/dp/B087C362PW/ref=sr_1_3?keywords=adidas+Tiro+21+Track+Jacket+Women%27s&amp;qid=1695171150&amp;sr=8-3")</f>
        <v/>
      </c>
      <c r="F4474" t="inlineStr">
        <is>
          <t>B087C362PW</t>
        </is>
      </c>
      <c r="G4474">
        <f>_xludf.IMAGE("https://www.soccerplususa.com/prodimages//36136-BLACKWHITE-M.jpg")</f>
        <v/>
      </c>
      <c r="H4474">
        <f>_xludf.IMAGE("https://m.media-amazon.com/images/I/51NGL8nFl7L._AC_UL320_.jpg")</f>
        <v/>
      </c>
      <c r="K4474" t="inlineStr">
        <is>
          <t>50.0</t>
        </is>
      </c>
      <c r="L4474" t="n">
        <v>32.77</v>
      </c>
      <c r="M4474" s="1" t="inlineStr">
        <is>
          <t>-34.46%</t>
        </is>
      </c>
      <c r="N4474" s="3" t="n">
        <v>-34.46</v>
      </c>
      <c r="O4474" t="n">
        <v>4.7</v>
      </c>
      <c r="P4474" t="n">
        <v>26</v>
      </c>
      <c r="R4474" t="inlineStr">
        <is>
          <t>InStock</t>
        </is>
      </c>
      <c r="S4474" t="inlineStr">
        <is>
          <t>undefined</t>
        </is>
      </c>
      <c r="T4474" t="inlineStr">
        <is>
          <t>GM7307</t>
        </is>
      </c>
    </row>
    <row r="4475" hidden="1" ht="15.75" customHeight="1">
      <c r="A4475" s="2">
        <f>HYPERLINK("https://www.soccerplususa.com/under-armour/under-armour-coldgear-mock-womens-33129", "https://www.soccerplususa.com/under-armour/under-armour-coldgear-mock-womens-33129")</f>
        <v/>
      </c>
      <c r="B4475" t="inlineStr">
        <is>
          <t>undefined</t>
        </is>
      </c>
      <c r="C4475" t="inlineStr">
        <is>
          <t>Under Armour Coldgear Mock Women's</t>
        </is>
      </c>
      <c r="D4475" t="inlineStr">
        <is>
          <t>Under Armour Women's ColdGear Authentics Compression Mock</t>
        </is>
      </c>
      <c r="E4475" s="2">
        <f>HYPERLINK("https://www.amazon.com/Under-Armour-ColdGear-Authentic-Midnight/dp/B005IM0QMC/ref=sr_1_3?keywords=Under+Armour+Coldgear+Mock+Women%27s&amp;qid=1695171175&amp;sr=8-3", "https://www.amazon.com/Under-Armour-ColdGear-Authentic-Midnight/dp/B005IM0QMC/ref=sr_1_3?keywords=Under+Armour+Coldgear+Mock+Women%27s&amp;qid=1695171175&amp;sr=8-3")</f>
        <v/>
      </c>
      <c r="F4475" t="inlineStr">
        <is>
          <t>B005IM0QMC</t>
        </is>
      </c>
      <c r="G4475">
        <f>_xludf.IMAGE("https://www.soccerplususa.com/prodimages/2365-DEFAULT-l.jpg")</f>
        <v/>
      </c>
      <c r="H4475">
        <f>_xludf.IMAGE("https://m.media-amazon.com/images/I/516ZUq9iV2L._AC_UL320_.jpg")</f>
        <v/>
      </c>
      <c r="K4475" t="inlineStr">
        <is>
          <t>49.95</t>
        </is>
      </c>
      <c r="L4475" t="n">
        <v>32.43</v>
      </c>
      <c r="M4475" s="1" t="inlineStr">
        <is>
          <t>-35.08%</t>
        </is>
      </c>
      <c r="N4475" s="3" t="n">
        <v>-35.08</v>
      </c>
      <c r="O4475" t="n">
        <v>4.8</v>
      </c>
      <c r="P4475" t="n">
        <v>7721</v>
      </c>
      <c r="R4475" t="inlineStr">
        <is>
          <t>InStock</t>
        </is>
      </c>
      <c r="S4475" t="inlineStr">
        <is>
          <t>undefined</t>
        </is>
      </c>
      <c r="T4475" t="inlineStr">
        <is>
          <t>1215968-100</t>
        </is>
      </c>
    </row>
    <row r="4476" hidden="1" ht="15.75" customHeight="1">
      <c r="A4476" s="2">
        <f>HYPERLINK("https://www.soccerplususa.com/adidas/adidas-tiro-21-track-jacket-womens-41184", "https://www.soccerplususa.com/adidas/adidas-tiro-21-track-jacket-womens-41184")</f>
        <v/>
      </c>
      <c r="B4476" t="inlineStr">
        <is>
          <t>undefined</t>
        </is>
      </c>
      <c r="C4476" t="inlineStr">
        <is>
          <t>adidas Tiro 21 Track Jacket Women's</t>
        </is>
      </c>
      <c r="D4476" t="inlineStr">
        <is>
          <t>adidas Women's Tiro 21 Track Jacket, Black/Clear Pink, Medium</t>
        </is>
      </c>
      <c r="E4476" s="2">
        <f>HYPERLINK("https://www.amazon.com/adidas-Womens-Standard-Jacket-Medium/dp/B098KS8TZ4/ref=sr_1_7?keywords=adidas+Tiro+21+Track+Jacket+Women%27s&amp;qid=1695171150&amp;sr=8-7", "https://www.amazon.com/adidas-Womens-Standard-Jacket-Medium/dp/B098KS8TZ4/ref=sr_1_7?keywords=adidas+Tiro+21+Track+Jacket+Women%27s&amp;qid=1695171150&amp;sr=8-7")</f>
        <v/>
      </c>
      <c r="F4476" t="inlineStr">
        <is>
          <t>B098KS8TZ4</t>
        </is>
      </c>
      <c r="G4476">
        <f>_xludf.IMAGE("https://www.soccerplususa.com/prodimages//36136-BLACKWHITE-M.jpg")</f>
        <v/>
      </c>
      <c r="H4476">
        <f>_xludf.IMAGE("https://m.media-amazon.com/images/I/61gf98hgnZL._AC_UL320_.jpg")</f>
        <v/>
      </c>
      <c r="K4476" t="inlineStr">
        <is>
          <t>50.0</t>
        </is>
      </c>
      <c r="L4476" t="n">
        <v>32.45</v>
      </c>
      <c r="M4476" s="1" t="inlineStr">
        <is>
          <t>-35.10%</t>
        </is>
      </c>
      <c r="N4476" s="3" t="n">
        <v>-35.1</v>
      </c>
      <c r="O4476" t="n">
        <v>4.1</v>
      </c>
      <c r="P4476" t="n">
        <v>8</v>
      </c>
      <c r="R4476" t="inlineStr">
        <is>
          <t>InStock</t>
        </is>
      </c>
      <c r="S4476" t="inlineStr">
        <is>
          <t>undefined</t>
        </is>
      </c>
      <c r="T4476" t="inlineStr">
        <is>
          <t>GM7307</t>
        </is>
      </c>
    </row>
    <row r="4477" hidden="1" ht="15.75" customHeight="1">
      <c r="A4477" s="2">
        <f>HYPERLINK("https://www.soccerplususa.com/adidas/adidas-tiro-17-training-jersey-4924", "https://www.soccerplususa.com/adidas/adidas-tiro-17-training-jersey-4924")</f>
        <v/>
      </c>
      <c r="B4477" t="inlineStr">
        <is>
          <t>undefined</t>
        </is>
      </c>
      <c r="C4477" t="inlineStr">
        <is>
          <t>adidas Tiro 17 Training Jersey</t>
        </is>
      </c>
      <c r="D4477" t="inlineStr">
        <is>
          <t>adidas Tiro 17 Mens Soccer Training Jersey</t>
        </is>
      </c>
      <c r="E4477" s="2">
        <f>HYPERLINK("https://www.amazon.com/adidas-Training-Jersey-White-Black/dp/B01M29BN8D/ref=sr_1_1?keywords=adidas+Tiro+17+Training+Jersey&amp;qid=1695171226&amp;sr=8-1", "https://www.amazon.com/adidas-Training-Jersey-White-Black/dp/B01M29BN8D/ref=sr_1_1?keywords=adidas+Tiro+17+Training+Jersey&amp;qid=1695171226&amp;sr=8-1")</f>
        <v/>
      </c>
      <c r="F4477" t="inlineStr">
        <is>
          <t>B01M29BN8D</t>
        </is>
      </c>
      <c r="G4477">
        <f>_xludf.IMAGE("https://www.soccerplususa.com/prodimages/6626-DEFAULT-l.jpg")</f>
        <v/>
      </c>
      <c r="H4477">
        <f>_xludf.IMAGE("https://m.media-amazon.com/images/I/51KCXIG2tsL._AC_UL320_.jpg")</f>
        <v/>
      </c>
      <c r="K4477" t="inlineStr">
        <is>
          <t>26.21</t>
        </is>
      </c>
      <c r="L4477" t="n">
        <v>16.99</v>
      </c>
      <c r="M4477" s="1" t="inlineStr">
        <is>
          <t>-35.18%</t>
        </is>
      </c>
      <c r="N4477" s="3" t="n">
        <v>-35.18</v>
      </c>
      <c r="O4477" t="n">
        <v>4.2</v>
      </c>
      <c r="P4477" t="n">
        <v>51</v>
      </c>
      <c r="R4477" t="inlineStr">
        <is>
          <t>InStock</t>
        </is>
      </c>
      <c r="S4477" t="inlineStr">
        <is>
          <t>34.95</t>
        </is>
      </c>
      <c r="T4477" t="inlineStr">
        <is>
          <t>BQ2806</t>
        </is>
      </c>
    </row>
    <row r="4478" hidden="1" ht="15.75" customHeight="1">
      <c r="A4478" s="2">
        <f>HYPERLINK("https://www.soccerplususa.com/puma/puma-liga-jersey-37883", "https://www.soccerplususa.com/puma/puma-liga-jersey-37883")</f>
        <v/>
      </c>
      <c r="B4478" t="inlineStr">
        <is>
          <t>undefined</t>
        </is>
      </c>
      <c r="C4478" t="inlineStr">
        <is>
          <t>Puma Liga Jersey</t>
        </is>
      </c>
      <c r="D4478" t="inlineStr">
        <is>
          <t>PUMA Youth Liga Jersey Core</t>
        </is>
      </c>
      <c r="E4478" s="2">
        <f>HYPERLINK("https://www.amazon.com/PUMA-Mens-Jersey-Redpuma-White/dp/B07B8DXZYL/ref=sr_1_6?keywords=Puma+Liga+Jersey&amp;qid=1695171159&amp;sr=8-6", "https://www.amazon.com/PUMA-Mens-Jersey-Redpuma-White/dp/B07B8DXZYL/ref=sr_1_6?keywords=Puma+Liga+Jersey&amp;qid=1695171159&amp;sr=8-6")</f>
        <v/>
      </c>
      <c r="F4478" t="inlineStr">
        <is>
          <t>B07B8DXZYL</t>
        </is>
      </c>
      <c r="G4478">
        <f>_xludf.IMAGE("https://www.soccerplususa.com/prodimages//36780-REDWHITE-M.jpg")</f>
        <v/>
      </c>
      <c r="H4478">
        <f>_xludf.IMAGE("https://m.media-amazon.com/images/I/71154h+V-SL._AC_UL320_.jpg")</f>
        <v/>
      </c>
      <c r="K4478" t="inlineStr">
        <is>
          <t>27.95</t>
        </is>
      </c>
      <c r="L4478" t="n">
        <v>17.95</v>
      </c>
      <c r="M4478" s="1" t="inlineStr">
        <is>
          <t>-35.78%</t>
        </is>
      </c>
      <c r="N4478" s="3" t="n">
        <v>-35.78</v>
      </c>
      <c r="O4478" t="n">
        <v>3.5</v>
      </c>
      <c r="P4478" t="n">
        <v>320</v>
      </c>
      <c r="R4478" t="inlineStr">
        <is>
          <t>InStock</t>
        </is>
      </c>
      <c r="S4478" t="inlineStr">
        <is>
          <t>undefined</t>
        </is>
      </c>
      <c r="T4478" t="inlineStr">
        <is>
          <t>703417-01</t>
        </is>
      </c>
    </row>
    <row r="4479" hidden="1" ht="15.75" customHeight="1">
      <c r="A4479" s="2">
        <f>HYPERLINK("https://www.soccerplususa.com/under-armour/under-armour-coldgear-mock-womens-33129", "https://www.soccerplususa.com/under-armour/under-armour-coldgear-mock-womens-33129")</f>
        <v/>
      </c>
      <c r="B4479" t="inlineStr">
        <is>
          <t>undefined</t>
        </is>
      </c>
      <c r="C4479" t="inlineStr">
        <is>
          <t>Under Armour Coldgear Mock Women's</t>
        </is>
      </c>
      <c r="D4479" t="inlineStr">
        <is>
          <t>Under Armour Cold Gear Rush Jacquard Mock Top - Women's Black/White/Iridescent, S</t>
        </is>
      </c>
      <c r="E4479" s="2">
        <f>HYPERLINK("https://www.amazon.com/Under-Armour-Cold-Gear-Jacquard/dp/B0876PG2XH/ref=sr_1_8?keywords=Under+Armour+Coldgear+Mock+Women%27s&amp;qid=1695171175&amp;sr=8-8", "https://www.amazon.com/Under-Armour-Cold-Gear-Jacquard/dp/B0876PG2XH/ref=sr_1_8?keywords=Under+Armour+Coldgear+Mock+Women%27s&amp;qid=1695171175&amp;sr=8-8")</f>
        <v/>
      </c>
      <c r="F4479" t="inlineStr">
        <is>
          <t>B0876PG2XH</t>
        </is>
      </c>
      <c r="G4479">
        <f>_xludf.IMAGE("https://www.soccerplususa.com/prodimages/2365-DEFAULT-l.jpg")</f>
        <v/>
      </c>
      <c r="H4479">
        <f>_xludf.IMAGE("https://m.media-amazon.com/images/I/61z7M1X5k9L._AC_UL320_.jpg")</f>
        <v/>
      </c>
      <c r="K4479" t="inlineStr">
        <is>
          <t>49.95</t>
        </is>
      </c>
      <c r="L4479" t="n">
        <v>31.84</v>
      </c>
      <c r="M4479" s="1" t="inlineStr">
        <is>
          <t>-36.26%</t>
        </is>
      </c>
      <c r="N4479" s="3" t="n">
        <v>-36.26</v>
      </c>
      <c r="O4479" t="n">
        <v>5</v>
      </c>
      <c r="P4479" t="n">
        <v>1</v>
      </c>
      <c r="R4479" t="inlineStr">
        <is>
          <t>InStock</t>
        </is>
      </c>
      <c r="S4479" t="inlineStr">
        <is>
          <t>undefined</t>
        </is>
      </c>
      <c r="T4479" t="inlineStr">
        <is>
          <t>1215968-100</t>
        </is>
      </c>
    </row>
    <row r="4480" hidden="1" ht="15.75" customHeight="1">
      <c r="A4480" s="2">
        <f>HYPERLINK("https://www.soccerplususa.com/puma/puma-liga-training-jacket-35519", "https://www.soccerplususa.com/puma/puma-liga-training-jacket-35519")</f>
        <v/>
      </c>
      <c r="B4480" t="inlineStr">
        <is>
          <t>undefined</t>
        </is>
      </c>
      <c r="C4480" t="inlineStr">
        <is>
          <t>Puma Liga Training Jacket</t>
        </is>
      </c>
      <c r="D4480" t="inlineStr">
        <is>
          <t>PUMA womens Liga Training Jacket, Black-white, Medium US</t>
        </is>
      </c>
      <c r="E4480" s="2">
        <f>HYPERLINK("https://www.amazon.com/PUMA-Womens-Training-Jacket-Blackpuma/dp/B07FBK244Q/ref=sr_1_4?keywords=Puma+Liga+Training+Jacket&amp;qid=1695171164&amp;sr=8-4", "https://www.amazon.com/PUMA-Womens-Training-Jacket-Blackpuma/dp/B07FBK244Q/ref=sr_1_4?keywords=Puma+Liga+Training+Jacket&amp;qid=1695171164&amp;sr=8-4")</f>
        <v/>
      </c>
      <c r="F4480" t="inlineStr">
        <is>
          <t>B07FBK244Q</t>
        </is>
      </c>
      <c r="G4480">
        <f>_xludf.IMAGE("https://www.soccerplususa.com/prodimages/32207-DEFAULT-l.jpg")</f>
        <v/>
      </c>
      <c r="H4480">
        <f>_xludf.IMAGE("https://m.media-amazon.com/images/I/61RvUittiEL._AC_UL320_.jpg")</f>
        <v/>
      </c>
      <c r="K4480" t="inlineStr">
        <is>
          <t>45.0</t>
        </is>
      </c>
      <c r="L4480" t="n">
        <v>28.63</v>
      </c>
      <c r="M4480" s="1" t="inlineStr">
        <is>
          <t>-36.38%</t>
        </is>
      </c>
      <c r="N4480" s="3" t="n">
        <v>-36.38</v>
      </c>
      <c r="O4480" t="n">
        <v>4.4</v>
      </c>
      <c r="P4480" t="n">
        <v>71</v>
      </c>
      <c r="R4480" t="inlineStr">
        <is>
          <t>InStock</t>
        </is>
      </c>
      <c r="S4480" t="inlineStr">
        <is>
          <t>59.95</t>
        </is>
      </c>
      <c r="T4480" t="inlineStr">
        <is>
          <t>655687-02</t>
        </is>
      </c>
    </row>
    <row r="4481" hidden="1" ht="15.75" customHeight="1">
      <c r="A4481" s="2">
        <f>HYPERLINK("https://www.soccerplususa.com/under-armour/under-armour-coldgear-compression-mock-44300", "https://www.soccerplususa.com/under-armour/under-armour-coldgear-compression-mock-44300")</f>
        <v/>
      </c>
      <c r="B4481" t="inlineStr">
        <is>
          <t>undefined</t>
        </is>
      </c>
      <c r="C4481" t="inlineStr">
        <is>
          <t>Under Armour ColdGear Compression Mock</t>
        </is>
      </c>
      <c r="D4481" t="inlineStr">
        <is>
          <t>Under Armour Men's Compression Mock Turtlenecks (Medium)</t>
        </is>
      </c>
      <c r="E4481" s="2">
        <f>HYPERLINK("https://www.amazon.com/Under-Armour-Compression-Turtlenecks-Medium/dp/B01N2Z7X9H/ref=sr_1_7?keywords=Under+Armour+ColdGear+Compression+Mock&amp;qid=1695171160&amp;sr=8-7", "https://www.amazon.com/Under-Armour-Compression-Turtlenecks-Medium/dp/B01N2Z7X9H/ref=sr_1_7?keywords=Under+Armour+ColdGear+Compression+Mock&amp;qid=1695171160&amp;sr=8-7")</f>
        <v/>
      </c>
      <c r="F4481" t="inlineStr">
        <is>
          <t>B01N2Z7X9H</t>
        </is>
      </c>
      <c r="G4481">
        <f>_xludf.IMAGE("https://www.soccerplususa.com/prodimages//36057-BLACK-M.jpg")</f>
        <v/>
      </c>
      <c r="H4481">
        <f>_xludf.IMAGE("https://m.media-amazon.com/images/I/91tl1tGlsNL._AC_UL320_.jpg")</f>
        <v/>
      </c>
      <c r="K4481" t="inlineStr">
        <is>
          <t>54.95</t>
        </is>
      </c>
      <c r="L4481" t="n">
        <v>34.95</v>
      </c>
      <c r="M4481" s="1" t="inlineStr">
        <is>
          <t>-36.40%</t>
        </is>
      </c>
      <c r="N4481" s="3" t="n">
        <v>-36.4</v>
      </c>
      <c r="O4481" t="n">
        <v>1</v>
      </c>
      <c r="P4481" t="n">
        <v>1</v>
      </c>
      <c r="R4481" t="inlineStr">
        <is>
          <t>InStock</t>
        </is>
      </c>
      <c r="S4481" t="inlineStr">
        <is>
          <t>undefined</t>
        </is>
      </c>
      <c r="T4481" t="inlineStr">
        <is>
          <t>1366072-001</t>
        </is>
      </c>
    </row>
    <row r="4482" hidden="1" ht="15.75" customHeight="1">
      <c r="A4482" s="2">
        <f>HYPERLINK("https://www.soccerplususa.com/adidas/adidas-tiro-17-jersey-4868", "https://www.soccerplususa.com/adidas/adidas-tiro-17-jersey-4868")</f>
        <v/>
      </c>
      <c r="B4482" t="inlineStr">
        <is>
          <t>undefined</t>
        </is>
      </c>
      <c r="C4482" t="inlineStr">
        <is>
          <t>adidas Tiro 17 Jersey</t>
        </is>
      </c>
      <c r="D4482" t="inlineStr">
        <is>
          <t>adidas Mens Tiro 17 Jersey Black/White S</t>
        </is>
      </c>
      <c r="E4482" s="2">
        <f>HYPERLINK("https://www.amazon.com/Adidas-Mens-Jersey-Black-White/dp/B01N64GCZ6/ref=sr_1_3?keywords=adidas+Tiro+17+Jersey&amp;qid=1695171228&amp;sr=8-3", "https://www.amazon.com/Adidas-Mens-Jersey-Black-White/dp/B01N64GCZ6/ref=sr_1_3?keywords=adidas+Tiro+17+Jersey&amp;qid=1695171228&amp;sr=8-3")</f>
        <v/>
      </c>
      <c r="F4482" t="inlineStr">
        <is>
          <t>B01N64GCZ6</t>
        </is>
      </c>
      <c r="G4482">
        <f>_xludf.IMAGE("https://www.soccerplususa.com/prodimages/32792-DEFAULT-l.jpg")</f>
        <v/>
      </c>
      <c r="H4482">
        <f>_xludf.IMAGE("https://m.media-amazon.com/images/I/61WO-O2xDLL._AC_UL320_.jpg")</f>
        <v/>
      </c>
      <c r="K4482" t="inlineStr">
        <is>
          <t>29.99</t>
        </is>
      </c>
      <c r="L4482" t="n">
        <v>19.07</v>
      </c>
      <c r="M4482" s="1" t="inlineStr">
        <is>
          <t>-36.41%</t>
        </is>
      </c>
      <c r="N4482" s="3" t="n">
        <v>-36.41</v>
      </c>
      <c r="O4482" t="n">
        <v>4.3</v>
      </c>
      <c r="P4482" t="n">
        <v>8</v>
      </c>
      <c r="R4482" t="inlineStr">
        <is>
          <t>InStock</t>
        </is>
      </c>
      <c r="S4482" t="inlineStr">
        <is>
          <t>39.95</t>
        </is>
      </c>
      <c r="T4482" t="inlineStr">
        <is>
          <t>BK5435</t>
        </is>
      </c>
    </row>
    <row r="4483" hidden="1" ht="15.75" customHeight="1">
      <c r="A4483" s="2">
        <f>HYPERLINK("https://www.soccerplususa.com/adidas/adidas-tiro-17-jersey-womens-4818", "https://www.soccerplususa.com/adidas/adidas-tiro-17-jersey-womens-4818")</f>
        <v/>
      </c>
      <c r="B4483" t="inlineStr">
        <is>
          <t>undefined</t>
        </is>
      </c>
      <c r="C4483" t="inlineStr">
        <is>
          <t>adidas Tiro 17 Jersey Women's</t>
        </is>
      </c>
      <c r="D4483" t="inlineStr">
        <is>
          <t>adidas Mens Tiro 17 Jersey Black/White S</t>
        </is>
      </c>
      <c r="E4483" s="2">
        <f>HYPERLINK("https://www.amazon.com/Adidas-Mens-Jersey-Black-White/dp/B01N64GCZ6/ref=sr_1_7?keywords=adidas+Tiro+17+Jersey+Women%27s&amp;qid=1695171228&amp;sr=8-7", "https://www.amazon.com/Adidas-Mens-Jersey-Black-White/dp/B01N64GCZ6/ref=sr_1_7?keywords=adidas+Tiro+17+Jersey+Women%27s&amp;qid=1695171228&amp;sr=8-7")</f>
        <v/>
      </c>
      <c r="F4483" t="inlineStr">
        <is>
          <t>B01N64GCZ6</t>
        </is>
      </c>
      <c r="G4483">
        <f>_xludf.IMAGE("https://www.soccerplususa.com/prodimages/33189-DEFAULT-l.jpg")</f>
        <v/>
      </c>
      <c r="H4483">
        <f>_xludf.IMAGE("https://m.media-amazon.com/images/I/61WO-O2xDLL._AC_UL320_.jpg")</f>
        <v/>
      </c>
      <c r="K4483" t="inlineStr">
        <is>
          <t>30.0</t>
        </is>
      </c>
      <c r="L4483" t="n">
        <v>19.07</v>
      </c>
      <c r="M4483" s="1" t="inlineStr">
        <is>
          <t>-36.43%</t>
        </is>
      </c>
      <c r="N4483" s="3" t="n">
        <v>-36.43</v>
      </c>
      <c r="O4483" t="n">
        <v>4.3</v>
      </c>
      <c r="P4483" t="n">
        <v>8</v>
      </c>
      <c r="R4483" t="inlineStr">
        <is>
          <t>InStock</t>
        </is>
      </c>
      <c r="S4483" t="inlineStr">
        <is>
          <t>39.95</t>
        </is>
      </c>
      <c r="T4483" t="inlineStr">
        <is>
          <t>BJ9095</t>
        </is>
      </c>
    </row>
    <row r="4484" hidden="1" ht="15.75" customHeight="1">
      <c r="A4484" s="2">
        <f>HYPERLINK("https://www.soccerplususa.com/adidas/adidas-tiro-23-league-warm-top-45473", "https://www.soccerplususa.com/adidas/adidas-tiro-23-league-warm-top-45473")</f>
        <v/>
      </c>
      <c r="B4484" t="inlineStr">
        <is>
          <t>undefined</t>
        </is>
      </c>
      <c r="C4484" t="inlineStr">
        <is>
          <t>adidas Tiro 23 League Warm Top</t>
        </is>
      </c>
      <c r="D4484" t="inlineStr">
        <is>
          <t>adidas Men's Tiro23 League Training Top</t>
        </is>
      </c>
      <c r="E4484" s="2">
        <f>HYPERLINK("https://www.amazon.com/adidas-Tiro23-League-Training-X-Large/dp/B09YDQCLWW/ref=sr_1_2?keywords=adidas+Tiro+23+League+Warm+Top&amp;qid=1695171152&amp;sr=8-2", "https://www.amazon.com/adidas-Tiro23-League-Training-X-Large/dp/B09YDQCLWW/ref=sr_1_2?keywords=adidas+Tiro+23+League+Warm+Top&amp;qid=1695171152&amp;sr=8-2")</f>
        <v/>
      </c>
      <c r="F4484" t="inlineStr">
        <is>
          <t>B09YDQCLWW</t>
        </is>
      </c>
      <c r="G4484">
        <f>_xludf.IMAGE("https://www.soccerplususa.com/prodimages//37396-BLACKWHITE-M.jpg")</f>
        <v/>
      </c>
      <c r="H4484">
        <f>_xludf.IMAGE("https://m.media-amazon.com/images/I/61RORblhDBL._AC_UL320_.jpg")</f>
        <v/>
      </c>
      <c r="K4484" t="inlineStr">
        <is>
          <t>74.95</t>
        </is>
      </c>
      <c r="L4484" t="n">
        <v>47.54</v>
      </c>
      <c r="M4484" s="1" t="inlineStr">
        <is>
          <t>-36.57%</t>
        </is>
      </c>
      <c r="N4484" s="3" t="n">
        <v>-36.57</v>
      </c>
      <c r="O4484" t="n">
        <v>5</v>
      </c>
      <c r="P4484" t="n">
        <v>5</v>
      </c>
      <c r="R4484" t="inlineStr">
        <is>
          <t>InStock</t>
        </is>
      </c>
      <c r="S4484" t="inlineStr">
        <is>
          <t>undefined</t>
        </is>
      </c>
      <c r="T4484" t="inlineStr">
        <is>
          <t>HS3573</t>
        </is>
      </c>
    </row>
    <row r="4485" hidden="1" ht="15.75" customHeight="1">
      <c r="A4485" s="2">
        <f>HYPERLINK("https://www.soccerplususa.com/under-armour/under-armour-cold-gear-armour-mock-youth-33310", "https://www.soccerplususa.com/under-armour/under-armour-cold-gear-armour-mock-youth-33310")</f>
        <v/>
      </c>
      <c r="B4485" t="inlineStr">
        <is>
          <t>undefined</t>
        </is>
      </c>
      <c r="C4485" t="inlineStr">
        <is>
          <t>Under Armour Cold Gear Armour Mock Youth</t>
        </is>
      </c>
      <c r="D4485" t="inlineStr">
        <is>
          <t>Under Armour Boys ColdGear Evo Fitted Long Sleeve Mock T-Shirt</t>
        </is>
      </c>
      <c r="E4485" s="2">
        <f>HYPERLINK("https://www.amazon.com/Under-Armour-ColdGear-Fitted-Orange/dp/B00GOGO4X8/ref=sr_1_6?keywords=Under+Armour+Cold+Gear+Armour+Mock+Youth&amp;qid=1695171174&amp;sr=8-6", "https://www.amazon.com/Under-Armour-ColdGear-Fitted-Orange/dp/B00GOGO4X8/ref=sr_1_6?keywords=Under+Armour+Cold+Gear+Armour+Mock+Youth&amp;qid=1695171174&amp;sr=8-6")</f>
        <v/>
      </c>
      <c r="F4485" t="inlineStr">
        <is>
          <t>B00GOGO4X8</t>
        </is>
      </c>
      <c r="G4485">
        <f>_xludf.IMAGE("https://www.soccerplususa.com/prodimages/5586-DEFAULT-l.jpg")</f>
        <v/>
      </c>
      <c r="H4485">
        <f>_xludf.IMAGE("https://m.media-amazon.com/images/I/91WruWTd6DL._AC_UL320_.jpg")</f>
        <v/>
      </c>
      <c r="K4485" t="inlineStr">
        <is>
          <t>39.95</t>
        </is>
      </c>
      <c r="L4485" t="n">
        <v>25</v>
      </c>
      <c r="M4485" s="1" t="inlineStr">
        <is>
          <t>-37.42%</t>
        </is>
      </c>
      <c r="N4485" s="3" t="n">
        <v>-37.42</v>
      </c>
      <c r="O4485" t="n">
        <v>4.7</v>
      </c>
      <c r="P4485" t="n">
        <v>155</v>
      </c>
      <c r="R4485" t="inlineStr">
        <is>
          <t>InStock</t>
        </is>
      </c>
      <c r="S4485" t="inlineStr">
        <is>
          <t>undefined</t>
        </is>
      </c>
      <c r="T4485" t="inlineStr">
        <is>
          <t>1288343-001</t>
        </is>
      </c>
    </row>
    <row r="4486" hidden="1" ht="15.75" customHeight="1">
      <c r="A4486" s="2">
        <f>HYPERLINK("https://www.soccerplususa.com/under-armour/under-armour-cold-gear-armour-mock-youth-33311", "https://www.soccerplususa.com/under-armour/under-armour-cold-gear-armour-mock-youth-33311")</f>
        <v/>
      </c>
      <c r="B4486" t="inlineStr">
        <is>
          <t>undefined</t>
        </is>
      </c>
      <c r="C4486" t="inlineStr">
        <is>
          <t>Under Armour Cold Gear Armour Mock Youth</t>
        </is>
      </c>
      <c r="D4486" t="inlineStr">
        <is>
          <t>Under Armour Boys ColdGear Evo Fitted Long Sleeve Mock T-Shirt</t>
        </is>
      </c>
      <c r="E4486" s="2">
        <f>HYPERLINK("https://www.amazon.com/Under-Armour-ColdGear-Fitted-Orange/dp/B00GOGO4X8/ref=sr_1_8?keywords=Under+Armour+Cold+Gear+Armour+Mock+Youth&amp;qid=1695171169&amp;sr=8-8", "https://www.amazon.com/Under-Armour-ColdGear-Fitted-Orange/dp/B00GOGO4X8/ref=sr_1_8?keywords=Under+Armour+Cold+Gear+Armour+Mock+Youth&amp;qid=1695171169&amp;sr=8-8")</f>
        <v/>
      </c>
      <c r="F4486" t="inlineStr">
        <is>
          <t>B00GOGO4X8</t>
        </is>
      </c>
      <c r="G4486">
        <f>_xludf.IMAGE("https://www.soccerplususa.com/prodimages/5585-DEFAULT-l.jpg")</f>
        <v/>
      </c>
      <c r="H4486">
        <f>_xludf.IMAGE("https://m.media-amazon.com/images/I/91WruWTd6DL._AC_UL320_.jpg")</f>
        <v/>
      </c>
      <c r="K4486" t="inlineStr">
        <is>
          <t>39.95</t>
        </is>
      </c>
      <c r="L4486" t="n">
        <v>25</v>
      </c>
      <c r="M4486" s="1" t="inlineStr">
        <is>
          <t>-37.42%</t>
        </is>
      </c>
      <c r="N4486" s="3" t="n">
        <v>-37.42</v>
      </c>
      <c r="O4486" t="n">
        <v>4.7</v>
      </c>
      <c r="P4486" t="n">
        <v>155</v>
      </c>
      <c r="R4486" t="inlineStr">
        <is>
          <t>InStock</t>
        </is>
      </c>
      <c r="S4486" t="inlineStr">
        <is>
          <t>undefined</t>
        </is>
      </c>
      <c r="T4486" t="inlineStr">
        <is>
          <t>1288343-100</t>
        </is>
      </c>
    </row>
    <row r="4487" hidden="1" ht="15.75" customHeight="1">
      <c r="A4487" s="2">
        <f>HYPERLINK("https://www.soccerplususa.com/nike/nike-dry-academy-18-football-jacket-youth-34589", "https://www.soccerplususa.com/nike/nike-dry-academy-18-football-jacket-youth-34589")</f>
        <v/>
      </c>
      <c r="B4487" t="inlineStr">
        <is>
          <t>undefined</t>
        </is>
      </c>
      <c r="C4487" t="inlineStr">
        <is>
          <t>Nike Dry Academy 18 Football Jacket Youth</t>
        </is>
      </c>
      <c r="D4487" t="inlineStr">
        <is>
          <t>Men's Nike Dry Academy18 Football Jacket</t>
        </is>
      </c>
      <c r="E4487" s="2">
        <f>HYPERLINK("https://www.amazon.com/Academy18-Football-Jacket-University-White/dp/B079K2XQQL/ref=sr_1_6?keywords=Nike+Dry+Academy+18+Football+Jacket+Youth&amp;qid=1695171163&amp;sr=8-6", "https://www.amazon.com/Academy18-Football-Jacket-University-White/dp/B079K2XQQL/ref=sr_1_6?keywords=Nike+Dry+Academy+18+Football+Jacket+Youth&amp;qid=1695171163&amp;sr=8-6")</f>
        <v/>
      </c>
      <c r="F4487" t="inlineStr">
        <is>
          <t>B079K2XQQL</t>
        </is>
      </c>
      <c r="G4487">
        <f>_xludf.IMAGE("https://www.soccerplususa.com/prodimages/7468-DEFAULT-l.jpg")</f>
        <v/>
      </c>
      <c r="H4487">
        <f>_xludf.IMAGE("https://m.media-amazon.com/images/I/81eVvYX73iL._AC_UL320_.jpg")</f>
        <v/>
      </c>
      <c r="K4487" t="inlineStr">
        <is>
          <t>111.99</t>
        </is>
      </c>
      <c r="L4487" t="n">
        <v>70</v>
      </c>
      <c r="M4487" s="1" t="inlineStr">
        <is>
          <t>-37.49%</t>
        </is>
      </c>
      <c r="N4487" s="3" t="n">
        <v>-37.49</v>
      </c>
      <c r="O4487" t="n">
        <v>4.4</v>
      </c>
      <c r="P4487" t="n">
        <v>1577</v>
      </c>
      <c r="R4487" t="inlineStr">
        <is>
          <t>InStock</t>
        </is>
      </c>
      <c r="S4487" t="inlineStr">
        <is>
          <t>149.95</t>
        </is>
      </c>
      <c r="T4487" t="inlineStr">
        <is>
          <t>893827-010</t>
        </is>
      </c>
    </row>
    <row r="4488" hidden="1" ht="15.75" customHeight="1">
      <c r="A4488" s="2">
        <f>HYPERLINK("https://www.soccerplususa.com/adidas/adidas-tiro-19-training-jacket-33919", "https://www.soccerplususa.com/adidas/adidas-tiro-19-training-jacket-33919")</f>
        <v/>
      </c>
      <c r="B4488" t="inlineStr">
        <is>
          <t>undefined</t>
        </is>
      </c>
      <c r="C4488" t="inlineStr">
        <is>
          <t>adidas Tiro 19 Training Jacket</t>
        </is>
      </c>
      <c r="D4488" t="inlineStr">
        <is>
          <t>adidas Men's Tiro23 League Training Jacket</t>
        </is>
      </c>
      <c r="E4488" s="2">
        <f>HYPERLINK("https://www.amazon.com/adidas-Tiro23-League-Training-X-Large/dp/B09XM226NP/ref=sr_1_10?keywords=adidas+Tiro+19+Training+Jacket&amp;qid=1695171165&amp;sr=8-10", "https://www.amazon.com/adidas-Tiro23-League-Training-X-Large/dp/B09XM226NP/ref=sr_1_10?keywords=adidas+Tiro+19+Training+Jacket&amp;qid=1695171165&amp;sr=8-10")</f>
        <v/>
      </c>
      <c r="F4488" t="inlineStr">
        <is>
          <t>B09XM226NP</t>
        </is>
      </c>
      <c r="G4488">
        <f>_xludf.IMAGE("https://www.soccerplususa.com/prodimages/7895-DEFAULT-l.jpg")</f>
        <v/>
      </c>
      <c r="H4488">
        <f>_xludf.IMAGE("https://m.media-amazon.com/images/I/71kSTlott3L._AC_UL320_.jpg")</f>
        <v/>
      </c>
      <c r="K4488" t="inlineStr">
        <is>
          <t>49.0</t>
        </is>
      </c>
      <c r="L4488" t="n">
        <v>30.57</v>
      </c>
      <c r="M4488" s="1" t="inlineStr">
        <is>
          <t>-37.61%</t>
        </is>
      </c>
      <c r="N4488" s="3" t="n">
        <v>-37.61</v>
      </c>
      <c r="O4488" t="n">
        <v>4.6</v>
      </c>
      <c r="P4488" t="n">
        <v>35</v>
      </c>
      <c r="R4488" t="inlineStr">
        <is>
          <t>InStock</t>
        </is>
      </c>
      <c r="S4488" t="inlineStr">
        <is>
          <t>64.95</t>
        </is>
      </c>
      <c r="T4488" t="inlineStr">
        <is>
          <t>DJ2594</t>
        </is>
      </c>
    </row>
    <row r="4489" hidden="1" ht="15.75" customHeight="1">
      <c r="A4489" s="2">
        <f>HYPERLINK("https://www.soccerplususa.com/under-armour/under-armour-coldgear-armour-fitted-mock-41592", "https://www.soccerplususa.com/under-armour/under-armour-coldgear-armour-fitted-mock-41592")</f>
        <v/>
      </c>
      <c r="B4489" t="inlineStr">
        <is>
          <t>undefined</t>
        </is>
      </c>
      <c r="C4489" t="inlineStr">
        <is>
          <t>Under Armour ColdGear Armour Fitted Mock</t>
        </is>
      </c>
      <c r="D4489" t="inlineStr">
        <is>
          <t>Under Armour Men's ColdGear Fitted Crew</t>
        </is>
      </c>
      <c r="E4489" s="2">
        <f>HYPERLINK("https://www.amazon.com/Under-Armour-ColdGear-Fitted-X-Large/dp/B08LNZ94M7/ref=sr_1_3?keywords=Under+Armour+ColdGear+Armour+Fitted+Mock&amp;qid=1695171146&amp;sr=8-3", "https://www.amazon.com/Under-Armour-ColdGear-Fitted-X-Large/dp/B08LNZ94M7/ref=sr_1_3?keywords=Under+Armour+ColdGear+Armour+Fitted+Mock&amp;qid=1695171146&amp;sr=8-3")</f>
        <v/>
      </c>
      <c r="F4489" t="inlineStr">
        <is>
          <t>B08LNZ94M7</t>
        </is>
      </c>
      <c r="G4489">
        <f>_xludf.IMAGE("https://www.soccerplususa.com/prodimages//36795-BLACK-M.jpg")</f>
        <v/>
      </c>
      <c r="H4489">
        <f>_xludf.IMAGE("https://m.media-amazon.com/images/I/71+I+VK+RfL._AC_UL320_.jpg")</f>
        <v/>
      </c>
      <c r="K4489" t="inlineStr">
        <is>
          <t>54.95</t>
        </is>
      </c>
      <c r="L4489" t="n">
        <v>34.21</v>
      </c>
      <c r="M4489" s="1" t="inlineStr">
        <is>
          <t>-37.74%</t>
        </is>
      </c>
      <c r="N4489" s="3" t="n">
        <v>-37.74</v>
      </c>
      <c r="O4489" t="n">
        <v>4.8</v>
      </c>
      <c r="P4489" t="n">
        <v>612</v>
      </c>
      <c r="R4489" t="inlineStr">
        <is>
          <t>InStock</t>
        </is>
      </c>
      <c r="S4489" t="inlineStr">
        <is>
          <t>undefined</t>
        </is>
      </c>
      <c r="T4489" t="inlineStr">
        <is>
          <t>1366066-001</t>
        </is>
      </c>
    </row>
    <row r="4490" hidden="1" ht="15.75" customHeight="1">
      <c r="A4490" s="2">
        <f>HYPERLINK("https://www.soccerplususa.com/puma/puma-santiago-jersey-35512", "https://www.soccerplususa.com/puma/puma-santiago-jersey-35512")</f>
        <v/>
      </c>
      <c r="B4490" t="inlineStr">
        <is>
          <t>undefined</t>
        </is>
      </c>
      <c r="C4490" t="inlineStr">
        <is>
          <t>Puma Santiago Jersey</t>
        </is>
      </c>
      <c r="D4490" t="inlineStr">
        <is>
          <t>PUMA Kids' Santiago Tg Jersey</t>
        </is>
      </c>
      <c r="E4490" s="2">
        <f>HYPERLINK("https://www.amazon.com/PUMA-Santiago-TG-Youth-Jersey/dp/B07NC5LB5J/ref=sr_1_2?keywords=Puma+Santiago+Jersey&amp;qid=1695171161&amp;sr=8-2", "https://www.amazon.com/PUMA-Santiago-TG-Youth-Jersey/dp/B07NC5LB5J/ref=sr_1_2?keywords=Puma+Santiago+Jersey&amp;qid=1695171161&amp;sr=8-2")</f>
        <v/>
      </c>
      <c r="F4490" t="inlineStr">
        <is>
          <t>B07NC5LB5J</t>
        </is>
      </c>
      <c r="G4490">
        <f>_xludf.IMAGE("https://www.soccerplususa.com/prodimages/32674-DEFAULT-l.jpg")</f>
        <v/>
      </c>
      <c r="H4490">
        <f>_xludf.IMAGE("https://m.media-amazon.com/images/I/71VlDVNNYxL._AC_UL320_.jpg")</f>
        <v/>
      </c>
      <c r="K4490" t="inlineStr">
        <is>
          <t>16.0</t>
        </is>
      </c>
      <c r="L4490" t="n">
        <v>9.949999999999999</v>
      </c>
      <c r="M4490" s="1" t="inlineStr">
        <is>
          <t>-37.81%</t>
        </is>
      </c>
      <c r="N4490" s="3" t="n">
        <v>-37.81</v>
      </c>
      <c r="O4490" t="n">
        <v>3.7</v>
      </c>
      <c r="P4490" t="n">
        <v>20</v>
      </c>
      <c r="R4490" t="inlineStr">
        <is>
          <t>InStock</t>
        </is>
      </c>
      <c r="S4490" t="inlineStr">
        <is>
          <t>31.95</t>
        </is>
      </c>
      <c r="T4490" t="inlineStr">
        <is>
          <t>655501-16</t>
        </is>
      </c>
    </row>
    <row r="4491" hidden="1" ht="15.75" customHeight="1">
      <c r="A4491" s="2">
        <f>HYPERLINK("https://www.soccerplususa.com/puma/puma-santiago-jersey-29026", "https://www.soccerplususa.com/puma/puma-santiago-jersey-29026")</f>
        <v/>
      </c>
      <c r="B4491" t="inlineStr">
        <is>
          <t>undefined</t>
        </is>
      </c>
      <c r="C4491" t="inlineStr">
        <is>
          <t>Puma Santiago Jersey</t>
        </is>
      </c>
      <c r="D4491" t="inlineStr">
        <is>
          <t>PUMA Kids' Santiago Tg Jersey</t>
        </is>
      </c>
      <c r="E4491" s="2">
        <f>HYPERLINK("https://www.amazon.com/PUMA-Santiago-TG-Youth-Jersey/dp/B07NC5LB5J/ref=sr_1_2?keywords=Puma+Santiago+Jersey&amp;qid=1695171172&amp;sr=8-2", "https://www.amazon.com/PUMA-Santiago-TG-Youth-Jersey/dp/B07NC5LB5J/ref=sr_1_2?keywords=Puma+Santiago+Jersey&amp;qid=1695171172&amp;sr=8-2")</f>
        <v/>
      </c>
      <c r="F4491" t="inlineStr">
        <is>
          <t>B07NC5LB5J</t>
        </is>
      </c>
      <c r="G4491">
        <f>_xludf.IMAGE("https://www.soccerplususa.com/prodimages/32663-DEFAULT-l.jpg")</f>
        <v/>
      </c>
      <c r="H4491">
        <f>_xludf.IMAGE("https://m.media-amazon.com/images/I/71VlDVNNYxL._AC_UL320_.jpg")</f>
        <v/>
      </c>
      <c r="K4491" t="inlineStr">
        <is>
          <t>16.0</t>
        </is>
      </c>
      <c r="L4491" t="n">
        <v>9.949999999999999</v>
      </c>
      <c r="M4491" s="1" t="inlineStr">
        <is>
          <t>-37.81%</t>
        </is>
      </c>
      <c r="N4491" s="3" t="n">
        <v>-37.81</v>
      </c>
      <c r="O4491" t="n">
        <v>3.7</v>
      </c>
      <c r="P4491" t="n">
        <v>20</v>
      </c>
      <c r="R4491" t="inlineStr">
        <is>
          <t>InStock</t>
        </is>
      </c>
      <c r="S4491" t="inlineStr">
        <is>
          <t>31.95</t>
        </is>
      </c>
      <c r="T4491" t="inlineStr">
        <is>
          <t>655501-06</t>
        </is>
      </c>
    </row>
    <row r="4492" hidden="1" ht="15.75" customHeight="1">
      <c r="A4492" s="2">
        <f>HYPERLINK("https://www.soccerplususa.com/puma/puma-santiago-jersey-29027", "https://www.soccerplususa.com/puma/puma-santiago-jersey-29027")</f>
        <v/>
      </c>
      <c r="B4492" t="inlineStr">
        <is>
          <t>undefined</t>
        </is>
      </c>
      <c r="C4492" t="inlineStr">
        <is>
          <t>Puma Santiago Jersey</t>
        </is>
      </c>
      <c r="D4492" t="inlineStr">
        <is>
          <t>PUMA Kids' Santiago Tg Jersey</t>
        </is>
      </c>
      <c r="E4492" s="2">
        <f>HYPERLINK("https://www.amazon.com/PUMA-Santiago-TG-Youth-Jersey/dp/B07NC5LB5J/ref=sr_1_1?keywords=Puma+Santiago+Jersey&amp;qid=1695171173&amp;sr=8-1", "https://www.amazon.com/PUMA-Santiago-TG-Youth-Jersey/dp/B07NC5LB5J/ref=sr_1_1?keywords=Puma+Santiago+Jersey&amp;qid=1695171173&amp;sr=8-1")</f>
        <v/>
      </c>
      <c r="F4492" t="inlineStr">
        <is>
          <t>B07NC5LB5J</t>
        </is>
      </c>
      <c r="G4492">
        <f>_xludf.IMAGE("https://www.soccerplususa.com/prodimages/32664-DEFAULT-l.jpg")</f>
        <v/>
      </c>
      <c r="H4492">
        <f>_xludf.IMAGE("https://m.media-amazon.com/images/I/71VlDVNNYxL._AC_UL320_.jpg")</f>
        <v/>
      </c>
      <c r="K4492" t="inlineStr">
        <is>
          <t>16.0</t>
        </is>
      </c>
      <c r="L4492" t="n">
        <v>9.949999999999999</v>
      </c>
      <c r="M4492" s="1" t="inlineStr">
        <is>
          <t>-37.81%</t>
        </is>
      </c>
      <c r="N4492" s="3" t="n">
        <v>-37.81</v>
      </c>
      <c r="O4492" t="n">
        <v>3.7</v>
      </c>
      <c r="P4492" t="n">
        <v>20</v>
      </c>
      <c r="R4492" t="inlineStr">
        <is>
          <t>InStock</t>
        </is>
      </c>
      <c r="S4492" t="inlineStr">
        <is>
          <t>31.95</t>
        </is>
      </c>
      <c r="T4492" t="inlineStr">
        <is>
          <t>655501-29</t>
        </is>
      </c>
    </row>
    <row r="4493" hidden="1" ht="15.75" customHeight="1">
      <c r="A4493" s="2">
        <f>HYPERLINK("https://www.soccerplususa.com/adidas/adidas-tiro-17-jersey-33798", "https://www.soccerplususa.com/adidas/adidas-tiro-17-jersey-33798")</f>
        <v/>
      </c>
      <c r="B4493" t="inlineStr">
        <is>
          <t>undefined</t>
        </is>
      </c>
      <c r="C4493" t="inlineStr">
        <is>
          <t>adidas Tiro 17 Jersey</t>
        </is>
      </c>
      <c r="D4493" t="inlineStr">
        <is>
          <t>adidas Tiro 17 Womens Soccer Jersey 2XS Power Red-White</t>
        </is>
      </c>
      <c r="E4493" s="2">
        <f>HYPERLINK("https://www.amazon.com/adidas-Womens-Soccer-Jersey-Red-White/dp/B01N76Z1OB/ref=sr_1_9?keywords=adidas+Tiro+17+Jersey&amp;qid=1695171166&amp;sr=8-9", "https://www.amazon.com/adidas-Womens-Soccer-Jersey-Red-White/dp/B01N76Z1OB/ref=sr_1_9?keywords=adidas+Tiro+17+Jersey&amp;qid=1695171166&amp;sr=8-9")</f>
        <v/>
      </c>
      <c r="F4493" t="inlineStr">
        <is>
          <t>B01N76Z1OB</t>
        </is>
      </c>
      <c r="G4493">
        <f>_xludf.IMAGE("https://www.soccerplususa.com/prodimages/7452-DEFAULT-l.jpg")</f>
        <v/>
      </c>
      <c r="H4493">
        <f>_xludf.IMAGE("https://m.media-amazon.com/images/I/51gJIbK-kFL._AC_UL320_.jpg")</f>
        <v/>
      </c>
      <c r="K4493" t="inlineStr">
        <is>
          <t>23.97</t>
        </is>
      </c>
      <c r="L4493" t="n">
        <v>14.89</v>
      </c>
      <c r="M4493" s="1" t="inlineStr">
        <is>
          <t>-37.88%</t>
        </is>
      </c>
      <c r="N4493" s="3" t="n">
        <v>-37.88</v>
      </c>
      <c r="O4493" t="n">
        <v>5</v>
      </c>
      <c r="P4493" t="n">
        <v>1</v>
      </c>
      <c r="R4493" t="inlineStr">
        <is>
          <t>InStock</t>
        </is>
      </c>
      <c r="S4493" t="inlineStr">
        <is>
          <t>39.95</t>
        </is>
      </c>
      <c r="T4493" t="inlineStr">
        <is>
          <t>BS4216</t>
        </is>
      </c>
    </row>
    <row r="4494" hidden="1" ht="15.75" customHeight="1">
      <c r="A4494" s="2">
        <f>HYPERLINK("https://www.soccerplususa.com/puma/puma-liga-jersey-youth-37886", "https://www.soccerplususa.com/puma/puma-liga-jersey-youth-37886")</f>
        <v/>
      </c>
      <c r="B4494" t="inlineStr">
        <is>
          <t>undefined</t>
        </is>
      </c>
      <c r="C4494" t="inlineStr">
        <is>
          <t>Puma Liga Jersey Youth</t>
        </is>
      </c>
      <c r="D4494" t="inlineStr">
        <is>
          <t>PUMA Kids' Youth Liga Training Jersey</t>
        </is>
      </c>
      <c r="E4494" s="2">
        <f>HYPERLINK("https://www.amazon.com/PUMA-Training-Jersey-Electric-Lemonade/dp/B07FGTC21T/ref=sr_1_4?keywords=Puma+Liga+Jersey+Youth&amp;qid=1695171188&amp;sr=8-4", "https://www.amazon.com/PUMA-Training-Jersey-Electric-Lemonade/dp/B07FGTC21T/ref=sr_1_4?keywords=Puma+Liga+Jersey+Youth&amp;qid=1695171188&amp;sr=8-4")</f>
        <v/>
      </c>
      <c r="F4494" t="inlineStr">
        <is>
          <t>B07FGTC21T</t>
        </is>
      </c>
      <c r="G4494">
        <f>_xludf.IMAGE("https://www.soccerplususa.com/prodimages//35271-NAVYWHITE-M.jpg")</f>
        <v/>
      </c>
      <c r="H4494">
        <f>_xludf.IMAGE("https://m.media-amazon.com/images/I/81fB0WeaEbL._AC_UL320_.jpg")</f>
        <v/>
      </c>
      <c r="K4494" t="inlineStr">
        <is>
          <t>20.99</t>
        </is>
      </c>
      <c r="L4494" t="n">
        <v>12.95</v>
      </c>
      <c r="M4494" s="1" t="inlineStr">
        <is>
          <t>-38.30%</t>
        </is>
      </c>
      <c r="N4494" s="3" t="n">
        <v>-38.3</v>
      </c>
      <c r="O4494" t="n">
        <v>3.3</v>
      </c>
      <c r="P4494" t="n">
        <v>42</v>
      </c>
      <c r="R4494" t="inlineStr">
        <is>
          <t>InStock</t>
        </is>
      </c>
      <c r="S4494" t="inlineStr">
        <is>
          <t>27.95</t>
        </is>
      </c>
      <c r="T4494" t="inlineStr">
        <is>
          <t>703418-06</t>
        </is>
      </c>
    </row>
    <row r="4495" hidden="1" ht="15.75" customHeight="1">
      <c r="A4495" s="2">
        <f>HYPERLINK("https://www.soccerplususa.com/puma/puma-liga-jersey-youth-37885", "https://www.soccerplususa.com/puma/puma-liga-jersey-youth-37885")</f>
        <v/>
      </c>
      <c r="B4495" t="inlineStr">
        <is>
          <t>undefined</t>
        </is>
      </c>
      <c r="C4495" t="inlineStr">
        <is>
          <t>Puma Liga Jersey Youth</t>
        </is>
      </c>
      <c r="D4495" t="inlineStr">
        <is>
          <t>PUMA Unisex Youth Cup Jersey</t>
        </is>
      </c>
      <c r="E4495" s="2">
        <f>HYPERLINK("https://www.amazon.com/PUMA-Kids-Cup-Jersey-White/dp/B084ZXCDZ8/ref=sr_1_9?keywords=Puma+Liga+Jersey+Youth&amp;qid=1695171154&amp;sr=8-9", "https://www.amazon.com/PUMA-Kids-Cup-Jersey-White/dp/B084ZXCDZ8/ref=sr_1_9?keywords=Puma+Liga+Jersey+Youth&amp;qid=1695171154&amp;sr=8-9")</f>
        <v/>
      </c>
      <c r="F4495" t="inlineStr">
        <is>
          <t>B084ZXCDZ8</t>
        </is>
      </c>
      <c r="G4495">
        <f>_xludf.IMAGE("https://www.soccerplususa.com/prodimages//36779-REDWHITE-M.jpg")</f>
        <v/>
      </c>
      <c r="H4495">
        <f>_xludf.IMAGE("https://m.media-amazon.com/images/I/71kUthjI2aL._AC_UL320_.jpg")</f>
        <v/>
      </c>
      <c r="K4495" t="inlineStr">
        <is>
          <t>20.99</t>
        </is>
      </c>
      <c r="L4495" t="n">
        <v>12.95</v>
      </c>
      <c r="M4495" s="1" t="inlineStr">
        <is>
          <t>-38.30%</t>
        </is>
      </c>
      <c r="N4495" s="3" t="n">
        <v>-38.3</v>
      </c>
      <c r="O4495" t="n">
        <v>4.2</v>
      </c>
      <c r="P4495" t="n">
        <v>4</v>
      </c>
      <c r="R4495" t="inlineStr">
        <is>
          <t>InStock</t>
        </is>
      </c>
      <c r="S4495" t="inlineStr">
        <is>
          <t>27.95</t>
        </is>
      </c>
      <c r="T4495" t="inlineStr">
        <is>
          <t>703418-01</t>
        </is>
      </c>
    </row>
    <row r="4496" hidden="1" ht="15.75" customHeight="1">
      <c r="A4496" s="2">
        <f>HYPERLINK("https://www.soccerplususa.com/puma/puma-liga-jersey-youth-37886", "https://www.soccerplususa.com/puma/puma-liga-jersey-youth-37886")</f>
        <v/>
      </c>
      <c r="B4496" t="inlineStr">
        <is>
          <t>undefined</t>
        </is>
      </c>
      <c r="C4496" t="inlineStr">
        <is>
          <t>Puma Liga Jersey Youth</t>
        </is>
      </c>
      <c r="D4496" t="inlineStr">
        <is>
          <t>PUMA Unisex Youth Cup Jersey</t>
        </is>
      </c>
      <c r="E4496" s="2">
        <f>HYPERLINK("https://www.amazon.com/PUMA-Kids-Cup-Jersey-White/dp/B084ZXCDZ8/ref=sr_1_9?keywords=Puma+Liga+Jersey+Youth&amp;qid=1695171188&amp;sr=8-9", "https://www.amazon.com/PUMA-Kids-Cup-Jersey-White/dp/B084ZXCDZ8/ref=sr_1_9?keywords=Puma+Liga+Jersey+Youth&amp;qid=1695171188&amp;sr=8-9")</f>
        <v/>
      </c>
      <c r="F4496" t="inlineStr">
        <is>
          <t>B084ZXCDZ8</t>
        </is>
      </c>
      <c r="G4496">
        <f>_xludf.IMAGE("https://www.soccerplususa.com/prodimages//35271-NAVYWHITE-M.jpg")</f>
        <v/>
      </c>
      <c r="H4496">
        <f>_xludf.IMAGE("https://m.media-amazon.com/images/I/71kUthjI2aL._AC_UL320_.jpg")</f>
        <v/>
      </c>
      <c r="K4496" t="inlineStr">
        <is>
          <t>20.99</t>
        </is>
      </c>
      <c r="L4496" t="n">
        <v>12.95</v>
      </c>
      <c r="M4496" s="1" t="inlineStr">
        <is>
          <t>-38.30%</t>
        </is>
      </c>
      <c r="N4496" s="3" t="n">
        <v>-38.3</v>
      </c>
      <c r="O4496" t="n">
        <v>4.2</v>
      </c>
      <c r="P4496" t="n">
        <v>4</v>
      </c>
      <c r="R4496" t="inlineStr">
        <is>
          <t>InStock</t>
        </is>
      </c>
      <c r="S4496" t="inlineStr">
        <is>
          <t>27.95</t>
        </is>
      </c>
      <c r="T4496" t="inlineStr">
        <is>
          <t>703418-06</t>
        </is>
      </c>
    </row>
    <row r="4497" hidden="1" ht="15.75" customHeight="1">
      <c r="A4497" s="2">
        <f>HYPERLINK("https://www.soccerplususa.com/puma/puma-liga-jersey-youth-37885", "https://www.soccerplususa.com/puma/puma-liga-jersey-youth-37885")</f>
        <v/>
      </c>
      <c r="B4497" t="inlineStr">
        <is>
          <t>undefined</t>
        </is>
      </c>
      <c r="C4497" t="inlineStr">
        <is>
          <t>Puma Liga Jersey Youth</t>
        </is>
      </c>
      <c r="D4497" t="inlineStr">
        <is>
          <t>PUMA Kids' Youth Liga Training Jersey</t>
        </is>
      </c>
      <c r="E4497" s="2">
        <f>HYPERLINK("https://www.amazon.com/PUMA-Training-Jersey-Electric-Lemonade/dp/B07FGTC21T/ref=sr_1_4?keywords=Puma+Liga+Jersey+Youth&amp;qid=1695171154&amp;sr=8-4", "https://www.amazon.com/PUMA-Training-Jersey-Electric-Lemonade/dp/B07FGTC21T/ref=sr_1_4?keywords=Puma+Liga+Jersey+Youth&amp;qid=1695171154&amp;sr=8-4")</f>
        <v/>
      </c>
      <c r="F4497" t="inlineStr">
        <is>
          <t>B07FGTC21T</t>
        </is>
      </c>
      <c r="G4497">
        <f>_xludf.IMAGE("https://www.soccerplususa.com/prodimages//36779-REDWHITE-M.jpg")</f>
        <v/>
      </c>
      <c r="H4497">
        <f>_xludf.IMAGE("https://m.media-amazon.com/images/I/81fB0WeaEbL._AC_UL320_.jpg")</f>
        <v/>
      </c>
      <c r="K4497" t="inlineStr">
        <is>
          <t>20.99</t>
        </is>
      </c>
      <c r="L4497" t="n">
        <v>12.95</v>
      </c>
      <c r="M4497" s="1" t="inlineStr">
        <is>
          <t>-38.30%</t>
        </is>
      </c>
      <c r="N4497" s="3" t="n">
        <v>-38.3</v>
      </c>
      <c r="O4497" t="n">
        <v>3.3</v>
      </c>
      <c r="P4497" t="n">
        <v>42</v>
      </c>
      <c r="R4497" t="inlineStr">
        <is>
          <t>InStock</t>
        </is>
      </c>
      <c r="S4497" t="inlineStr">
        <is>
          <t>27.95</t>
        </is>
      </c>
      <c r="T4497" t="inlineStr">
        <is>
          <t>703418-01</t>
        </is>
      </c>
    </row>
    <row r="4498" hidden="1" ht="15.75" customHeight="1">
      <c r="A4498" s="2">
        <f>HYPERLINK("https://www.soccerplususa.com/puma/puma-liga-jersey-youth-39601", "https://www.soccerplususa.com/puma/puma-liga-jersey-youth-39601")</f>
        <v/>
      </c>
      <c r="B4498" t="inlineStr">
        <is>
          <t>undefined</t>
        </is>
      </c>
      <c r="C4498" t="inlineStr">
        <is>
          <t>Puma Liga Jersey Youth</t>
        </is>
      </c>
      <c r="D4498" t="inlineStr">
        <is>
          <t>PUMA Kids' Youth Liga Training Jersey</t>
        </is>
      </c>
      <c r="E4498" s="2">
        <f>HYPERLINK("https://www.amazon.com/PUMA-Training-Jersey-Electric-Lemonade/dp/B07FGTC21T/ref=sr_1_4?keywords=Puma+Liga+Jersey+Youth&amp;qid=1695171161&amp;sr=8-4", "https://www.amazon.com/PUMA-Training-Jersey-Electric-Lemonade/dp/B07FGTC21T/ref=sr_1_4?keywords=Puma+Liga+Jersey+Youth&amp;qid=1695171161&amp;sr=8-4")</f>
        <v/>
      </c>
      <c r="F4498" t="inlineStr">
        <is>
          <t>B07FGTC21T</t>
        </is>
      </c>
      <c r="G4498">
        <f>_xludf.IMAGE("https://www.soccerplususa.com/prodimages//36796-WHITE-M.jpg")</f>
        <v/>
      </c>
      <c r="H4498">
        <f>_xludf.IMAGE("https://m.media-amazon.com/images/I/81fB0WeaEbL._AC_UL320_.jpg")</f>
        <v/>
      </c>
      <c r="K4498" t="inlineStr">
        <is>
          <t>20.99</t>
        </is>
      </c>
      <c r="L4498" t="n">
        <v>12.95</v>
      </c>
      <c r="M4498" s="1" t="inlineStr">
        <is>
          <t>-38.30%</t>
        </is>
      </c>
      <c r="N4498" s="3" t="n">
        <v>-38.3</v>
      </c>
      <c r="O4498" t="n">
        <v>3.3</v>
      </c>
      <c r="P4498" t="n">
        <v>42</v>
      </c>
      <c r="R4498" t="inlineStr">
        <is>
          <t>InStock</t>
        </is>
      </c>
      <c r="S4498" t="inlineStr">
        <is>
          <t>27.95</t>
        </is>
      </c>
      <c r="T4498" t="inlineStr">
        <is>
          <t>703418-14</t>
        </is>
      </c>
    </row>
    <row r="4499" hidden="1" ht="15.75" customHeight="1">
      <c r="A4499" s="2">
        <f>HYPERLINK("https://www.soccerplususa.com/puma/puma-liga-jersey-youth-39601", "https://www.soccerplususa.com/puma/puma-liga-jersey-youth-39601")</f>
        <v/>
      </c>
      <c r="B4499" t="inlineStr">
        <is>
          <t>undefined</t>
        </is>
      </c>
      <c r="C4499" t="inlineStr">
        <is>
          <t>Puma Liga Jersey Youth</t>
        </is>
      </c>
      <c r="D4499" t="inlineStr">
        <is>
          <t>PUMA Unisex Youth Cup Jersey</t>
        </is>
      </c>
      <c r="E4499" s="2">
        <f>HYPERLINK("https://www.amazon.com/PUMA-Kids-Cup-Jersey-White/dp/B084ZXCDZ8/ref=sr_1_9?keywords=Puma+Liga+Jersey+Youth&amp;qid=1695171161&amp;sr=8-9", "https://www.amazon.com/PUMA-Kids-Cup-Jersey-White/dp/B084ZXCDZ8/ref=sr_1_9?keywords=Puma+Liga+Jersey+Youth&amp;qid=1695171161&amp;sr=8-9")</f>
        <v/>
      </c>
      <c r="F4499" t="inlineStr">
        <is>
          <t>B084ZXCDZ8</t>
        </is>
      </c>
      <c r="G4499">
        <f>_xludf.IMAGE("https://www.soccerplususa.com/prodimages//36796-WHITE-M.jpg")</f>
        <v/>
      </c>
      <c r="H4499">
        <f>_xludf.IMAGE("https://m.media-amazon.com/images/I/71kUthjI2aL._AC_UL320_.jpg")</f>
        <v/>
      </c>
      <c r="K4499" t="inlineStr">
        <is>
          <t>20.99</t>
        </is>
      </c>
      <c r="L4499" t="n">
        <v>12.95</v>
      </c>
      <c r="M4499" s="1" t="inlineStr">
        <is>
          <t>-38.30%</t>
        </is>
      </c>
      <c r="N4499" s="3" t="n">
        <v>-38.3</v>
      </c>
      <c r="O4499" t="n">
        <v>4.2</v>
      </c>
      <c r="P4499" t="n">
        <v>4</v>
      </c>
      <c r="R4499" t="inlineStr">
        <is>
          <t>InStock</t>
        </is>
      </c>
      <c r="S4499" t="inlineStr">
        <is>
          <t>27.95</t>
        </is>
      </c>
      <c r="T4499" t="inlineStr">
        <is>
          <t>703418-14</t>
        </is>
      </c>
    </row>
    <row r="4500" hidden="1" ht="15.75" customHeight="1">
      <c r="A4500" s="2">
        <f>HYPERLINK("https://www.soccerplususa.com/puma/puma-liga-jersey-37884", "https://www.soccerplususa.com/puma/puma-liga-jersey-37884")</f>
        <v/>
      </c>
      <c r="B4500" t="inlineStr">
        <is>
          <t>undefined</t>
        </is>
      </c>
      <c r="C4500" t="inlineStr">
        <is>
          <t>Puma Liga Jersey</t>
        </is>
      </c>
      <c r="D4500" t="inlineStr">
        <is>
          <t>PUMA Men's Liga Jersey</t>
        </is>
      </c>
      <c r="E4500" s="2">
        <f>HYPERLINK("https://www.amazon.com/PUMA-70342613-LIGA-Jersey-W/dp/B075RCMZTV/ref=sr_1_10?keywords=Puma+Liga+Jersey&amp;qid=1695171168&amp;sr=8-10", "https://www.amazon.com/PUMA-70342613-LIGA-Jersey-W/dp/B075RCMZTV/ref=sr_1_10?keywords=Puma+Liga+Jersey&amp;qid=1695171168&amp;sr=8-10")</f>
        <v/>
      </c>
      <c r="F4500" t="inlineStr">
        <is>
          <t>B075RCMZTV</t>
        </is>
      </c>
      <c r="G4500">
        <f>_xludf.IMAGE("https://www.soccerplususa.com/prodimages//35270-NAVYWHITE-M.jpg")</f>
        <v/>
      </c>
      <c r="H4500">
        <f>_xludf.IMAGE("https://m.media-amazon.com/images/I/51ufXLu6e3L._AC_UL320_.jpg")</f>
        <v/>
      </c>
      <c r="K4500" t="inlineStr">
        <is>
          <t>20.99</t>
        </is>
      </c>
      <c r="L4500" t="n">
        <v>12.95</v>
      </c>
      <c r="M4500" s="1" t="inlineStr">
        <is>
          <t>-38.30%</t>
        </is>
      </c>
      <c r="N4500" s="3" t="n">
        <v>-38.3</v>
      </c>
      <c r="O4500" t="n">
        <v>4.4</v>
      </c>
      <c r="P4500" t="n">
        <v>19</v>
      </c>
      <c r="R4500" t="inlineStr">
        <is>
          <t>InStock</t>
        </is>
      </c>
      <c r="S4500" t="inlineStr">
        <is>
          <t>27.95</t>
        </is>
      </c>
      <c r="T4500" t="inlineStr">
        <is>
          <t>703417-06</t>
        </is>
      </c>
    </row>
    <row r="4501" hidden="1" ht="15.75" customHeight="1">
      <c r="A4501" s="2">
        <f>HYPERLINK("https://www.soccerplususa.com/adidas/adidas-tiro-21-track-jacket-41183", "https://www.soccerplususa.com/adidas/adidas-tiro-21-track-jacket-41183")</f>
        <v/>
      </c>
      <c r="B4501" t="inlineStr">
        <is>
          <t>undefined</t>
        </is>
      </c>
      <c r="C4501" t="inlineStr">
        <is>
          <t>adidas Tiro 21 Track Jacket</t>
        </is>
      </c>
      <c r="D4501" t="inlineStr">
        <is>
          <t>adidas Unisex-Child Tiro 21 Track Jacket</t>
        </is>
      </c>
      <c r="E4501" s="2">
        <f>HYPERLINK("https://www.amazon.com/adidas-unisex-child-Track-Jacket-X-Large/dp/B087C7FH79/ref=sr_1_3?keywords=adidas+Tiro+21+Track+Jacket&amp;qid=1695171147&amp;sr=8-3", "https://www.amazon.com/adidas-unisex-child-Track-Jacket-X-Large/dp/B087C7FH79/ref=sr_1_3?keywords=adidas+Tiro+21+Track+Jacket&amp;qid=1695171147&amp;sr=8-3")</f>
        <v/>
      </c>
      <c r="F4501" t="inlineStr">
        <is>
          <t>B087C7FH79</t>
        </is>
      </c>
      <c r="G4501">
        <f>_xludf.IMAGE("https://www.soccerplususa.com/prodimages//36165-BLACKWHITE-M.jpg")</f>
        <v/>
      </c>
      <c r="H4501">
        <f>_xludf.IMAGE("https://m.media-amazon.com/images/I/618W8IypD6L._AC_UL320_.jpg")</f>
        <v/>
      </c>
      <c r="K4501" t="inlineStr">
        <is>
          <t>50.0</t>
        </is>
      </c>
      <c r="L4501" t="n">
        <v>30.84</v>
      </c>
      <c r="M4501" s="1" t="inlineStr">
        <is>
          <t>-38.32%</t>
        </is>
      </c>
      <c r="N4501" s="3" t="n">
        <v>-38.32</v>
      </c>
      <c r="O4501" t="n">
        <v>4.5</v>
      </c>
      <c r="P4501" t="n">
        <v>338</v>
      </c>
      <c r="R4501" t="inlineStr">
        <is>
          <t>InStock</t>
        </is>
      </c>
      <c r="S4501" t="inlineStr">
        <is>
          <t>undefined</t>
        </is>
      </c>
      <c r="T4501" t="inlineStr">
        <is>
          <t>GM7319</t>
        </is>
      </c>
    </row>
    <row r="4502" hidden="1" ht="15.75" customHeight="1">
      <c r="A4502" s="2">
        <f>HYPERLINK("https://www.soccerplususa.com/adidas/adidas-tiro-21-track-jacket-41183", "https://www.soccerplususa.com/adidas/adidas-tiro-21-track-jacket-41183")</f>
        <v/>
      </c>
      <c r="B4502" t="inlineStr">
        <is>
          <t>undefined</t>
        </is>
      </c>
      <c r="C4502" t="inlineStr">
        <is>
          <t>adidas Tiro 21 Track Jacket</t>
        </is>
      </c>
      <c r="D4502" t="inlineStr">
        <is>
          <t>adidas Tiro 21 Track Jacket</t>
        </is>
      </c>
      <c r="E4502" s="2">
        <f>HYPERLINK("https://www.amazon.com/adidas-Womens-Track-Jacket-X-Small/dp/B087C48G52/ref=sr_1_9?keywords=adidas+Tiro+21+Track+Jacket&amp;qid=1695171147&amp;sr=8-9", "https://www.amazon.com/adidas-Womens-Track-Jacket-X-Small/dp/B087C48G52/ref=sr_1_9?keywords=adidas+Tiro+21+Track+Jacket&amp;qid=1695171147&amp;sr=8-9")</f>
        <v/>
      </c>
      <c r="F4502" t="inlineStr">
        <is>
          <t>B087C48G52</t>
        </is>
      </c>
      <c r="G4502">
        <f>_xludf.IMAGE("https://www.soccerplususa.com/prodimages//36165-BLACKWHITE-M.jpg")</f>
        <v/>
      </c>
      <c r="H4502">
        <f>_xludf.IMAGE("https://m.media-amazon.com/images/I/51paqs2H6hL._AC_UL320_.jpg")</f>
        <v/>
      </c>
      <c r="K4502" t="inlineStr">
        <is>
          <t>50.0</t>
        </is>
      </c>
      <c r="L4502" t="n">
        <v>30.77</v>
      </c>
      <c r="M4502" s="1" t="inlineStr">
        <is>
          <t>-38.46%</t>
        </is>
      </c>
      <c r="N4502" s="3" t="n">
        <v>-38.46</v>
      </c>
      <c r="O4502" t="n">
        <v>4.7</v>
      </c>
      <c r="P4502" t="n">
        <v>34</v>
      </c>
      <c r="R4502" t="inlineStr">
        <is>
          <t>InStock</t>
        </is>
      </c>
      <c r="S4502" t="inlineStr">
        <is>
          <t>undefined</t>
        </is>
      </c>
      <c r="T4502" t="inlineStr">
        <is>
          <t>GM7319</t>
        </is>
      </c>
    </row>
    <row r="4503" hidden="1" ht="15.75" customHeight="1">
      <c r="A4503" s="2">
        <f>HYPERLINK("https://www.soccerplususa.com/adidas/adidas-tiro-21-track-jacket-womens-41184", "https://www.soccerplususa.com/adidas/adidas-tiro-21-track-jacket-womens-41184")</f>
        <v/>
      </c>
      <c r="B4503" t="inlineStr">
        <is>
          <t>undefined</t>
        </is>
      </c>
      <c r="C4503" t="inlineStr">
        <is>
          <t>adidas Tiro 21 Track Jacket Women's</t>
        </is>
      </c>
      <c r="D4503" t="inlineStr">
        <is>
          <t>adidas Tiro 21 Track Jacket</t>
        </is>
      </c>
      <c r="E4503" s="2">
        <f>HYPERLINK("https://www.amazon.com/adidas-Womens-Track-Jacket-X-Small/dp/B087C48G52/ref=sr_1_4?keywords=adidas+Tiro+21+Track+Jacket+Women%27s&amp;qid=1695171150&amp;sr=8-4", "https://www.amazon.com/adidas-Womens-Track-Jacket-X-Small/dp/B087C48G52/ref=sr_1_4?keywords=adidas+Tiro+21+Track+Jacket+Women%27s&amp;qid=1695171150&amp;sr=8-4")</f>
        <v/>
      </c>
      <c r="F4503" t="inlineStr">
        <is>
          <t>B087C48G52</t>
        </is>
      </c>
      <c r="G4503">
        <f>_xludf.IMAGE("https://www.soccerplususa.com/prodimages//36136-BLACKWHITE-M.jpg")</f>
        <v/>
      </c>
      <c r="H4503">
        <f>_xludf.IMAGE("https://m.media-amazon.com/images/I/51paqs2H6hL._AC_UL320_.jpg")</f>
        <v/>
      </c>
      <c r="K4503" t="inlineStr">
        <is>
          <t>50.0</t>
        </is>
      </c>
      <c r="L4503" t="n">
        <v>30.77</v>
      </c>
      <c r="M4503" s="1" t="inlineStr">
        <is>
          <t>-38.46%</t>
        </is>
      </c>
      <c r="N4503" s="3" t="n">
        <v>-38.46</v>
      </c>
      <c r="O4503" t="n">
        <v>4.7</v>
      </c>
      <c r="P4503" t="n">
        <v>34</v>
      </c>
      <c r="R4503" t="inlineStr">
        <is>
          <t>InStock</t>
        </is>
      </c>
      <c r="S4503" t="inlineStr">
        <is>
          <t>undefined</t>
        </is>
      </c>
      <c r="T4503" t="inlineStr">
        <is>
          <t>GM7307</t>
        </is>
      </c>
    </row>
    <row r="4504" hidden="1" ht="15.75" customHeight="1">
      <c r="A4504" s="2">
        <f>HYPERLINK("https://www.soccerplususa.com/puma/puma-liga-jersey-37884", "https://www.soccerplususa.com/puma/puma-liga-jersey-37884")</f>
        <v/>
      </c>
      <c r="B4504" t="inlineStr">
        <is>
          <t>undefined</t>
        </is>
      </c>
      <c r="C4504" t="inlineStr">
        <is>
          <t>Puma Liga Jersey</t>
        </is>
      </c>
      <c r="D4504" t="inlineStr">
        <is>
          <t>PUMA Men's Liga Jersey</t>
        </is>
      </c>
      <c r="E4504" s="2">
        <f>HYPERLINK("https://www.amazon.com/PUMA-Jersey-Electric-Lemonade-White/dp/B075RDMXVP/ref=sr_1_2?keywords=Puma+Liga+Jersey&amp;qid=1695171168&amp;sr=8-2", "https://www.amazon.com/PUMA-Jersey-Electric-Lemonade-White/dp/B075RDMXVP/ref=sr_1_2?keywords=Puma+Liga+Jersey&amp;qid=1695171168&amp;sr=8-2")</f>
        <v/>
      </c>
      <c r="F4504" t="inlineStr">
        <is>
          <t>B075RDMXVP</t>
        </is>
      </c>
      <c r="G4504">
        <f>_xludf.IMAGE("https://www.soccerplususa.com/prodimages//35270-NAVYWHITE-M.jpg")</f>
        <v/>
      </c>
      <c r="H4504">
        <f>_xludf.IMAGE("https://m.media-amazon.com/images/I/71IBlyL639L._AC_UL320_.jpg")</f>
        <v/>
      </c>
      <c r="K4504" t="inlineStr">
        <is>
          <t>20.99</t>
        </is>
      </c>
      <c r="L4504" t="n">
        <v>12.91</v>
      </c>
      <c r="M4504" s="1" t="inlineStr">
        <is>
          <t>-38.49%</t>
        </is>
      </c>
      <c r="N4504" s="3" t="n">
        <v>-38.49</v>
      </c>
      <c r="O4504" t="n">
        <v>4.5</v>
      </c>
      <c r="P4504" t="n">
        <v>1119</v>
      </c>
      <c r="R4504" t="inlineStr">
        <is>
          <t>InStock</t>
        </is>
      </c>
      <c r="S4504" t="inlineStr">
        <is>
          <t>27.95</t>
        </is>
      </c>
      <c r="T4504" t="inlineStr">
        <is>
          <t>703417-06</t>
        </is>
      </c>
    </row>
    <row r="4505" hidden="1" ht="15.75" customHeight="1">
      <c r="A4505" s="2">
        <f>HYPERLINK("https://www.soccerplususa.com/adidas/adidas-tiro-19-training-jacket-33866", "https://www.soccerplususa.com/adidas/adidas-tiro-19-training-jacket-33866")</f>
        <v/>
      </c>
      <c r="B4505" t="inlineStr">
        <is>
          <t>undefined</t>
        </is>
      </c>
      <c r="C4505" t="inlineStr">
        <is>
          <t>adidas Tiro 19 Training Jacket</t>
        </is>
      </c>
      <c r="D4505" t="inlineStr">
        <is>
          <t>adidas Tiro 19 Training Jacket DW4795_Grey/White YXS</t>
        </is>
      </c>
      <c r="E4505" s="2">
        <f>HYPERLINK("https://www.amazon.com/adidas-Tiro-Youth-Jacket-White/dp/B07H3VHQMV/ref=sr_1_2?keywords=adidas+Tiro+19+Training+Jacket&amp;qid=1695171181&amp;sr=8-2", "https://www.amazon.com/adidas-Tiro-Youth-Jacket-White/dp/B07H3VHQMV/ref=sr_1_2?keywords=adidas+Tiro+19+Training+Jacket&amp;qid=1695171181&amp;sr=8-2")</f>
        <v/>
      </c>
      <c r="F4505" t="inlineStr">
        <is>
          <t>B07H3VHQMV</t>
        </is>
      </c>
      <c r="G4505">
        <f>_xludf.IMAGE("https://www.soccerplususa.com/prodimages/8017-DEFAULT-l.jpg")</f>
        <v/>
      </c>
      <c r="H4505">
        <f>_xludf.IMAGE("https://m.media-amazon.com/images/I/81i8MyHlXJL._AC_UL320_.jpg")</f>
        <v/>
      </c>
      <c r="K4505" t="inlineStr">
        <is>
          <t>49.0</t>
        </is>
      </c>
      <c r="L4505" t="n">
        <v>29.9</v>
      </c>
      <c r="M4505" s="1" t="inlineStr">
        <is>
          <t>-38.98%</t>
        </is>
      </c>
      <c r="N4505" s="3" t="n">
        <v>-38.98</v>
      </c>
      <c r="O4505" t="n">
        <v>4.1</v>
      </c>
      <c r="P4505" t="n">
        <v>5</v>
      </c>
      <c r="R4505" t="inlineStr">
        <is>
          <t>InStock</t>
        </is>
      </c>
      <c r="S4505" t="inlineStr">
        <is>
          <t>64.95</t>
        </is>
      </c>
      <c r="T4505" t="inlineStr">
        <is>
          <t>D95953</t>
        </is>
      </c>
    </row>
    <row r="4506" hidden="1" ht="15.75" customHeight="1">
      <c r="A4506" s="2">
        <f>HYPERLINK("https://www.soccerplususa.com/adidas/adidas-tiro-19-training-jacket-33919", "https://www.soccerplususa.com/adidas/adidas-tiro-19-training-jacket-33919")</f>
        <v/>
      </c>
      <c r="B4506" t="inlineStr">
        <is>
          <t>undefined</t>
        </is>
      </c>
      <c r="C4506" t="inlineStr">
        <is>
          <t>adidas Tiro 19 Training Jacket</t>
        </is>
      </c>
      <c r="D4506" t="inlineStr">
        <is>
          <t>adidas Tiro 19 Training Jacket DW4795_Grey/White</t>
        </is>
      </c>
      <c r="E4506" s="2">
        <f>HYPERLINK("https://www.amazon.com/adidas-Training-Jacket-DW4795_Grey-White/dp/B07H4842HT/ref=sr_1_5?keywords=adidas+Tiro+19+Training+Jacket&amp;qid=1695171165&amp;sr=8-5", "https://www.amazon.com/adidas-Training-Jacket-DW4795_Grey-White/dp/B07H4842HT/ref=sr_1_5?keywords=adidas+Tiro+19+Training+Jacket&amp;qid=1695171165&amp;sr=8-5")</f>
        <v/>
      </c>
      <c r="F4506" t="inlineStr">
        <is>
          <t>B07H4842HT</t>
        </is>
      </c>
      <c r="G4506">
        <f>_xludf.IMAGE("https://www.soccerplususa.com/prodimages/7895-DEFAULT-l.jpg")</f>
        <v/>
      </c>
      <c r="H4506">
        <f>_xludf.IMAGE("https://m.media-amazon.com/images/I/81i8MyHlXJL._AC_UL320_.jpg")</f>
        <v/>
      </c>
      <c r="K4506" t="inlineStr">
        <is>
          <t>49.0</t>
        </is>
      </c>
      <c r="L4506" t="n">
        <v>29.9</v>
      </c>
      <c r="M4506" s="1" t="inlineStr">
        <is>
          <t>-38.98%</t>
        </is>
      </c>
      <c r="N4506" s="3" t="n">
        <v>-38.98</v>
      </c>
      <c r="O4506" t="n">
        <v>4</v>
      </c>
      <c r="P4506" t="n">
        <v>28</v>
      </c>
      <c r="R4506" t="inlineStr">
        <is>
          <t>InStock</t>
        </is>
      </c>
      <c r="S4506" t="inlineStr">
        <is>
          <t>64.95</t>
        </is>
      </c>
      <c r="T4506" t="inlineStr">
        <is>
          <t>DJ2594</t>
        </is>
      </c>
    </row>
    <row r="4507" hidden="1" ht="15.75" customHeight="1">
      <c r="A4507" s="2">
        <f>HYPERLINK("https://www.soccerplususa.com/adidas/adidas-tiro-19-training-jacket-33866", "https://www.soccerplususa.com/adidas/adidas-tiro-19-training-jacket-33866")</f>
        <v/>
      </c>
      <c r="B4507" t="inlineStr">
        <is>
          <t>undefined</t>
        </is>
      </c>
      <c r="C4507" t="inlineStr">
        <is>
          <t>adidas Tiro 19 Training Jacket</t>
        </is>
      </c>
      <c r="D4507" t="inlineStr">
        <is>
          <t>adidas Tiro 19 Training Jacket DW4795_Grey/White</t>
        </is>
      </c>
      <c r="E4507" s="2">
        <f>HYPERLINK("https://www.amazon.com/adidas-Training-Jacket-DW4795_Grey-White/dp/B07H4842HT/ref=sr_1_4?keywords=adidas+Tiro+19+Training+Jacket&amp;qid=1695171181&amp;sr=8-4", "https://www.amazon.com/adidas-Training-Jacket-DW4795_Grey-White/dp/B07H4842HT/ref=sr_1_4?keywords=adidas+Tiro+19+Training+Jacket&amp;qid=1695171181&amp;sr=8-4")</f>
        <v/>
      </c>
      <c r="F4507" t="inlineStr">
        <is>
          <t>B07H4842HT</t>
        </is>
      </c>
      <c r="G4507">
        <f>_xludf.IMAGE("https://www.soccerplususa.com/prodimages/8017-DEFAULT-l.jpg")</f>
        <v/>
      </c>
      <c r="H4507">
        <f>_xludf.IMAGE("https://m.media-amazon.com/images/I/81i8MyHlXJL._AC_UL320_.jpg")</f>
        <v/>
      </c>
      <c r="K4507" t="inlineStr">
        <is>
          <t>49.0</t>
        </is>
      </c>
      <c r="L4507" t="n">
        <v>29.9</v>
      </c>
      <c r="M4507" s="1" t="inlineStr">
        <is>
          <t>-38.98%</t>
        </is>
      </c>
      <c r="N4507" s="3" t="n">
        <v>-38.98</v>
      </c>
      <c r="O4507" t="n">
        <v>4</v>
      </c>
      <c r="P4507" t="n">
        <v>28</v>
      </c>
      <c r="R4507" t="inlineStr">
        <is>
          <t>InStock</t>
        </is>
      </c>
      <c r="S4507" t="inlineStr">
        <is>
          <t>64.95</t>
        </is>
      </c>
      <c r="T4507" t="inlineStr">
        <is>
          <t>D95953</t>
        </is>
      </c>
    </row>
    <row r="4508" hidden="1" ht="15.75" customHeight="1">
      <c r="A4508" s="2">
        <f>HYPERLINK("https://www.soccerplususa.com/adidas/adidas-tiro-19-training-jacket-33996", "https://www.soccerplususa.com/adidas/adidas-tiro-19-training-jacket-33996")</f>
        <v/>
      </c>
      <c r="B4508" t="inlineStr">
        <is>
          <t>undefined</t>
        </is>
      </c>
      <c r="C4508" t="inlineStr">
        <is>
          <t>adidas Tiro 19 Training Jacket</t>
        </is>
      </c>
      <c r="D4508" t="inlineStr">
        <is>
          <t>adidas Tiro 19 Training Jacket DW4795_Grey/White YXS</t>
        </is>
      </c>
      <c r="E4508" s="2">
        <f>HYPERLINK("https://www.amazon.com/adidas-Tiro-Youth-Jacket-White/dp/B07H3VHQMV/ref=sr_1_2?keywords=adidas+Tiro+19+Training+Jacket&amp;qid=1695171209&amp;sr=8-2", "https://www.amazon.com/adidas-Tiro-Youth-Jacket-White/dp/B07H3VHQMV/ref=sr_1_2?keywords=adidas+Tiro+19+Training+Jacket&amp;qid=1695171209&amp;sr=8-2")</f>
        <v/>
      </c>
      <c r="F4508" t="inlineStr">
        <is>
          <t>B07H3VHQMV</t>
        </is>
      </c>
      <c r="G4508">
        <f>_xludf.IMAGE("https://www.soccerplususa.com/prodimages/8018-DEFAULT-l.jpg")</f>
        <v/>
      </c>
      <c r="H4508">
        <f>_xludf.IMAGE("https://m.media-amazon.com/images/I/81i8MyHlXJL._AC_UL320_.jpg")</f>
        <v/>
      </c>
      <c r="K4508" t="inlineStr">
        <is>
          <t>49.0</t>
        </is>
      </c>
      <c r="L4508" t="n">
        <v>29.9</v>
      </c>
      <c r="M4508" s="1" t="inlineStr">
        <is>
          <t>-38.98%</t>
        </is>
      </c>
      <c r="N4508" s="3" t="n">
        <v>-38.98</v>
      </c>
      <c r="O4508" t="n">
        <v>4.1</v>
      </c>
      <c r="P4508" t="n">
        <v>5</v>
      </c>
      <c r="R4508" t="inlineStr">
        <is>
          <t>InStock</t>
        </is>
      </c>
      <c r="S4508" t="inlineStr">
        <is>
          <t>64.95</t>
        </is>
      </c>
      <c r="T4508" t="inlineStr">
        <is>
          <t>DT5272</t>
        </is>
      </c>
    </row>
    <row r="4509" hidden="1" ht="15.75" customHeight="1">
      <c r="A4509" s="2">
        <f>HYPERLINK("https://www.soccerplususa.com/adidas/adidas-tiro-19-training-jacket-33996", "https://www.soccerplususa.com/adidas/adidas-tiro-19-training-jacket-33996")</f>
        <v/>
      </c>
      <c r="B4509" t="inlineStr">
        <is>
          <t>undefined</t>
        </is>
      </c>
      <c r="C4509" t="inlineStr">
        <is>
          <t>adidas Tiro 19 Training Jacket</t>
        </is>
      </c>
      <c r="D4509" t="inlineStr">
        <is>
          <t>adidas Tiro 19 Training Jacket DW4795_Grey/White</t>
        </is>
      </c>
      <c r="E4509" s="2">
        <f>HYPERLINK("https://www.amazon.com/adidas-Training-Jacket-DW4795_Grey-White/dp/B07H4842HT/ref=sr_1_3?keywords=adidas+Tiro+19+Training+Jacket&amp;qid=1695171209&amp;sr=8-3", "https://www.amazon.com/adidas-Training-Jacket-DW4795_Grey-White/dp/B07H4842HT/ref=sr_1_3?keywords=adidas+Tiro+19+Training+Jacket&amp;qid=1695171209&amp;sr=8-3")</f>
        <v/>
      </c>
      <c r="F4509" t="inlineStr">
        <is>
          <t>B07H4842HT</t>
        </is>
      </c>
      <c r="G4509">
        <f>_xludf.IMAGE("https://www.soccerplususa.com/prodimages/8018-DEFAULT-l.jpg")</f>
        <v/>
      </c>
      <c r="H4509">
        <f>_xludf.IMAGE("https://m.media-amazon.com/images/I/81i8MyHlXJL._AC_UL320_.jpg")</f>
        <v/>
      </c>
      <c r="K4509" t="inlineStr">
        <is>
          <t>49.0</t>
        </is>
      </c>
      <c r="L4509" t="n">
        <v>29.9</v>
      </c>
      <c r="M4509" s="1" t="inlineStr">
        <is>
          <t>-38.98%</t>
        </is>
      </c>
      <c r="N4509" s="3" t="n">
        <v>-38.98</v>
      </c>
      <c r="O4509" t="n">
        <v>4</v>
      </c>
      <c r="P4509" t="n">
        <v>28</v>
      </c>
      <c r="R4509" t="inlineStr">
        <is>
          <t>InStock</t>
        </is>
      </c>
      <c r="S4509" t="inlineStr">
        <is>
          <t>64.95</t>
        </is>
      </c>
      <c r="T4509" t="inlineStr">
        <is>
          <t>DT5272</t>
        </is>
      </c>
    </row>
    <row r="4510" hidden="1" ht="15.75" customHeight="1">
      <c r="A4510" s="2">
        <f>HYPERLINK("https://www.soccerplususa.com/adidas/adidas-tiro-19-training-jacket-33919", "https://www.soccerplususa.com/adidas/adidas-tiro-19-training-jacket-33919")</f>
        <v/>
      </c>
      <c r="B4510" t="inlineStr">
        <is>
          <t>undefined</t>
        </is>
      </c>
      <c r="C4510" t="inlineStr">
        <is>
          <t>adidas Tiro 19 Training Jacket</t>
        </is>
      </c>
      <c r="D4510" t="inlineStr">
        <is>
          <t>adidas Tiro 19 Training Jacket DW4795_Grey/White YXS</t>
        </is>
      </c>
      <c r="E4510" s="2">
        <f>HYPERLINK("https://www.amazon.com/adidas-Tiro-Youth-Jacket-White/dp/B07H3VHQMV/ref=sr_1_2?keywords=adidas+Tiro+19+Training+Jacket&amp;qid=1695171165&amp;sr=8-2", "https://www.amazon.com/adidas-Tiro-Youth-Jacket-White/dp/B07H3VHQMV/ref=sr_1_2?keywords=adidas+Tiro+19+Training+Jacket&amp;qid=1695171165&amp;sr=8-2")</f>
        <v/>
      </c>
      <c r="F4510" t="inlineStr">
        <is>
          <t>B07H3VHQMV</t>
        </is>
      </c>
      <c r="G4510">
        <f>_xludf.IMAGE("https://www.soccerplususa.com/prodimages/7895-DEFAULT-l.jpg")</f>
        <v/>
      </c>
      <c r="H4510">
        <f>_xludf.IMAGE("https://m.media-amazon.com/images/I/81i8MyHlXJL._AC_UL320_.jpg")</f>
        <v/>
      </c>
      <c r="K4510" t="inlineStr">
        <is>
          <t>49.0</t>
        </is>
      </c>
      <c r="L4510" t="n">
        <v>29.9</v>
      </c>
      <c r="M4510" s="1" t="inlineStr">
        <is>
          <t>-38.98%</t>
        </is>
      </c>
      <c r="N4510" s="3" t="n">
        <v>-38.98</v>
      </c>
      <c r="O4510" t="n">
        <v>4.1</v>
      </c>
      <c r="P4510" t="n">
        <v>5</v>
      </c>
      <c r="R4510" t="inlineStr">
        <is>
          <t>InStock</t>
        </is>
      </c>
      <c r="S4510" t="inlineStr">
        <is>
          <t>64.95</t>
        </is>
      </c>
      <c r="T4510" t="inlineStr">
        <is>
          <t>DJ2594</t>
        </is>
      </c>
    </row>
    <row r="4511" hidden="1" ht="15.75" customHeight="1">
      <c r="A4511" s="2">
        <f>HYPERLINK("https://www.soccerplususa.com/puma/puma-liga-jersey-womens-39602", "https://www.soccerplususa.com/puma/puma-liga-jersey-womens-39602")</f>
        <v/>
      </c>
      <c r="B4511" t="inlineStr">
        <is>
          <t>undefined</t>
        </is>
      </c>
      <c r="C4511" t="inlineStr">
        <is>
          <t>Puma Liga Jersey Women's</t>
        </is>
      </c>
      <c r="D4511" t="inlineStr">
        <is>
          <t>PUMA womens Liga Jersey, Pepper Green-white, Large US</t>
        </is>
      </c>
      <c r="E4511" s="2">
        <f>HYPERLINK("https://www.amazon.com/PUMA-Womens-Jersey-Pepper-Greenpuma/dp/B075RDT3RN/ref=sr_1_2?keywords=Puma+Liga+Jersey+Womens&amp;qid=1695171150&amp;sr=8-2", "https://www.amazon.com/PUMA-Womens-Jersey-Pepper-Greenpuma/dp/B075RDT3RN/ref=sr_1_2?keywords=Puma+Liga+Jersey+Womens&amp;qid=1695171150&amp;sr=8-2")</f>
        <v/>
      </c>
      <c r="F4511" t="inlineStr">
        <is>
          <t>B075RDT3RN</t>
        </is>
      </c>
      <c r="G4511">
        <f>_xludf.IMAGE("https://www.soccerplususa.com/prodimages//36786-REDWHITE-M.jpg")</f>
        <v/>
      </c>
      <c r="H4511">
        <f>_xludf.IMAGE("https://m.media-amazon.com/images/I/61wpCRiZqaL._AC_UL320_.jpg")</f>
        <v/>
      </c>
      <c r="K4511" t="inlineStr">
        <is>
          <t>20.99</t>
        </is>
      </c>
      <c r="L4511" t="n">
        <v>12.72</v>
      </c>
      <c r="M4511" s="1" t="inlineStr">
        <is>
          <t>-39.40%</t>
        </is>
      </c>
      <c r="N4511" s="3" t="n">
        <v>-39.4</v>
      </c>
      <c r="O4511" t="n">
        <v>4.1</v>
      </c>
      <c r="P4511" t="n">
        <v>10</v>
      </c>
      <c r="R4511" t="inlineStr">
        <is>
          <t>InStock</t>
        </is>
      </c>
      <c r="S4511" t="inlineStr">
        <is>
          <t>27.95</t>
        </is>
      </c>
      <c r="T4511" t="inlineStr">
        <is>
          <t>703426-01</t>
        </is>
      </c>
    </row>
    <row r="4512" hidden="1" ht="15.75" customHeight="1">
      <c r="A4512" s="2">
        <f>HYPERLINK("https://www.soccerplususa.com/under-armour/under-armour-coldgear-authentics-mock-womens-44305", "https://www.soccerplususa.com/under-armour/under-armour-coldgear-authentics-mock-womens-44305")</f>
        <v/>
      </c>
      <c r="B4512" t="inlineStr">
        <is>
          <t>undefined</t>
        </is>
      </c>
      <c r="C4512" t="inlineStr">
        <is>
          <t>Under Armour ColdGear Authentics Mock Women's</t>
        </is>
      </c>
      <c r="D4512" t="inlineStr">
        <is>
          <t>Under Armour Women's ColdGear Authentics Leggings</t>
        </is>
      </c>
      <c r="E4512" s="2">
        <f>HYPERLINK("https://www.amazon.com/Under-Armour-Womens-Authentics-Leggings/dp/B08LNWXNDM/ref=sr_1_6?keywords=Under+Armour+ColdGear+Authentics+Mock+Womens&amp;qid=1695171151&amp;sr=8-6", "https://www.amazon.com/Under-Armour-Womens-Authentics-Leggings/dp/B08LNWXNDM/ref=sr_1_6?keywords=Under+Armour+ColdGear+Authentics+Mock+Womens&amp;qid=1695171151&amp;sr=8-6")</f>
        <v/>
      </c>
      <c r="F4512" t="inlineStr">
        <is>
          <t>B08LNWXNDM</t>
        </is>
      </c>
      <c r="G4512">
        <f>_xludf.IMAGE("https://www.soccerplususa.com/prodimages//36058-WHITE-M.jpg")</f>
        <v/>
      </c>
      <c r="H4512">
        <f>_xludf.IMAGE("https://m.media-amazon.com/images/I/41DlIziI0+L._AC_UL320_.jpg")</f>
        <v/>
      </c>
      <c r="K4512" t="inlineStr">
        <is>
          <t>54.95</t>
        </is>
      </c>
      <c r="L4512" t="n">
        <v>33.2</v>
      </c>
      <c r="M4512" s="1" t="inlineStr">
        <is>
          <t>-39.58%</t>
        </is>
      </c>
      <c r="N4512" s="3" t="n">
        <v>-39.58</v>
      </c>
      <c r="O4512" t="n">
        <v>4.5</v>
      </c>
      <c r="P4512" t="n">
        <v>625</v>
      </c>
      <c r="R4512" t="inlineStr">
        <is>
          <t>InStock</t>
        </is>
      </c>
      <c r="S4512" t="inlineStr">
        <is>
          <t>undefined</t>
        </is>
      </c>
      <c r="T4512" t="inlineStr">
        <is>
          <t>1368702-100</t>
        </is>
      </c>
    </row>
    <row r="4513" hidden="1" ht="15.75" customHeight="1">
      <c r="A4513" s="2">
        <f>HYPERLINK("https://www.soccerplususa.com/under-armour/under-armour-coldgear-authentics-mock-womens-44304", "https://www.soccerplususa.com/under-armour/under-armour-coldgear-authentics-mock-womens-44304")</f>
        <v/>
      </c>
      <c r="B4513" t="inlineStr">
        <is>
          <t>undefined</t>
        </is>
      </c>
      <c r="C4513" t="inlineStr">
        <is>
          <t>Under Armour ColdGear Authentics Mock Women's</t>
        </is>
      </c>
      <c r="D4513" t="inlineStr">
        <is>
          <t>Under Armour Women's ColdGear Authentics Leggings</t>
        </is>
      </c>
      <c r="E4513" s="2">
        <f>HYPERLINK("https://www.amazon.com/Under-Armour-Womens-Authentics-Leggings/dp/B08LNWXNDM/ref=sr_1_6?keywords=Under+Armour+ColdGear+Authentics+Mock+Womens&amp;qid=1695171145&amp;sr=8-6", "https://www.amazon.com/Under-Armour-Womens-Authentics-Leggings/dp/B08LNWXNDM/ref=sr_1_6?keywords=Under+Armour+ColdGear+Authentics+Mock+Womens&amp;qid=1695171145&amp;sr=8-6")</f>
        <v/>
      </c>
      <c r="F4513" t="inlineStr">
        <is>
          <t>B08LNWXNDM</t>
        </is>
      </c>
      <c r="G4513">
        <f>_xludf.IMAGE("https://www.soccerplususa.com/prodimages//36059-BLACK-M.jpg")</f>
        <v/>
      </c>
      <c r="H4513">
        <f>_xludf.IMAGE("https://m.media-amazon.com/images/I/41DlIziI0+L._AC_UL320_.jpg")</f>
        <v/>
      </c>
      <c r="K4513" t="inlineStr">
        <is>
          <t>54.95</t>
        </is>
      </c>
      <c r="L4513" t="n">
        <v>33.2</v>
      </c>
      <c r="M4513" s="1" t="inlineStr">
        <is>
          <t>-39.58%</t>
        </is>
      </c>
      <c r="N4513" s="3" t="n">
        <v>-39.58</v>
      </c>
      <c r="O4513" t="n">
        <v>4.5</v>
      </c>
      <c r="P4513" t="n">
        <v>625</v>
      </c>
      <c r="R4513" t="inlineStr">
        <is>
          <t>InStock</t>
        </is>
      </c>
      <c r="S4513" t="inlineStr">
        <is>
          <t>undefined</t>
        </is>
      </c>
      <c r="T4513" t="inlineStr">
        <is>
          <t>1368702-001</t>
        </is>
      </c>
    </row>
    <row r="4514" hidden="1" ht="15.75" customHeight="1">
      <c r="A4514" s="2">
        <f>HYPERLINK("https://www.soccerplususa.com/puma/puma-veloce-stadium-jacket-29007", "https://www.soccerplususa.com/puma/puma-veloce-stadium-jacket-29007")</f>
        <v/>
      </c>
      <c r="B4514" t="inlineStr">
        <is>
          <t>undefined</t>
        </is>
      </c>
      <c r="C4514" t="inlineStr">
        <is>
          <t>Puma Veloce Stadium Jacket</t>
        </is>
      </c>
      <c r="D4514" t="inlineStr">
        <is>
          <t>PUMA Kids Boys Veloce Stadium Jacket Coats Jackets Outerwear Full Zip - Blue</t>
        </is>
      </c>
      <c r="E4514" s="2">
        <f>HYPERLINK("https://www.amazon.com/PUMA-Veloce-Stadium-Jacket-Youth/dp/B0185VZXK2/ref=sr_1_2?keywords=Puma+Veloce+Stadium+Jacket&amp;qid=1695171172&amp;sr=8-2", "https://www.amazon.com/PUMA-Veloce-Stadium-Jacket-Youth/dp/B0185VZXK2/ref=sr_1_2?keywords=Puma+Veloce+Stadium+Jacket&amp;qid=1695171172&amp;sr=8-2")</f>
        <v/>
      </c>
      <c r="F4514" t="inlineStr">
        <is>
          <t>B0185VZXK2</t>
        </is>
      </c>
      <c r="G4514">
        <f>_xludf.IMAGE("https://www.soccerplususa.com/prodimages/3892-DEFAULT-l.jpg")</f>
        <v/>
      </c>
      <c r="H4514">
        <f>_xludf.IMAGE("https://m.media-amazon.com/images/I/51V5ajYa4ZS._AC_UL320_.jpg")</f>
        <v/>
      </c>
      <c r="K4514" t="inlineStr">
        <is>
          <t>30.0</t>
        </is>
      </c>
      <c r="L4514" t="n">
        <v>17.95</v>
      </c>
      <c r="M4514" s="1" t="inlineStr">
        <is>
          <t>-40.17%</t>
        </is>
      </c>
      <c r="N4514" s="3" t="n">
        <v>-40.17</v>
      </c>
      <c r="O4514" t="n">
        <v>3.2</v>
      </c>
      <c r="P4514" t="n">
        <v>4</v>
      </c>
      <c r="R4514" t="inlineStr">
        <is>
          <t>InStock</t>
        </is>
      </c>
      <c r="S4514" t="inlineStr">
        <is>
          <t>59.95</t>
        </is>
      </c>
      <c r="T4514" t="inlineStr">
        <is>
          <t>654643-03</t>
        </is>
      </c>
    </row>
    <row r="4515" hidden="1" ht="15.75" customHeight="1">
      <c r="A4515" s="2">
        <f>HYPERLINK("https://www.soccerplususa.com/puma/puma-veloce-stadium-jacket-29007", "https://www.soccerplususa.com/puma/puma-veloce-stadium-jacket-29007")</f>
        <v/>
      </c>
      <c r="B4515" t="inlineStr">
        <is>
          <t>undefined</t>
        </is>
      </c>
      <c r="C4515" t="inlineStr">
        <is>
          <t>Puma Veloce Stadium Jacket</t>
        </is>
      </c>
      <c r="D4515" t="inlineStr">
        <is>
          <t>PUMA Kids Boys Veloce Stadium Jacket Coats Jackets Outerwear Full Zip - Black</t>
        </is>
      </c>
      <c r="E4515" s="2">
        <f>HYPERLINK("https://www.amazon.com/PUMA-Veloce-Stadium-Jacket-Medium/dp/B0185VZFIM/ref=sr_1_1?keywords=Puma+Veloce+Stadium+Jacket&amp;qid=1695171172&amp;sr=8-1", "https://www.amazon.com/PUMA-Veloce-Stadium-Jacket-Medium/dp/B0185VZFIM/ref=sr_1_1?keywords=Puma+Veloce+Stadium+Jacket&amp;qid=1695171172&amp;sr=8-1")</f>
        <v/>
      </c>
      <c r="F4515" t="inlineStr">
        <is>
          <t>B0185VZFIM</t>
        </is>
      </c>
      <c r="G4515">
        <f>_xludf.IMAGE("https://www.soccerplususa.com/prodimages/3892-DEFAULT-l.jpg")</f>
        <v/>
      </c>
      <c r="H4515">
        <f>_xludf.IMAGE("https://m.media-amazon.com/images/I/510ti0xHvjS._AC_UL320_.jpg")</f>
        <v/>
      </c>
      <c r="K4515" t="inlineStr">
        <is>
          <t>30.0</t>
        </is>
      </c>
      <c r="L4515" t="n">
        <v>17.95</v>
      </c>
      <c r="M4515" s="1" t="inlineStr">
        <is>
          <t>-40.17%</t>
        </is>
      </c>
      <c r="N4515" s="3" t="n">
        <v>-40.17</v>
      </c>
      <c r="O4515" t="n">
        <v>3</v>
      </c>
      <c r="P4515" t="n">
        <v>4</v>
      </c>
      <c r="R4515" t="inlineStr">
        <is>
          <t>InStock</t>
        </is>
      </c>
      <c r="S4515" t="inlineStr">
        <is>
          <t>59.95</t>
        </is>
      </c>
      <c r="T4515" t="inlineStr">
        <is>
          <t>654643-03</t>
        </is>
      </c>
    </row>
    <row r="4516" hidden="1" ht="15.75" customHeight="1">
      <c r="A4516" s="2">
        <f>HYPERLINK("https://www.soccerplususa.com/puma/puma-liga-hooped-jersey-youth-35527", "https://www.soccerplususa.com/puma/puma-liga-hooped-jersey-youth-35527")</f>
        <v/>
      </c>
      <c r="B4516" t="inlineStr">
        <is>
          <t>undefined</t>
        </is>
      </c>
      <c r="C4516" t="inlineStr">
        <is>
          <t>Puma Liga Hooped Jersey Youth</t>
        </is>
      </c>
      <c r="D4516" t="inlineStr">
        <is>
          <t>PUMA Youth Liga Jersey Hooped</t>
        </is>
      </c>
      <c r="E4516" s="2">
        <f>HYPERLINK("https://www.amazon.com/PUMA-Jersey-Hooped-Redpuma-White/dp/B07KWZ42JJ/ref=sr_1_1?keywords=Puma+Liga+Hooped+Jersey+Youth&amp;qid=1695171171&amp;sr=8-1", "https://www.amazon.com/PUMA-Jersey-Hooped-Redpuma-White/dp/B07KWZ42JJ/ref=sr_1_1?keywords=Puma+Liga+Hooped+Jersey+Youth&amp;qid=1695171171&amp;sr=8-1")</f>
        <v/>
      </c>
      <c r="F4516" t="inlineStr">
        <is>
          <t>B07KWZ42JJ</t>
        </is>
      </c>
      <c r="G4516">
        <f>_xludf.IMAGE("https://www.soccerplususa.com/prodimages/32670-DEFAULT-l.jpg")</f>
        <v/>
      </c>
      <c r="H4516">
        <f>_xludf.IMAGE("https://m.media-amazon.com/images/I/71U8WfkgiVL._AC_UL320_.jpg")</f>
        <v/>
      </c>
      <c r="K4516" t="inlineStr">
        <is>
          <t>30.0</t>
        </is>
      </c>
      <c r="L4516" t="n">
        <v>17.95</v>
      </c>
      <c r="M4516" s="1" t="inlineStr">
        <is>
          <t>-40.17%</t>
        </is>
      </c>
      <c r="N4516" s="3" t="n">
        <v>-40.17</v>
      </c>
      <c r="O4516" t="n">
        <v>3.3</v>
      </c>
      <c r="P4516" t="n">
        <v>106</v>
      </c>
      <c r="R4516" t="inlineStr">
        <is>
          <t>InStock</t>
        </is>
      </c>
      <c r="S4516" t="inlineStr">
        <is>
          <t>39.95</t>
        </is>
      </c>
      <c r="T4516" t="inlineStr">
        <is>
          <t>703423-02</t>
        </is>
      </c>
    </row>
    <row r="4517" hidden="1" ht="15.75" customHeight="1">
      <c r="A4517" s="2">
        <f>HYPERLINK("https://www.soccerplususa.com/puma/puma-liga-hooped-jersey-35526", "https://www.soccerplususa.com/puma/puma-liga-hooped-jersey-35526")</f>
        <v/>
      </c>
      <c r="B4517" t="inlineStr">
        <is>
          <t>undefined</t>
        </is>
      </c>
      <c r="C4517" t="inlineStr">
        <is>
          <t>Puma Liga Hooped Jersey</t>
        </is>
      </c>
      <c r="D4517" t="inlineStr">
        <is>
          <t>PUMA Youth Liga Jersey Hooped</t>
        </is>
      </c>
      <c r="E4517" s="2">
        <f>HYPERLINK("https://www.amazon.com/PUMA-Jersey-Hooped-Redpuma-White/dp/B07KWZ42JJ/ref=sr_1_1?keywords=Puma+Liga+Hooped+Jersey&amp;qid=1695171162&amp;sr=8-1", "https://www.amazon.com/PUMA-Jersey-Hooped-Redpuma-White/dp/B07KWZ42JJ/ref=sr_1_1?keywords=Puma+Liga+Hooped+Jersey&amp;qid=1695171162&amp;sr=8-1")</f>
        <v/>
      </c>
      <c r="F4517" t="inlineStr">
        <is>
          <t>B07KWZ42JJ</t>
        </is>
      </c>
      <c r="G4517">
        <f>_xludf.IMAGE("https://www.soccerplususa.com/prodimages/32667-DEFAULT-l.jpg")</f>
        <v/>
      </c>
      <c r="H4517">
        <f>_xludf.IMAGE("https://m.media-amazon.com/images/I/71U8WfkgiVL._AC_UL320_.jpg")</f>
        <v/>
      </c>
      <c r="K4517" t="inlineStr">
        <is>
          <t>30.0</t>
        </is>
      </c>
      <c r="L4517" t="n">
        <v>17.95</v>
      </c>
      <c r="M4517" s="1" t="inlineStr">
        <is>
          <t>-40.17%</t>
        </is>
      </c>
      <c r="N4517" s="3" t="n">
        <v>-40.17</v>
      </c>
      <c r="O4517" t="n">
        <v>3.3</v>
      </c>
      <c r="P4517" t="n">
        <v>106</v>
      </c>
      <c r="R4517" t="inlineStr">
        <is>
          <t>InStock</t>
        </is>
      </c>
      <c r="S4517" t="inlineStr">
        <is>
          <t>39.95</t>
        </is>
      </c>
      <c r="T4517" t="inlineStr">
        <is>
          <t>703422-02</t>
        </is>
      </c>
    </row>
    <row r="4518" hidden="1" ht="15.75" customHeight="1">
      <c r="A4518" s="2">
        <f>HYPERLINK("https://www.soccerplususa.com/puma/puma-liga-hooped-jersey-35526", "https://www.soccerplususa.com/puma/puma-liga-hooped-jersey-35526")</f>
        <v/>
      </c>
      <c r="B4518" t="inlineStr">
        <is>
          <t>undefined</t>
        </is>
      </c>
      <c r="C4518" t="inlineStr">
        <is>
          <t>Puma Liga Hooped Jersey</t>
        </is>
      </c>
      <c r="D4518" t="inlineStr">
        <is>
          <t>PUMA Youth Liga Jersey Core</t>
        </is>
      </c>
      <c r="E4518" s="2">
        <f>HYPERLINK("https://www.amazon.com/PUMA-Mens-Jersey-Redpuma-White/dp/B07B8DXZYL/ref=sr_1_5?keywords=Puma+Liga+Hooped+Jersey&amp;qid=1695171162&amp;sr=8-5", "https://www.amazon.com/PUMA-Mens-Jersey-Redpuma-White/dp/B07B8DXZYL/ref=sr_1_5?keywords=Puma+Liga+Hooped+Jersey&amp;qid=1695171162&amp;sr=8-5")</f>
        <v/>
      </c>
      <c r="F4518" t="inlineStr">
        <is>
          <t>B07B8DXZYL</t>
        </is>
      </c>
      <c r="G4518">
        <f>_xludf.IMAGE("https://www.soccerplususa.com/prodimages/32667-DEFAULT-l.jpg")</f>
        <v/>
      </c>
      <c r="H4518">
        <f>_xludf.IMAGE("https://m.media-amazon.com/images/I/71154h+V-SL._AC_UL320_.jpg")</f>
        <v/>
      </c>
      <c r="K4518" t="inlineStr">
        <is>
          <t>30.0</t>
        </is>
      </c>
      <c r="L4518" t="n">
        <v>17.95</v>
      </c>
      <c r="M4518" s="1" t="inlineStr">
        <is>
          <t>-40.17%</t>
        </is>
      </c>
      <c r="N4518" s="3" t="n">
        <v>-40.17</v>
      </c>
      <c r="O4518" t="n">
        <v>3.5</v>
      </c>
      <c r="P4518" t="n">
        <v>320</v>
      </c>
      <c r="R4518" t="inlineStr">
        <is>
          <t>InStock</t>
        </is>
      </c>
      <c r="S4518" t="inlineStr">
        <is>
          <t>39.95</t>
        </is>
      </c>
      <c r="T4518" t="inlineStr">
        <is>
          <t>703422-02</t>
        </is>
      </c>
    </row>
    <row r="4519" hidden="1" ht="15.75" customHeight="1">
      <c r="A4519" s="2">
        <f>HYPERLINK("https://www.soccerplususa.com/puma/puma-liga-hooped-jersey-youth-35527", "https://www.soccerplususa.com/puma/puma-liga-hooped-jersey-youth-35527")</f>
        <v/>
      </c>
      <c r="B4519" t="inlineStr">
        <is>
          <t>undefined</t>
        </is>
      </c>
      <c r="C4519" t="inlineStr">
        <is>
          <t>Puma Liga Hooped Jersey Youth</t>
        </is>
      </c>
      <c r="D4519" t="inlineStr">
        <is>
          <t>PUMA Youth Liga Jersey Core</t>
        </is>
      </c>
      <c r="E4519" s="2">
        <f>HYPERLINK("https://www.amazon.com/PUMA-Jersey-Blackpuma-White-X-Large/dp/B07KWQDSR5/ref=sr_1_4?keywords=Puma+Liga+Hooped+Jersey+Youth&amp;qid=1695171171&amp;sr=8-4", "https://www.amazon.com/PUMA-Jersey-Blackpuma-White-X-Large/dp/B07KWQDSR5/ref=sr_1_4?keywords=Puma+Liga+Hooped+Jersey+Youth&amp;qid=1695171171&amp;sr=8-4")</f>
        <v/>
      </c>
      <c r="F4519" t="inlineStr">
        <is>
          <t>B07KWQDSR5</t>
        </is>
      </c>
      <c r="G4519">
        <f>_xludf.IMAGE("https://www.soccerplususa.com/prodimages/32670-DEFAULT-l.jpg")</f>
        <v/>
      </c>
      <c r="H4519">
        <f>_xludf.IMAGE("https://m.media-amazon.com/images/I/61DkPqdXzAL._AC_UL320_.jpg")</f>
        <v/>
      </c>
      <c r="K4519" t="inlineStr">
        <is>
          <t>30.0</t>
        </is>
      </c>
      <c r="L4519" t="n">
        <v>17.95</v>
      </c>
      <c r="M4519" s="1" t="inlineStr">
        <is>
          <t>-40.17%</t>
        </is>
      </c>
      <c r="N4519" s="3" t="n">
        <v>-40.17</v>
      </c>
      <c r="O4519" t="n">
        <v>3.5</v>
      </c>
      <c r="P4519" t="n">
        <v>320</v>
      </c>
      <c r="R4519" t="inlineStr">
        <is>
          <t>InStock</t>
        </is>
      </c>
      <c r="S4519" t="inlineStr">
        <is>
          <t>39.95</t>
        </is>
      </c>
      <c r="T4519" t="inlineStr">
        <is>
          <t>703423-02</t>
        </is>
      </c>
    </row>
    <row r="4520" hidden="1" ht="15.75" customHeight="1">
      <c r="A4520" s="2">
        <f>HYPERLINK("https://www.soccerplususa.com/new-balance/new-balance-sideline-jacket-41947", "https://www.soccerplususa.com/new-balance/new-balance-sideline-jacket-41947")</f>
        <v/>
      </c>
      <c r="B4520" t="inlineStr">
        <is>
          <t>undefined</t>
        </is>
      </c>
      <c r="C4520" t="inlineStr">
        <is>
          <t>New Balance Sideline Jacket</t>
        </is>
      </c>
      <c r="D4520" t="inlineStr">
        <is>
          <t>New Balance Men's Tenacity Football Training Track Jacket</t>
        </is>
      </c>
      <c r="E4520" s="2">
        <f>HYPERLINK("https://www.amazon.com/New-Balance-Tenacity-Phantom-X-Large/dp/B09HY61V3Q/ref=sr_1_3?keywords=New+Balance+Sideline+Jacket&amp;qid=1695171146&amp;sr=8-3", "https://www.amazon.com/New-Balance-Tenacity-Phantom-X-Large/dp/B09HY61V3Q/ref=sr_1_3?keywords=New+Balance+Sideline+Jacket&amp;qid=1695171146&amp;sr=8-3")</f>
        <v/>
      </c>
      <c r="F4520" t="inlineStr">
        <is>
          <t>B09HY61V3Q</t>
        </is>
      </c>
      <c r="G4520">
        <f>_xludf.IMAGE("https://www.soccerplususa.com/prodimages//37530-BLACK-M.jpg")</f>
        <v/>
      </c>
      <c r="H4520">
        <f>_xludf.IMAGE("https://m.media-amazon.com/images/I/81kYHOqRulL._AC_UL320_.jpg")</f>
        <v/>
      </c>
      <c r="K4520" t="inlineStr">
        <is>
          <t>71.49</t>
        </is>
      </c>
      <c r="L4520" t="n">
        <v>42.65</v>
      </c>
      <c r="M4520" s="1" t="inlineStr">
        <is>
          <t>-40.34%</t>
        </is>
      </c>
      <c r="N4520" s="3" t="n">
        <v>-40.34</v>
      </c>
      <c r="O4520" t="n">
        <v>4.2</v>
      </c>
      <c r="P4520" t="n">
        <v>3</v>
      </c>
      <c r="R4520" t="inlineStr">
        <is>
          <t>InStock</t>
        </is>
      </c>
      <c r="S4520" t="inlineStr">
        <is>
          <t>95.0</t>
        </is>
      </c>
      <c r="T4520" t="inlineStr">
        <is>
          <t>TMMJ718</t>
        </is>
      </c>
    </row>
    <row r="4521" hidden="1" ht="15.75" customHeight="1">
      <c r="A4521" s="2">
        <f>HYPERLINK("https://www.soccerplususa.com/under-armour/under-armour-coldgear-compression-mock-44300", "https://www.soccerplususa.com/under-armour/under-armour-coldgear-compression-mock-44300")</f>
        <v/>
      </c>
      <c r="B4521" t="inlineStr">
        <is>
          <t>undefined</t>
        </is>
      </c>
      <c r="C4521" t="inlineStr">
        <is>
          <t>Under Armour ColdGear Compression Mock</t>
        </is>
      </c>
      <c r="D4521" t="inlineStr">
        <is>
          <t>Under Armour Women's ColdGear Authentics Compression Mock</t>
        </is>
      </c>
      <c r="E4521" s="2">
        <f>HYPERLINK("https://www.amazon.com/Under-Armour-ColdGear-Authentic-Midnight/dp/B005IM0QMC/ref=sr_1_2?keywords=Under+Armour+ColdGear+Compression+Mock&amp;qid=1695171160&amp;sr=8-2", "https://www.amazon.com/Under-Armour-ColdGear-Authentic-Midnight/dp/B005IM0QMC/ref=sr_1_2?keywords=Under+Armour+ColdGear+Compression+Mock&amp;qid=1695171160&amp;sr=8-2")</f>
        <v/>
      </c>
      <c r="F4521" t="inlineStr">
        <is>
          <t>B005IM0QMC</t>
        </is>
      </c>
      <c r="G4521">
        <f>_xludf.IMAGE("https://www.soccerplususa.com/prodimages//36057-BLACK-M.jpg")</f>
        <v/>
      </c>
      <c r="H4521">
        <f>_xludf.IMAGE("https://m.media-amazon.com/images/I/516ZUq9iV2L._AC_UL320_.jpg")</f>
        <v/>
      </c>
      <c r="K4521" t="inlineStr">
        <is>
          <t>54.95</t>
        </is>
      </c>
      <c r="L4521" t="n">
        <v>32.43</v>
      </c>
      <c r="M4521" s="1" t="inlineStr">
        <is>
          <t>-40.98%</t>
        </is>
      </c>
      <c r="N4521" s="3" t="n">
        <v>-40.98</v>
      </c>
      <c r="O4521" t="n">
        <v>4.8</v>
      </c>
      <c r="P4521" t="n">
        <v>7721</v>
      </c>
      <c r="R4521" t="inlineStr">
        <is>
          <t>InStock</t>
        </is>
      </c>
      <c r="S4521" t="inlineStr">
        <is>
          <t>undefined</t>
        </is>
      </c>
      <c r="T4521" t="inlineStr">
        <is>
          <t>1366072-001</t>
        </is>
      </c>
    </row>
    <row r="4522" hidden="1" ht="15.75" customHeight="1">
      <c r="A4522" s="2">
        <f>HYPERLINK("https://www.soccerplususa.com/under-armour/under-armour-coldgear-authentics-mock-womens-44305", "https://www.soccerplususa.com/under-armour/under-armour-coldgear-authentics-mock-womens-44305")</f>
        <v/>
      </c>
      <c r="B4522" t="inlineStr">
        <is>
          <t>undefined</t>
        </is>
      </c>
      <c r="C4522" t="inlineStr">
        <is>
          <t>Under Armour ColdGear Authentics Mock Women's</t>
        </is>
      </c>
      <c r="D4522" t="inlineStr">
        <is>
          <t>Under Armour Women's ColdGear Authentics Compression Mock</t>
        </is>
      </c>
      <c r="E4522" s="2">
        <f>HYPERLINK("https://www.amazon.com/Under-Armour-ColdGear-Authentic-Midnight/dp/B005IM0QMC/ref=sr_1_2?keywords=Under+Armour+ColdGear+Authentics+Mock+Womens&amp;qid=1695171151&amp;sr=8-2", "https://www.amazon.com/Under-Armour-ColdGear-Authentic-Midnight/dp/B005IM0QMC/ref=sr_1_2?keywords=Under+Armour+ColdGear+Authentics+Mock+Womens&amp;qid=1695171151&amp;sr=8-2")</f>
        <v/>
      </c>
      <c r="F4522" t="inlineStr">
        <is>
          <t>B005IM0QMC</t>
        </is>
      </c>
      <c r="G4522">
        <f>_xludf.IMAGE("https://www.soccerplususa.com/prodimages//36058-WHITE-M.jpg")</f>
        <v/>
      </c>
      <c r="H4522">
        <f>_xludf.IMAGE("https://m.media-amazon.com/images/I/516ZUq9iV2L._AC_UL320_.jpg")</f>
        <v/>
      </c>
      <c r="K4522" t="inlineStr">
        <is>
          <t>54.95</t>
        </is>
      </c>
      <c r="L4522" t="n">
        <v>32.43</v>
      </c>
      <c r="M4522" s="1" t="inlineStr">
        <is>
          <t>-40.98%</t>
        </is>
      </c>
      <c r="N4522" s="3" t="n">
        <v>-40.98</v>
      </c>
      <c r="O4522" t="n">
        <v>4.8</v>
      </c>
      <c r="P4522" t="n">
        <v>7721</v>
      </c>
      <c r="R4522" t="inlineStr">
        <is>
          <t>InStock</t>
        </is>
      </c>
      <c r="S4522" t="inlineStr">
        <is>
          <t>undefined</t>
        </is>
      </c>
      <c r="T4522" t="inlineStr">
        <is>
          <t>1368702-100</t>
        </is>
      </c>
    </row>
    <row r="4523" hidden="1" ht="15.75" customHeight="1">
      <c r="A4523" s="2">
        <f>HYPERLINK("https://www.soccerplususa.com/adidas/adidas-regista-16-jersey-4149", "https://www.soccerplususa.com/adidas/adidas-regista-16-jersey-4149")</f>
        <v/>
      </c>
      <c r="B4523" t="inlineStr">
        <is>
          <t>undefined</t>
        </is>
      </c>
      <c r="C4523" t="inlineStr">
        <is>
          <t>adidas Regista 16 Jersey</t>
        </is>
      </c>
      <c r="D4523" t="inlineStr">
        <is>
          <t>adidas Regista 16 Youth Soccer Jersey (X-Small) Dark Blue-White</t>
        </is>
      </c>
      <c r="E4523" s="2">
        <f>HYPERLINK("https://www.amazon.com/Adidas-Regista-Soccer-Jersey-Blue-White/dp/B01DH21W8Q/ref=sr_1_9?keywords=adidas+Regista+16+Jersey&amp;qid=1695171233&amp;sr=8-9", "https://www.amazon.com/Adidas-Regista-Soccer-Jersey-Blue-White/dp/B01DH21W8Q/ref=sr_1_9?keywords=adidas+Regista+16+Jersey&amp;qid=1695171233&amp;sr=8-9")</f>
        <v/>
      </c>
      <c r="F4523" t="inlineStr">
        <is>
          <t>B01DH21W8Q</t>
        </is>
      </c>
      <c r="G4523">
        <f>_xludf.IMAGE("https://www.soccerplususa.com/prodimages/32795-DEFAULT-l.jpg")</f>
        <v/>
      </c>
      <c r="H4523">
        <f>_xludf.IMAGE("https://m.media-amazon.com/images/I/51L5tK6ZvhL._AC_UL320_.jpg")</f>
        <v/>
      </c>
      <c r="K4523" t="inlineStr">
        <is>
          <t>17.0</t>
        </is>
      </c>
      <c r="L4523" t="n">
        <v>9.99</v>
      </c>
      <c r="M4523" s="1" t="inlineStr">
        <is>
          <t>-41.24%</t>
        </is>
      </c>
      <c r="N4523" s="3" t="n">
        <v>-41.24</v>
      </c>
      <c r="O4523" t="n">
        <v>5</v>
      </c>
      <c r="P4523" t="n">
        <v>1</v>
      </c>
      <c r="R4523" t="inlineStr">
        <is>
          <t>InStock</t>
        </is>
      </c>
      <c r="S4523" t="inlineStr">
        <is>
          <t>34.95</t>
        </is>
      </c>
      <c r="T4523" t="inlineStr">
        <is>
          <t>AP0535</t>
        </is>
      </c>
    </row>
    <row r="4524" hidden="1" ht="15.75" customHeight="1">
      <c r="A4524" s="2">
        <f>HYPERLINK("https://www.soccerplususa.com/under-armour/under-armour-cold-gear-armour-mock-youth-33311", "https://www.soccerplususa.com/under-armour/under-armour-cold-gear-armour-mock-youth-33311")</f>
        <v/>
      </c>
      <c r="B4524" t="inlineStr">
        <is>
          <t>undefined</t>
        </is>
      </c>
      <c r="C4524" t="inlineStr">
        <is>
          <t>Under Armour Cold Gear Armour Mock Youth</t>
        </is>
      </c>
      <c r="D4524" t="inlineStr">
        <is>
          <t>BALEAF Youth Boys Compression Thermal Shirt Fleece Baselayer Long Sleeve Cold Gear Mock Top Baseball Football Undershirt</t>
        </is>
      </c>
      <c r="E4524" s="2" t="n"/>
      <c r="F4524" t="inlineStr">
        <is>
          <t>B0774KM1X6</t>
        </is>
      </c>
      <c r="G4524">
        <f>_xludf.IMAGE("https://www.soccerplususa.com/prodimages/5585-DEFAULT-l.jpg")</f>
        <v/>
      </c>
      <c r="H4524">
        <f>_xludf.IMAGE("https://m.media-amazon.com/images/I/61n6eitq8VL._AC_UL320_.jpg")</f>
        <v/>
      </c>
      <c r="K4524" t="inlineStr">
        <is>
          <t>39.95</t>
        </is>
      </c>
      <c r="L4524" t="n">
        <v>22.99</v>
      </c>
      <c r="M4524" s="1" t="inlineStr">
        <is>
          <t>-42.45%</t>
        </is>
      </c>
      <c r="N4524" s="3" t="n">
        <v>-42.45</v>
      </c>
      <c r="O4524" t="n">
        <v>4.5</v>
      </c>
      <c r="P4524" t="n">
        <v>1631</v>
      </c>
      <c r="R4524" t="inlineStr">
        <is>
          <t>InStock</t>
        </is>
      </c>
      <c r="S4524" t="inlineStr">
        <is>
          <t>undefined</t>
        </is>
      </c>
      <c r="T4524" t="inlineStr">
        <is>
          <t>1288343-100</t>
        </is>
      </c>
    </row>
    <row r="4525" hidden="1" ht="15.75" customHeight="1">
      <c r="A4525" s="2">
        <f>HYPERLINK("https://www.soccerplususa.com/adidas/adidas-regista-16-jersey-4147", "https://www.soccerplususa.com/adidas/adidas-regista-16-jersey-4147")</f>
        <v/>
      </c>
      <c r="B4525" t="inlineStr">
        <is>
          <t>undefined</t>
        </is>
      </c>
      <c r="C4525" t="inlineStr">
        <is>
          <t>adidas Regista 16 Jersey</t>
        </is>
      </c>
      <c r="D4525" t="inlineStr">
        <is>
          <t>adidas Regista 16 Youth Soccer Jersey (X-Small) Dark Blue-White</t>
        </is>
      </c>
      <c r="E4525" s="2">
        <f>HYPERLINK("https://www.amazon.com/Adidas-Regista-Soccer-Jersey-Blue-White/dp/B01DH21W8Q/ref=sr_1_9?keywords=adidas+Regista+16+Jersey&amp;qid=1695171233&amp;sr=8-9", "https://www.amazon.com/Adidas-Regista-Soccer-Jersey-Blue-White/dp/B01DH21W8Q/ref=sr_1_9?keywords=adidas+Regista+16+Jersey&amp;qid=1695171233&amp;sr=8-9")</f>
        <v/>
      </c>
      <c r="F4525" t="inlineStr">
        <is>
          <t>B01DH21W8Q</t>
        </is>
      </c>
      <c r="G4525">
        <f>_xludf.IMAGE("https://www.soccerplususa.com/prodimages/7616-DEFAULT-l.jpg")</f>
        <v/>
      </c>
      <c r="H4525">
        <f>_xludf.IMAGE("https://m.media-amazon.com/images/I/51L5tK6ZvhL._AC_UL320_.jpg")</f>
        <v/>
      </c>
      <c r="K4525" t="inlineStr">
        <is>
          <t>17.5</t>
        </is>
      </c>
      <c r="L4525" t="n">
        <v>9.99</v>
      </c>
      <c r="M4525" s="1" t="inlineStr">
        <is>
          <t>-42.91%</t>
        </is>
      </c>
      <c r="N4525" s="3" t="n">
        <v>-42.91</v>
      </c>
      <c r="O4525" t="n">
        <v>5</v>
      </c>
      <c r="P4525" t="n">
        <v>1</v>
      </c>
      <c r="R4525" t="inlineStr">
        <is>
          <t>InStock</t>
        </is>
      </c>
      <c r="S4525" t="inlineStr">
        <is>
          <t>34.95</t>
        </is>
      </c>
      <c r="T4525" t="inlineStr">
        <is>
          <t>AP0529</t>
        </is>
      </c>
    </row>
    <row r="4526" hidden="1" ht="15.75" customHeight="1">
      <c r="A4526" s="2">
        <f>HYPERLINK("https://www.soccerplususa.com/adidas/adidas-tiro-17-jersey-4868", "https://www.soccerplususa.com/adidas/adidas-tiro-17-jersey-4868")</f>
        <v/>
      </c>
      <c r="B4526" t="inlineStr">
        <is>
          <t>undefined</t>
        </is>
      </c>
      <c r="C4526" t="inlineStr">
        <is>
          <t>adidas Tiro 17 Jersey</t>
        </is>
      </c>
      <c r="D4526" t="inlineStr">
        <is>
          <t>adidas Tiro 17 Mens Soccer Training Jersey</t>
        </is>
      </c>
      <c r="E4526" s="2">
        <f>HYPERLINK("https://www.amazon.com/adidas-Training-Jersey-White-Black/dp/B01M29BN8D/ref=sr_1_4?keywords=adidas+Tiro+17+Jersey&amp;qid=1695171228&amp;sr=8-4", "https://www.amazon.com/adidas-Training-Jersey-White-Black/dp/B01M29BN8D/ref=sr_1_4?keywords=adidas+Tiro+17+Jersey&amp;qid=1695171228&amp;sr=8-4")</f>
        <v/>
      </c>
      <c r="F4526" t="inlineStr">
        <is>
          <t>B01M29BN8D</t>
        </is>
      </c>
      <c r="G4526">
        <f>_xludf.IMAGE("https://www.soccerplususa.com/prodimages/32792-DEFAULT-l.jpg")</f>
        <v/>
      </c>
      <c r="H4526">
        <f>_xludf.IMAGE("https://m.media-amazon.com/images/I/51KCXIG2tsL._AC_UL320_.jpg")</f>
        <v/>
      </c>
      <c r="K4526" t="inlineStr">
        <is>
          <t>29.99</t>
        </is>
      </c>
      <c r="L4526" t="n">
        <v>16.99</v>
      </c>
      <c r="M4526" s="1" t="inlineStr">
        <is>
          <t>-43.35%</t>
        </is>
      </c>
      <c r="N4526" s="3" t="n">
        <v>-43.35</v>
      </c>
      <c r="O4526" t="n">
        <v>4.2</v>
      </c>
      <c r="P4526" t="n">
        <v>51</v>
      </c>
      <c r="R4526" t="inlineStr">
        <is>
          <t>InStock</t>
        </is>
      </c>
      <c r="S4526" t="inlineStr">
        <is>
          <t>39.95</t>
        </is>
      </c>
      <c r="T4526" t="inlineStr">
        <is>
          <t>BK5435</t>
        </is>
      </c>
    </row>
    <row r="4527" hidden="1" ht="15.75" customHeight="1">
      <c r="A4527" s="2">
        <f>HYPERLINK("https://www.soccerplususa.com/puma/puma-liga-jersey-womens-39602", "https://www.soccerplususa.com/puma/puma-liga-jersey-womens-39602")</f>
        <v/>
      </c>
      <c r="B4527" t="inlineStr">
        <is>
          <t>undefined</t>
        </is>
      </c>
      <c r="C4527" t="inlineStr">
        <is>
          <t>Puma Liga Jersey Women's</t>
        </is>
      </c>
      <c r="D4527" t="inlineStr">
        <is>
          <t>PUMA Women's Liga Jersey, Cyber Yellow-Black, S</t>
        </is>
      </c>
      <c r="E4527" s="2">
        <f>HYPERLINK("https://www.amazon.com/PUMA-Womens-Jersey-Cyber-Yellowpuma/dp/B07FBJ6M3D/ref=sr_1_4?keywords=Puma+Liga+Jersey+Womens&amp;qid=1695171150&amp;sr=8-4", "https://www.amazon.com/PUMA-Womens-Jersey-Cyber-Yellowpuma/dp/B07FBJ6M3D/ref=sr_1_4?keywords=Puma+Liga+Jersey+Womens&amp;qid=1695171150&amp;sr=8-4")</f>
        <v/>
      </c>
      <c r="F4527" t="inlineStr">
        <is>
          <t>B07FBJ6M3D</t>
        </is>
      </c>
      <c r="G4527">
        <f>_xludf.IMAGE("https://www.soccerplususa.com/prodimages//36786-REDWHITE-M.jpg")</f>
        <v/>
      </c>
      <c r="H4527">
        <f>_xludf.IMAGE("https://m.media-amazon.com/images/I/71TBNPkRR5L._AC_UL320_.jpg")</f>
        <v/>
      </c>
      <c r="K4527" t="inlineStr">
        <is>
          <t>20.99</t>
        </is>
      </c>
      <c r="L4527" t="n">
        <v>11.88</v>
      </c>
      <c r="M4527" s="1" t="inlineStr">
        <is>
          <t>-43.40%</t>
        </is>
      </c>
      <c r="N4527" s="3" t="n">
        <v>-43.4</v>
      </c>
      <c r="O4527" t="n">
        <v>4.1</v>
      </c>
      <c r="P4527" t="n">
        <v>7</v>
      </c>
      <c r="R4527" t="inlineStr">
        <is>
          <t>InStock</t>
        </is>
      </c>
      <c r="S4527" t="inlineStr">
        <is>
          <t>27.95</t>
        </is>
      </c>
      <c r="T4527" t="inlineStr">
        <is>
          <t>703426-01</t>
        </is>
      </c>
    </row>
    <row r="4528" hidden="1" ht="15.75" customHeight="1">
      <c r="A4528" s="2">
        <f>HYPERLINK("https://www.soccerplususa.com/puma/puma-teamgoal-23-training-jacket-38703", "https://www.soccerplususa.com/puma/puma-teamgoal-23-training-jacket-38703")</f>
        <v/>
      </c>
      <c r="B4528" t="inlineStr">
        <is>
          <t>undefined</t>
        </is>
      </c>
      <c r="C4528" t="inlineStr">
        <is>
          <t>Puma Teamgoal 23 Training Jacket</t>
        </is>
      </c>
      <c r="D4528" t="inlineStr">
        <is>
          <t>PUMA Womens Teamgoal 23 Training Jacket W</t>
        </is>
      </c>
      <c r="E4528" s="2">
        <f>HYPERLINK("https://www.amazon.com/PUMA-Womens-Teamgoal-Training-Asphalt/dp/B086MYKX9Q/ref=sr_1_2?keywords=Puma+Teamgoal+23+Training+Jacket&amp;qid=1695171154&amp;sr=8-2", "https://www.amazon.com/PUMA-Womens-Teamgoal-Training-Asphalt/dp/B086MYKX9Q/ref=sr_1_2?keywords=Puma+Teamgoal+23+Training+Jacket&amp;qid=1695171154&amp;sr=8-2")</f>
        <v/>
      </c>
      <c r="F4528" t="inlineStr">
        <is>
          <t>B086MYKX9Q</t>
        </is>
      </c>
      <c r="G4528">
        <f>_xludf.IMAGE("https://www.soccerplususa.com/prodimages//35608-Electric_Blue-M.jpg")</f>
        <v/>
      </c>
      <c r="H4528">
        <f>_xludf.IMAGE("https://m.media-amazon.com/images/I/51XVOq8rdHL._AC_UL320_.jpg")</f>
        <v/>
      </c>
      <c r="K4528" t="inlineStr">
        <is>
          <t>44.99</t>
        </is>
      </c>
      <c r="L4528" t="n">
        <v>24.95</v>
      </c>
      <c r="M4528" s="1" t="inlineStr">
        <is>
          <t>-44.54%</t>
        </is>
      </c>
      <c r="N4528" s="3" t="n">
        <v>-44.54</v>
      </c>
      <c r="O4528" t="n">
        <v>5</v>
      </c>
      <c r="P4528" t="n">
        <v>7</v>
      </c>
      <c r="R4528" t="inlineStr">
        <is>
          <t>InStock</t>
        </is>
      </c>
      <c r="S4528" t="inlineStr">
        <is>
          <t>59.95</t>
        </is>
      </c>
      <c r="T4528" t="inlineStr">
        <is>
          <t>656561-02</t>
        </is>
      </c>
    </row>
    <row r="4529" hidden="1" ht="15.75" customHeight="1">
      <c r="A4529" s="2">
        <f>HYPERLINK("https://www.soccerplususa.com/puma/puma-liga-training-jacket-youth-35521", "https://www.soccerplususa.com/puma/puma-liga-training-jacket-youth-35521")</f>
        <v/>
      </c>
      <c r="B4529" t="inlineStr">
        <is>
          <t>undefined</t>
        </is>
      </c>
      <c r="C4529" t="inlineStr">
        <is>
          <t>Puma Liga Training Jacket Youth</t>
        </is>
      </c>
      <c r="D4529" t="inlineStr">
        <is>
          <t>PUMA Men's Liga Training Jacket</t>
        </is>
      </c>
      <c r="E4529" s="2">
        <f>HYPERLINK("https://www.amazon.com/PUMA-Training-Jacket-Electric-Lemonade/dp/B07C7FSBF9/ref=sr_1_7?keywords=Puma+Liga+Training+Jacket+Youth&amp;qid=1695171158&amp;sr=8-7", "https://www.amazon.com/PUMA-Training-Jacket-Electric-Lemonade/dp/B07C7FSBF9/ref=sr_1_7?keywords=Puma+Liga+Training+Jacket+Youth&amp;qid=1695171158&amp;sr=8-7")</f>
        <v/>
      </c>
      <c r="F4529" t="inlineStr">
        <is>
          <t>B07C7FSBF9</t>
        </is>
      </c>
      <c r="G4529">
        <f>_xludf.IMAGE("https://www.soccerplususa.com/prodimages/32219-DEFAULT-l.jpg")</f>
        <v/>
      </c>
      <c r="H4529">
        <f>_xludf.IMAGE("https://m.media-amazon.com/images/I/71QPncQEh8L._AC_UL320_.jpg")</f>
        <v/>
      </c>
      <c r="K4529" t="inlineStr">
        <is>
          <t>45.0</t>
        </is>
      </c>
      <c r="L4529" t="n">
        <v>24.95</v>
      </c>
      <c r="M4529" s="1" t="inlineStr">
        <is>
          <t>-44.56%</t>
        </is>
      </c>
      <c r="N4529" s="3" t="n">
        <v>-44.56</v>
      </c>
      <c r="O4529" t="n">
        <v>4.5</v>
      </c>
      <c r="P4529" t="n">
        <v>586</v>
      </c>
      <c r="R4529" t="inlineStr">
        <is>
          <t>InStock</t>
        </is>
      </c>
      <c r="S4529" t="inlineStr">
        <is>
          <t>59.95</t>
        </is>
      </c>
      <c r="T4529" t="inlineStr">
        <is>
          <t>655688-02</t>
        </is>
      </c>
    </row>
    <row r="4530" hidden="1" ht="15.75" customHeight="1">
      <c r="A4530" s="2">
        <f>HYPERLINK("https://www.soccerplususa.com/puma/puma-liga-training-jacket-35519", "https://www.soccerplususa.com/puma/puma-liga-training-jacket-35519")</f>
        <v/>
      </c>
      <c r="B4530" t="inlineStr">
        <is>
          <t>undefined</t>
        </is>
      </c>
      <c r="C4530" t="inlineStr">
        <is>
          <t>Puma Liga Training Jacket</t>
        </is>
      </c>
      <c r="D4530" t="inlineStr">
        <is>
          <t>PUMA Men's Liga Training Jacket</t>
        </is>
      </c>
      <c r="E4530" s="2">
        <f>HYPERLINK("https://www.amazon.com/PUMA-Training-Jacket-Electric-Lemonade/dp/B07C7FSBF9/ref=sr_1_5?keywords=Puma+Liga+Training+Jacket&amp;qid=1695171164&amp;sr=8-5", "https://www.amazon.com/PUMA-Training-Jacket-Electric-Lemonade/dp/B07C7FSBF9/ref=sr_1_5?keywords=Puma+Liga+Training+Jacket&amp;qid=1695171164&amp;sr=8-5")</f>
        <v/>
      </c>
      <c r="F4530" t="inlineStr">
        <is>
          <t>B07C7FSBF9</t>
        </is>
      </c>
      <c r="G4530">
        <f>_xludf.IMAGE("https://www.soccerplususa.com/prodimages/32207-DEFAULT-l.jpg")</f>
        <v/>
      </c>
      <c r="H4530">
        <f>_xludf.IMAGE("https://m.media-amazon.com/images/I/71QPncQEh8L._AC_UL320_.jpg")</f>
        <v/>
      </c>
      <c r="K4530" t="inlineStr">
        <is>
          <t>45.0</t>
        </is>
      </c>
      <c r="L4530" t="n">
        <v>24.95</v>
      </c>
      <c r="M4530" s="1" t="inlineStr">
        <is>
          <t>-44.56%</t>
        </is>
      </c>
      <c r="N4530" s="3" t="n">
        <v>-44.56</v>
      </c>
      <c r="O4530" t="n">
        <v>4.5</v>
      </c>
      <c r="P4530" t="n">
        <v>586</v>
      </c>
      <c r="R4530" t="inlineStr">
        <is>
          <t>InStock</t>
        </is>
      </c>
      <c r="S4530" t="inlineStr">
        <is>
          <t>59.95</t>
        </is>
      </c>
      <c r="T4530" t="inlineStr">
        <is>
          <t>655687-02</t>
        </is>
      </c>
    </row>
    <row r="4531" hidden="1" ht="15.75" customHeight="1">
      <c r="A4531" s="2">
        <f>HYPERLINK("https://www.soccerplususa.com/under-armour/under-armour-coldgear-mock-womens-33129", "https://www.soccerplususa.com/under-armour/under-armour-coldgear-mock-womens-33129")</f>
        <v/>
      </c>
      <c r="B4531" t="inlineStr">
        <is>
          <t>undefined</t>
        </is>
      </c>
      <c r="C4531" t="inlineStr">
        <is>
          <t>Under Armour Coldgear Mock Women's</t>
        </is>
      </c>
      <c r="D4531" t="inlineStr">
        <is>
          <t>Under Armour Women's ColdGear Authentics Mock Neck</t>
        </is>
      </c>
      <c r="E4531" s="2">
        <f>HYPERLINK("https://www.amazon.com/Under-Armour-Womens-Authentics-T-Shirt/dp/B08LMLJPD6/ref=sr_1_1?keywords=Under+Armour+Coldgear+Mock+Women%27s&amp;qid=1695171175&amp;sr=8-1", "https://www.amazon.com/Under-Armour-Womens-Authentics-T-Shirt/dp/B08LMLJPD6/ref=sr_1_1?keywords=Under+Armour+Coldgear+Mock+Women%27s&amp;qid=1695171175&amp;sr=8-1")</f>
        <v/>
      </c>
      <c r="F4531" t="inlineStr">
        <is>
          <t>B08LMLJPD6</t>
        </is>
      </c>
      <c r="G4531">
        <f>_xludf.IMAGE("https://www.soccerplususa.com/prodimages/2365-DEFAULT-l.jpg")</f>
        <v/>
      </c>
      <c r="H4531">
        <f>_xludf.IMAGE("https://m.media-amazon.com/images/I/41JwylDx+rL._AC_UL320_.jpg")</f>
        <v/>
      </c>
      <c r="K4531" t="inlineStr">
        <is>
          <t>49.95</t>
        </is>
      </c>
      <c r="L4531" t="n">
        <v>27.45</v>
      </c>
      <c r="M4531" s="1" t="inlineStr">
        <is>
          <t>-45.05%</t>
        </is>
      </c>
      <c r="N4531" s="3" t="n">
        <v>-45.05</v>
      </c>
      <c r="O4531" t="n">
        <v>4.7</v>
      </c>
      <c r="P4531" t="n">
        <v>869</v>
      </c>
      <c r="R4531" t="inlineStr">
        <is>
          <t>InStock</t>
        </is>
      </c>
      <c r="S4531" t="inlineStr">
        <is>
          <t>undefined</t>
        </is>
      </c>
      <c r="T4531" t="inlineStr">
        <is>
          <t>1215968-100</t>
        </is>
      </c>
    </row>
    <row r="4532" hidden="1" ht="15.75" customHeight="1">
      <c r="A4532" s="2">
        <f>HYPERLINK("https://www.soccerplususa.com/puma/puma-liga-casual-padded-jacket-37830", "https://www.soccerplususa.com/puma/puma-liga-casual-padded-jacket-37830")</f>
        <v/>
      </c>
      <c r="B4532" t="inlineStr">
        <is>
          <t>undefined</t>
        </is>
      </c>
      <c r="C4532" t="inlineStr">
        <is>
          <t>Puma Liga Casual Padded Jacket</t>
        </is>
      </c>
      <c r="D4532" t="inlineStr">
        <is>
          <t>PUMA Men's Liga Casuals Padded Jacket</t>
        </is>
      </c>
      <c r="E4532" s="2">
        <f>HYPERLINK("https://www.amazon.com/PUMA-Casuals-Padded-Jacket-Black/dp/B07DYB13T3/ref=sr_1_1?keywords=Puma+Liga+Casual+Padded+Jacket&amp;qid=1695171170&amp;sr=8-1", "https://www.amazon.com/PUMA-Casuals-Padded-Jacket-Black/dp/B07DYB13T3/ref=sr_1_1?keywords=Puma+Liga+Casual+Padded+Jacket&amp;qid=1695171170&amp;sr=8-1")</f>
        <v/>
      </c>
      <c r="F4532" t="inlineStr">
        <is>
          <t>B07DYB13T3</t>
        </is>
      </c>
      <c r="G4532">
        <f>_xludf.IMAGE("https://www.soccerplususa.com/prodimages/32203-DEFAULT-l.jpg")</f>
        <v/>
      </c>
      <c r="H4532">
        <f>_xludf.IMAGE("https://m.media-amazon.com/images/I/71aT8wurugL._AC_UL320_.jpg")</f>
        <v/>
      </c>
      <c r="K4532" t="inlineStr">
        <is>
          <t>82.49</t>
        </is>
      </c>
      <c r="L4532" t="n">
        <v>44.95</v>
      </c>
      <c r="M4532" s="1" t="inlineStr">
        <is>
          <t>-45.51%</t>
        </is>
      </c>
      <c r="N4532" s="3" t="n">
        <v>-45.51</v>
      </c>
      <c r="O4532" t="n">
        <v>4.4</v>
      </c>
      <c r="P4532" t="n">
        <v>109</v>
      </c>
      <c r="R4532" t="inlineStr">
        <is>
          <t>InStock</t>
        </is>
      </c>
      <c r="S4532" t="inlineStr">
        <is>
          <t>109.95</t>
        </is>
      </c>
      <c r="T4532" t="inlineStr">
        <is>
          <t>655301-01</t>
        </is>
      </c>
    </row>
    <row r="4533" hidden="1" ht="15.75" customHeight="1">
      <c r="A4533" s="2">
        <f>HYPERLINK("https://www.soccerplususa.com/puma/puma-liga-jersey-womens-39602", "https://www.soccerplususa.com/puma/puma-liga-jersey-womens-39602")</f>
        <v/>
      </c>
      <c r="B4533" t="inlineStr">
        <is>
          <t>undefined</t>
        </is>
      </c>
      <c r="C4533" t="inlineStr">
        <is>
          <t>Puma Liga Jersey Women's</t>
        </is>
      </c>
      <c r="D4533" t="inlineStr">
        <is>
          <t>PUMA Women's Liga Jersey, Pepper Green-White, M</t>
        </is>
      </c>
      <c r="E4533" s="2">
        <f>HYPERLINK("https://www.amazon.com/PUMA-Womens-Jersey-Pepper-Greenpuma/dp/B075RFJFVT/ref=sr_1_3?keywords=Puma+Liga+Jersey+Womens&amp;qid=1695171150&amp;sr=8-3", "https://www.amazon.com/PUMA-Womens-Jersey-Pepper-Greenpuma/dp/B075RFJFVT/ref=sr_1_3?keywords=Puma+Liga+Jersey+Womens&amp;qid=1695171150&amp;sr=8-3")</f>
        <v/>
      </c>
      <c r="F4533" t="inlineStr">
        <is>
          <t>B075RFJFVT</t>
        </is>
      </c>
      <c r="G4533">
        <f>_xludf.IMAGE("https://www.soccerplususa.com/prodimages//36786-REDWHITE-M.jpg")</f>
        <v/>
      </c>
      <c r="H4533">
        <f>_xludf.IMAGE("https://m.media-amazon.com/images/I/61wpCRiZqaL._AC_UL320_.jpg")</f>
        <v/>
      </c>
      <c r="K4533" t="inlineStr">
        <is>
          <t>20.99</t>
        </is>
      </c>
      <c r="L4533" t="n">
        <v>11.41</v>
      </c>
      <c r="M4533" s="1" t="inlineStr">
        <is>
          <t>-45.64%</t>
        </is>
      </c>
      <c r="N4533" s="3" t="n">
        <v>-45.64</v>
      </c>
      <c r="O4533" t="n">
        <v>4.8</v>
      </c>
      <c r="P4533" t="n">
        <v>13</v>
      </c>
      <c r="R4533" t="inlineStr">
        <is>
          <t>InStock</t>
        </is>
      </c>
      <c r="S4533" t="inlineStr">
        <is>
          <t>27.95</t>
        </is>
      </c>
      <c r="T4533" t="inlineStr">
        <is>
          <t>703426-01</t>
        </is>
      </c>
    </row>
    <row r="4534" hidden="1" ht="15.75" customHeight="1">
      <c r="A4534" s="2">
        <f>HYPERLINK("https://www.soccerplususa.com/adidas/adidas-essentials-hoodie-41596", "https://www.soccerplususa.com/adidas/adidas-essentials-hoodie-41596")</f>
        <v/>
      </c>
      <c r="B4534" t="inlineStr">
        <is>
          <t>undefined</t>
        </is>
      </c>
      <c r="C4534" t="inlineStr">
        <is>
          <t>adidas Essentials Hoodie</t>
        </is>
      </c>
      <c r="D4534" t="inlineStr">
        <is>
          <t>adidas Men's Essentials 3-Stripes French Terry Hoodie</t>
        </is>
      </c>
      <c r="E4534" s="2">
        <f>HYPERLINK("https://www.amazon.com/adidas-3-Stripes-French-Terry-Hoodie/dp/B087C3ZKS8/ref=sr_1_8?keywords=adidas+Essentials+Hoodie&amp;qid=1695171148&amp;sr=8-8", "https://www.amazon.com/adidas-3-Stripes-French-Terry-Hoodie/dp/B087C3ZKS8/ref=sr_1_8?keywords=adidas+Essentials+Hoodie&amp;qid=1695171148&amp;sr=8-8")</f>
        <v/>
      </c>
      <c r="F4534" t="inlineStr">
        <is>
          <t>B087C3ZKS8</t>
        </is>
      </c>
      <c r="G4534">
        <f>_xludf.IMAGE("https://www.soccerplususa.com/prodimages//35143-BLACKWHITE-M.jpg")</f>
        <v/>
      </c>
      <c r="H4534">
        <f>_xludf.IMAGE("https://m.media-amazon.com/images/I/61RGVXxAE9L._AC_UL320_.jpg")</f>
        <v/>
      </c>
      <c r="K4534" t="inlineStr">
        <is>
          <t>44.99</t>
        </is>
      </c>
      <c r="L4534" t="n">
        <v>24</v>
      </c>
      <c r="M4534" s="1" t="inlineStr">
        <is>
          <t>-46.65%</t>
        </is>
      </c>
      <c r="N4534" s="3" t="n">
        <v>-46.65</v>
      </c>
      <c r="O4534" t="n">
        <v>4.6</v>
      </c>
      <c r="P4534" t="n">
        <v>832</v>
      </c>
      <c r="R4534" t="inlineStr">
        <is>
          <t>InStock</t>
        </is>
      </c>
      <c r="S4534" t="inlineStr">
        <is>
          <t>59.95</t>
        </is>
      </c>
      <c r="T4534" t="inlineStr">
        <is>
          <t>GK9062</t>
        </is>
      </c>
    </row>
    <row r="4535" hidden="1" ht="15.75" customHeight="1">
      <c r="A4535" s="2">
        <f>HYPERLINK("https://www.soccerplususa.com/adidas/adidas-tiro-17-jersey-womens-4818", "https://www.soccerplususa.com/adidas/adidas-tiro-17-jersey-womens-4818")</f>
        <v/>
      </c>
      <c r="B4535" t="inlineStr">
        <is>
          <t>undefined</t>
        </is>
      </c>
      <c r="C4535" t="inlineStr">
        <is>
          <t>adidas Tiro 17 Jersey Women's</t>
        </is>
      </c>
      <c r="D4535" t="inlineStr">
        <is>
          <t>adidas Tiro 17 Womens Soccer Jersey Rave Green-White</t>
        </is>
      </c>
      <c r="E4535" s="2">
        <f>HYPERLINK("https://www.amazon.com/adidas-Womens-Soccer-Jersey-Green-White/dp/B01MRQME91/ref=sr_1_5?keywords=adidas+Tiro+17+Jersey+Women%27s&amp;qid=1695171228&amp;sr=8-5", "https://www.amazon.com/adidas-Womens-Soccer-Jersey-Green-White/dp/B01MRQME91/ref=sr_1_5?keywords=adidas+Tiro+17+Jersey+Women%27s&amp;qid=1695171228&amp;sr=8-5")</f>
        <v/>
      </c>
      <c r="F4535" t="inlineStr">
        <is>
          <t>B01MRQME91</t>
        </is>
      </c>
      <c r="G4535">
        <f>_xludf.IMAGE("https://www.soccerplususa.com/prodimages/33189-DEFAULT-l.jpg")</f>
        <v/>
      </c>
      <c r="H4535">
        <f>_xludf.IMAGE("https://m.media-amazon.com/images/I/612I3NWEYPL._AC_UL320_.jpg")</f>
        <v/>
      </c>
      <c r="K4535" t="inlineStr">
        <is>
          <t>30.0</t>
        </is>
      </c>
      <c r="L4535" t="n">
        <v>15.99</v>
      </c>
      <c r="M4535" s="1" t="inlineStr">
        <is>
          <t>-46.70%</t>
        </is>
      </c>
      <c r="N4535" s="3" t="n">
        <v>-46.7</v>
      </c>
      <c r="O4535" t="n">
        <v>1</v>
      </c>
      <c r="P4535" t="n">
        <v>1</v>
      </c>
      <c r="R4535" t="inlineStr">
        <is>
          <t>InStock</t>
        </is>
      </c>
      <c r="S4535" t="inlineStr">
        <is>
          <t>39.95</t>
        </is>
      </c>
      <c r="T4535" t="inlineStr">
        <is>
          <t>BJ9095</t>
        </is>
      </c>
    </row>
    <row r="4536" hidden="1" ht="15.75" customHeight="1">
      <c r="A4536" s="2">
        <f>HYPERLINK("https://www.soccerplususa.com/puma/puma-liga-jersey-womens-39602", "https://www.soccerplususa.com/puma/puma-liga-jersey-womens-39602")</f>
        <v/>
      </c>
      <c r="B4536" t="inlineStr">
        <is>
          <t>undefined</t>
        </is>
      </c>
      <c r="C4536" t="inlineStr">
        <is>
          <t>Puma Liga Jersey Women's</t>
        </is>
      </c>
      <c r="D4536" t="inlineStr">
        <is>
          <t>PUMA Women's Liga Jersey, Pepper Green-White, S</t>
        </is>
      </c>
      <c r="E4536" s="2">
        <f>HYPERLINK("https://www.amazon.com/PUMA-Womens-Jersey-Pepper-Greenpuma/dp/B075RFMB39/ref=sr_1_6?keywords=Puma+Liga+Jersey+Womens&amp;qid=1695171150&amp;sr=8-6", "https://www.amazon.com/PUMA-Womens-Jersey-Pepper-Greenpuma/dp/B075RFMB39/ref=sr_1_6?keywords=Puma+Liga+Jersey+Womens&amp;qid=1695171150&amp;sr=8-6")</f>
        <v/>
      </c>
      <c r="F4536" t="inlineStr">
        <is>
          <t>B075RFMB39</t>
        </is>
      </c>
      <c r="G4536">
        <f>_xludf.IMAGE("https://www.soccerplususa.com/prodimages//36786-REDWHITE-M.jpg")</f>
        <v/>
      </c>
      <c r="H4536">
        <f>_xludf.IMAGE("https://m.media-amazon.com/images/I/61wpCRiZqaL._AC_UL320_.jpg")</f>
        <v/>
      </c>
      <c r="K4536" t="inlineStr">
        <is>
          <t>20.99</t>
        </is>
      </c>
      <c r="L4536" t="n">
        <v>11.03</v>
      </c>
      <c r="M4536" s="1" t="inlineStr">
        <is>
          <t>-47.45%</t>
        </is>
      </c>
      <c r="N4536" s="3" t="n">
        <v>-47.45</v>
      </c>
      <c r="O4536" t="n">
        <v>4.2</v>
      </c>
      <c r="P4536" t="n">
        <v>4</v>
      </c>
      <c r="R4536" t="inlineStr">
        <is>
          <t>InStock</t>
        </is>
      </c>
      <c r="S4536" t="inlineStr">
        <is>
          <t>27.95</t>
        </is>
      </c>
      <c r="T4536" t="inlineStr">
        <is>
          <t>703426-01</t>
        </is>
      </c>
    </row>
    <row r="4537" hidden="1" ht="15.75" customHeight="1">
      <c r="A4537" s="2">
        <f>HYPERLINK("https://www.soccerplususa.com/puma/puma-liga-training-1-4-zip-top-youth-35517", "https://www.soccerplususa.com/puma/puma-liga-training-1-4-zip-top-youth-35517")</f>
        <v/>
      </c>
      <c r="B4537" t="inlineStr">
        <is>
          <t>undefined</t>
        </is>
      </c>
      <c r="C4537" t="inlineStr">
        <is>
          <t>Puma Liga Training 1/4 Zip Top Youth</t>
        </is>
      </c>
      <c r="D4537" t="inlineStr">
        <is>
          <t>PUMA Men's Youth Liga Training 1/4 Zip Top</t>
        </is>
      </c>
      <c r="E4537" s="2">
        <f>HYPERLINK("https://www.amazon.com/PUMA-Mens-Training-Black-White/dp/B07DXXG34F/ref=sr_1_1?keywords=Puma+Liga+Training+1%2F4+Zip+Top+Youth&amp;qid=1695171162&amp;sr=8-1", "https://www.amazon.com/PUMA-Mens-Training-Black-White/dp/B07DXXG34F/ref=sr_1_1?keywords=Puma+Liga+Training+1%2F4+Zip+Top+Youth&amp;qid=1695171162&amp;sr=8-1")</f>
        <v/>
      </c>
      <c r="F4537" t="inlineStr">
        <is>
          <t>B07DXXG34F</t>
        </is>
      </c>
      <c r="G4537">
        <f>_xludf.IMAGE("https://www.soccerplususa.com/prodimages/7782-DEFAULT-l.jpg")</f>
        <v/>
      </c>
      <c r="H4537">
        <f>_xludf.IMAGE("https://m.media-amazon.com/images/I/71O85FZxibL._AC_UL320_.jpg")</f>
        <v/>
      </c>
      <c r="K4537" t="inlineStr">
        <is>
          <t>38.0</t>
        </is>
      </c>
      <c r="L4537" t="n">
        <v>19.95</v>
      </c>
      <c r="M4537" s="1" t="inlineStr">
        <is>
          <t>-47.50%</t>
        </is>
      </c>
      <c r="N4537" s="3" t="n">
        <v>-47.5</v>
      </c>
      <c r="O4537" t="n">
        <v>3.2</v>
      </c>
      <c r="P4537" t="n">
        <v>21</v>
      </c>
      <c r="R4537" t="inlineStr">
        <is>
          <t>InStock</t>
        </is>
      </c>
      <c r="S4537" t="inlineStr">
        <is>
          <t>50.0</t>
        </is>
      </c>
      <c r="T4537" t="inlineStr">
        <is>
          <t>655646-06</t>
        </is>
      </c>
    </row>
    <row r="4538" hidden="1" ht="15.75" customHeight="1">
      <c r="A4538" s="2">
        <f>HYPERLINK("https://www.soccerplususa.com/puma/puma-liga-training-1-4-zip-top-youth-35517", "https://www.soccerplususa.com/puma/puma-liga-training-1-4-zip-top-youth-35517")</f>
        <v/>
      </c>
      <c r="B4538" t="inlineStr">
        <is>
          <t>undefined</t>
        </is>
      </c>
      <c r="C4538" t="inlineStr">
        <is>
          <t>Puma Liga Training 1/4 Zip Top Youth</t>
        </is>
      </c>
      <c r="D4538" t="inlineStr">
        <is>
          <t>PUMA Youth Liga Training 1/4 Zip Top</t>
        </is>
      </c>
      <c r="E4538" s="2">
        <f>HYPERLINK("https://www.amazon.com/PUMA-Mens-Training-Peacoat-White/dp/B07DXZ497N/ref=sr_1_2?keywords=Puma+Liga+Training+1%2F4+Zip+Top+Youth&amp;qid=1695171162&amp;sr=8-2", "https://www.amazon.com/PUMA-Mens-Training-Peacoat-White/dp/B07DXZ497N/ref=sr_1_2?keywords=Puma+Liga+Training+1%2F4+Zip+Top+Youth&amp;qid=1695171162&amp;sr=8-2")</f>
        <v/>
      </c>
      <c r="F4538" t="inlineStr">
        <is>
          <t>B07DXZ497N</t>
        </is>
      </c>
      <c r="G4538">
        <f>_xludf.IMAGE("https://www.soccerplususa.com/prodimages/7782-DEFAULT-l.jpg")</f>
        <v/>
      </c>
      <c r="H4538">
        <f>_xludf.IMAGE("https://m.media-amazon.com/images/I/71XQyUOUcTL._AC_UL320_.jpg")</f>
        <v/>
      </c>
      <c r="K4538" t="inlineStr">
        <is>
          <t>38.0</t>
        </is>
      </c>
      <c r="L4538" t="n">
        <v>19.95</v>
      </c>
      <c r="M4538" s="1" t="inlineStr">
        <is>
          <t>-47.50%</t>
        </is>
      </c>
      <c r="N4538" s="3" t="n">
        <v>-47.5</v>
      </c>
      <c r="O4538" t="n">
        <v>3.2</v>
      </c>
      <c r="P4538" t="n">
        <v>22</v>
      </c>
      <c r="R4538" t="inlineStr">
        <is>
          <t>InStock</t>
        </is>
      </c>
      <c r="S4538" t="inlineStr">
        <is>
          <t>50.0</t>
        </is>
      </c>
      <c r="T4538" t="inlineStr">
        <is>
          <t>655646-06</t>
        </is>
      </c>
    </row>
    <row r="4539" hidden="1" ht="15.75" customHeight="1">
      <c r="A4539" s="2">
        <f>HYPERLINK("https://www.soccerplususa.com/puma/puma-liga-training-1-4-zip-jacket-29028", "https://www.soccerplususa.com/puma/puma-liga-training-1-4-zip-jacket-29028")</f>
        <v/>
      </c>
      <c r="B4539" t="inlineStr">
        <is>
          <t>undefined</t>
        </is>
      </c>
      <c r="C4539" t="inlineStr">
        <is>
          <t>Puma Liga Training 1/4 Zip Jacket</t>
        </is>
      </c>
      <c r="D4539" t="inlineStr">
        <is>
          <t>PUMA Men's Youth Liga Training 1/4 Zip Top</t>
        </is>
      </c>
      <c r="E4539" s="2">
        <f>HYPERLINK("https://www.amazon.com/PUMA-Mens-Training-Black-White/dp/B07DXXG34F/ref=sr_1_2?keywords=Puma+Liga+Training+1%2F4+Zip+Jacket&amp;qid=1695171178&amp;sr=8-2", "https://www.amazon.com/PUMA-Mens-Training-Black-White/dp/B07DXXG34F/ref=sr_1_2?keywords=Puma+Liga+Training+1%2F4+Zip+Jacket&amp;qid=1695171178&amp;sr=8-2")</f>
        <v/>
      </c>
      <c r="F4539" t="inlineStr">
        <is>
          <t>B07DXXG34F</t>
        </is>
      </c>
      <c r="G4539">
        <f>_xludf.IMAGE("https://www.soccerplususa.com/prodimages/6871-DEFAULT-l.jpg")</f>
        <v/>
      </c>
      <c r="H4539">
        <f>_xludf.IMAGE("https://m.media-amazon.com/images/I/71O85FZxibL._AC_UL320_.jpg")</f>
        <v/>
      </c>
      <c r="K4539" t="inlineStr">
        <is>
          <t>38.0</t>
        </is>
      </c>
      <c r="L4539" t="n">
        <v>19.95</v>
      </c>
      <c r="M4539" s="1" t="inlineStr">
        <is>
          <t>-47.50%</t>
        </is>
      </c>
      <c r="N4539" s="3" t="n">
        <v>-47.5</v>
      </c>
      <c r="O4539" t="n">
        <v>3.2</v>
      </c>
      <c r="P4539" t="n">
        <v>21</v>
      </c>
      <c r="R4539" t="inlineStr">
        <is>
          <t>InStock</t>
        </is>
      </c>
      <c r="S4539" t="inlineStr">
        <is>
          <t>50.0</t>
        </is>
      </c>
      <c r="T4539" t="inlineStr">
        <is>
          <t>655606-06</t>
        </is>
      </c>
    </row>
    <row r="4540" hidden="1" ht="15.75" customHeight="1">
      <c r="A4540" s="2">
        <f>HYPERLINK("https://www.soccerplususa.com/adidas/adidas-tabela-18-jersey-33808", "https://www.soccerplususa.com/adidas/adidas-tabela-18-jersey-33808")</f>
        <v/>
      </c>
      <c r="B4540" t="inlineStr">
        <is>
          <t>undefined</t>
        </is>
      </c>
      <c r="C4540" t="inlineStr">
        <is>
          <t>adidas Tabela 18 Jersey</t>
        </is>
      </c>
      <c r="D4540" t="inlineStr">
        <is>
          <t>adidas Boy's Entrada 18 Jersey</t>
        </is>
      </c>
      <c r="E4540" s="2">
        <f>HYPERLINK("https://www.amazon.com/adidas-Entrada-Jersey-Light-White/dp/B072RCFXFL/ref=sr_1_4?keywords=adidas+Tabela+18+Jersey&amp;qid=1695171170&amp;sr=8-4", "https://www.amazon.com/adidas-Entrada-Jersey-Light-White/dp/B072RCFXFL/ref=sr_1_4?keywords=adidas+Tabela+18+Jersey&amp;qid=1695171170&amp;sr=8-4")</f>
        <v/>
      </c>
      <c r="F4540" t="inlineStr">
        <is>
          <t>B072RCFXFL</t>
        </is>
      </c>
      <c r="G4540">
        <f>_xludf.IMAGE("https://www.soccerplususa.com/prodimages//35356-REDWHITE-M.jpg")</f>
        <v/>
      </c>
      <c r="H4540">
        <f>_xludf.IMAGE("https://m.media-amazon.com/images/I/41q-X3hB3fL._AC_UL320_.jpg")</f>
        <v/>
      </c>
      <c r="K4540" t="inlineStr">
        <is>
          <t>21.99</t>
        </is>
      </c>
      <c r="L4540" t="n">
        <v>11.33</v>
      </c>
      <c r="M4540" s="1" t="inlineStr">
        <is>
          <t>-48.48%</t>
        </is>
      </c>
      <c r="N4540" s="3" t="n">
        <v>-48.48</v>
      </c>
      <c r="O4540" t="n">
        <v>4.5</v>
      </c>
      <c r="P4540" t="n">
        <v>4493</v>
      </c>
      <c r="R4540" t="inlineStr">
        <is>
          <t>InStock</t>
        </is>
      </c>
      <c r="S4540" t="inlineStr">
        <is>
          <t>29.95</t>
        </is>
      </c>
      <c r="T4540" t="inlineStr">
        <is>
          <t>CE8935</t>
        </is>
      </c>
    </row>
    <row r="4541" hidden="1" ht="15.75" customHeight="1">
      <c r="A4541" s="2">
        <f>HYPERLINK("https://www.soccerplususa.com/adidas/adidas-tabela-18-jersey-5116", "https://www.soccerplususa.com/adidas/adidas-tabela-18-jersey-5116")</f>
        <v/>
      </c>
      <c r="B4541" t="inlineStr">
        <is>
          <t>undefined</t>
        </is>
      </c>
      <c r="C4541" t="inlineStr">
        <is>
          <t>adidas Tabela 18 Jersey</t>
        </is>
      </c>
      <c r="D4541" t="inlineStr">
        <is>
          <t>adidas Boy's Entrada 18 Jersey</t>
        </is>
      </c>
      <c r="E4541" s="2">
        <f>HYPERLINK("https://www.amazon.com/adidas-Entrada-Jersey-Light-White/dp/B072RCFXFL/ref=sr_1_4?keywords=adidas+Tabela+18+Jersey&amp;qid=1695171247&amp;sr=8-4", "https://www.amazon.com/adidas-Entrada-Jersey-Light-White/dp/B072RCFXFL/ref=sr_1_4?keywords=adidas+Tabela+18+Jersey&amp;qid=1695171247&amp;sr=8-4")</f>
        <v/>
      </c>
      <c r="F4541" t="inlineStr">
        <is>
          <t>B072RCFXFL</t>
        </is>
      </c>
      <c r="G4541">
        <f>_xludf.IMAGE("https://www.soccerplususa.com/prodimages//31725-YELLOW-M.jpg")</f>
        <v/>
      </c>
      <c r="H4541">
        <f>_xludf.IMAGE("https://m.media-amazon.com/images/I/41q-X3hB3fL._AC_UL320_.jpg")</f>
        <v/>
      </c>
      <c r="K4541" t="inlineStr">
        <is>
          <t>21.99</t>
        </is>
      </c>
      <c r="L4541" t="n">
        <v>11.33</v>
      </c>
      <c r="M4541" s="1" t="inlineStr">
        <is>
          <t>-48.48%</t>
        </is>
      </c>
      <c r="N4541" s="3" t="n">
        <v>-48.48</v>
      </c>
      <c r="O4541" t="n">
        <v>4.5</v>
      </c>
      <c r="P4541" t="n">
        <v>4493</v>
      </c>
      <c r="R4541" t="inlineStr">
        <is>
          <t>InStock</t>
        </is>
      </c>
      <c r="S4541" t="inlineStr">
        <is>
          <t>29.95</t>
        </is>
      </c>
      <c r="T4541" t="inlineStr">
        <is>
          <t>CE8941</t>
        </is>
      </c>
    </row>
    <row r="4542" hidden="1" ht="15.75" customHeight="1">
      <c r="A4542" s="2">
        <f>HYPERLINK("https://www.soccerplususa.com/adidas/adidas-tabela-18-jersey-5115", "https://www.soccerplususa.com/adidas/adidas-tabela-18-jersey-5115")</f>
        <v/>
      </c>
      <c r="B4542" t="inlineStr">
        <is>
          <t>undefined</t>
        </is>
      </c>
      <c r="C4542" t="inlineStr">
        <is>
          <t>adidas Tabela 18 Jersey</t>
        </is>
      </c>
      <c r="D4542" t="inlineStr">
        <is>
          <t>adidas Boy's Entrada 18 Jersey</t>
        </is>
      </c>
      <c r="E4542" s="2">
        <f>HYPERLINK("https://www.amazon.com/adidas-Entrada-Jersey-Light-White/dp/B072RCFXFL/ref=sr_1_4?keywords=adidas+Tabela+18+Jersey&amp;qid=1695171223&amp;sr=8-4", "https://www.amazon.com/adidas-Entrada-Jersey-Light-White/dp/B072RCFXFL/ref=sr_1_4?keywords=adidas+Tabela+18+Jersey&amp;qid=1695171223&amp;sr=8-4")</f>
        <v/>
      </c>
      <c r="F4542" t="inlineStr">
        <is>
          <t>B072RCFXFL</t>
        </is>
      </c>
      <c r="G4542">
        <f>_xludf.IMAGE("https://www.soccerplususa.com/prodimages//31724-GRAY-M.jpg")</f>
        <v/>
      </c>
      <c r="H4542">
        <f>_xludf.IMAGE("https://m.media-amazon.com/images/I/41q-X3hB3fL._AC_UL320_.jpg")</f>
        <v/>
      </c>
      <c r="K4542" t="inlineStr">
        <is>
          <t>21.99</t>
        </is>
      </c>
      <c r="L4542" t="n">
        <v>11.33</v>
      </c>
      <c r="M4542" s="1" t="inlineStr">
        <is>
          <t>-48.48%</t>
        </is>
      </c>
      <c r="N4542" s="3" t="n">
        <v>-48.48</v>
      </c>
      <c r="O4542" t="n">
        <v>4.5</v>
      </c>
      <c r="P4542" t="n">
        <v>4493</v>
      </c>
      <c r="R4542" t="inlineStr">
        <is>
          <t>InStock</t>
        </is>
      </c>
      <c r="S4542" t="inlineStr">
        <is>
          <t>29.95</t>
        </is>
      </c>
      <c r="T4542" t="inlineStr">
        <is>
          <t>CE8940</t>
        </is>
      </c>
    </row>
    <row r="4543" hidden="1" ht="15.75" customHeight="1">
      <c r="A4543" s="2">
        <f>HYPERLINK("https://www.soccerplususa.com/puma/puma-liga-training-jacket-youth-35521", "https://www.soccerplususa.com/puma/puma-liga-training-jacket-youth-35521")</f>
        <v/>
      </c>
      <c r="B4543" t="inlineStr">
        <is>
          <t>undefined</t>
        </is>
      </c>
      <c r="C4543" t="inlineStr">
        <is>
          <t>Puma Liga Training Jacket Youth</t>
        </is>
      </c>
      <c r="D4543" t="inlineStr">
        <is>
          <t>PUMA Youth Liga Training Jacket</t>
        </is>
      </c>
      <c r="E4543" s="2">
        <f>HYPERLINK("https://www.amazon.com/PUMA-Training-Jacket-Pepper-X-Large/dp/B07DXZ1H4T/ref=sr_1_1?keywords=Puma+Liga+Training+Jacket+Youth&amp;qid=1695171158&amp;sr=8-1", "https://www.amazon.com/PUMA-Training-Jacket-Pepper-X-Large/dp/B07DXZ1H4T/ref=sr_1_1?keywords=Puma+Liga+Training+Jacket+Youth&amp;qid=1695171158&amp;sr=8-1")</f>
        <v/>
      </c>
      <c r="F4543" t="inlineStr">
        <is>
          <t>B07DXZ1H4T</t>
        </is>
      </c>
      <c r="G4543">
        <f>_xludf.IMAGE("https://www.soccerplususa.com/prodimages/32219-DEFAULT-l.jpg")</f>
        <v/>
      </c>
      <c r="H4543">
        <f>_xludf.IMAGE("https://m.media-amazon.com/images/I/81x7JBtnFDL._AC_UL320_.jpg")</f>
        <v/>
      </c>
      <c r="K4543" t="inlineStr">
        <is>
          <t>45.0</t>
        </is>
      </c>
      <c r="L4543" t="n">
        <v>22.95</v>
      </c>
      <c r="M4543" s="1" t="inlineStr">
        <is>
          <t>-49.00%</t>
        </is>
      </c>
      <c r="N4543" s="3" t="n">
        <v>-49</v>
      </c>
      <c r="O4543" t="n">
        <v>3.5</v>
      </c>
      <c r="P4543" t="n">
        <v>80</v>
      </c>
      <c r="R4543" t="inlineStr">
        <is>
          <t>InStock</t>
        </is>
      </c>
      <c r="S4543" t="inlineStr">
        <is>
          <t>59.95</t>
        </is>
      </c>
      <c r="T4543" t="inlineStr">
        <is>
          <t>655688-02</t>
        </is>
      </c>
    </row>
    <row r="4544" hidden="1" ht="15.75" customHeight="1">
      <c r="A4544" s="2">
        <f>HYPERLINK("https://www.soccerplususa.com/adidas/adidas-campeon-15-jersey-7827", "https://www.soccerplususa.com/adidas/adidas-campeon-15-jersey-7827")</f>
        <v/>
      </c>
      <c r="B4544" t="inlineStr">
        <is>
          <t>undefined</t>
        </is>
      </c>
      <c r="C4544" t="inlineStr">
        <is>
          <t>adidas Campeon 15 Jersey</t>
        </is>
      </c>
      <c r="D4544" t="inlineStr">
        <is>
          <t>adidas Campeon 19 Jersey - Women's Soccer</t>
        </is>
      </c>
      <c r="E4544" s="2">
        <f>HYPERLINK("https://www.amazon.com/adidas-Campeon-19-Jersey-Womens/dp/B07K2NC2C5/ref=sr_1_5?keywords=adidas+Campeon+15+Jersey&amp;qid=1695171209&amp;sr=8-5", "https://www.amazon.com/adidas-Campeon-19-Jersey-Womens/dp/B07K2NC2C5/ref=sr_1_5?keywords=adidas+Campeon+15+Jersey&amp;qid=1695171209&amp;sr=8-5")</f>
        <v/>
      </c>
      <c r="F4544" t="inlineStr">
        <is>
          <t>B07K2NC2C5</t>
        </is>
      </c>
      <c r="G4544">
        <f>_xludf.IMAGE("https://www.soccerplususa.com/prodimages/4487-DEFAULT-l.jpg")</f>
        <v/>
      </c>
      <c r="H4544">
        <f>_xludf.IMAGE("https://m.media-amazon.com/images/I/51xsL2cQ+9L._AC_UL320_.jpg")</f>
        <v/>
      </c>
      <c r="K4544" t="inlineStr">
        <is>
          <t>30.0</t>
        </is>
      </c>
      <c r="L4544" t="n">
        <v>14.99</v>
      </c>
      <c r="M4544" s="1" t="inlineStr">
        <is>
          <t>-50.03%</t>
        </is>
      </c>
      <c r="N4544" s="3" t="n">
        <v>-50.03</v>
      </c>
      <c r="O4544" t="n">
        <v>4.6</v>
      </c>
      <c r="P4544" t="n">
        <v>47</v>
      </c>
      <c r="R4544" t="inlineStr">
        <is>
          <t>InStock</t>
        </is>
      </c>
      <c r="S4544" t="inlineStr">
        <is>
          <t>59.95</t>
        </is>
      </c>
      <c r="T4544" t="inlineStr">
        <is>
          <t>S15899</t>
        </is>
      </c>
    </row>
    <row r="4545" hidden="1" ht="15.75" customHeight="1">
      <c r="A4545" s="2">
        <f>HYPERLINK("https://www.soccerplususa.com/puma/puma-liga-training-rain-jacket-youth-35518", "https://www.soccerplususa.com/puma/puma-liga-training-rain-jacket-youth-35518")</f>
        <v/>
      </c>
      <c r="B4545" t="inlineStr">
        <is>
          <t>undefined</t>
        </is>
      </c>
      <c r="C4545" t="inlineStr">
        <is>
          <t>Puma Liga Training Rain Jacket Youth</t>
        </is>
      </c>
      <c r="D4545" t="inlineStr">
        <is>
          <t>PUMA Youth Liga Training Jacket</t>
        </is>
      </c>
      <c r="E4545" s="2">
        <f>HYPERLINK("https://www.amazon.com/PUMA-Training-Jacket-Blackpuma-White/dp/B07KWQF1RF/ref=sr_1_2?keywords=Puma+Liga+Training+Rain+Jacket+Youth&amp;qid=1695171159&amp;sr=8-2", "https://www.amazon.com/PUMA-Training-Jacket-Blackpuma-White/dp/B07KWQF1RF/ref=sr_1_2?keywords=Puma+Liga+Training+Rain+Jacket+Youth&amp;qid=1695171159&amp;sr=8-2")</f>
        <v/>
      </c>
      <c r="F4545" t="inlineStr">
        <is>
          <t>B07KWQF1RF</t>
        </is>
      </c>
      <c r="G4545">
        <f>_xludf.IMAGE("https://www.soccerplususa.com/prodimages/13113-DEFAULT-l.jpg")</f>
        <v/>
      </c>
      <c r="H4545">
        <f>_xludf.IMAGE("https://m.media-amazon.com/images/I/71b2+Cj8o-L._AC_UL320_.jpg")</f>
        <v/>
      </c>
      <c r="K4545" t="inlineStr">
        <is>
          <t>59.95</t>
        </is>
      </c>
      <c r="L4545" t="n">
        <v>29.95</v>
      </c>
      <c r="M4545" s="1" t="inlineStr">
        <is>
          <t>-50.04%</t>
        </is>
      </c>
      <c r="N4545" s="3" t="n">
        <v>-50.04</v>
      </c>
      <c r="O4545" t="n">
        <v>3.5</v>
      </c>
      <c r="P4545" t="n">
        <v>80</v>
      </c>
      <c r="R4545" t="inlineStr">
        <is>
          <t>InStock</t>
        </is>
      </c>
      <c r="S4545" t="inlineStr">
        <is>
          <t>undefined</t>
        </is>
      </c>
      <c r="T4545" t="inlineStr">
        <is>
          <t>655660-03</t>
        </is>
      </c>
    </row>
    <row r="4546" hidden="1" ht="15.75" customHeight="1">
      <c r="A4546" s="2">
        <f>HYPERLINK("https://www.soccerplususa.com/under-armour/under-armour-coldgear-authentics-mock-womens-44305", "https://www.soccerplususa.com/under-armour/under-armour-coldgear-authentics-mock-womens-44305")</f>
        <v/>
      </c>
      <c r="B4546" t="inlineStr">
        <is>
          <t>undefined</t>
        </is>
      </c>
      <c r="C4546" t="inlineStr">
        <is>
          <t>Under Armour ColdGear Authentics Mock Women's</t>
        </is>
      </c>
      <c r="D4546" t="inlineStr">
        <is>
          <t>Under Armour Women's ColdGear Authentics Mock Neck</t>
        </is>
      </c>
      <c r="E4546" s="2">
        <f>HYPERLINK("https://www.amazon.com/Under-Armour-Womens-Authentics-T-Shirt/dp/B08LMLJPD6/ref=sr_1_1?keywords=Under+Armour+ColdGear+Authentics+Mock+Womens&amp;qid=1695171151&amp;sr=8-1", "https://www.amazon.com/Under-Armour-Womens-Authentics-T-Shirt/dp/B08LMLJPD6/ref=sr_1_1?keywords=Under+Armour+ColdGear+Authentics+Mock+Womens&amp;qid=1695171151&amp;sr=8-1")</f>
        <v/>
      </c>
      <c r="F4546" t="inlineStr">
        <is>
          <t>B08LMLJPD6</t>
        </is>
      </c>
      <c r="G4546">
        <f>_xludf.IMAGE("https://www.soccerplususa.com/prodimages//36058-WHITE-M.jpg")</f>
        <v/>
      </c>
      <c r="H4546">
        <f>_xludf.IMAGE("https://m.media-amazon.com/images/I/41JwylDx+rL._AC_UL320_.jpg")</f>
        <v/>
      </c>
      <c r="K4546" t="inlineStr">
        <is>
          <t>54.95</t>
        </is>
      </c>
      <c r="L4546" t="n">
        <v>27.45</v>
      </c>
      <c r="M4546" s="1" t="inlineStr">
        <is>
          <t>-50.05%</t>
        </is>
      </c>
      <c r="N4546" s="3" t="n">
        <v>-50.05</v>
      </c>
      <c r="O4546" t="n">
        <v>4.7</v>
      </c>
      <c r="P4546" t="n">
        <v>869</v>
      </c>
      <c r="R4546" t="inlineStr">
        <is>
          <t>InStock</t>
        </is>
      </c>
      <c r="S4546" t="inlineStr">
        <is>
          <t>undefined</t>
        </is>
      </c>
      <c r="T4546" t="inlineStr">
        <is>
          <t>1368702-100</t>
        </is>
      </c>
    </row>
    <row r="4547" hidden="1" ht="15.75" customHeight="1">
      <c r="A4547" s="2">
        <f>HYPERLINK("https://www.soccerplususa.com/under-armour/under-armour-coldgear-authentics-mock-womens-44304", "https://www.soccerplususa.com/under-armour/under-armour-coldgear-authentics-mock-womens-44304")</f>
        <v/>
      </c>
      <c r="B4547" t="inlineStr">
        <is>
          <t>undefined</t>
        </is>
      </c>
      <c r="C4547" t="inlineStr">
        <is>
          <t>Under Armour ColdGear Authentics Mock Women's</t>
        </is>
      </c>
      <c r="D4547" t="inlineStr">
        <is>
          <t>Under Armour Women's ColdGear Authentics Mock Neck</t>
        </is>
      </c>
      <c r="E4547" s="2">
        <f>HYPERLINK("https://www.amazon.com/Under-Armour-Womens-Authentics-T-Shirt/dp/B08LMLJPD6/ref=sr_1_1?keywords=Under+Armour+ColdGear+Authentics+Mock+Womens&amp;qid=1695171145&amp;sr=8-1", "https://www.amazon.com/Under-Armour-Womens-Authentics-T-Shirt/dp/B08LMLJPD6/ref=sr_1_1?keywords=Under+Armour+ColdGear+Authentics+Mock+Womens&amp;qid=1695171145&amp;sr=8-1")</f>
        <v/>
      </c>
      <c r="F4547" t="inlineStr">
        <is>
          <t>B08LMLJPD6</t>
        </is>
      </c>
      <c r="G4547">
        <f>_xludf.IMAGE("https://www.soccerplususa.com/prodimages//36059-BLACK-M.jpg")</f>
        <v/>
      </c>
      <c r="H4547">
        <f>_xludf.IMAGE("https://m.media-amazon.com/images/I/41JwylDx+rL._AC_UL320_.jpg")</f>
        <v/>
      </c>
      <c r="K4547" t="inlineStr">
        <is>
          <t>54.95</t>
        </is>
      </c>
      <c r="L4547" t="n">
        <v>27.45</v>
      </c>
      <c r="M4547" s="1" t="inlineStr">
        <is>
          <t>-50.05%</t>
        </is>
      </c>
      <c r="N4547" s="3" t="n">
        <v>-50.05</v>
      </c>
      <c r="O4547" t="n">
        <v>4.7</v>
      </c>
      <c r="P4547" t="n">
        <v>869</v>
      </c>
      <c r="R4547" t="inlineStr">
        <is>
          <t>InStock</t>
        </is>
      </c>
      <c r="S4547" t="inlineStr">
        <is>
          <t>undefined</t>
        </is>
      </c>
      <c r="T4547" t="inlineStr">
        <is>
          <t>1368702-001</t>
        </is>
      </c>
    </row>
    <row r="4548" hidden="1" ht="15.75" customHeight="1">
      <c r="A4548" s="2">
        <f>HYPERLINK("https://www.soccerplususa.com/puma/puma-liga-casuals-hoody-37833", "https://www.soccerplususa.com/puma/puma-liga-casuals-hoody-37833")</f>
        <v/>
      </c>
      <c r="B4548" t="inlineStr">
        <is>
          <t>undefined</t>
        </is>
      </c>
      <c r="C4548" t="inlineStr">
        <is>
          <t>Puma Liga Casuals Hoody</t>
        </is>
      </c>
      <c r="D4548" t="inlineStr">
        <is>
          <t>PUMA Men's Liga Casuals Hoody</t>
        </is>
      </c>
      <c r="E4548" s="2">
        <f>HYPERLINK("https://www.amazon.com/PUMA-Casuals-Hoody-Electric-Lemonadepuma/dp/B07KX41ZBS/ref=sr_1_2?keywords=Puma+Liga+Casuals+Hoody&amp;qid=1695171187&amp;sr=8-2", "https://www.amazon.com/PUMA-Casuals-Hoody-Electric-Lemonadepuma/dp/B07KX41ZBS/ref=sr_1_2?keywords=Puma+Liga+Casuals+Hoody&amp;qid=1695171187&amp;sr=8-2")</f>
        <v/>
      </c>
      <c r="F4548" t="inlineStr">
        <is>
          <t>B07KX41ZBS</t>
        </is>
      </c>
      <c r="G4548">
        <f>_xludf.IMAGE("https://www.soccerplususa.com/prodimages/32679-DEFAULT-l.jpg")</f>
        <v/>
      </c>
      <c r="H4548">
        <f>_xludf.IMAGE("https://m.media-amazon.com/images/I/71e92g9XvUL._AC_UL320_.jpg")</f>
        <v/>
      </c>
      <c r="K4548" t="inlineStr">
        <is>
          <t>49.95</t>
        </is>
      </c>
      <c r="L4548" t="n">
        <v>24.95</v>
      </c>
      <c r="M4548" s="1" t="inlineStr">
        <is>
          <t>-50.05%</t>
        </is>
      </c>
      <c r="N4548" s="3" t="n">
        <v>-50.05</v>
      </c>
      <c r="O4548" t="n">
        <v>4.6</v>
      </c>
      <c r="P4548" t="n">
        <v>148</v>
      </c>
      <c r="R4548" t="inlineStr">
        <is>
          <t>InStock</t>
        </is>
      </c>
      <c r="S4548" t="inlineStr">
        <is>
          <t>undefined</t>
        </is>
      </c>
      <c r="T4548" t="inlineStr">
        <is>
          <t>655307-01</t>
        </is>
      </c>
    </row>
    <row r="4549" hidden="1" ht="15.75" customHeight="1">
      <c r="A4549" s="2">
        <f>HYPERLINK("https://www.soccerplususa.com/puma/puma-liga-casuals-hoody-37834", "https://www.soccerplususa.com/puma/puma-liga-casuals-hoody-37834")</f>
        <v/>
      </c>
      <c r="B4549" t="inlineStr">
        <is>
          <t>undefined</t>
        </is>
      </c>
      <c r="C4549" t="inlineStr">
        <is>
          <t>Puma Liga Casuals Hoody</t>
        </is>
      </c>
      <c r="D4549" t="inlineStr">
        <is>
          <t>PUMA Men's Liga Casuals Hoody</t>
        </is>
      </c>
      <c r="E4549" s="2">
        <f>HYPERLINK("https://www.amazon.com/PUMA-Casuals-Hoody-Electric-Lemonadepuma/dp/B07KX41ZBS/ref=sr_1_2?keywords=Puma+Liga+Casuals+Hoody&amp;qid=1695171157&amp;sr=8-2", "https://www.amazon.com/PUMA-Casuals-Hoody-Electric-Lemonadepuma/dp/B07KX41ZBS/ref=sr_1_2?keywords=Puma+Liga+Casuals+Hoody&amp;qid=1695171157&amp;sr=8-2")</f>
        <v/>
      </c>
      <c r="F4549" t="inlineStr">
        <is>
          <t>B07KX41ZBS</t>
        </is>
      </c>
      <c r="G4549">
        <f>_xludf.IMAGE("https://www.soccerplususa.com/prodimages/32680-DEFAULT-l.jpg")</f>
        <v/>
      </c>
      <c r="H4549">
        <f>_xludf.IMAGE("https://m.media-amazon.com/images/I/71e92g9XvUL._AC_UL320_.jpg")</f>
        <v/>
      </c>
      <c r="K4549" t="inlineStr">
        <is>
          <t>49.95</t>
        </is>
      </c>
      <c r="L4549" t="n">
        <v>24.95</v>
      </c>
      <c r="M4549" s="1" t="inlineStr">
        <is>
          <t>-50.05%</t>
        </is>
      </c>
      <c r="N4549" s="3" t="n">
        <v>-50.05</v>
      </c>
      <c r="O4549" t="n">
        <v>4.6</v>
      </c>
      <c r="P4549" t="n">
        <v>148</v>
      </c>
      <c r="R4549" t="inlineStr">
        <is>
          <t>InStock</t>
        </is>
      </c>
      <c r="S4549" t="inlineStr">
        <is>
          <t>undefined</t>
        </is>
      </c>
      <c r="T4549" t="inlineStr">
        <is>
          <t>655307-33</t>
        </is>
      </c>
    </row>
    <row r="4550" hidden="1" ht="15.75" customHeight="1">
      <c r="A4550" s="2">
        <f>HYPERLINK("https://www.soccerplususa.com/puma/puma-teamglory-jersey-youth-42486", "https://www.soccerplususa.com/puma/puma-teamglory-jersey-youth-42486")</f>
        <v/>
      </c>
      <c r="B4550" t="inlineStr">
        <is>
          <t>undefined</t>
        </is>
      </c>
      <c r="C4550" t="inlineStr">
        <is>
          <t>Puma TeamGlory Jersey Youth</t>
        </is>
      </c>
      <c r="D4550" t="inlineStr">
        <is>
          <t>PUMA Unisex Youth Teamfinal 21 Graphic Jersey</t>
        </is>
      </c>
      <c r="E4550" s="2">
        <f>HYPERLINK("https://www.amazon.com/PUMA-TEAMFINAL-Graphic-Jersey-White/dp/B084ZX4SJM/ref=sr_1_1?keywords=Puma+TeamGlory+Jersey+Youth&amp;qid=1695171174&amp;sr=8-1", "https://www.amazon.com/PUMA-TEAMFINAL-Graphic-Jersey-White/dp/B084ZX4SJM/ref=sr_1_1?keywords=Puma+TeamGlory+Jersey+Youth&amp;qid=1695171174&amp;sr=8-1")</f>
        <v/>
      </c>
      <c r="F4550" t="inlineStr">
        <is>
          <t>B084ZX4SJM</t>
        </is>
      </c>
      <c r="G4550">
        <f>_xludf.IMAGE("https://www.soccerplususa.com/prodimages//35565-Fizzy_Lime-M.jpg")</f>
        <v/>
      </c>
      <c r="H4550">
        <f>_xludf.IMAGE("https://m.media-amazon.com/images/I/716CDoYx6+L._AC_UL320_.jpg")</f>
        <v/>
      </c>
      <c r="K4550" t="inlineStr">
        <is>
          <t>39.95</t>
        </is>
      </c>
      <c r="L4550" t="n">
        <v>19.92</v>
      </c>
      <c r="M4550" s="1" t="inlineStr">
        <is>
          <t>-50.14%</t>
        </is>
      </c>
      <c r="N4550" s="3" t="n">
        <v>-50.14</v>
      </c>
      <c r="O4550" t="n">
        <v>4.3</v>
      </c>
      <c r="P4550" t="n">
        <v>35</v>
      </c>
      <c r="R4550" t="inlineStr">
        <is>
          <t>InStock</t>
        </is>
      </c>
      <c r="S4550" t="inlineStr">
        <is>
          <t>undefined</t>
        </is>
      </c>
      <c r="T4550" t="inlineStr">
        <is>
          <t>705309-20</t>
        </is>
      </c>
    </row>
    <row r="4551" hidden="1" ht="15.75" customHeight="1">
      <c r="A4551" s="2">
        <f>HYPERLINK("https://www.soccerplususa.com/puma/puma-liga-hooped-jersey-youth-35527", "https://www.soccerplususa.com/puma/puma-liga-hooped-jersey-youth-35527")</f>
        <v/>
      </c>
      <c r="B4551" t="inlineStr">
        <is>
          <t>undefined</t>
        </is>
      </c>
      <c r="C4551" t="inlineStr">
        <is>
          <t>Puma Liga Hooped Jersey Youth</t>
        </is>
      </c>
      <c r="D4551" t="inlineStr">
        <is>
          <t>PUMA Unisex Youth Liga Jersey</t>
        </is>
      </c>
      <c r="E4551" s="2">
        <f>HYPERLINK("https://www.amazon.com/PUMA-Mens-Jersey-Black-White/dp/B07DXZ35GC/ref=sr_1_3?keywords=Puma+Liga+Hooped+Jersey+Youth&amp;qid=1695171171&amp;sr=8-3", "https://www.amazon.com/PUMA-Mens-Jersey-Black-White/dp/B07DXZ35GC/ref=sr_1_3?keywords=Puma+Liga+Hooped+Jersey+Youth&amp;qid=1695171171&amp;sr=8-3")</f>
        <v/>
      </c>
      <c r="F4551" t="inlineStr">
        <is>
          <t>B07DXZ35GC</t>
        </is>
      </c>
      <c r="G4551">
        <f>_xludf.IMAGE("https://www.soccerplususa.com/prodimages/32670-DEFAULT-l.jpg")</f>
        <v/>
      </c>
      <c r="H4551">
        <f>_xludf.IMAGE("https://m.media-amazon.com/images/I/71f+GPiGtdL._AC_UL320_.jpg")</f>
        <v/>
      </c>
      <c r="K4551" t="inlineStr">
        <is>
          <t>30.0</t>
        </is>
      </c>
      <c r="L4551" t="n">
        <v>14.95</v>
      </c>
      <c r="M4551" s="1" t="inlineStr">
        <is>
          <t>-50.17%</t>
        </is>
      </c>
      <c r="N4551" s="3" t="n">
        <v>-50.17</v>
      </c>
      <c r="O4551" t="n">
        <v>4</v>
      </c>
      <c r="P4551" t="n">
        <v>37</v>
      </c>
      <c r="R4551" t="inlineStr">
        <is>
          <t>InStock</t>
        </is>
      </c>
      <c r="S4551" t="inlineStr">
        <is>
          <t>39.95</t>
        </is>
      </c>
      <c r="T4551" t="inlineStr">
        <is>
          <t>703423-02</t>
        </is>
      </c>
    </row>
    <row r="4552" hidden="1" ht="15.75" customHeight="1">
      <c r="A4552" s="2">
        <f>HYPERLINK("https://www.soccerplususa.com/puma/puma-liga-hooped-jersey-35526", "https://www.soccerplususa.com/puma/puma-liga-hooped-jersey-35526")</f>
        <v/>
      </c>
      <c r="B4552" t="inlineStr">
        <is>
          <t>undefined</t>
        </is>
      </c>
      <c r="C4552" t="inlineStr">
        <is>
          <t>Puma Liga Hooped Jersey</t>
        </is>
      </c>
      <c r="D4552" t="inlineStr">
        <is>
          <t>PUMA Unisex Youth Liga Jersey</t>
        </is>
      </c>
      <c r="E4552" s="2">
        <f>HYPERLINK("https://www.amazon.com/PUMA-Jersey-Cyber-Yellowpuma-X-Large/dp/B07KWYGMG7/ref=sr_1_6?keywords=Puma+Liga+Hooped+Jersey&amp;qid=1695171162&amp;sr=8-6", "https://www.amazon.com/PUMA-Jersey-Cyber-Yellowpuma-X-Large/dp/B07KWYGMG7/ref=sr_1_6?keywords=Puma+Liga+Hooped+Jersey&amp;qid=1695171162&amp;sr=8-6")</f>
        <v/>
      </c>
      <c r="F4552" t="inlineStr">
        <is>
          <t>B07KWYGMG7</t>
        </is>
      </c>
      <c r="G4552">
        <f>_xludf.IMAGE("https://www.soccerplususa.com/prodimages/32667-DEFAULT-l.jpg")</f>
        <v/>
      </c>
      <c r="H4552">
        <f>_xludf.IMAGE("https://m.media-amazon.com/images/I/61NmJE8EwpL._AC_UL320_.jpg")</f>
        <v/>
      </c>
      <c r="K4552" t="inlineStr">
        <is>
          <t>30.0</t>
        </is>
      </c>
      <c r="L4552" t="n">
        <v>14.95</v>
      </c>
      <c r="M4552" s="1" t="inlineStr">
        <is>
          <t>-50.17%</t>
        </is>
      </c>
      <c r="N4552" s="3" t="n">
        <v>-50.17</v>
      </c>
      <c r="O4552" t="n">
        <v>4.1</v>
      </c>
      <c r="P4552" t="n">
        <v>81</v>
      </c>
      <c r="R4552" t="inlineStr">
        <is>
          <t>InStock</t>
        </is>
      </c>
      <c r="S4552" t="inlineStr">
        <is>
          <t>39.95</t>
        </is>
      </c>
      <c r="T4552" t="inlineStr">
        <is>
          <t>703422-02</t>
        </is>
      </c>
    </row>
    <row r="4553" hidden="1" ht="15.75" customHeight="1">
      <c r="A4553" s="2">
        <f>HYPERLINK("https://www.soccerplususa.com/puma/puma-liga-hooped-jersey-35526", "https://www.soccerplususa.com/puma/puma-liga-hooped-jersey-35526")</f>
        <v/>
      </c>
      <c r="B4553" t="inlineStr">
        <is>
          <t>undefined</t>
        </is>
      </c>
      <c r="C4553" t="inlineStr">
        <is>
          <t>Puma Liga Hooped Jersey</t>
        </is>
      </c>
      <c r="D4553" t="inlineStr">
        <is>
          <t>PUMA Womens Liga Jersey Athletic Casual Tops Jersey Moisture Wicking - Green</t>
        </is>
      </c>
      <c r="E4553" s="2">
        <f>HYPERLINK("https://www.amazon.com/PUMA-Womens-Training-Jersey-Green-Puma/dp/B07B8DCRSJ/ref=sr_1_4?keywords=Puma+Liga+Hooped+Jersey&amp;qid=1695171162&amp;sr=8-4", "https://www.amazon.com/PUMA-Womens-Training-Jersey-Green-Puma/dp/B07B8DCRSJ/ref=sr_1_4?keywords=Puma+Liga+Hooped+Jersey&amp;qid=1695171162&amp;sr=8-4")</f>
        <v/>
      </c>
      <c r="F4553" t="inlineStr">
        <is>
          <t>B07B8DCRSJ</t>
        </is>
      </c>
      <c r="G4553">
        <f>_xludf.IMAGE("https://www.soccerplususa.com/prodimages/32667-DEFAULT-l.jpg")</f>
        <v/>
      </c>
      <c r="H4553">
        <f>_xludf.IMAGE("https://m.media-amazon.com/images/I/61oGqxv3G9L._AC_UL320_.jpg")</f>
        <v/>
      </c>
      <c r="K4553" t="inlineStr">
        <is>
          <t>30.0</t>
        </is>
      </c>
      <c r="L4553" t="n">
        <v>14.95</v>
      </c>
      <c r="M4553" s="1" t="inlineStr">
        <is>
          <t>-50.17%</t>
        </is>
      </c>
      <c r="N4553" s="3" t="n">
        <v>-50.17</v>
      </c>
      <c r="O4553" t="n">
        <v>4.4</v>
      </c>
      <c r="P4553" t="n">
        <v>10</v>
      </c>
      <c r="R4553" t="inlineStr">
        <is>
          <t>InStock</t>
        </is>
      </c>
      <c r="S4553" t="inlineStr">
        <is>
          <t>39.95</t>
        </is>
      </c>
      <c r="T4553" t="inlineStr">
        <is>
          <t>703422-02</t>
        </is>
      </c>
    </row>
    <row r="4554" hidden="1" ht="15.75" customHeight="1">
      <c r="A4554" s="2">
        <f>HYPERLINK("https://www.soccerplususa.com/puma/puma-liga-hooped-jersey-youth-35527", "https://www.soccerplususa.com/puma/puma-liga-hooped-jersey-youth-35527")</f>
        <v/>
      </c>
      <c r="B4554" t="inlineStr">
        <is>
          <t>undefined</t>
        </is>
      </c>
      <c r="C4554" t="inlineStr">
        <is>
          <t>Puma Liga Hooped Jersey Youth</t>
        </is>
      </c>
      <c r="D4554" t="inlineStr">
        <is>
          <t>PUMA Unisex Youth Liga Jersey</t>
        </is>
      </c>
      <c r="E4554" s="2">
        <f>HYPERLINK("https://www.amazon.com/PUMA-Jersey-Cyber-Yellowpuma-X-Large/dp/B07KWYGMG7/ref=sr_1_5?keywords=Puma+Liga+Hooped+Jersey+Youth&amp;qid=1695171171&amp;sr=8-5", "https://www.amazon.com/PUMA-Jersey-Cyber-Yellowpuma-X-Large/dp/B07KWYGMG7/ref=sr_1_5?keywords=Puma+Liga+Hooped+Jersey+Youth&amp;qid=1695171171&amp;sr=8-5")</f>
        <v/>
      </c>
      <c r="F4554" t="inlineStr">
        <is>
          <t>B07KWYGMG7</t>
        </is>
      </c>
      <c r="G4554">
        <f>_xludf.IMAGE("https://www.soccerplususa.com/prodimages/32670-DEFAULT-l.jpg")</f>
        <v/>
      </c>
      <c r="H4554">
        <f>_xludf.IMAGE("https://m.media-amazon.com/images/I/61NmJE8EwpL._AC_UL320_.jpg")</f>
        <v/>
      </c>
      <c r="K4554" t="inlineStr">
        <is>
          <t>30.0</t>
        </is>
      </c>
      <c r="L4554" t="n">
        <v>14.95</v>
      </c>
      <c r="M4554" s="1" t="inlineStr">
        <is>
          <t>-50.17%</t>
        </is>
      </c>
      <c r="N4554" s="3" t="n">
        <v>-50.17</v>
      </c>
      <c r="O4554" t="n">
        <v>4.1</v>
      </c>
      <c r="P4554" t="n">
        <v>81</v>
      </c>
      <c r="R4554" t="inlineStr">
        <is>
          <t>InStock</t>
        </is>
      </c>
      <c r="S4554" t="inlineStr">
        <is>
          <t>39.95</t>
        </is>
      </c>
      <c r="T4554" t="inlineStr">
        <is>
          <t>703423-02</t>
        </is>
      </c>
    </row>
    <row r="4555" hidden="1" ht="15.75" customHeight="1">
      <c r="A4555" s="2">
        <f>HYPERLINK("https://www.soccerplususa.com/puma/puma-teamgoal-23-training-jacket-youth-38702", "https://www.soccerplususa.com/puma/puma-teamgoal-23-training-jacket-youth-38702")</f>
        <v/>
      </c>
      <c r="B4555" t="inlineStr">
        <is>
          <t>undefined</t>
        </is>
      </c>
      <c r="C4555" t="inlineStr">
        <is>
          <t>Puma Teamgoal 23 Training Jacket Youth</t>
        </is>
      </c>
      <c r="D4555" t="inlineStr">
        <is>
          <t>PUMA Unisex Youth Teamgoal 23 Training 1/4 Zip Top</t>
        </is>
      </c>
      <c r="E4555" s="2">
        <f>HYPERLINK("https://www.amazon.com/PUMA-Kids-TEAMGOAL-Training-White/dp/B084ZXD41C/ref=sr_1_1?keywords=Puma+Teamgoal+23+Training+Jacket+Youth&amp;qid=1695171151&amp;sr=8-1", "https://www.amazon.com/PUMA-Kids-TEAMGOAL-Training-White/dp/B084ZXD41C/ref=sr_1_1?keywords=Puma+Teamgoal+23+Training+Jacket+Youth&amp;qid=1695171151&amp;sr=8-1")</f>
        <v/>
      </c>
      <c r="F4555" t="inlineStr">
        <is>
          <t>B084ZXD41C</t>
        </is>
      </c>
      <c r="G4555">
        <f>_xludf.IMAGE("https://www.soccerplususa.com/prodimages//35609-Electric_Blue-M.jpg")</f>
        <v/>
      </c>
      <c r="H4555">
        <f>_xludf.IMAGE("https://m.media-amazon.com/images/I/61n896XAmOL._AC_UL320_.jpg")</f>
        <v/>
      </c>
      <c r="K4555" t="inlineStr">
        <is>
          <t>44.99</t>
        </is>
      </c>
      <c r="L4555" t="n">
        <v>22.39</v>
      </c>
      <c r="M4555" s="1" t="inlineStr">
        <is>
          <t>-50.23%</t>
        </is>
      </c>
      <c r="N4555" s="3" t="n">
        <v>-50.23</v>
      </c>
      <c r="O4555" t="n">
        <v>4.2</v>
      </c>
      <c r="P4555" t="n">
        <v>3</v>
      </c>
      <c r="R4555" t="inlineStr">
        <is>
          <t>InStock</t>
        </is>
      </c>
      <c r="S4555" t="inlineStr">
        <is>
          <t>59.95</t>
        </is>
      </c>
      <c r="T4555" t="inlineStr">
        <is>
          <t>656570-02</t>
        </is>
      </c>
    </row>
    <row r="4556" hidden="1" ht="15.75" customHeight="1">
      <c r="A4556" s="2">
        <f>HYPERLINK("https://www.soccerplususa.com/adidas/adidas-tiro-17-jersey-4868", "https://www.soccerplususa.com/adidas/adidas-tiro-17-jersey-4868")</f>
        <v/>
      </c>
      <c r="B4556" t="inlineStr">
        <is>
          <t>undefined</t>
        </is>
      </c>
      <c r="C4556" t="inlineStr">
        <is>
          <t>adidas Tiro 17 Jersey</t>
        </is>
      </c>
      <c r="D4556" t="inlineStr">
        <is>
          <t>adidas Tiro 17 Womens Soccer Jersey 2XS Power Red-White</t>
        </is>
      </c>
      <c r="E4556" s="2">
        <f>HYPERLINK("https://www.amazon.com/adidas-Womens-Soccer-Jersey-Red-White/dp/B01N76Z1OB/ref=sr_1_9?keywords=adidas+Tiro+17+Jersey&amp;qid=1695171228&amp;sr=8-9", "https://www.amazon.com/adidas-Womens-Soccer-Jersey-Red-White/dp/B01N76Z1OB/ref=sr_1_9?keywords=adidas+Tiro+17+Jersey&amp;qid=1695171228&amp;sr=8-9")</f>
        <v/>
      </c>
      <c r="F4556" t="inlineStr">
        <is>
          <t>B01N76Z1OB</t>
        </is>
      </c>
      <c r="G4556">
        <f>_xludf.IMAGE("https://www.soccerplususa.com/prodimages/32792-DEFAULT-l.jpg")</f>
        <v/>
      </c>
      <c r="H4556">
        <f>_xludf.IMAGE("https://m.media-amazon.com/images/I/51gJIbK-kFL._AC_UL320_.jpg")</f>
        <v/>
      </c>
      <c r="K4556" t="inlineStr">
        <is>
          <t>29.99</t>
        </is>
      </c>
      <c r="L4556" t="n">
        <v>14.89</v>
      </c>
      <c r="M4556" s="1" t="inlineStr">
        <is>
          <t>-50.35%</t>
        </is>
      </c>
      <c r="N4556" s="3" t="n">
        <v>-50.35</v>
      </c>
      <c r="O4556" t="n">
        <v>5</v>
      </c>
      <c r="P4556" t="n">
        <v>1</v>
      </c>
      <c r="R4556" t="inlineStr">
        <is>
          <t>InStock</t>
        </is>
      </c>
      <c r="S4556" t="inlineStr">
        <is>
          <t>39.95</t>
        </is>
      </c>
      <c r="T4556" t="inlineStr">
        <is>
          <t>BK5435</t>
        </is>
      </c>
    </row>
    <row r="4557" hidden="1" ht="15.75" customHeight="1">
      <c r="A4557" s="2">
        <f>HYPERLINK("https://www.soccerplususa.com/adidas/adidas-tiro-17-jersey-womens-4818", "https://www.soccerplususa.com/adidas/adidas-tiro-17-jersey-womens-4818")</f>
        <v/>
      </c>
      <c r="B4557" t="inlineStr">
        <is>
          <t>undefined</t>
        </is>
      </c>
      <c r="C4557" t="inlineStr">
        <is>
          <t>adidas Tiro 17 Jersey Women's</t>
        </is>
      </c>
      <c r="D4557" t="inlineStr">
        <is>
          <t>adidas Tiro 17 Womens Soccer Jersey 2XS Power Red-White</t>
        </is>
      </c>
      <c r="E4557" s="2">
        <f>HYPERLINK("https://www.amazon.com/adidas-Womens-Soccer-Jersey-Red-White/dp/B01N76Z1OB/ref=sr_1_4?keywords=adidas+Tiro+17+Jersey+Women%27s&amp;qid=1695171228&amp;sr=8-4", "https://www.amazon.com/adidas-Womens-Soccer-Jersey-Red-White/dp/B01N76Z1OB/ref=sr_1_4?keywords=adidas+Tiro+17+Jersey+Women%27s&amp;qid=1695171228&amp;sr=8-4")</f>
        <v/>
      </c>
      <c r="F4557" t="inlineStr">
        <is>
          <t>B01N76Z1OB</t>
        </is>
      </c>
      <c r="G4557">
        <f>_xludf.IMAGE("https://www.soccerplususa.com/prodimages/33189-DEFAULT-l.jpg")</f>
        <v/>
      </c>
      <c r="H4557">
        <f>_xludf.IMAGE("https://m.media-amazon.com/images/I/51gJIbK-kFL._AC_UL320_.jpg")</f>
        <v/>
      </c>
      <c r="K4557" t="inlineStr">
        <is>
          <t>30.0</t>
        </is>
      </c>
      <c r="L4557" t="n">
        <v>14.89</v>
      </c>
      <c r="M4557" s="1" t="inlineStr">
        <is>
          <t>-50.37%</t>
        </is>
      </c>
      <c r="N4557" s="3" t="n">
        <v>-50.37</v>
      </c>
      <c r="O4557" t="n">
        <v>5</v>
      </c>
      <c r="P4557" t="n">
        <v>1</v>
      </c>
      <c r="R4557" t="inlineStr">
        <is>
          <t>InStock</t>
        </is>
      </c>
      <c r="S4557" t="inlineStr">
        <is>
          <t>39.95</t>
        </is>
      </c>
      <c r="T4557" t="inlineStr">
        <is>
          <t>BJ9095</t>
        </is>
      </c>
    </row>
    <row r="4558" hidden="1" ht="15.75" customHeight="1">
      <c r="A4558" s="2">
        <f>HYPERLINK("https://www.soccerplususa.com/adidas/adidas-condivo-18-storm-jacket-4941", "https://www.soccerplususa.com/adidas/adidas-condivo-18-storm-jacket-4941")</f>
        <v/>
      </c>
      <c r="B4558" t="inlineStr">
        <is>
          <t>undefined</t>
        </is>
      </c>
      <c r="C4558" t="inlineStr">
        <is>
          <t>adidas Condivo 18 Storm Jacket</t>
        </is>
      </c>
      <c r="D4558" t="inlineStr">
        <is>
          <t>adidas Men's Condivo 18 Polyester Jacket</t>
        </is>
      </c>
      <c r="E4558" s="2">
        <f>HYPERLINK("https://www.amazon.com/adidas-Condivo-Jacket-Soccer-Blue-White/dp/B07BHKMJ6P/ref=sr_1_2?keywords=adidas+Condivo+18+Storm+Jacket&amp;qid=1695171222&amp;sr=8-2", "https://www.amazon.com/adidas-Condivo-Jacket-Soccer-Blue-White/dp/B07BHKMJ6P/ref=sr_1_2?keywords=adidas+Condivo+18+Storm+Jacket&amp;qid=1695171222&amp;sr=8-2")</f>
        <v/>
      </c>
      <c r="F4558" t="inlineStr">
        <is>
          <t>B07BHKMJ6P</t>
        </is>
      </c>
      <c r="G4558">
        <f>_xludf.IMAGE("https://www.soccerplususa.com/prodimages/5712-DEFAULT-l.jpg")</f>
        <v/>
      </c>
      <c r="H4558">
        <f>_xludf.IMAGE("https://m.media-amazon.com/images/I/71NXSEVNkdL._AC_UL320_.jpg")</f>
        <v/>
      </c>
      <c r="K4558" t="inlineStr">
        <is>
          <t>89.99</t>
        </is>
      </c>
      <c r="L4558" t="n">
        <v>44.45</v>
      </c>
      <c r="M4558" s="1" t="inlineStr">
        <is>
          <t>-50.61%</t>
        </is>
      </c>
      <c r="N4558" s="3" t="n">
        <v>-50.61</v>
      </c>
      <c r="O4558" t="n">
        <v>4.4</v>
      </c>
      <c r="P4558" t="n">
        <v>147</v>
      </c>
      <c r="R4558" t="inlineStr">
        <is>
          <t>InStock</t>
        </is>
      </c>
      <c r="S4558" t="inlineStr">
        <is>
          <t>119.95</t>
        </is>
      </c>
      <c r="T4558" t="inlineStr">
        <is>
          <t>BQ6548</t>
        </is>
      </c>
    </row>
    <row r="4559" hidden="1" ht="15.75" customHeight="1">
      <c r="A4559" s="2">
        <f>HYPERLINK("https://www.soccerplususa.com/nike/nike-dry-academy-18-football-jacket-youth-34589", "https://www.soccerplususa.com/nike/nike-dry-academy-18-football-jacket-youth-34589")</f>
        <v/>
      </c>
      <c r="B4559" t="inlineStr">
        <is>
          <t>undefined</t>
        </is>
      </c>
      <c r="C4559" t="inlineStr">
        <is>
          <t>Nike Dry Academy 18 Football Jacket Youth</t>
        </is>
      </c>
      <c r="D4559" t="inlineStr">
        <is>
          <t>Nike Youth Dry Academy 18 Track Jacket (Black) Size Youth</t>
        </is>
      </c>
      <c r="E4559" s="2">
        <f>HYPERLINK("https://www.amazon.com/NIKE-Youth-Academy-Jacket-Medium/dp/B079JZMVMP/ref=sr_1_2?keywords=Nike+Dry+Academy+18+Football+Jacket+Youth&amp;qid=1695171163&amp;sr=8-2", "https://www.amazon.com/NIKE-Youth-Academy-Jacket-Medium/dp/B079JZMVMP/ref=sr_1_2?keywords=Nike+Dry+Academy+18+Football+Jacket+Youth&amp;qid=1695171163&amp;sr=8-2")</f>
        <v/>
      </c>
      <c r="F4559" t="inlineStr">
        <is>
          <t>B079JZMVMP</t>
        </is>
      </c>
      <c r="G4559">
        <f>_xludf.IMAGE("https://www.soccerplususa.com/prodimages/7468-DEFAULT-l.jpg")</f>
        <v/>
      </c>
      <c r="H4559">
        <f>_xludf.IMAGE("https://m.media-amazon.com/images/I/91AsQuYQnIL._AC_UL320_.jpg")</f>
        <v/>
      </c>
      <c r="K4559" t="inlineStr">
        <is>
          <t>111.99</t>
        </is>
      </c>
      <c r="L4559" t="n">
        <v>55</v>
      </c>
      <c r="M4559" s="1" t="inlineStr">
        <is>
          <t>-50.89%</t>
        </is>
      </c>
      <c r="N4559" s="3" t="n">
        <v>-50.89</v>
      </c>
      <c r="O4559" t="n">
        <v>3.5</v>
      </c>
      <c r="P4559" t="n">
        <v>36</v>
      </c>
      <c r="R4559" t="inlineStr">
        <is>
          <t>InStock</t>
        </is>
      </c>
      <c r="S4559" t="inlineStr">
        <is>
          <t>149.95</t>
        </is>
      </c>
      <c r="T4559" t="inlineStr">
        <is>
          <t>893827-010</t>
        </is>
      </c>
    </row>
    <row r="4560" hidden="1" ht="15.75" customHeight="1">
      <c r="A4560" s="2">
        <f>HYPERLINK("https://www.soccerplususa.com/nike/nike-dry-academy-18-football-jacket-youth-34589", "https://www.soccerplususa.com/nike/nike-dry-academy-18-football-jacket-youth-34589")</f>
        <v/>
      </c>
      <c r="B4560" t="inlineStr">
        <is>
          <t>undefined</t>
        </is>
      </c>
      <c r="C4560" t="inlineStr">
        <is>
          <t>Nike Dry Academy 18 Football Jacket Youth</t>
        </is>
      </c>
      <c r="D4560" t="inlineStr">
        <is>
          <t>Nike Youth Dry Academy 18 Track Jacket (Black) Size Youth</t>
        </is>
      </c>
      <c r="E4560" s="2">
        <f>HYPERLINK("https://www.amazon.com/NIKE-Youth-Academy-Track-Jacket/dp/B079JYTT6W/ref=sr_1_1?keywords=Nike+Dry+Academy+18+Football+Jacket+Youth&amp;qid=1695171163&amp;sr=8-1", "https://www.amazon.com/NIKE-Youth-Academy-Track-Jacket/dp/B079JYTT6W/ref=sr_1_1?keywords=Nike+Dry+Academy+18+Football+Jacket+Youth&amp;qid=1695171163&amp;sr=8-1")</f>
        <v/>
      </c>
      <c r="F4560" t="inlineStr">
        <is>
          <t>B079JYTT6W</t>
        </is>
      </c>
      <c r="G4560">
        <f>_xludf.IMAGE("https://www.soccerplususa.com/prodimages/7468-DEFAULT-l.jpg")</f>
        <v/>
      </c>
      <c r="H4560">
        <f>_xludf.IMAGE("https://m.media-amazon.com/images/I/91AsQuYQnIL._AC_UL320_.jpg")</f>
        <v/>
      </c>
      <c r="K4560" t="inlineStr">
        <is>
          <t>111.99</t>
        </is>
      </c>
      <c r="L4560" t="n">
        <v>55</v>
      </c>
      <c r="M4560" s="1" t="inlineStr">
        <is>
          <t>-50.89%</t>
        </is>
      </c>
      <c r="N4560" s="3" t="n">
        <v>-50.89</v>
      </c>
      <c r="O4560" t="n">
        <v>4</v>
      </c>
      <c r="P4560" t="n">
        <v>34</v>
      </c>
      <c r="R4560" t="inlineStr">
        <is>
          <t>InStock</t>
        </is>
      </c>
      <c r="S4560" t="inlineStr">
        <is>
          <t>149.95</t>
        </is>
      </c>
      <c r="T4560" t="inlineStr">
        <is>
          <t>893827-010</t>
        </is>
      </c>
    </row>
    <row r="4561" hidden="1" ht="15.75" customHeight="1">
      <c r="A4561" s="2">
        <f>HYPERLINK("https://www.soccerplususa.com/puma/puma-liga-jersey-youth-39601", "https://www.soccerplususa.com/puma/puma-liga-jersey-youth-39601")</f>
        <v/>
      </c>
      <c r="B4561" t="inlineStr">
        <is>
          <t>undefined</t>
        </is>
      </c>
      <c r="C4561" t="inlineStr">
        <is>
          <t>Puma Liga Jersey Youth</t>
        </is>
      </c>
      <c r="D4561" t="inlineStr">
        <is>
          <t>PUMA Kids Boys Liga Logo Crew Neck Short Sleeve Jersey Soccer Cleats Breathable - Blue</t>
        </is>
      </c>
      <c r="E4561" s="2">
        <f>HYPERLINK("https://www.amazon.com/PUMA-Jersey-Electric-Lemonade-White/dp/B07B89YGFP/ref=sr_1_6?keywords=Puma+Liga+Jersey+Youth&amp;qid=1695171161&amp;sr=8-6", "https://www.amazon.com/PUMA-Jersey-Electric-Lemonade-White/dp/B07B89YGFP/ref=sr_1_6?keywords=Puma+Liga+Jersey+Youth&amp;qid=1695171161&amp;sr=8-6")</f>
        <v/>
      </c>
      <c r="F4561" t="inlineStr">
        <is>
          <t>B07B89YGFP</t>
        </is>
      </c>
      <c r="G4561">
        <f>_xludf.IMAGE("https://www.soccerplususa.com/prodimages//36796-WHITE-M.jpg")</f>
        <v/>
      </c>
      <c r="H4561">
        <f>_xludf.IMAGE("https://m.media-amazon.com/images/I/81toviovn6L._AC_UL320_.jpg")</f>
        <v/>
      </c>
      <c r="K4561" t="inlineStr">
        <is>
          <t>20.99</t>
        </is>
      </c>
      <c r="L4561" t="n">
        <v>9.949999999999999</v>
      </c>
      <c r="M4561" s="1" t="inlineStr">
        <is>
          <t>-52.60%</t>
        </is>
      </c>
      <c r="N4561" s="3" t="n">
        <v>-52.6</v>
      </c>
      <c r="O4561" t="n">
        <v>4.2</v>
      </c>
      <c r="P4561" t="n">
        <v>19</v>
      </c>
      <c r="R4561" t="inlineStr">
        <is>
          <t>InStock</t>
        </is>
      </c>
      <c r="S4561" t="inlineStr">
        <is>
          <t>27.95</t>
        </is>
      </c>
      <c r="T4561" t="inlineStr">
        <is>
          <t>703418-14</t>
        </is>
      </c>
    </row>
    <row r="4562" hidden="1" ht="15.75" customHeight="1">
      <c r="A4562" s="2">
        <f>HYPERLINK("https://www.soccerplususa.com/puma/puma-liga-jersey-youth-37886", "https://www.soccerplususa.com/puma/puma-liga-jersey-youth-37886")</f>
        <v/>
      </c>
      <c r="B4562" t="inlineStr">
        <is>
          <t>undefined</t>
        </is>
      </c>
      <c r="C4562" t="inlineStr">
        <is>
          <t>Puma Liga Jersey Youth</t>
        </is>
      </c>
      <c r="D4562" t="inlineStr">
        <is>
          <t>PUMA Kids Boys Liga Logo Crew Neck Short Sleeve Jersey Soccer Cleats Breathable - Blue</t>
        </is>
      </c>
      <c r="E4562" s="2">
        <f>HYPERLINK("https://www.amazon.com/PUMA-Jersey-Electric-Lemonade-White/dp/B07B89YGFP/ref=sr_1_6?keywords=Puma+Liga+Jersey+Youth&amp;qid=1695171188&amp;sr=8-6", "https://www.amazon.com/PUMA-Jersey-Electric-Lemonade-White/dp/B07B89YGFP/ref=sr_1_6?keywords=Puma+Liga+Jersey+Youth&amp;qid=1695171188&amp;sr=8-6")</f>
        <v/>
      </c>
      <c r="F4562" t="inlineStr">
        <is>
          <t>B07B89YGFP</t>
        </is>
      </c>
      <c r="G4562">
        <f>_xludf.IMAGE("https://www.soccerplususa.com/prodimages//35271-NAVYWHITE-M.jpg")</f>
        <v/>
      </c>
      <c r="H4562">
        <f>_xludf.IMAGE("https://m.media-amazon.com/images/I/81toviovn6L._AC_UL320_.jpg")</f>
        <v/>
      </c>
      <c r="K4562" t="inlineStr">
        <is>
          <t>20.99</t>
        </is>
      </c>
      <c r="L4562" t="n">
        <v>9.949999999999999</v>
      </c>
      <c r="M4562" s="1" t="inlineStr">
        <is>
          <t>-52.60%</t>
        </is>
      </c>
      <c r="N4562" s="3" t="n">
        <v>-52.6</v>
      </c>
      <c r="O4562" t="n">
        <v>4.2</v>
      </c>
      <c r="P4562" t="n">
        <v>19</v>
      </c>
      <c r="R4562" t="inlineStr">
        <is>
          <t>InStock</t>
        </is>
      </c>
      <c r="S4562" t="inlineStr">
        <is>
          <t>27.95</t>
        </is>
      </c>
      <c r="T4562" t="inlineStr">
        <is>
          <t>703418-06</t>
        </is>
      </c>
    </row>
    <row r="4563" hidden="1" ht="15.75" customHeight="1">
      <c r="A4563" s="2">
        <f>HYPERLINK("https://www.soccerplususa.com/puma/puma-liga-jersey-37884", "https://www.soccerplususa.com/puma/puma-liga-jersey-37884")</f>
        <v/>
      </c>
      <c r="B4563" t="inlineStr">
        <is>
          <t>undefined</t>
        </is>
      </c>
      <c r="C4563" t="inlineStr">
        <is>
          <t>Puma Liga Jersey</t>
        </is>
      </c>
      <c r="D4563" t="inlineStr">
        <is>
          <t>PUMA Unisex Youth Liga Long Sleeve Jersey</t>
        </is>
      </c>
      <c r="E4563" s="2">
        <f>HYPERLINK("https://www.amazon.com/PUMA-Jersey-Sleeve-Redpuma-White/dp/B07B8PSND1/ref=sr_1_4?keywords=Puma+Liga+Jersey&amp;qid=1695171168&amp;sr=8-4", "https://www.amazon.com/PUMA-Jersey-Sleeve-Redpuma-White/dp/B07B8PSND1/ref=sr_1_4?keywords=Puma+Liga+Jersey&amp;qid=1695171168&amp;sr=8-4")</f>
        <v/>
      </c>
      <c r="F4563" t="inlineStr">
        <is>
          <t>B07B8PSND1</t>
        </is>
      </c>
      <c r="G4563">
        <f>_xludf.IMAGE("https://www.soccerplususa.com/prodimages//35270-NAVYWHITE-M.jpg")</f>
        <v/>
      </c>
      <c r="H4563">
        <f>_xludf.IMAGE("https://m.media-amazon.com/images/I/71DubH-WcgL._AC_UL320_.jpg")</f>
        <v/>
      </c>
      <c r="K4563" t="inlineStr">
        <is>
          <t>20.99</t>
        </is>
      </c>
      <c r="L4563" t="n">
        <v>9.949999999999999</v>
      </c>
      <c r="M4563" s="1" t="inlineStr">
        <is>
          <t>-52.60%</t>
        </is>
      </c>
      <c r="N4563" s="3" t="n">
        <v>-52.6</v>
      </c>
      <c r="O4563" t="n">
        <v>3.4</v>
      </c>
      <c r="P4563" t="n">
        <v>92</v>
      </c>
      <c r="R4563" t="inlineStr">
        <is>
          <t>InStock</t>
        </is>
      </c>
      <c r="S4563" t="inlineStr">
        <is>
          <t>27.95</t>
        </is>
      </c>
      <c r="T4563" t="inlineStr">
        <is>
          <t>703417-06</t>
        </is>
      </c>
    </row>
    <row r="4564" hidden="1" ht="15.75" customHeight="1">
      <c r="A4564" s="2">
        <f>HYPERLINK("https://www.soccerplususa.com/puma/puma-liga-jersey-youth-37885", "https://www.soccerplususa.com/puma/puma-liga-jersey-youth-37885")</f>
        <v/>
      </c>
      <c r="B4564" t="inlineStr">
        <is>
          <t>undefined</t>
        </is>
      </c>
      <c r="C4564" t="inlineStr">
        <is>
          <t>Puma Liga Jersey Youth</t>
        </is>
      </c>
      <c r="D4564" t="inlineStr">
        <is>
          <t>PUMA Kids Boys Liga Logo Crew Neck Short Sleeve Jersey Soccer Cleats Breathable - Blue</t>
        </is>
      </c>
      <c r="E4564" s="2">
        <f>HYPERLINK("https://www.amazon.com/PUMA-Jersey-Electric-Lemonade-White/dp/B07B89YGFP/ref=sr_1_6?keywords=Puma+Liga+Jersey+Youth&amp;qid=1695171154&amp;sr=8-6", "https://www.amazon.com/PUMA-Jersey-Electric-Lemonade-White/dp/B07B89YGFP/ref=sr_1_6?keywords=Puma+Liga+Jersey+Youth&amp;qid=1695171154&amp;sr=8-6")</f>
        <v/>
      </c>
      <c r="F4564" t="inlineStr">
        <is>
          <t>B07B89YGFP</t>
        </is>
      </c>
      <c r="G4564">
        <f>_xludf.IMAGE("https://www.soccerplususa.com/prodimages//36779-REDWHITE-M.jpg")</f>
        <v/>
      </c>
      <c r="H4564">
        <f>_xludf.IMAGE("https://m.media-amazon.com/images/I/81toviovn6L._AC_UL320_.jpg")</f>
        <v/>
      </c>
      <c r="K4564" t="inlineStr">
        <is>
          <t>20.99</t>
        </is>
      </c>
      <c r="L4564" t="n">
        <v>9.949999999999999</v>
      </c>
      <c r="M4564" s="1" t="inlineStr">
        <is>
          <t>-52.60%</t>
        </is>
      </c>
      <c r="N4564" s="3" t="n">
        <v>-52.6</v>
      </c>
      <c r="O4564" t="n">
        <v>4.2</v>
      </c>
      <c r="P4564" t="n">
        <v>19</v>
      </c>
      <c r="R4564" t="inlineStr">
        <is>
          <t>InStock</t>
        </is>
      </c>
      <c r="S4564" t="inlineStr">
        <is>
          <t>27.95</t>
        </is>
      </c>
      <c r="T4564" t="inlineStr">
        <is>
          <t>703418-01</t>
        </is>
      </c>
    </row>
    <row r="4565" hidden="1" ht="15.75" customHeight="1">
      <c r="A4565" s="2">
        <f>HYPERLINK("https://www.soccerplususa.com/puma/puma-liga-jersey-37883", "https://www.soccerplususa.com/puma/puma-liga-jersey-37883")</f>
        <v/>
      </c>
      <c r="B4565" t="inlineStr">
        <is>
          <t>undefined</t>
        </is>
      </c>
      <c r="C4565" t="inlineStr">
        <is>
          <t>Puma Liga Jersey</t>
        </is>
      </c>
      <c r="D4565" t="inlineStr">
        <is>
          <t>PUMA Men's Liga Jersey</t>
        </is>
      </c>
      <c r="E4565" s="2">
        <f>HYPERLINK("https://www.amazon.com/PUMA-70342613-LIGA-Jersey-W/dp/B075RCMZTV/ref=sr_1_9?keywords=Puma+Liga+Jersey&amp;qid=1695171159&amp;sr=8-9", "https://www.amazon.com/PUMA-70342613-LIGA-Jersey-W/dp/B075RCMZTV/ref=sr_1_9?keywords=Puma+Liga+Jersey&amp;qid=1695171159&amp;sr=8-9")</f>
        <v/>
      </c>
      <c r="F4565" t="inlineStr">
        <is>
          <t>B075RCMZTV</t>
        </is>
      </c>
      <c r="G4565">
        <f>_xludf.IMAGE("https://www.soccerplususa.com/prodimages//36780-REDWHITE-M.jpg")</f>
        <v/>
      </c>
      <c r="H4565">
        <f>_xludf.IMAGE("https://m.media-amazon.com/images/I/51ufXLu6e3L._AC_UL320_.jpg")</f>
        <v/>
      </c>
      <c r="K4565" t="inlineStr">
        <is>
          <t>27.95</t>
        </is>
      </c>
      <c r="L4565" t="n">
        <v>12.95</v>
      </c>
      <c r="M4565" s="1" t="inlineStr">
        <is>
          <t>-53.67%</t>
        </is>
      </c>
      <c r="N4565" s="3" t="n">
        <v>-53.67</v>
      </c>
      <c r="O4565" t="n">
        <v>4.4</v>
      </c>
      <c r="P4565" t="n">
        <v>19</v>
      </c>
      <c r="R4565" t="inlineStr">
        <is>
          <t>InStock</t>
        </is>
      </c>
      <c r="S4565" t="inlineStr">
        <is>
          <t>undefined</t>
        </is>
      </c>
      <c r="T4565" t="inlineStr">
        <is>
          <t>703417-01</t>
        </is>
      </c>
    </row>
    <row r="4566" hidden="1" ht="15.75" customHeight="1">
      <c r="A4566" s="2">
        <f>HYPERLINK("https://www.soccerplususa.com/puma/puma-liga-jersey-37883", "https://www.soccerplususa.com/puma/puma-liga-jersey-37883")</f>
        <v/>
      </c>
      <c r="B4566" t="inlineStr">
        <is>
          <t>undefined</t>
        </is>
      </c>
      <c r="C4566" t="inlineStr">
        <is>
          <t>Puma Liga Jersey</t>
        </is>
      </c>
      <c r="D4566" t="inlineStr">
        <is>
          <t>PUMA Men's Liga Jersey</t>
        </is>
      </c>
      <c r="E4566" s="2">
        <f>HYPERLINK("https://www.amazon.com/PUMA-Jersey-Electric-Lemonade-White/dp/B075RDMXVP/ref=sr_1_2?keywords=Puma+Liga+Jersey&amp;qid=1695171159&amp;sr=8-2", "https://www.amazon.com/PUMA-Jersey-Electric-Lemonade-White/dp/B075RDMXVP/ref=sr_1_2?keywords=Puma+Liga+Jersey&amp;qid=1695171159&amp;sr=8-2")</f>
        <v/>
      </c>
      <c r="F4566" t="inlineStr">
        <is>
          <t>B075RDMXVP</t>
        </is>
      </c>
      <c r="G4566">
        <f>_xludf.IMAGE("https://www.soccerplususa.com/prodimages//36780-REDWHITE-M.jpg")</f>
        <v/>
      </c>
      <c r="H4566">
        <f>_xludf.IMAGE("https://m.media-amazon.com/images/I/71IBlyL639L._AC_UL320_.jpg")</f>
        <v/>
      </c>
      <c r="K4566" t="inlineStr">
        <is>
          <t>27.95</t>
        </is>
      </c>
      <c r="L4566" t="n">
        <v>12.91</v>
      </c>
      <c r="M4566" s="1" t="inlineStr">
        <is>
          <t>-53.81%</t>
        </is>
      </c>
      <c r="N4566" s="3" t="n">
        <v>-53.81</v>
      </c>
      <c r="O4566" t="n">
        <v>4.5</v>
      </c>
      <c r="P4566" t="n">
        <v>1119</v>
      </c>
      <c r="R4566" t="inlineStr">
        <is>
          <t>InStock</t>
        </is>
      </c>
      <c r="S4566" t="inlineStr">
        <is>
          <t>undefined</t>
        </is>
      </c>
      <c r="T4566" t="inlineStr">
        <is>
          <t>703417-01</t>
        </is>
      </c>
    </row>
    <row r="4567" hidden="1" ht="15.75" customHeight="1">
      <c r="A4567" s="2">
        <f>HYPERLINK("https://www.soccerplususa.com/puma/puma-liga-casuals-padded-jacket-35508", "https://www.soccerplususa.com/puma/puma-liga-casuals-padded-jacket-35508")</f>
        <v/>
      </c>
      <c r="B4567" t="inlineStr">
        <is>
          <t>undefined</t>
        </is>
      </c>
      <c r="C4567" t="inlineStr">
        <is>
          <t>Puma Liga Casuals Padded Jacket</t>
        </is>
      </c>
      <c r="D4567" t="inlineStr">
        <is>
          <t>PUMA Unisex Youth Liga Casuals Padded Jacket</t>
        </is>
      </c>
      <c r="E4567" s="2">
        <f>HYPERLINK("https://www.amazon.com/PUMA-Casuals-Padded-Jacket-Black/dp/B07KX4MLPT/ref=sr_1_1?keywords=Puma+Liga+Casuals+Padded+Jacket&amp;qid=1695171160&amp;sr=8-1", "https://www.amazon.com/PUMA-Casuals-Padded-Jacket-Black/dp/B07KX4MLPT/ref=sr_1_1?keywords=Puma+Liga+Casuals+Padded+Jacket&amp;qid=1695171160&amp;sr=8-1")</f>
        <v/>
      </c>
      <c r="F4567" t="inlineStr">
        <is>
          <t>B07KX4MLPT</t>
        </is>
      </c>
      <c r="G4567">
        <f>_xludf.IMAGE("https://www.soccerplususa.com/prodimages/32204-DEFAULT-l.jpg")</f>
        <v/>
      </c>
      <c r="H4567">
        <f>_xludf.IMAGE("https://m.media-amazon.com/images/I/71Dx+qIrgzL._AC_UL320_.jpg")</f>
        <v/>
      </c>
      <c r="K4567" t="inlineStr">
        <is>
          <t>109.95</t>
        </is>
      </c>
      <c r="L4567" t="n">
        <v>49.95</v>
      </c>
      <c r="M4567" s="1" t="inlineStr">
        <is>
          <t>-54.57%</t>
        </is>
      </c>
      <c r="N4567" s="3" t="n">
        <v>-54.57</v>
      </c>
      <c r="O4567" t="n">
        <v>3.9</v>
      </c>
      <c r="P4567" t="n">
        <v>31</v>
      </c>
      <c r="R4567" t="inlineStr">
        <is>
          <t>InStock</t>
        </is>
      </c>
      <c r="S4567" t="inlineStr">
        <is>
          <t>undefined</t>
        </is>
      </c>
      <c r="T4567" t="inlineStr">
        <is>
          <t>655301-02</t>
        </is>
      </c>
    </row>
    <row r="4568" hidden="1" ht="15.75" customHeight="1">
      <c r="A4568" s="2">
        <f>HYPERLINK("https://www.soccerplususa.com/puma/puma-teamglory-jersey-youth-42486", "https://www.soccerplususa.com/puma/puma-teamglory-jersey-youth-42486")</f>
        <v/>
      </c>
      <c r="B4568" t="inlineStr">
        <is>
          <t>undefined</t>
        </is>
      </c>
      <c r="C4568" t="inlineStr">
        <is>
          <t>Puma TeamGlory Jersey Youth</t>
        </is>
      </c>
      <c r="D4568" t="inlineStr">
        <is>
          <t>PUMA Youth Liga Jersey Core</t>
        </is>
      </c>
      <c r="E4568" s="2">
        <f>HYPERLINK("https://www.amazon.com/PUMA-Jersey-Blackpuma-White-X-Large/dp/B07KWQDSR5/ref=sr_1_2?keywords=Puma+TeamGlory+Jersey+Youth&amp;qid=1695171174&amp;sr=8-2", "https://www.amazon.com/PUMA-Jersey-Blackpuma-White-X-Large/dp/B07KWQDSR5/ref=sr_1_2?keywords=Puma+TeamGlory+Jersey+Youth&amp;qid=1695171174&amp;sr=8-2")</f>
        <v/>
      </c>
      <c r="F4568" t="inlineStr">
        <is>
          <t>B07KWQDSR5</t>
        </is>
      </c>
      <c r="G4568">
        <f>_xludf.IMAGE("https://www.soccerplususa.com/prodimages//35565-Fizzy_Lime-M.jpg")</f>
        <v/>
      </c>
      <c r="H4568">
        <f>_xludf.IMAGE("https://m.media-amazon.com/images/I/61DkPqdXzAL._AC_UL320_.jpg")</f>
        <v/>
      </c>
      <c r="K4568" t="inlineStr">
        <is>
          <t>39.95</t>
        </is>
      </c>
      <c r="L4568" t="n">
        <v>17.95</v>
      </c>
      <c r="M4568" s="1" t="inlineStr">
        <is>
          <t>-55.07%</t>
        </is>
      </c>
      <c r="N4568" s="3" t="n">
        <v>-55.07</v>
      </c>
      <c r="O4568" t="n">
        <v>3.5</v>
      </c>
      <c r="P4568" t="n">
        <v>320</v>
      </c>
      <c r="R4568" t="inlineStr">
        <is>
          <t>InStock</t>
        </is>
      </c>
      <c r="S4568" t="inlineStr">
        <is>
          <t>undefined</t>
        </is>
      </c>
      <c r="T4568" t="inlineStr">
        <is>
          <t>705309-20</t>
        </is>
      </c>
    </row>
    <row r="4569" hidden="1" ht="15.75" customHeight="1">
      <c r="A4569" s="2">
        <f>HYPERLINK("https://www.soccerplususa.com/puma/puma-liga-casuals-hoody-youth-37838", "https://www.soccerplususa.com/puma/puma-liga-casuals-hoody-youth-37838")</f>
        <v/>
      </c>
      <c r="B4569" t="inlineStr">
        <is>
          <t>undefined</t>
        </is>
      </c>
      <c r="C4569" t="inlineStr">
        <is>
          <t>Puma Liga Casuals Hoody Youth</t>
        </is>
      </c>
      <c r="D4569" t="inlineStr">
        <is>
          <t>PUMA Youth Liga Casuals Hoody</t>
        </is>
      </c>
      <c r="E4569" s="2">
        <f>HYPERLINK("https://www.amazon.com/PUMA-Casuals-Hoody-Blackpuma-X-Large/dp/B07KX58BTQ/ref=sr_1_1?keywords=puma+liga+casuals+hoodie+youth&amp;qid=1695171158&amp;sr=8-1", "https://www.amazon.com/PUMA-Casuals-Hoody-Blackpuma-X-Large/dp/B07KX58BTQ/ref=sr_1_1?keywords=puma+liga+casuals+hoodie+youth&amp;qid=1695171158&amp;sr=8-1")</f>
        <v/>
      </c>
      <c r="F4569" t="inlineStr">
        <is>
          <t>B07KX58BTQ</t>
        </is>
      </c>
      <c r="G4569">
        <f>_xludf.IMAGE("https://www.soccerplususa.com/prodimages/32677-DEFAULT-l.jpg")</f>
        <v/>
      </c>
      <c r="H4569">
        <f>_xludf.IMAGE("https://m.media-amazon.com/images/I/61TAHYAyvrL._AC_UL320_.jpg")</f>
        <v/>
      </c>
      <c r="K4569" t="inlineStr">
        <is>
          <t>44.95</t>
        </is>
      </c>
      <c r="L4569" t="n">
        <v>19.95</v>
      </c>
      <c r="M4569" s="1" t="inlineStr">
        <is>
          <t>-55.62%</t>
        </is>
      </c>
      <c r="N4569" s="3" t="n">
        <v>-55.62</v>
      </c>
      <c r="O4569" t="n">
        <v>3.8</v>
      </c>
      <c r="P4569" t="n">
        <v>113</v>
      </c>
      <c r="R4569" t="inlineStr">
        <is>
          <t>InStock</t>
        </is>
      </c>
      <c r="S4569" t="inlineStr">
        <is>
          <t>undefined</t>
        </is>
      </c>
      <c r="T4569" t="inlineStr">
        <is>
          <t>655636-01</t>
        </is>
      </c>
    </row>
    <row r="4570" hidden="1" ht="15.75" customHeight="1">
      <c r="A4570" s="2">
        <f>HYPERLINK("https://www.soccerplususa.com/puma/puma-liga-casuals-hoody-youth-37839", "https://www.soccerplususa.com/puma/puma-liga-casuals-hoody-youth-37839")</f>
        <v/>
      </c>
      <c r="B4570" t="inlineStr">
        <is>
          <t>undefined</t>
        </is>
      </c>
      <c r="C4570" t="inlineStr">
        <is>
          <t>Puma Liga Casuals Hoody Youth</t>
        </is>
      </c>
      <c r="D4570" t="inlineStr">
        <is>
          <t>PUMA Youth Liga Casuals Hoody</t>
        </is>
      </c>
      <c r="E4570" s="2">
        <f>HYPERLINK("https://www.amazon.com/PUMA-Casuals-Hoody-Blackpuma-X-Large/dp/B07KX58BTQ/ref=sr_1_1?keywords=puma+liga+casuals+hoodie+youth&amp;qid=1695171158&amp;sr=8-1", "https://www.amazon.com/PUMA-Casuals-Hoody-Blackpuma-X-Large/dp/B07KX58BTQ/ref=sr_1_1?keywords=puma+liga+casuals+hoodie+youth&amp;qid=1695171158&amp;sr=8-1")</f>
        <v/>
      </c>
      <c r="F4570" t="inlineStr">
        <is>
          <t>B07KX58BTQ</t>
        </is>
      </c>
      <c r="G4570">
        <f>_xludf.IMAGE("https://www.soccerplususa.com/prodimages/32678-DEFAULT-l.jpg")</f>
        <v/>
      </c>
      <c r="H4570">
        <f>_xludf.IMAGE("https://m.media-amazon.com/images/I/61TAHYAyvrL._AC_UL320_.jpg")</f>
        <v/>
      </c>
      <c r="K4570" t="inlineStr">
        <is>
          <t>44.95</t>
        </is>
      </c>
      <c r="L4570" t="n">
        <v>19.95</v>
      </c>
      <c r="M4570" s="1" t="inlineStr">
        <is>
          <t>-55.62%</t>
        </is>
      </c>
      <c r="N4570" s="3" t="n">
        <v>-55.62</v>
      </c>
      <c r="O4570" t="n">
        <v>3.8</v>
      </c>
      <c r="P4570" t="n">
        <v>113</v>
      </c>
      <c r="R4570" t="inlineStr">
        <is>
          <t>InStock</t>
        </is>
      </c>
      <c r="S4570" t="inlineStr">
        <is>
          <t>undefined</t>
        </is>
      </c>
      <c r="T4570" t="inlineStr">
        <is>
          <t>655636-33</t>
        </is>
      </c>
    </row>
    <row r="4571" hidden="1" ht="15.75" customHeight="1">
      <c r="A4571" s="2">
        <f>HYPERLINK("https://www.soccerplususa.com/puma/puma-liga-training-jacket-youth-35521", "https://www.soccerplususa.com/puma/puma-liga-training-jacket-youth-35521")</f>
        <v/>
      </c>
      <c r="B4571" t="inlineStr">
        <is>
          <t>undefined</t>
        </is>
      </c>
      <c r="C4571" t="inlineStr">
        <is>
          <t>Puma Liga Training Jacket Youth</t>
        </is>
      </c>
      <c r="D4571" t="inlineStr">
        <is>
          <t>PUMA Youth Liga Training 1/4 Zip Top</t>
        </is>
      </c>
      <c r="E4571" s="2">
        <f>HYPERLINK("https://www.amazon.com/PUMA-Mens-LIGA-Training-White/dp/B07DYB6FQ2/ref=sr_1_2?keywords=Puma+Liga+Training+Jacket+Youth&amp;qid=1695171158&amp;sr=8-2", "https://www.amazon.com/PUMA-Mens-LIGA-Training-White/dp/B07DYB6FQ2/ref=sr_1_2?keywords=Puma+Liga+Training+Jacket+Youth&amp;qid=1695171158&amp;sr=8-2")</f>
        <v/>
      </c>
      <c r="F4571" t="inlineStr">
        <is>
          <t>B07DYB6FQ2</t>
        </is>
      </c>
      <c r="G4571">
        <f>_xludf.IMAGE("https://www.soccerplususa.com/prodimages/32219-DEFAULT-l.jpg")</f>
        <v/>
      </c>
      <c r="H4571">
        <f>_xludf.IMAGE("https://m.media-amazon.com/images/I/81Kn+Cm6pCL._AC_UL320_.jpg")</f>
        <v/>
      </c>
      <c r="K4571" t="inlineStr">
        <is>
          <t>45.0</t>
        </is>
      </c>
      <c r="L4571" t="n">
        <v>19.95</v>
      </c>
      <c r="M4571" s="1" t="inlineStr">
        <is>
          <t>-55.67%</t>
        </is>
      </c>
      <c r="N4571" s="3" t="n">
        <v>-55.67</v>
      </c>
      <c r="O4571" t="n">
        <v>3.2</v>
      </c>
      <c r="P4571" t="n">
        <v>22</v>
      </c>
      <c r="R4571" t="inlineStr">
        <is>
          <t>InStock</t>
        </is>
      </c>
      <c r="S4571" t="inlineStr">
        <is>
          <t>59.95</t>
        </is>
      </c>
      <c r="T4571" t="inlineStr">
        <is>
          <t>655688-02</t>
        </is>
      </c>
    </row>
    <row r="4572" hidden="1" ht="15.75" customHeight="1">
      <c r="A4572" s="2">
        <f>HYPERLINK("https://www.soccerplususa.com/puma/puma-liga-hooped-jersey-youth-35527", "https://www.soccerplususa.com/puma/puma-liga-hooped-jersey-youth-35527")</f>
        <v/>
      </c>
      <c r="B4572" t="inlineStr">
        <is>
          <t>undefined</t>
        </is>
      </c>
      <c r="C4572" t="inlineStr">
        <is>
          <t>Puma Liga Hooped Jersey Youth</t>
        </is>
      </c>
      <c r="D4572" t="inlineStr">
        <is>
          <t>PUMA Kids' Youth Liga Training Jersey</t>
        </is>
      </c>
      <c r="E4572" s="2">
        <f>HYPERLINK("https://www.amazon.com/PUMA-Training-Jersey-Electric-Lemonade/dp/B07FGTC21T/ref=sr_1_2?keywords=Puma+Liga+Hooped+Jersey+Youth&amp;qid=1695171171&amp;sr=8-2", "https://www.amazon.com/PUMA-Training-Jersey-Electric-Lemonade/dp/B07FGTC21T/ref=sr_1_2?keywords=Puma+Liga+Hooped+Jersey+Youth&amp;qid=1695171171&amp;sr=8-2")</f>
        <v/>
      </c>
      <c r="F4572" t="inlineStr">
        <is>
          <t>B07FGTC21T</t>
        </is>
      </c>
      <c r="G4572">
        <f>_xludf.IMAGE("https://www.soccerplususa.com/prodimages/32670-DEFAULT-l.jpg")</f>
        <v/>
      </c>
      <c r="H4572">
        <f>_xludf.IMAGE("https://m.media-amazon.com/images/I/81fB0WeaEbL._AC_UL320_.jpg")</f>
        <v/>
      </c>
      <c r="K4572" t="inlineStr">
        <is>
          <t>30.0</t>
        </is>
      </c>
      <c r="L4572" t="n">
        <v>12.95</v>
      </c>
      <c r="M4572" s="1" t="inlineStr">
        <is>
          <t>-56.83%</t>
        </is>
      </c>
      <c r="N4572" s="3" t="n">
        <v>-56.83</v>
      </c>
      <c r="O4572" t="n">
        <v>3.3</v>
      </c>
      <c r="P4572" t="n">
        <v>42</v>
      </c>
      <c r="R4572" t="inlineStr">
        <is>
          <t>InStock</t>
        </is>
      </c>
      <c r="S4572" t="inlineStr">
        <is>
          <t>39.95</t>
        </is>
      </c>
      <c r="T4572" t="inlineStr">
        <is>
          <t>703423-02</t>
        </is>
      </c>
    </row>
    <row r="4573" hidden="1" ht="15.75" customHeight="1">
      <c r="A4573" s="2">
        <f>HYPERLINK("https://www.soccerplususa.com/puma/puma-liga-jersey-37883", "https://www.soccerplususa.com/puma/puma-liga-jersey-37883")</f>
        <v/>
      </c>
      <c r="B4573" t="inlineStr">
        <is>
          <t>undefined</t>
        </is>
      </c>
      <c r="C4573" t="inlineStr">
        <is>
          <t>Puma Liga Jersey</t>
        </is>
      </c>
      <c r="D4573" t="inlineStr">
        <is>
          <t>PUMA Women's Liga Jersey, Cyber Yellow-Black, S</t>
        </is>
      </c>
      <c r="E4573" s="2">
        <f>HYPERLINK("https://www.amazon.com/PUMA-Womens-Jersey-Cyber-Yellowpuma/dp/B07FBJ6M3D/ref=sr_1_10?keywords=Puma+Liga+Jersey&amp;qid=1695171159&amp;sr=8-10", "https://www.amazon.com/PUMA-Womens-Jersey-Cyber-Yellowpuma/dp/B07FBJ6M3D/ref=sr_1_10?keywords=Puma+Liga+Jersey&amp;qid=1695171159&amp;sr=8-10")</f>
        <v/>
      </c>
      <c r="F4573" t="inlineStr">
        <is>
          <t>B07FBJ6M3D</t>
        </is>
      </c>
      <c r="G4573">
        <f>_xludf.IMAGE("https://www.soccerplususa.com/prodimages//36780-REDWHITE-M.jpg")</f>
        <v/>
      </c>
      <c r="H4573">
        <f>_xludf.IMAGE("https://m.media-amazon.com/images/I/71TBNPkRR5L._AC_UL320_.jpg")</f>
        <v/>
      </c>
      <c r="K4573" t="inlineStr">
        <is>
          <t>27.95</t>
        </is>
      </c>
      <c r="L4573" t="n">
        <v>11.88</v>
      </c>
      <c r="M4573" s="1" t="inlineStr">
        <is>
          <t>-57.50%</t>
        </is>
      </c>
      <c r="N4573" s="3" t="n">
        <v>-57.5</v>
      </c>
      <c r="O4573" t="n">
        <v>4.1</v>
      </c>
      <c r="P4573" t="n">
        <v>7</v>
      </c>
      <c r="R4573" t="inlineStr">
        <is>
          <t>InStock</t>
        </is>
      </c>
      <c r="S4573" t="inlineStr">
        <is>
          <t>undefined</t>
        </is>
      </c>
      <c r="T4573" t="inlineStr">
        <is>
          <t>703417-01</t>
        </is>
      </c>
    </row>
    <row r="4574" hidden="1" ht="15.75" customHeight="1">
      <c r="A4574" s="2">
        <f>HYPERLINK("https://www.soccerplususa.com/puma/puma-liga-jersey-womens-39602", "https://www.soccerplususa.com/puma/puma-liga-jersey-womens-39602")</f>
        <v/>
      </c>
      <c r="B4574" t="inlineStr">
        <is>
          <t>undefined</t>
        </is>
      </c>
      <c r="C4574" t="inlineStr">
        <is>
          <t>Puma Liga Jersey Women's</t>
        </is>
      </c>
      <c r="D4574" t="inlineStr">
        <is>
          <t>PUMA Women's Liga Jersey</t>
        </is>
      </c>
      <c r="E4574" s="2">
        <f>HYPERLINK("https://www.amazon.com/PUMA-Womens-Jersey-Blackpuma-X-Small/dp/B075RFGYHK/ref=sr_1_1?keywords=Puma+Liga+Jersey+Womens&amp;qid=1695171150&amp;sr=8-1", "https://www.amazon.com/PUMA-Womens-Jersey-Blackpuma-X-Small/dp/B075RFGYHK/ref=sr_1_1?keywords=Puma+Liga+Jersey+Womens&amp;qid=1695171150&amp;sr=8-1")</f>
        <v/>
      </c>
      <c r="F4574" t="inlineStr">
        <is>
          <t>B075RFGYHK</t>
        </is>
      </c>
      <c r="G4574">
        <f>_xludf.IMAGE("https://www.soccerplususa.com/prodimages//36786-REDWHITE-M.jpg")</f>
        <v/>
      </c>
      <c r="H4574">
        <f>_xludf.IMAGE("https://m.media-amazon.com/images/I/818EdyScpLL._AC_UL320_.jpg")</f>
        <v/>
      </c>
      <c r="K4574" t="inlineStr">
        <is>
          <t>20.99</t>
        </is>
      </c>
      <c r="L4574" t="n">
        <v>8.880000000000001</v>
      </c>
      <c r="M4574" s="1" t="inlineStr">
        <is>
          <t>-57.69%</t>
        </is>
      </c>
      <c r="N4574" s="3" t="n">
        <v>-57.69</v>
      </c>
      <c r="O4574" t="n">
        <v>4.5</v>
      </c>
      <c r="P4574" t="n">
        <v>375</v>
      </c>
      <c r="R4574" t="inlineStr">
        <is>
          <t>InStock</t>
        </is>
      </c>
      <c r="S4574" t="inlineStr">
        <is>
          <t>27.95</t>
        </is>
      </c>
      <c r="T4574" t="inlineStr">
        <is>
          <t>703426-01</t>
        </is>
      </c>
    </row>
    <row r="4575" hidden="1" ht="15.75" customHeight="1">
      <c r="A4575" s="2">
        <f>HYPERLINK("https://www.soccerplususa.com/puma/puma-liga-training-rain-jacket-youth-35518", "https://www.soccerplususa.com/puma/puma-liga-training-rain-jacket-youth-35518")</f>
        <v/>
      </c>
      <c r="B4575" t="inlineStr">
        <is>
          <t>undefined</t>
        </is>
      </c>
      <c r="C4575" t="inlineStr">
        <is>
          <t>Puma Liga Training Rain Jacket Youth</t>
        </is>
      </c>
      <c r="D4575" t="inlineStr">
        <is>
          <t>PUMA Men's Liga Training Jacket</t>
        </is>
      </c>
      <c r="E4575" s="2">
        <f>HYPERLINK("https://www.amazon.com/PUMA-Training-Jacket-Electric-Lemonade/dp/B07C7FSBF9/ref=sr_1_6?keywords=Puma+Liga+Training+Rain+Jacket+Youth&amp;qid=1695171159&amp;sr=8-6", "https://www.amazon.com/PUMA-Training-Jacket-Electric-Lemonade/dp/B07C7FSBF9/ref=sr_1_6?keywords=Puma+Liga+Training+Rain+Jacket+Youth&amp;qid=1695171159&amp;sr=8-6")</f>
        <v/>
      </c>
      <c r="F4575" t="inlineStr">
        <is>
          <t>B07C7FSBF9</t>
        </is>
      </c>
      <c r="G4575">
        <f>_xludf.IMAGE("https://www.soccerplususa.com/prodimages/13113-DEFAULT-l.jpg")</f>
        <v/>
      </c>
      <c r="H4575">
        <f>_xludf.IMAGE("https://m.media-amazon.com/images/I/71QPncQEh8L._AC_UL320_.jpg")</f>
        <v/>
      </c>
      <c r="K4575" t="inlineStr">
        <is>
          <t>59.95</t>
        </is>
      </c>
      <c r="L4575" t="n">
        <v>24.95</v>
      </c>
      <c r="M4575" s="1" t="inlineStr">
        <is>
          <t>-58.38%</t>
        </is>
      </c>
      <c r="N4575" s="3" t="n">
        <v>-58.38</v>
      </c>
      <c r="O4575" t="n">
        <v>4.5</v>
      </c>
      <c r="P4575" t="n">
        <v>586</v>
      </c>
      <c r="R4575" t="inlineStr">
        <is>
          <t>InStock</t>
        </is>
      </c>
      <c r="S4575" t="inlineStr">
        <is>
          <t>undefined</t>
        </is>
      </c>
      <c r="T4575" t="inlineStr">
        <is>
          <t>655660-03</t>
        </is>
      </c>
    </row>
    <row r="4576" hidden="1" ht="15.75" customHeight="1">
      <c r="A4576" s="2">
        <f>HYPERLINK("https://www.soccerplususa.com/puma/puma-liga-casuals-padded-jacket-35508", "https://www.soccerplususa.com/puma/puma-liga-casuals-padded-jacket-35508")</f>
        <v/>
      </c>
      <c r="B4576" t="inlineStr">
        <is>
          <t>undefined</t>
        </is>
      </c>
      <c r="C4576" t="inlineStr">
        <is>
          <t>Puma Liga Casuals Padded Jacket</t>
        </is>
      </c>
      <c r="D4576" t="inlineStr">
        <is>
          <t>PUMA Men's Liga Casuals Padded Jacket</t>
        </is>
      </c>
      <c r="E4576" s="2">
        <f>HYPERLINK("https://www.amazon.com/PUMA-Casuals-Padded-Jacket-Black/dp/B07DYB13T3/ref=sr_1_2?keywords=Puma+Liga+Casuals+Padded+Jacket&amp;qid=1695171160&amp;sr=8-2", "https://www.amazon.com/PUMA-Casuals-Padded-Jacket-Black/dp/B07DYB13T3/ref=sr_1_2?keywords=Puma+Liga+Casuals+Padded+Jacket&amp;qid=1695171160&amp;sr=8-2")</f>
        <v/>
      </c>
      <c r="F4576" t="inlineStr">
        <is>
          <t>B07DYB13T3</t>
        </is>
      </c>
      <c r="G4576">
        <f>_xludf.IMAGE("https://www.soccerplususa.com/prodimages/32204-DEFAULT-l.jpg")</f>
        <v/>
      </c>
      <c r="H4576">
        <f>_xludf.IMAGE("https://m.media-amazon.com/images/I/71aT8wurugL._AC_UL320_.jpg")</f>
        <v/>
      </c>
      <c r="K4576" t="inlineStr">
        <is>
          <t>109.95</t>
        </is>
      </c>
      <c r="L4576" t="n">
        <v>44.95</v>
      </c>
      <c r="M4576" s="1" t="inlineStr">
        <is>
          <t>-59.12%</t>
        </is>
      </c>
      <c r="N4576" s="3" t="n">
        <v>-59.12</v>
      </c>
      <c r="O4576" t="n">
        <v>4.4</v>
      </c>
      <c r="P4576" t="n">
        <v>109</v>
      </c>
      <c r="R4576" t="inlineStr">
        <is>
          <t>InStock</t>
        </is>
      </c>
      <c r="S4576" t="inlineStr">
        <is>
          <t>undefined</t>
        </is>
      </c>
      <c r="T4576" t="inlineStr">
        <is>
          <t>655301-02</t>
        </is>
      </c>
    </row>
    <row r="4577" hidden="1" ht="15.75" customHeight="1">
      <c r="A4577" s="2">
        <f>HYPERLINK("https://www.soccerplususa.com/puma/puma-liga-jersey-37884", "https://www.soccerplususa.com/puma/puma-liga-jersey-37884")</f>
        <v/>
      </c>
      <c r="B4577" t="inlineStr">
        <is>
          <t>undefined</t>
        </is>
      </c>
      <c r="C4577" t="inlineStr">
        <is>
          <t>Puma Liga Jersey</t>
        </is>
      </c>
      <c r="D4577" t="inlineStr">
        <is>
          <t>PUMA Women's Liga Jersey</t>
        </is>
      </c>
      <c r="E4577" s="2">
        <f>HYPERLINK("https://www.amazon.com/PUMA-Womens-Jersey-Electric-Lemonadewhite/dp/B075RDMXV5/ref=sr_1_3?keywords=Puma+Liga+Jersey&amp;qid=1695171168&amp;sr=8-3", "https://www.amazon.com/PUMA-Womens-Jersey-Electric-Lemonadewhite/dp/B075RDMXV5/ref=sr_1_3?keywords=Puma+Liga+Jersey&amp;qid=1695171168&amp;sr=8-3")</f>
        <v/>
      </c>
      <c r="F4577" t="inlineStr">
        <is>
          <t>B075RDMXV5</t>
        </is>
      </c>
      <c r="G4577">
        <f>_xludf.IMAGE("https://www.soccerplususa.com/prodimages//35270-NAVYWHITE-M.jpg")</f>
        <v/>
      </c>
      <c r="H4577">
        <f>_xludf.IMAGE("https://m.media-amazon.com/images/I/81NfBERrjRL._AC_UL320_.jpg")</f>
        <v/>
      </c>
      <c r="K4577" t="inlineStr">
        <is>
          <t>20.99</t>
        </is>
      </c>
      <c r="L4577" t="n">
        <v>8.4</v>
      </c>
      <c r="M4577" s="1" t="inlineStr">
        <is>
          <t>-59.98%</t>
        </is>
      </c>
      <c r="N4577" s="3" t="n">
        <v>-59.98</v>
      </c>
      <c r="O4577" t="n">
        <v>4.5</v>
      </c>
      <c r="P4577" t="n">
        <v>375</v>
      </c>
      <c r="R4577" t="inlineStr">
        <is>
          <t>InStock</t>
        </is>
      </c>
      <c r="S4577" t="inlineStr">
        <is>
          <t>27.95</t>
        </is>
      </c>
      <c r="T4577" t="inlineStr">
        <is>
          <t>703417-06</t>
        </is>
      </c>
    </row>
    <row r="4578" hidden="1" ht="15.75" customHeight="1">
      <c r="A4578" s="2">
        <f>HYPERLINK("https://www.soccerplususa.com/adidas/adidas-core-18-training-top-womens-33855", "https://www.soccerplususa.com/adidas/adidas-core-18-training-top-womens-33855")</f>
        <v/>
      </c>
      <c r="B4578" t="inlineStr">
        <is>
          <t>undefined</t>
        </is>
      </c>
      <c r="C4578" t="inlineStr">
        <is>
          <t>adidas Core 18 Training Top Women's</t>
        </is>
      </c>
      <c r="D4578" t="inlineStr">
        <is>
          <t>adidas Women's Core 18 Training Jersey</t>
        </is>
      </c>
      <c r="E4578" s="2">
        <f>HYPERLINK("https://www.amazon.com/adidas-Womens-Core18-Jersey-Stone/dp/B073H9Z3LX/ref=sr_1_1?keywords=adidas+Core+18+Training+Top+Women%27s&amp;qid=1695171165&amp;sr=8-1", "https://www.amazon.com/adidas-Womens-Core18-Jersey-Stone/dp/B073H9Z3LX/ref=sr_1_1?keywords=adidas+Core+18+Training+Top+Women%27s&amp;qid=1695171165&amp;sr=8-1")</f>
        <v/>
      </c>
      <c r="F4578" t="inlineStr">
        <is>
          <t>B073H9Z3LX</t>
        </is>
      </c>
      <c r="G4578">
        <f>_xludf.IMAGE("https://www.soccerplususa.com/prodimages/35139-DEFAULT-l.jpg")</f>
        <v/>
      </c>
      <c r="H4578">
        <f>_xludf.IMAGE("https://m.media-amazon.com/images/I/41mtfMqtPIL._AC_UL320_.jpg")</f>
        <v/>
      </c>
      <c r="K4578" t="inlineStr">
        <is>
          <t>29.99</t>
        </is>
      </c>
      <c r="L4578" t="n">
        <v>11.95</v>
      </c>
      <c r="M4578" s="1" t="inlineStr">
        <is>
          <t>-60.15%</t>
        </is>
      </c>
      <c r="N4578" s="3" t="n">
        <v>-60.15</v>
      </c>
      <c r="O4578" t="n">
        <v>4.5</v>
      </c>
      <c r="P4578" t="n">
        <v>2334</v>
      </c>
      <c r="R4578" t="inlineStr">
        <is>
          <t>InStock</t>
        </is>
      </c>
      <c r="S4578" t="inlineStr">
        <is>
          <t>39.95</t>
        </is>
      </c>
      <c r="T4578" t="inlineStr">
        <is>
          <t>CY8264</t>
        </is>
      </c>
    </row>
    <row r="4579" hidden="1" ht="15.75" customHeight="1">
      <c r="A4579" s="2">
        <f>HYPERLINK("https://www.soccerplususa.com/adidas/adidas-condivo-18-storm-jacket-4941", "https://www.soccerplususa.com/adidas/adidas-condivo-18-storm-jacket-4941")</f>
        <v/>
      </c>
      <c r="B4579" t="inlineStr">
        <is>
          <t>undefined</t>
        </is>
      </c>
      <c r="C4579" t="inlineStr">
        <is>
          <t>adidas Condivo 18 Storm Jacket</t>
        </is>
      </c>
      <c r="D4579" t="inlineStr">
        <is>
          <t>adidas Men's Condivo 18 Polyester Jacket</t>
        </is>
      </c>
      <c r="E4579" s="2">
        <f>HYPERLINK("https://www.amazon.com/adidas-Condivo-Training-Jacket-Black/dp/B078WHPGXF/ref=sr_1_4?keywords=adidas+Condivo+18+Storm+Jacket&amp;qid=1695171222&amp;sr=8-4", "https://www.amazon.com/adidas-Condivo-Training-Jacket-Black/dp/B078WHPGXF/ref=sr_1_4?keywords=adidas+Condivo+18+Storm+Jacket&amp;qid=1695171222&amp;sr=8-4")</f>
        <v/>
      </c>
      <c r="F4579" t="inlineStr">
        <is>
          <t>B078WHPGXF</t>
        </is>
      </c>
      <c r="G4579">
        <f>_xludf.IMAGE("https://www.soccerplususa.com/prodimages/5712-DEFAULT-l.jpg")</f>
        <v/>
      </c>
      <c r="H4579">
        <f>_xludf.IMAGE("https://m.media-amazon.com/images/I/61KcOyoVpCL._AC_UL320_.jpg")</f>
        <v/>
      </c>
      <c r="K4579" t="inlineStr">
        <is>
          <t>89.99</t>
        </is>
      </c>
      <c r="L4579" t="n">
        <v>34.74</v>
      </c>
      <c r="M4579" s="1" t="inlineStr">
        <is>
          <t>-61.40%</t>
        </is>
      </c>
      <c r="N4579" s="3" t="n">
        <v>-61.4</v>
      </c>
      <c r="O4579" t="n">
        <v>4.5</v>
      </c>
      <c r="P4579" t="n">
        <v>162</v>
      </c>
      <c r="R4579" t="inlineStr">
        <is>
          <t>InStock</t>
        </is>
      </c>
      <c r="S4579" t="inlineStr">
        <is>
          <t>119.95</t>
        </is>
      </c>
      <c r="T4579" t="inlineStr">
        <is>
          <t>BQ6548</t>
        </is>
      </c>
    </row>
    <row r="4580" hidden="1" ht="15.75" customHeight="1">
      <c r="A4580" s="2">
        <f>HYPERLINK("https://www.soccerplususa.com/puma/puma-teamglory-jersey-youth-42486", "https://www.soccerplususa.com/puma/puma-teamglory-jersey-youth-42486")</f>
        <v/>
      </c>
      <c r="B4580" t="inlineStr">
        <is>
          <t>undefined</t>
        </is>
      </c>
      <c r="C4580" t="inlineStr">
        <is>
          <t>Puma TeamGlory Jersey Youth</t>
        </is>
      </c>
      <c r="D4580" t="inlineStr">
        <is>
          <t>PUMA Unisex Youth Liga Jersey</t>
        </is>
      </c>
      <c r="E4580" s="2">
        <f>HYPERLINK("https://www.amazon.com/PUMA-Jersey-Cyber-Yellowpuma-X-Large/dp/B07KWYGMG7/ref=sr_1_6?keywords=Puma+TeamGlory+Jersey+Youth&amp;qid=1695171174&amp;sr=8-6", "https://www.amazon.com/PUMA-Jersey-Cyber-Yellowpuma-X-Large/dp/B07KWYGMG7/ref=sr_1_6?keywords=Puma+TeamGlory+Jersey+Youth&amp;qid=1695171174&amp;sr=8-6")</f>
        <v/>
      </c>
      <c r="F4580" t="inlineStr">
        <is>
          <t>B07KWYGMG7</t>
        </is>
      </c>
      <c r="G4580">
        <f>_xludf.IMAGE("https://www.soccerplususa.com/prodimages//35565-Fizzy_Lime-M.jpg")</f>
        <v/>
      </c>
      <c r="H4580">
        <f>_xludf.IMAGE("https://m.media-amazon.com/images/I/61NmJE8EwpL._AC_UL320_.jpg")</f>
        <v/>
      </c>
      <c r="K4580" t="inlineStr">
        <is>
          <t>39.95</t>
        </is>
      </c>
      <c r="L4580" t="n">
        <v>14.95</v>
      </c>
      <c r="M4580" s="1" t="inlineStr">
        <is>
          <t>-62.58%</t>
        </is>
      </c>
      <c r="N4580" s="3" t="n">
        <v>-62.58</v>
      </c>
      <c r="O4580" t="n">
        <v>4.1</v>
      </c>
      <c r="P4580" t="n">
        <v>81</v>
      </c>
      <c r="R4580" t="inlineStr">
        <is>
          <t>InStock</t>
        </is>
      </c>
      <c r="S4580" t="inlineStr">
        <is>
          <t>undefined</t>
        </is>
      </c>
      <c r="T4580" t="inlineStr">
        <is>
          <t>705309-20</t>
        </is>
      </c>
    </row>
    <row r="4581" hidden="1" ht="15.75" customHeight="1">
      <c r="A4581" s="2">
        <f>HYPERLINK("https://www.soccerplususa.com/puma/puma-teamglory-jersey-youth-42486", "https://www.soccerplususa.com/puma/puma-teamglory-jersey-youth-42486")</f>
        <v/>
      </c>
      <c r="B4581" t="inlineStr">
        <is>
          <t>undefined</t>
        </is>
      </c>
      <c r="C4581" t="inlineStr">
        <is>
          <t>Puma TeamGlory Jersey Youth</t>
        </is>
      </c>
      <c r="D4581" t="inlineStr">
        <is>
          <t>PUMA Unisex Youth Liga Jersey</t>
        </is>
      </c>
      <c r="E4581" s="2">
        <f>HYPERLINK("https://www.amazon.com/PUMA-Mens-Jersey-Black-White/dp/B07DXZ35GC/ref=sr_1_3?keywords=Puma+TeamGlory+Jersey+Youth&amp;qid=1695171174&amp;sr=8-3", "https://www.amazon.com/PUMA-Mens-Jersey-Black-White/dp/B07DXZ35GC/ref=sr_1_3?keywords=Puma+TeamGlory+Jersey+Youth&amp;qid=1695171174&amp;sr=8-3")</f>
        <v/>
      </c>
      <c r="F4581" t="inlineStr">
        <is>
          <t>B07DXZ35GC</t>
        </is>
      </c>
      <c r="G4581">
        <f>_xludf.IMAGE("https://www.soccerplususa.com/prodimages//35565-Fizzy_Lime-M.jpg")</f>
        <v/>
      </c>
      <c r="H4581">
        <f>_xludf.IMAGE("https://m.media-amazon.com/images/I/71f+GPiGtdL._AC_UL320_.jpg")</f>
        <v/>
      </c>
      <c r="K4581" t="inlineStr">
        <is>
          <t>39.95</t>
        </is>
      </c>
      <c r="L4581" t="n">
        <v>14.95</v>
      </c>
      <c r="M4581" s="1" t="inlineStr">
        <is>
          <t>-62.58%</t>
        </is>
      </c>
      <c r="N4581" s="3" t="n">
        <v>-62.58</v>
      </c>
      <c r="O4581" t="n">
        <v>4</v>
      </c>
      <c r="P4581" t="n">
        <v>37</v>
      </c>
      <c r="R4581" t="inlineStr">
        <is>
          <t>InStock</t>
        </is>
      </c>
      <c r="S4581" t="inlineStr">
        <is>
          <t>undefined</t>
        </is>
      </c>
      <c r="T4581" t="inlineStr">
        <is>
          <t>705309-20</t>
        </is>
      </c>
    </row>
    <row r="4582" hidden="1" ht="15.75" customHeight="1">
      <c r="A4582" s="2">
        <f>HYPERLINK("https://www.soccerplususa.com/puma/puma-liga-hooped-jersey-35526", "https://www.soccerplususa.com/puma/puma-liga-hooped-jersey-35526")</f>
        <v/>
      </c>
      <c r="B4582" t="inlineStr">
        <is>
          <t>undefined</t>
        </is>
      </c>
      <c r="C4582" t="inlineStr">
        <is>
          <t>Puma Liga Hooped Jersey</t>
        </is>
      </c>
      <c r="D4582" t="inlineStr">
        <is>
          <t>PUMA Women's Liga Jersey</t>
        </is>
      </c>
      <c r="E4582" s="2">
        <f>HYPERLINK("https://www.amazon.com/PUMA-70342613-LIGA-Jersey-W/dp/B075RDSSTV/ref=sr_1_2?keywords=Puma+Liga+Hooped+Jersey&amp;qid=1695171162&amp;sr=8-2", "https://www.amazon.com/PUMA-70342613-LIGA-Jersey-W/dp/B075RDSSTV/ref=sr_1_2?keywords=Puma+Liga+Hooped+Jersey&amp;qid=1695171162&amp;sr=8-2")</f>
        <v/>
      </c>
      <c r="F4582" t="inlineStr">
        <is>
          <t>B075RDSSTV</t>
        </is>
      </c>
      <c r="G4582">
        <f>_xludf.IMAGE("https://www.soccerplususa.com/prodimages/32667-DEFAULT-l.jpg")</f>
        <v/>
      </c>
      <c r="H4582">
        <f>_xludf.IMAGE("https://m.media-amazon.com/images/I/51ufXLu6e3L._AC_UL320_.jpg")</f>
        <v/>
      </c>
      <c r="K4582" t="inlineStr">
        <is>
          <t>30.0</t>
        </is>
      </c>
      <c r="L4582" t="n">
        <v>11</v>
      </c>
      <c r="M4582" s="1" t="inlineStr">
        <is>
          <t>-63.33%</t>
        </is>
      </c>
      <c r="N4582" s="3" t="n">
        <v>-63.33</v>
      </c>
      <c r="O4582" t="n">
        <v>5</v>
      </c>
      <c r="P4582" t="n">
        <v>6</v>
      </c>
      <c r="R4582" t="inlineStr">
        <is>
          <t>InStock</t>
        </is>
      </c>
      <c r="S4582" t="inlineStr">
        <is>
          <t>39.95</t>
        </is>
      </c>
      <c r="T4582" t="inlineStr">
        <is>
          <t>703422-02</t>
        </is>
      </c>
    </row>
    <row r="4583" hidden="1" ht="15.75" customHeight="1">
      <c r="A4583" s="2">
        <f>HYPERLINK("https://www.soccerplususa.com/puma/puma-veloce-stadium-jacket-29005", "https://www.soccerplususa.com/puma/puma-veloce-stadium-jacket-29005")</f>
        <v/>
      </c>
      <c r="B4583" t="inlineStr">
        <is>
          <t>undefined</t>
        </is>
      </c>
      <c r="C4583" t="inlineStr">
        <is>
          <t>Puma Veloce Stadium Jacket</t>
        </is>
      </c>
      <c r="D4583" t="inlineStr">
        <is>
          <t>PUMA Kids Boys Veloce Stadium Jacket Coats Jackets Outerwear Full Zip - Black</t>
        </is>
      </c>
      <c r="E4583" s="2">
        <f>HYPERLINK("https://www.amazon.com/PUMA-Veloce-Stadium-Jacket-Medium/dp/B0185VZFIM/ref=sr_1_1?keywords=Puma+Veloce+Stadium+Jacket&amp;qid=1695171170&amp;sr=8-1", "https://www.amazon.com/PUMA-Veloce-Stadium-Jacket-Medium/dp/B0185VZFIM/ref=sr_1_1?keywords=Puma+Veloce+Stadium+Jacket&amp;qid=1695171170&amp;sr=8-1")</f>
        <v/>
      </c>
      <c r="F4583" t="inlineStr">
        <is>
          <t>B0185VZFIM</t>
        </is>
      </c>
      <c r="G4583">
        <f>_xludf.IMAGE("https://www.soccerplususa.com/prodimages/3905-DEFAULT-l.jpg")</f>
        <v/>
      </c>
      <c r="H4583">
        <f>_xludf.IMAGE("https://m.media-amazon.com/images/I/510ti0xHvjS._AC_UL320_.jpg")</f>
        <v/>
      </c>
      <c r="K4583" t="inlineStr">
        <is>
          <t>50.0</t>
        </is>
      </c>
      <c r="L4583" t="n">
        <v>17.95</v>
      </c>
      <c r="M4583" s="1" t="inlineStr">
        <is>
          <t>-64.10%</t>
        </is>
      </c>
      <c r="N4583" s="3" t="n">
        <v>-64.09999999999999</v>
      </c>
      <c r="O4583" t="n">
        <v>3</v>
      </c>
      <c r="P4583" t="n">
        <v>4</v>
      </c>
      <c r="R4583" t="inlineStr">
        <is>
          <t>InStock</t>
        </is>
      </c>
      <c r="S4583" t="inlineStr">
        <is>
          <t>59.95</t>
        </is>
      </c>
      <c r="T4583" t="inlineStr">
        <is>
          <t>654643-01</t>
        </is>
      </c>
    </row>
    <row r="4584" hidden="1" ht="15.75" customHeight="1">
      <c r="A4584" s="2">
        <f>HYPERLINK("https://www.soccerplususa.com/puma/puma-veloce-stadium-jacket-29005", "https://www.soccerplususa.com/puma/puma-veloce-stadium-jacket-29005")</f>
        <v/>
      </c>
      <c r="B4584" t="inlineStr">
        <is>
          <t>undefined</t>
        </is>
      </c>
      <c r="C4584" t="inlineStr">
        <is>
          <t>Puma Veloce Stadium Jacket</t>
        </is>
      </c>
      <c r="D4584" t="inlineStr">
        <is>
          <t>PUMA Kids Boys Veloce Stadium Jacket Coats Jackets Outerwear Full Zip - Blue</t>
        </is>
      </c>
      <c r="E4584" s="2">
        <f>HYPERLINK("https://www.amazon.com/PUMA-Veloce-Stadium-Jacket-Youth/dp/B0185VZXK2/ref=sr_1_2?keywords=Puma+Veloce+Stadium+Jacket&amp;qid=1695171170&amp;sr=8-2", "https://www.amazon.com/PUMA-Veloce-Stadium-Jacket-Youth/dp/B0185VZXK2/ref=sr_1_2?keywords=Puma+Veloce+Stadium+Jacket&amp;qid=1695171170&amp;sr=8-2")</f>
        <v/>
      </c>
      <c r="F4584" t="inlineStr">
        <is>
          <t>B0185VZXK2</t>
        </is>
      </c>
      <c r="G4584">
        <f>_xludf.IMAGE("https://www.soccerplususa.com/prodimages/3905-DEFAULT-l.jpg")</f>
        <v/>
      </c>
      <c r="H4584">
        <f>_xludf.IMAGE("https://m.media-amazon.com/images/I/51V5ajYa4ZS._AC_UL320_.jpg")</f>
        <v/>
      </c>
      <c r="K4584" t="inlineStr">
        <is>
          <t>50.0</t>
        </is>
      </c>
      <c r="L4584" t="n">
        <v>17.95</v>
      </c>
      <c r="M4584" s="1" t="inlineStr">
        <is>
          <t>-64.10%</t>
        </is>
      </c>
      <c r="N4584" s="3" t="n">
        <v>-64.09999999999999</v>
      </c>
      <c r="O4584" t="n">
        <v>3.2</v>
      </c>
      <c r="P4584" t="n">
        <v>4</v>
      </c>
      <c r="R4584" t="inlineStr">
        <is>
          <t>InStock</t>
        </is>
      </c>
      <c r="S4584" t="inlineStr">
        <is>
          <t>59.95</t>
        </is>
      </c>
      <c r="T4584" t="inlineStr">
        <is>
          <t>654643-01</t>
        </is>
      </c>
    </row>
    <row r="4585" hidden="1" ht="15.75" customHeight="1">
      <c r="A4585" s="2">
        <f>HYPERLINK("https://www.soccerplususa.com/puma/puma-liga-jersey-37883", "https://www.soccerplususa.com/puma/puma-liga-jersey-37883")</f>
        <v/>
      </c>
      <c r="B4585" t="inlineStr">
        <is>
          <t>undefined</t>
        </is>
      </c>
      <c r="C4585" t="inlineStr">
        <is>
          <t>Puma Liga Jersey</t>
        </is>
      </c>
      <c r="D4585" t="inlineStr">
        <is>
          <t>PUMA Unisex Youth Liga Long Sleeve Jersey</t>
        </is>
      </c>
      <c r="E4585" s="2">
        <f>HYPERLINK("https://www.amazon.com/PUMA-Jersey-Sleeve-Redpuma-White/dp/B07B8PSND1/ref=sr_1_4?keywords=Puma+Liga+Jersey&amp;qid=1695171159&amp;sr=8-4", "https://www.amazon.com/PUMA-Jersey-Sleeve-Redpuma-White/dp/B07B8PSND1/ref=sr_1_4?keywords=Puma+Liga+Jersey&amp;qid=1695171159&amp;sr=8-4")</f>
        <v/>
      </c>
      <c r="F4585" t="inlineStr">
        <is>
          <t>B07B8PSND1</t>
        </is>
      </c>
      <c r="G4585">
        <f>_xludf.IMAGE("https://www.soccerplususa.com/prodimages//36780-REDWHITE-M.jpg")</f>
        <v/>
      </c>
      <c r="H4585">
        <f>_xludf.IMAGE("https://m.media-amazon.com/images/I/71DubH-WcgL._AC_UL320_.jpg")</f>
        <v/>
      </c>
      <c r="K4585" t="inlineStr">
        <is>
          <t>27.95</t>
        </is>
      </c>
      <c r="L4585" t="n">
        <v>9.949999999999999</v>
      </c>
      <c r="M4585" s="1" t="inlineStr">
        <is>
          <t>-64.40%</t>
        </is>
      </c>
      <c r="N4585" s="3" t="n">
        <v>-64.40000000000001</v>
      </c>
      <c r="O4585" t="n">
        <v>3.4</v>
      </c>
      <c r="P4585" t="n">
        <v>92</v>
      </c>
      <c r="R4585" t="inlineStr">
        <is>
          <t>InStock</t>
        </is>
      </c>
      <c r="S4585" t="inlineStr">
        <is>
          <t>undefined</t>
        </is>
      </c>
      <c r="T4585" t="inlineStr">
        <is>
          <t>703417-01</t>
        </is>
      </c>
    </row>
    <row r="4586" hidden="1" ht="15.75" customHeight="1">
      <c r="A4586" s="2">
        <f>HYPERLINK("https://www.soccerplususa.com/puma/puma-liga-training-jacket-youth-35521", "https://www.soccerplususa.com/puma/puma-liga-training-jacket-youth-35521")</f>
        <v/>
      </c>
      <c r="B4586" t="inlineStr">
        <is>
          <t>undefined</t>
        </is>
      </c>
      <c r="C4586" t="inlineStr">
        <is>
          <t>Puma Liga Training Jacket Youth</t>
        </is>
      </c>
      <c r="D4586" t="inlineStr">
        <is>
          <t>PUMA Youth Liga Training Pants</t>
        </is>
      </c>
      <c r="E4586" s="2">
        <f>HYPERLINK("https://www.amazon.com/PUMA-Training-Pants-Black-White/dp/B077TLZ4WY/ref=sr_1_5?keywords=Puma+Liga+Training+Jacket+Youth&amp;qid=1695171158&amp;sr=8-5", "https://www.amazon.com/PUMA-Training-Pants-Black-White/dp/B077TLZ4WY/ref=sr_1_5?keywords=Puma+Liga+Training+Jacket+Youth&amp;qid=1695171158&amp;sr=8-5")</f>
        <v/>
      </c>
      <c r="F4586" t="inlineStr">
        <is>
          <t>B077TLZ4WY</t>
        </is>
      </c>
      <c r="G4586">
        <f>_xludf.IMAGE("https://www.soccerplususa.com/prodimages/32219-DEFAULT-l.jpg")</f>
        <v/>
      </c>
      <c r="H4586">
        <f>_xludf.IMAGE("https://m.media-amazon.com/images/I/61UAnokel2L._AC_UL320_.jpg")</f>
        <v/>
      </c>
      <c r="K4586" t="inlineStr">
        <is>
          <t>45.0</t>
        </is>
      </c>
      <c r="L4586" t="n">
        <v>14.95</v>
      </c>
      <c r="M4586" s="1" t="inlineStr">
        <is>
          <t>-66.78%</t>
        </is>
      </c>
      <c r="N4586" s="3" t="n">
        <v>-66.78</v>
      </c>
      <c r="O4586" t="n">
        <v>3.6</v>
      </c>
      <c r="P4586" t="n">
        <v>43</v>
      </c>
      <c r="R4586" t="inlineStr">
        <is>
          <t>InStock</t>
        </is>
      </c>
      <c r="S4586" t="inlineStr">
        <is>
          <t>59.95</t>
        </is>
      </c>
      <c r="T4586" t="inlineStr">
        <is>
          <t>655688-02</t>
        </is>
      </c>
    </row>
    <row r="4587" hidden="1" ht="15.75" customHeight="1">
      <c r="A4587" s="2">
        <f>HYPERLINK("https://www.soccerplususa.com/puma/puma-teamglory-jersey-youth-42486", "https://www.soccerplususa.com/puma/puma-teamglory-jersey-youth-42486")</f>
        <v/>
      </c>
      <c r="B4587" t="inlineStr">
        <is>
          <t>undefined</t>
        </is>
      </c>
      <c r="C4587" t="inlineStr">
        <is>
          <t>Puma TeamGlory Jersey Youth</t>
        </is>
      </c>
      <c r="D4587" t="inlineStr">
        <is>
          <t>PUMA Unisex Youth Cup Jersey</t>
        </is>
      </c>
      <c r="E4587" s="2">
        <f>HYPERLINK("https://www.amazon.com/PUMA-Kids-Cup-Jersey-White/dp/B084ZXCDZ8/ref=sr_1_8?keywords=Puma+TeamGlory+Jersey+Youth&amp;qid=1695171174&amp;sr=8-8", "https://www.amazon.com/PUMA-Kids-Cup-Jersey-White/dp/B084ZXCDZ8/ref=sr_1_8?keywords=Puma+TeamGlory+Jersey+Youth&amp;qid=1695171174&amp;sr=8-8")</f>
        <v/>
      </c>
      <c r="F4587" t="inlineStr">
        <is>
          <t>B084ZXCDZ8</t>
        </is>
      </c>
      <c r="G4587">
        <f>_xludf.IMAGE("https://www.soccerplususa.com/prodimages//35565-Fizzy_Lime-M.jpg")</f>
        <v/>
      </c>
      <c r="H4587">
        <f>_xludf.IMAGE("https://m.media-amazon.com/images/I/71kUthjI2aL._AC_UL320_.jpg")</f>
        <v/>
      </c>
      <c r="K4587" t="inlineStr">
        <is>
          <t>39.95</t>
        </is>
      </c>
      <c r="L4587" t="n">
        <v>12.95</v>
      </c>
      <c r="M4587" s="1" t="inlineStr">
        <is>
          <t>-67.58%</t>
        </is>
      </c>
      <c r="N4587" s="3" t="n">
        <v>-67.58</v>
      </c>
      <c r="O4587" t="n">
        <v>4.2</v>
      </c>
      <c r="P4587" t="n">
        <v>4</v>
      </c>
      <c r="R4587" t="inlineStr">
        <is>
          <t>InStock</t>
        </is>
      </c>
      <c r="S4587" t="inlineStr">
        <is>
          <t>undefined</t>
        </is>
      </c>
      <c r="T4587" t="inlineStr">
        <is>
          <t>705309-20</t>
        </is>
      </c>
    </row>
    <row r="4588" hidden="1" ht="15.75" customHeight="1">
      <c r="A4588" s="2">
        <f>HYPERLINK("https://www.soccerplususa.com/puma/puma-teamglory-jersey-youth-42486", "https://www.soccerplususa.com/puma/puma-teamglory-jersey-youth-42486")</f>
        <v/>
      </c>
      <c r="B4588" t="inlineStr">
        <is>
          <t>undefined</t>
        </is>
      </c>
      <c r="C4588" t="inlineStr">
        <is>
          <t>Puma TeamGlory Jersey Youth</t>
        </is>
      </c>
      <c r="D4588" t="inlineStr">
        <is>
          <t>PUMA Kids' Youth Liga Training Jersey</t>
        </is>
      </c>
      <c r="E4588" s="2">
        <f>HYPERLINK("https://www.amazon.com/PUMA-Training-Jersey-Electric-Lemonade/dp/B07FGTC21T/ref=sr_1_7?keywords=Puma+TeamGlory+Jersey+Youth&amp;qid=1695171174&amp;sr=8-7", "https://www.amazon.com/PUMA-Training-Jersey-Electric-Lemonade/dp/B07FGTC21T/ref=sr_1_7?keywords=Puma+TeamGlory+Jersey+Youth&amp;qid=1695171174&amp;sr=8-7")</f>
        <v/>
      </c>
      <c r="F4588" t="inlineStr">
        <is>
          <t>B07FGTC21T</t>
        </is>
      </c>
      <c r="G4588">
        <f>_xludf.IMAGE("https://www.soccerplususa.com/prodimages//35565-Fizzy_Lime-M.jpg")</f>
        <v/>
      </c>
      <c r="H4588">
        <f>_xludf.IMAGE("https://m.media-amazon.com/images/I/81fB0WeaEbL._AC_UL320_.jpg")</f>
        <v/>
      </c>
      <c r="K4588" t="inlineStr">
        <is>
          <t>39.95</t>
        </is>
      </c>
      <c r="L4588" t="n">
        <v>12.95</v>
      </c>
      <c r="M4588" s="1" t="inlineStr">
        <is>
          <t>-67.58%</t>
        </is>
      </c>
      <c r="N4588" s="3" t="n">
        <v>-67.58</v>
      </c>
      <c r="O4588" t="n">
        <v>3.3</v>
      </c>
      <c r="P4588" t="n">
        <v>42</v>
      </c>
      <c r="R4588" t="inlineStr">
        <is>
          <t>InStock</t>
        </is>
      </c>
      <c r="S4588" t="inlineStr">
        <is>
          <t>undefined</t>
        </is>
      </c>
      <c r="T4588" t="inlineStr">
        <is>
          <t>705309-20</t>
        </is>
      </c>
    </row>
    <row r="4589" hidden="1" ht="15.75" customHeight="1">
      <c r="A4589" s="2">
        <f>HYPERLINK("https://www.soccerplususa.com/puma/puma-liga-jersey-37883", "https://www.soccerplususa.com/puma/puma-liga-jersey-37883")</f>
        <v/>
      </c>
      <c r="B4589" t="inlineStr">
        <is>
          <t>undefined</t>
        </is>
      </c>
      <c r="C4589" t="inlineStr">
        <is>
          <t>Puma Liga Jersey</t>
        </is>
      </c>
      <c r="D4589" t="inlineStr">
        <is>
          <t>PUMA Women's Liga Jersey</t>
        </is>
      </c>
      <c r="E4589" s="2">
        <f>HYPERLINK("https://www.amazon.com/PUMA-Womens-Jersey-Electric-Lemonadewhite/dp/B075RDMXV5/ref=sr_1_3?keywords=Puma+Liga+Jersey&amp;qid=1695171159&amp;sr=8-3", "https://www.amazon.com/PUMA-Womens-Jersey-Electric-Lemonadewhite/dp/B075RDMXV5/ref=sr_1_3?keywords=Puma+Liga+Jersey&amp;qid=1695171159&amp;sr=8-3")</f>
        <v/>
      </c>
      <c r="F4589" t="inlineStr">
        <is>
          <t>B075RDMXV5</t>
        </is>
      </c>
      <c r="G4589">
        <f>_xludf.IMAGE("https://www.soccerplususa.com/prodimages//36780-REDWHITE-M.jpg")</f>
        <v/>
      </c>
      <c r="H4589">
        <f>_xludf.IMAGE("https://m.media-amazon.com/images/I/81NfBERrjRL._AC_UL320_.jpg")</f>
        <v/>
      </c>
      <c r="K4589" t="inlineStr">
        <is>
          <t>27.95</t>
        </is>
      </c>
      <c r="L4589" t="n">
        <v>8.4</v>
      </c>
      <c r="M4589" s="1" t="inlineStr">
        <is>
          <t>-69.95%</t>
        </is>
      </c>
      <c r="N4589" s="3" t="n">
        <v>-69.95</v>
      </c>
      <c r="O4589" t="n">
        <v>4.5</v>
      </c>
      <c r="P4589" t="n">
        <v>375</v>
      </c>
      <c r="R4589" t="inlineStr">
        <is>
          <t>InStock</t>
        </is>
      </c>
      <c r="S4589" t="inlineStr">
        <is>
          <t>undefined</t>
        </is>
      </c>
      <c r="T4589" t="inlineStr">
        <is>
          <t>703417-01</t>
        </is>
      </c>
    </row>
  </sheetData>
  <autoFilter ref="A1:X4589">
    <filterColumn colId="11" hiddenButton="0" showButton="1">
      <customFilters and="0">
        <customFilter operator="greaterThanOrEqual" val="15"/>
      </customFilters>
    </filterColumn>
    <filterColumn colId="13" hiddenButton="0" showButton="1">
      <customFilters and="0">
        <customFilter operator="greaterThanOrEqual" val="60"/>
      </customFilters>
    </filterColumn>
    <filterColumn colId="14" hiddenButton="0" showButton="1">
      <customFilters and="0">
        <customFilter operator="greaterThanOrEqual" val="3.8"/>
      </customFilters>
    </filterColumn>
  </autoFilter>
  <pageMargins left="0.75" right="0.75" top="1" bottom="1" header="0.5" footer="0.5"/>
  <pageSetup orientation="portrait" paperSize="9"/>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2023-09-20T00:28:34Z</dcterms:created>
  <dcterms:modified xsi:type="dcterms:W3CDTF">2023-09-29T19:58:30Z</dcterms:modified>
  <cp:lastModifiedBy>John Connolly</cp:lastModifiedBy>
</cp:coreProperties>
</file>